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ial Media" sheetId="1" r:id="rId4"/>
    <sheet state="visible" name="Investment" sheetId="2" r:id="rId5"/>
    <sheet state="visible" name="CE Store" sheetId="3" r:id="rId6"/>
    <sheet state="visible" name="Others" sheetId="4" r:id="rId7"/>
    <sheet state="visible" name="JRPG Collector" sheetId="5" r:id="rId8"/>
    <sheet state="visible" name="The Collector and Co." sheetId="6" r:id="rId9"/>
    <sheet state="visible" name="Assets  Debt" sheetId="7" r:id="rId10"/>
    <sheet state="visible" name="2026" sheetId="8" r:id="rId11"/>
    <sheet state="visible" name="2027" sheetId="9" r:id="rId12"/>
    <sheet state="visible" name="2025" sheetId="10" r:id="rId13"/>
    <sheet state="visible" name="Sheet14" sheetId="11" r:id="rId14"/>
    <sheet state="visible" name="The Base Cherngtalay" sheetId="12" r:id="rId15"/>
    <sheet state="visible" name="RHYTHM Asoke (Thai Credit)" sheetId="13" r:id="rId16"/>
    <sheet state="visible" name="Cash (Thai Credit)" sheetId="14" r:id="rId17"/>
    <sheet state="visible" name="The Unique 621" sheetId="15" r:id="rId18"/>
    <sheet state="visible" name="Crypto Mining" sheetId="16" r:id="rId19"/>
    <sheet state="visible" name="Sheet17" sheetId="17" r:id="rId20"/>
    <sheet state="visible" name="Splinterlands" sheetId="18" r:id="rId21"/>
    <sheet state="visible" name="RHYTHM Charoenkrung" sheetId="19" r:id="rId22"/>
    <sheet state="visible" name="RHYTHM Asoke" sheetId="20" r:id="rId23"/>
    <sheet state="visible" name="Bombcrypto - Done" sheetId="21" r:id="rId24"/>
    <sheet state="visible" name="CryptoMines - Done" sheetId="22" r:id="rId25"/>
  </sheets>
  <definedNames/>
  <calcPr/>
</workbook>
</file>

<file path=xl/sharedStrings.xml><?xml version="1.0" encoding="utf-8"?>
<sst xmlns="http://schemas.openxmlformats.org/spreadsheetml/2006/main" count="9596" uniqueCount="2653">
  <si>
    <t>Brand</t>
  </si>
  <si>
    <t>Social Media Direction</t>
  </si>
  <si>
    <t>Treephol
Facebook/Instagram</t>
  </si>
  <si>
    <t>Share personal reflections, curated articles, and updates on your projects. Visual storytelling of your daily life, behind-the-scenes of your projects, and highlights from your travels.</t>
  </si>
  <si>
    <t>Treephol
LinkedIn</t>
  </si>
  <si>
    <t>Professional insights, industry trends, and updates on your business ventures.</t>
  </si>
  <si>
    <t>Future Past Inc. Facebook/Instagram/YouTube</t>
  </si>
  <si>
    <t>A calm, curated space for thoughtful living. Through mood-led playlists, enduring object previews, and quiet storytelling, Future Past Inc. explores how we live, collect, and create with intention. Each post—whether a sound, a shelf, or a sentence—is a moment to slow down and connect more deeply.</t>
  </si>
  <si>
    <t>Food, Vibes, and the Journey
Facebook/Instagram/TikTok</t>
  </si>
  <si>
    <t>Showcase culinary experiences, ambiance of eateries, and travel adventures.</t>
  </si>
  <si>
    <t>JRPG Collector
Facebook/Instagram</t>
  </si>
  <si>
    <t>We share news and reviews with a collector’s eye—spotlighting Pokémon TCG set releases, card artwork and illustrator stories, rarity highlights, preservation and display tips, and curated merch—alongside thoughtful JRPG features that celebrate narrative, game system, characters, world-building, and soundtrack craft.</t>
  </si>
  <si>
    <t>w</t>
  </si>
  <si>
    <t>Investment Portfolio</t>
  </si>
  <si>
    <t>Actual Return</t>
  </si>
  <si>
    <t>Estimated Return</t>
  </si>
  <si>
    <t>ปีที่</t>
  </si>
  <si>
    <t>งวดที่</t>
  </si>
  <si>
    <t>Monthly Update</t>
  </si>
  <si>
    <t>Investment: All</t>
  </si>
  <si>
    <t>RHYTHM Charoenkrung</t>
  </si>
  <si>
    <t>เงินต้นรวม</t>
  </si>
  <si>
    <t>RHYTHM Asoke</t>
  </si>
  <si>
    <t>The Unique 62/1</t>
  </si>
  <si>
    <t>The Base Cherngtalay</t>
  </si>
  <si>
    <t>CE Store</t>
  </si>
  <si>
    <t>JRPG Collector</t>
  </si>
  <si>
    <t>CEI | Crypto Mining</t>
  </si>
  <si>
    <t>Equity | Crypto Farming</t>
  </si>
  <si>
    <t>Appen | Lionbridge</t>
  </si>
  <si>
    <t>RHYTHM Charoenkrung / The Base Cherngtalay</t>
  </si>
  <si>
    <t>กำไรต่องวด</t>
  </si>
  <si>
    <t>กำไรรวม</t>
  </si>
  <si>
    <t>ผลตอบแทน(%)</t>
  </si>
  <si>
    <t>TOTAL</t>
  </si>
  <si>
    <t>เงินลงทุนต่องวด</t>
  </si>
  <si>
    <t>เงินลงทุนรวม</t>
  </si>
  <si>
    <t>Item</t>
  </si>
  <si>
    <t>Stock Price</t>
  </si>
  <si>
    <t>Selling Price</t>
  </si>
  <si>
    <t>Estimated Profit</t>
  </si>
  <si>
    <t>Margin (%)</t>
  </si>
  <si>
    <t>CE: The Cutting Edge Video Gamer</t>
  </si>
  <si>
    <t>Retained Earnings</t>
  </si>
  <si>
    <t>221106 New Yorker</t>
  </si>
  <si>
    <t>Promotion</t>
  </si>
  <si>
    <t>221106 Brooks Brothers - Reda (Italy)</t>
  </si>
  <si>
    <t>Shopee Coins</t>
  </si>
  <si>
    <t>221113 Brooks Brothers - Moon (England)</t>
  </si>
  <si>
    <t>Pre-Order</t>
  </si>
  <si>
    <t>221113 Brooks Brothers 1818</t>
  </si>
  <si>
    <t>221113 Sartoria Ring - Cranmore Park (England)</t>
  </si>
  <si>
    <t>Listing</t>
  </si>
  <si>
    <t>221120 Burberry Black Label Safari Jacket</t>
  </si>
  <si>
    <t>Computer Components</t>
  </si>
  <si>
    <t>221120 Brooks Brothers Preppy Style Blazer with Gold buttons</t>
  </si>
  <si>
    <t>Consoles &amp; Accessories</t>
  </si>
  <si>
    <t>Total</t>
  </si>
  <si>
    <t>CE Store 2021</t>
  </si>
  <si>
    <t>PowerColor AMD Radeon RX 5700 XT Red Devil 8GB</t>
  </si>
  <si>
    <t>Asus Prime B560-PLUS</t>
  </si>
  <si>
    <t>Klevv Bolt X 8GB DDR4/3200 RAM PC x 2</t>
  </si>
  <si>
    <t>MSI GeForce RTX 3060 Ti AERO ITX OC 8GB LHR</t>
  </si>
  <si>
    <t>Galakuro GeForce RTX 3060 OC 12GB LHR</t>
  </si>
  <si>
    <t>Intel Core i3 10100F</t>
  </si>
  <si>
    <t>Corsair RM750</t>
  </si>
  <si>
    <t>Klevv Bolt X 8GB DDR4/3200 RAM PC</t>
  </si>
  <si>
    <t>AMD Ryzen 3 3300X</t>
  </si>
  <si>
    <t>ThermalTake Smart BX1 750W</t>
  </si>
  <si>
    <t>Gigabyte B450 Aorus Elite</t>
  </si>
  <si>
    <t>MSI GeForce RTX 2060 SUPER GAMING X 8GB</t>
  </si>
  <si>
    <t>MSI B450-A Pro Max</t>
  </si>
  <si>
    <t>Kingston Fury Beast 8GB DDR4/2666 RAM PC</t>
  </si>
  <si>
    <t>ELSA GeForce RTX 3060 S.A.C 4 Evo. 12GB LHR</t>
  </si>
  <si>
    <t>Gigabyte B460 HD3</t>
  </si>
  <si>
    <t>ZOTAC GAMING GeForce RTX 3060 Twin Edge OC 12GB LHR</t>
  </si>
  <si>
    <t>Gigabyte GeForce GTX 1660 Ti OC 6GB - Micron</t>
  </si>
  <si>
    <t>Leadtek RTX A4000</t>
  </si>
  <si>
    <t>PNY GeForce GTX 1660 SUPER XLR8 Gaming OC 6GB - Hynix</t>
  </si>
  <si>
    <t>Palit GeForce GTX 1660 SUPER GAMING PRO OC 6GB - Micron</t>
  </si>
  <si>
    <t>ELSA GeForce RTX 3060 Erazor 12GB</t>
  </si>
  <si>
    <t>MSI GeForce RTX 2060 SUPER VENTUS OC 8GB</t>
  </si>
  <si>
    <t>MSI GeForce GTX 1660 SUPER VENTUS XS OC 6GB - Samsung</t>
  </si>
  <si>
    <t>ASUS Dual GeForce RTX 3060 OC Edition 12GB GDDR6 - Samsung</t>
  </si>
  <si>
    <t>GeForce RTX 2060 6GB</t>
  </si>
  <si>
    <t>Gigabyte GeForce RTX 2060 6GB</t>
  </si>
  <si>
    <t>ZOTAC GAMING GeForce RTX 3060 Twin Edge OC 12GB - Samsung</t>
  </si>
  <si>
    <t>Gigabyte GeForce GTX 1660 Ti OC 6GB</t>
  </si>
  <si>
    <t>PNY GeForce GTX 1660 SUPER XLR8 Gaming OC 6GB</t>
  </si>
  <si>
    <t>MSI GeForce GTX 1660 SUPER AERO ITX OC 6GB</t>
  </si>
  <si>
    <t>ZOTAC GAMING GeForce RTX 3080 Trinity OC 10GB - Paid 0/10</t>
  </si>
  <si>
    <t>AMD Ryzen 5 3500</t>
  </si>
  <si>
    <t>Asus PRIME X470-PRO</t>
  </si>
  <si>
    <t>Asus PRIME X370-PRO</t>
  </si>
  <si>
    <t>ZOTAC GAMING GeForce RTX 3080 Amp Holo 10GB</t>
  </si>
  <si>
    <t>Asus GeForce RTX 3060 Dual OC 12GB</t>
  </si>
  <si>
    <t>GALAKURO GAMING GeForce RTX 3060 OC DF White 12GB</t>
  </si>
  <si>
    <t>Gigabyte GeForce RTX 3060 Vision OC 12GB</t>
  </si>
  <si>
    <t>MSI GeForce GTX 1660 SUPER VENTUS XS OC 6GB</t>
  </si>
  <si>
    <t>Palit GeForce GTX1660 SUPER GAMING PRO OC 6GB</t>
  </si>
  <si>
    <t>MSI X370 GAMING PRO CARBON</t>
  </si>
  <si>
    <t>ZOTAC GAMING GeForce RTX 3060 Twin Edge OC 12GB</t>
  </si>
  <si>
    <t>[มือ1] ASRock B450 Steel Legend</t>
  </si>
  <si>
    <t>ASRock Mainboard (เมนบอร์ด) AM4 FATAL1TY B450 GAMING-ITX/AC มือสอง</t>
  </si>
  <si>
    <t>Biostar Mainboard (เมนบอร์ด) AM4 TB350-BTC + AMD Athlon 3000G มือสอง</t>
  </si>
  <si>
    <t>AMD Ryzen 5 3500X</t>
  </si>
  <si>
    <t>ASRock B450 Steel Legend</t>
  </si>
  <si>
    <t>ZOTAC GAMING GeForce RTX 3060 Twin Edge 12GB</t>
  </si>
  <si>
    <t>GALAKURO GAMING GeForce RTX 3060 OC DF 12GB</t>
  </si>
  <si>
    <t>NVIDIA GeForce GTX 1660 SUPER 6GB</t>
  </si>
  <si>
    <t>COLORFUL iGame GeForce RTX 2060 SUPER Ultra-V 8GB</t>
  </si>
  <si>
    <t>MSI GeForce RTX 2060 SUPER AERO ITX</t>
  </si>
  <si>
    <t>INNO3D GeForce RTX 3060 TWIN X2 OC 12GB</t>
  </si>
  <si>
    <t>MSI GeForce GTX 1660 SUPER AERO ITX OC</t>
  </si>
  <si>
    <t>ZOTAC GAMING GeForce RTX 3080 Trinity OC 10GB</t>
  </si>
  <si>
    <t>Biostar TB350-BTC + Riser Card x 5</t>
  </si>
  <si>
    <t>NVIDIA GeForce GTX 1660 SUPER</t>
  </si>
  <si>
    <t>[มือ1] Colorful iGame การ์ดจอ Nvidia GeForce RTX 3070 Advanced OC 8GB</t>
  </si>
  <si>
    <t>Computer</t>
  </si>
  <si>
    <t>PS4 Battlefield V [Eng/Zone3] มือสอง</t>
  </si>
  <si>
    <t>Other</t>
  </si>
  <si>
    <t>PS4 Far Cry 5 [Eng/Zone3] มือสอง</t>
  </si>
  <si>
    <t>[มือ1] PS4 Trials of Mana [US/ZoneAll] - Brand New Sealed</t>
  </si>
  <si>
    <t>JRPG</t>
  </si>
  <si>
    <t>[มือ1] PS4 Metro Exodus [US/ZoneAll] - Brand New Sealed</t>
  </si>
  <si>
    <t>[มือ1] PS4 Monster Hunter World Iceborne Master Edition [US/ZoneAll] - Brand New Sealed</t>
  </si>
  <si>
    <t>[มือ1] PS4 Atelier Ryza [US/ZoneAll] - Brand New Sealed</t>
  </si>
  <si>
    <t>CE Store 2021 Grand Total</t>
  </si>
  <si>
    <t>CE Store 2020</t>
  </si>
  <si>
    <t>[มือ1] PS4 DualShock 4 Metallic Copper</t>
  </si>
  <si>
    <t>[มือ1] PS4 Red Dead Redemption 2 [Eng/Zone3] - Brand New Sealed</t>
  </si>
  <si>
    <t>[มือ1] WD BLUE SN550 1TB SSD NVMe M.2 2280 (WDS100T2B0C)</t>
  </si>
  <si>
    <t>PS4 Call of Duty Black Ops Cold War [Eng/Zone3] มือสอง</t>
  </si>
  <si>
    <t>[มือ1] Xbox Series X [JP]</t>
  </si>
  <si>
    <t>Buyee 68000</t>
  </si>
  <si>
    <t>[มือ1] PS4 Star Wars Squadrons [Eng/Zone3] - Brand New Sealed</t>
  </si>
  <si>
    <t>[มือ1] Colorful iGame การ์ดจอ Nvidia GeForce RTX 3060Ti Ultra OC</t>
  </si>
  <si>
    <t>[มือ1] PS4 Doom Eternal [US/ZoneAll] - Brand New Sealed</t>
  </si>
  <si>
    <t>Buyee 70000</t>
  </si>
  <si>
    <t>[มือ1] PlayStation 5 [JP]</t>
  </si>
  <si>
    <t>Buyee 90000-8</t>
  </si>
  <si>
    <t>Buyee 71000</t>
  </si>
  <si>
    <t>Buyee 61000</t>
  </si>
  <si>
    <t>[มือ1] XBO Borderlands 3 [US] - Brand New Sealed</t>
  </si>
  <si>
    <t>CE Store 2020 Grand Total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</si>
  <si>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</si>
  <si>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</si>
  <si>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</si>
  <si>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</si>
  <si>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</si>
  <si>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</si>
  <si>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</si>
  <si>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</si>
  <si>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</si>
  <si>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</si>
  <si>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</si>
  <si>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</si>
  <si>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Stock Value</t>
  </si>
  <si>
    <t>Monthly Income</t>
  </si>
  <si>
    <t>Monthly Cost</t>
  </si>
  <si>
    <t>Monthly Profit</t>
  </si>
  <si>
    <t>Order Per Day</t>
  </si>
  <si>
    <t>Monthly Order</t>
  </si>
  <si>
    <t>Order Success Rate</t>
  </si>
  <si>
    <t>Order Value</t>
  </si>
  <si>
    <t>Visit Per Day</t>
  </si>
  <si>
    <t>Monthly Store Visit</t>
  </si>
  <si>
    <t>Facebook Like</t>
  </si>
  <si>
    <t>Monthly Online Promotion</t>
  </si>
  <si>
    <t>Net Profit</t>
  </si>
  <si>
    <t>lcbmart.com</t>
  </si>
  <si>
    <t>Game List</t>
  </si>
  <si>
    <t>Bloodborne 92</t>
  </si>
  <si>
    <t>Sekiro Shadows Die Twice Game of the Year Edition 90</t>
  </si>
  <si>
    <t>Nioh 2 Complete Edition 85</t>
  </si>
  <si>
    <t>Demon's Souls 91</t>
  </si>
  <si>
    <t>Tony Hawk's Pro Skater 1+2 90</t>
  </si>
  <si>
    <t>Final Fantasy VII Remake Intergrade 84</t>
  </si>
  <si>
    <t>Devil May Cry 5 Special Edition 88</t>
  </si>
  <si>
    <t>Resident Evil Village 84</t>
  </si>
  <si>
    <t>Scarlet Nexus 80</t>
  </si>
  <si>
    <t>Grand Total</t>
  </si>
  <si>
    <t>Mac + PC + Console</t>
  </si>
  <si>
    <t>Monitor</t>
  </si>
  <si>
    <t>Xiaomi G27Qi</t>
  </si>
  <si>
    <t>Apple</t>
  </si>
  <si>
    <t>Macbook Pro 14 M1 Pro</t>
  </si>
  <si>
    <t>iPhone 14 Pro</t>
  </si>
  <si>
    <t>PC</t>
  </si>
  <si>
    <t>Razor Raiju Mobile Controller มือสอง</t>
  </si>
  <si>
    <t>Razer Deathadder Elite มือสอง</t>
  </si>
  <si>
    <t>PS5</t>
  </si>
  <si>
    <t>PS4</t>
  </si>
  <si>
    <t>PS4 Real Arcade Pro.V Silent มือสอง</t>
  </si>
  <si>
    <t>PS4 Razor Raiju Tournament Edition Controller มือสอง</t>
  </si>
  <si>
    <t>Xbox</t>
  </si>
  <si>
    <t>[มือ1] Xbox One X Cyberpunk 2077 Limited Edition Bundle [Asia]</t>
  </si>
  <si>
    <t>Xbox Series S [Asia] มือสอง</t>
  </si>
  <si>
    <t>[มือ1] Mcfarlane Cyberpunk 2077 Action Figure x 3</t>
  </si>
  <si>
    <t>Gamesir G8+ Controller มือสอง</t>
  </si>
  <si>
    <t>Gamesir X2 Pro Controller มือสอง</t>
  </si>
  <si>
    <t>Nintendo Switch</t>
  </si>
  <si>
    <t>[มือ1] Nintendo Switch OLED Zelda Edition</t>
  </si>
  <si>
    <t>[มือ1] Nintendo Switch OLED Pokemon Edition</t>
  </si>
  <si>
    <t>[มือ1] Nintendo Switch OLED</t>
  </si>
  <si>
    <t>Nintendo Switch Lite Dialga &amp; Palkia (Grey) [TH] มือสอง</t>
  </si>
  <si>
    <t>จอ Nintendo Switch OLED มือสอง</t>
  </si>
  <si>
    <t>Nintendo Switch Lite (Grey) [HK] มือสอง</t>
  </si>
  <si>
    <t>NSW Nintendo Switch Pro Controller มือสอง</t>
  </si>
  <si>
    <t>[มือ1] NSW Daemon x Machina Controller for Nintendo Switch [US]</t>
  </si>
  <si>
    <t>NSW Daemon x Machina Controller for Nintendo Switch [JP] มือสอง</t>
  </si>
  <si>
    <t>Nintendo New 3DS [US] มือสอง</t>
  </si>
  <si>
    <t>Astro City Mini V [JP] มือสอง</t>
  </si>
  <si>
    <t>Egret II Mini [JP] มือสอง</t>
  </si>
  <si>
    <t>NeoGeo Arcade Stick Pro [JP] มือสอง</t>
  </si>
  <si>
    <t>Nintendo Classic Mini Famicom Shonen Jump Version [JP] มือสอง</t>
  </si>
  <si>
    <t>[มือ1] Sega Genesis Mini [US]</t>
  </si>
  <si>
    <t>NeoGeo Mini [JP] มือสอง</t>
  </si>
  <si>
    <t>NeoGeo Mini Pad [JP] มือสอง</t>
  </si>
  <si>
    <t>[มือ1] Retroid Pocket 3 Plus - Clear Purple</t>
  </si>
  <si>
    <t>[มือ1] SanDisk 512 GB Micro SD Ultra</t>
  </si>
  <si>
    <t>[มือ1] SanDisk 256 GB Micro SD Ultra</t>
  </si>
  <si>
    <t>Retroid Pocket 3 Plus - Clear Blue มือสอง</t>
  </si>
  <si>
    <t>SanDisk 256 GB Micro SD Ultra มือสอง</t>
  </si>
  <si>
    <t>Retroid Pocket 3 Plus - Black มือสอง</t>
  </si>
  <si>
    <t>Anbernic RG405M - Black มือสอง</t>
  </si>
  <si>
    <t>Anbernic RG505 - Yellow มือสอง</t>
  </si>
  <si>
    <t>Miyoo Mini+ Plus - Black มือสอง</t>
  </si>
  <si>
    <t>Miyoo Mini+ Plus - White มือสอง</t>
  </si>
  <si>
    <t>Classic Menswear</t>
  </si>
  <si>
    <t>Massimo Dutti Suit</t>
  </si>
  <si>
    <t>Massimo Dutti 04</t>
  </si>
  <si>
    <t>Massimo Dutti 03</t>
  </si>
  <si>
    <t>Massimo Dutti 02</t>
  </si>
  <si>
    <t>Massimo Dutti 01</t>
  </si>
  <si>
    <t>JBB* Khaki Broken Twill Cotton Chore Jacket</t>
  </si>
  <si>
    <t>JBB* Taupe Linen Pleated Trousers with Extended Waistband</t>
  </si>
  <si>
    <t>JBB* Dark Brown Linen Pleated Trousers with Extended Waistband</t>
  </si>
  <si>
    <t>JBB* Navy Blue Linen Pleated Trousers with Extended Waistband</t>
  </si>
  <si>
    <t>Berwick Cap Toe Oxford</t>
  </si>
  <si>
    <t>Berwick Penny Loafer</t>
  </si>
  <si>
    <t>Madetomature Linen Safari Jacket</t>
  </si>
  <si>
    <t>Linenworks Linen Trousers</t>
  </si>
  <si>
    <t>Zara Chore Jacket</t>
  </si>
  <si>
    <t>Misc</t>
  </si>
  <si>
    <t>Photography</t>
  </si>
  <si>
    <t>Fujifilm X-T3</t>
  </si>
  <si>
    <t>FUJINON LENS XF18-55mmF2.8-4 R LM OIS</t>
  </si>
  <si>
    <t>DJI Osmo Mobile 6</t>
  </si>
  <si>
    <t>Japanese Arts &amp; Crafts</t>
  </si>
  <si>
    <t>Kaikado Tea Caddy: Copper</t>
  </si>
  <si>
    <t>Kawai Kanjiro Tea Cup x 2</t>
  </si>
  <si>
    <t>Dandelion Tea Cup x 2</t>
  </si>
  <si>
    <t>Artist's Tea Cup</t>
  </si>
  <si>
    <t>Chidori x 3</t>
  </si>
  <si>
    <t>Taka Toriyaki x 1</t>
  </si>
  <si>
    <t>Music</t>
  </si>
  <si>
    <t>Denon DJ Prime Go</t>
  </si>
  <si>
    <t>Sony SRS-X77</t>
  </si>
  <si>
    <t>The Yers - Y</t>
  </si>
  <si>
    <t>The Yers - You</t>
  </si>
  <si>
    <t>Torrayot - Facing Death By Now First Print [LE 500 pcs]</t>
  </si>
  <si>
    <t>Torrayot - Rotatory</t>
  </si>
  <si>
    <t>The Yers - Cry</t>
  </si>
  <si>
    <t>The Yers - Pray</t>
  </si>
  <si>
    <t>Torrayot - Facing Death By Now</t>
  </si>
  <si>
    <t>The Heavy - Glorious Dead</t>
  </si>
  <si>
    <t>Andreya Triana - Giant</t>
  </si>
  <si>
    <t>Massive Attack - Blue Lines</t>
  </si>
  <si>
    <t>Portishead - Dummy</t>
  </si>
  <si>
    <t>Primal Scream - Screamadelica</t>
  </si>
  <si>
    <t>Jungle - Jungle</t>
  </si>
  <si>
    <t>The Beatles - White Album</t>
  </si>
  <si>
    <t>Embrace - If You've Never Been</t>
  </si>
  <si>
    <t>Cassius - Dreams</t>
  </si>
  <si>
    <t>Art Toy</t>
  </si>
  <si>
    <t>G-Robo &amp; Mekapipo x 4</t>
  </si>
  <si>
    <t>Uamou - Mazinger Z</t>
  </si>
  <si>
    <t>Uamou - Galaxy</t>
  </si>
  <si>
    <t>Uamou V.A.G Series 3 Brown</t>
  </si>
  <si>
    <t>Uamou V.A.G In the Box Dark Brown</t>
  </si>
  <si>
    <t>Uamou V.A.G Series 13 Black &amp; White</t>
  </si>
  <si>
    <t>Crows x Worst x QP</t>
  </si>
  <si>
    <t>[มือ1] Blacklist Spin Off Boya, Ryushin Tower Records ver. [LE 500 pcs] [2]</t>
  </si>
  <si>
    <t>[มือ1] Blacklist Spin Off Tesshou 2nd Normal ver. [1]</t>
  </si>
  <si>
    <t>[มือ1] Blacklist Spin Off Shogo, Takumi Backbone Bomb of theYear ver. [2]</t>
  </si>
  <si>
    <t>[มือ1] Blacklist Spin Off Shogo, Takumi Backbone ver. [2]</t>
  </si>
  <si>
    <t>[มือ1] Blacklist Spin Off Takumi Blacktop ver. [1]</t>
  </si>
  <si>
    <t>[มือ1] Blacklist Spin Off Shogo Backbone Black ver. [1]</t>
  </si>
  <si>
    <t>[มือ1] Blacklist Takumi 10-Feets x Hudson ver. [1] [LE 1000 pcs]</t>
  </si>
  <si>
    <t>[มือ1] Blacklist Takumi 10-Feets x Tower Records ver. [1]</t>
  </si>
  <si>
    <t>[มือ1] Blacklist Takumi Gecchan ver. [1]</t>
  </si>
  <si>
    <t>[มือ1] Blacklist Spin Off Ryushin ATCW ver. [1]</t>
  </si>
  <si>
    <t>[มือ1] Blacklist Spin Off Kiyohiro Next Label Gecchan ver. [1]</t>
  </si>
  <si>
    <t>[มือ1] Blacklist Spin Off Kiyohiro Next Label Collars ver. [1]</t>
  </si>
  <si>
    <t>[มือ1] Blacklist Spin Off Boya Inazuma x Hudson ver. [1] [LE 1000 pcs]</t>
  </si>
  <si>
    <t>[มือ1] Blacklist Spin Off Boya Inazuma x Crown ver. [1]</t>
  </si>
  <si>
    <t>[มือ1] Blacklist Spin Off Boya Inazuma x Tower Records ver. [1]</t>
  </si>
  <si>
    <t>[มือ1] Blacklist Spin Off Boya Inazuma x HMV ver. [1]</t>
  </si>
  <si>
    <t>[มือ1] Blacklist Spin Off Boya Gecchan ver. [1]</t>
  </si>
  <si>
    <t>[มือ1] Blacklist Spin Off Boya 2nd Hudson ver. [1]</t>
  </si>
  <si>
    <t>[มือ1] Blacklist Spin Off Boya 2nd Figure Oh ver. [1]</t>
  </si>
  <si>
    <t>[มือ1] Blacklist Spin Off Boya 3rd Normal ver. [1]</t>
  </si>
  <si>
    <t>[มือ1] Blacklist Boya Premium Silver + Lucky Gold ver. [2]</t>
  </si>
  <si>
    <t>[มือ1] Blacklist Spin Off Rinda Man HMV ver. [1]</t>
  </si>
  <si>
    <t>[มือ1] Blacklist Spin Off Hana Gecchan ver. [1]</t>
  </si>
  <si>
    <t>[มือ1] Blacklist Rustride Teru Hudson ver. [1]</t>
  </si>
  <si>
    <t>[มือ1] Blacklist Rustride Teru Normal ver. [1]</t>
  </si>
  <si>
    <t>[มือ1] Blacklist Spin Off Bundo 2nd Akita ver. [1]</t>
  </si>
  <si>
    <t>[มือ1] Blacklist Spin Off Bundo 2nd Tower Records ver. [1]</t>
  </si>
  <si>
    <t>[มือ1] Blacklist Spin Off Bundo 2nd Gecchan ver. [1]</t>
  </si>
  <si>
    <t>[มือ1] Blacklist Spin Off Bundo 2nd Normal ver. [1]</t>
  </si>
  <si>
    <t>[มือ1] Blacklist 3rd Stylish A/W Black Metallic ver. [5]</t>
  </si>
  <si>
    <t>Blacklist 3rd Stylish A/W [5] มือสอง</t>
  </si>
  <si>
    <t>Blacklist 3rd Stylish S/S [5] มือสอง</t>
  </si>
  <si>
    <t>Blacklist Jacket Normal ver. [5] มือสอง</t>
  </si>
  <si>
    <t>Blacklist Jacket Normal ver. [Secret] [1] มือสอง</t>
  </si>
  <si>
    <t>Blacklist Tattoo Normal ver. [5] มือสอง</t>
  </si>
  <si>
    <t>Blacklist 2nd Blue Scar ver. [5] มือสอง</t>
  </si>
  <si>
    <t>Blacklist 2nd Red Scar ver. [5] มือสอง</t>
  </si>
  <si>
    <t>[มือ1] Blacklist Spin Off Ryo Killer ver. [1]</t>
  </si>
  <si>
    <t>Blacklist Spin Off Kotori Balloon ver. [3]</t>
  </si>
  <si>
    <t>Blacklist QP Cross Road Route A [5] มือสอง</t>
  </si>
  <si>
    <t>Blacklist QP Cross Road Route B [5] มือสอง</t>
  </si>
  <si>
    <t>Blacklist QP Cross Road Vol. 2 Route A [5] มือสอง</t>
  </si>
  <si>
    <t>Blacklist QP Cross Road Vol. 2 Route B [5] มือสอง</t>
  </si>
  <si>
    <t>JRPG Collector Stock</t>
  </si>
  <si>
    <t>JRPG Released in 2025</t>
  </si>
  <si>
    <t>JRPG Released in 2024</t>
  </si>
  <si>
    <t>JRPG Released in 2023</t>
  </si>
  <si>
    <t>JRPG Released in 2022</t>
  </si>
  <si>
    <t>JRPG Release in 2021</t>
  </si>
  <si>
    <t>Fire Emblem Engage</t>
  </si>
  <si>
    <t>Pokemon Legends Arceus</t>
  </si>
  <si>
    <t>Atelier Ryza 2</t>
  </si>
  <si>
    <t>Tales of Symphonia Remastered</t>
  </si>
  <si>
    <t>Atelier Sphie 2</t>
  </si>
  <si>
    <t>Ys IX Monstrum Nox</t>
  </si>
  <si>
    <t>Atelier Ryza 3</t>
  </si>
  <si>
    <t>Elden Ring</t>
  </si>
  <si>
    <t>Persona 5 Strikers</t>
  </si>
  <si>
    <t>Octopath Traveler II</t>
  </si>
  <si>
    <t>Triangle Strategy</t>
  </si>
  <si>
    <t>Bravely Default 2</t>
  </si>
  <si>
    <t>https://github.com/archtaurus/RetroPieBIOS</t>
  </si>
  <si>
    <t>Trails to Azure</t>
  </si>
  <si>
    <t>.Hack//G.U. Last Recode</t>
  </si>
  <si>
    <t>Monster Hunter Rise</t>
  </si>
  <si>
    <t>https://www.reddit.com/user/VultureMadAtTheOx/comments/1032kag/a_curated_and_scraped_rom_collection_20_reupload/</t>
  </si>
  <si>
    <t>Mega Man Battle Network Legacy Collection</t>
  </si>
  <si>
    <t>Chrono Cross The Radical Dreamers Edition</t>
  </si>
  <si>
    <t>Trails of Cold Steel IV</t>
  </si>
  <si>
    <t>https://archive.org/details/retro-roms-best-set</t>
  </si>
  <si>
    <t>Final Fantasy XVI</t>
  </si>
  <si>
    <t>13 Sentinels Aegis Rim</t>
  </si>
  <si>
    <t>Saga Frontier</t>
  </si>
  <si>
    <t>https://docs.google.com/spreadsheets/d/1Vf7SIS7ecWa_J301h0mb2bxMWBMtKLvcpAFyaa5-LDc/edit#gid=580546752</t>
  </si>
  <si>
    <t>The Legend of Heroes Trails into Reverie</t>
  </si>
  <si>
    <t>Live A Live Remake</t>
  </si>
  <si>
    <t>Atelier Mysterious Trilogy Deluxe Pack</t>
  </si>
  <si>
    <t>Xenoblade Chronicles 3</t>
  </si>
  <si>
    <t>NieR Replicant ver.1.22474487139...</t>
  </si>
  <si>
    <t>Soul Hackers</t>
  </si>
  <si>
    <t>Shin Megami Tensei III Nocturne HD Remaster</t>
  </si>
  <si>
    <t>[มือ1] NSW Aleste Collection: Game Gear Micro Limited Edition [JP] - Brand New Sealed</t>
  </si>
  <si>
    <t>SHMUP</t>
  </si>
  <si>
    <t>[มือ1] PS4 Aleste Collection: Game Gear Micro Limited Edition [JP] - Brand New Sealed</t>
  </si>
  <si>
    <t>[มือ1] PS4 ESP Ra.De. Psi: Limited Edition [JP] - Brand New Sealed</t>
  </si>
  <si>
    <t>[มือ1] PS4 Samurai Spirits NeoGeo Collection Limited Edtion Pack [JP/Zone2] - Brand New Sealed</t>
  </si>
  <si>
    <t>PS4 Battle Garegga Rev. 2016: Premium Edition [JP] มือสอง</t>
  </si>
  <si>
    <t>[มือ1] PS4 Persona 5 Royal Straight Flush Edition [Eng/Zone3] - Brand New Sealed</t>
  </si>
  <si>
    <t>[มือ1] PS4 Atelier Ryza 2: Lost Legends &amp; The Secret Fairy Limited Edition [US] - Brand New Sealed</t>
  </si>
  <si>
    <t>[มือ1] NSW Xenoblade Chronicles Definitive Works Set [US] - Brand New Sealed</t>
  </si>
  <si>
    <t>[มือ1] NSW Metroid Dread Special Edition [US] - Brand New Sealed</t>
  </si>
  <si>
    <t>[มือ1] NSW Fate/Extella Link Fleeting Glory Limited Edition [US] - Brand New Sealed</t>
  </si>
  <si>
    <t>[มือ1] NSW Sakuna Of Rice and Ruin Divine Edition [US] - Brand New Sealed</t>
  </si>
  <si>
    <t>[มือ1] PS4 Fate/Extella The Umbral Star Noble Phantasm Edition [US] - Brand New Sealed</t>
  </si>
  <si>
    <t>[มือ1] NSW Sol Cresta Dramatic Edition [JP] - Brand New Sealed</t>
  </si>
  <si>
    <t>NSW Shining Resonance Refrain Dragonic Launch Edition [US] มือสอง</t>
  </si>
  <si>
    <t>[มือ1] NSW Bare Knuckle IV Special Edition [JP] - Brand New Sealed</t>
  </si>
  <si>
    <t>[มือ1] PS5 Soul Hacker 2 25th Anniversary Edition [JP] - Brand New Sealed</t>
  </si>
  <si>
    <t>[มือ1] PS4 Dragon's Crown Pro Battle-Hardened Edition [US/ZoneAll] - Brand New Sealed</t>
  </si>
  <si>
    <t>[มือ1] PS4 Gunvolt Chronicles Luminous Avenger IX [Eng/Zone3] - Brand New Sealed</t>
  </si>
  <si>
    <t>[มือ1] PS4 SNK 40th Anniversary Collection [Eng/Zone3] - Brand New Sealed</t>
  </si>
  <si>
    <t>3DS SMT Devil Summoner Soul Hackers [US] มือสอง</t>
  </si>
  <si>
    <t>3DS Shin Megami Tensei IV Limited Edition [US] มือสอง</t>
  </si>
  <si>
    <t>[มือ1] PS3 Eternal Sonata [US] - Brand New Sealed</t>
  </si>
  <si>
    <t>[มือ1] PS5 Tony Hawk'sPro Skater 1+2 [US/Zone1] - Brand New Sealed</t>
  </si>
  <si>
    <t>[มือ1] PS5 Resident Evil Village [Eng/Zone3] - Brand New Sealed</t>
  </si>
  <si>
    <t>[มือ1] PS5 Scarlet Nexus [Eng/Zone3] - Brand New Sealed</t>
  </si>
  <si>
    <t>[มือ1] PS5 Soul Hackers 2 [Eng/Zone3] - Brand New Sealed</t>
  </si>
  <si>
    <t>PriceCharting Collection</t>
  </si>
  <si>
    <t>[มือ1] NSW Shin Megami Tensei V Fall of Man Premium Edition [US]  - Brand New Sealed</t>
  </si>
  <si>
    <t>[มือ1] NSW Ys IX Monstrum Nox Limited Edition [US] - Brand New Sealed</t>
  </si>
  <si>
    <t>[มือ1] NSW Shin Megami Tensei V Steelbook Edition [US] - Brand New Sealed</t>
  </si>
  <si>
    <t>[มือ1] PS4 The Legend of Heroes Trails of Cold Steel III [US/ZoneAll] - Brand New Sealed</t>
  </si>
  <si>
    <t>[มือ1] PS4 Ys IX Monstrum Nox Pact Edition [US/ZoneAll] - Brand New Sealed</t>
  </si>
  <si>
    <t>[มือ1] PS4 Persona 5 Royal Phantom Thieves Edition [US/ZoneAll] - Brand New Sealed</t>
  </si>
  <si>
    <t>[มือ1] PS4 Persona 5 Royal + Steel Book [US] - Brand New Sealed</t>
  </si>
  <si>
    <t>[มือ1] PS4 Persona 5 Royal [US/ZoneAll] - Brand New Sealed</t>
  </si>
  <si>
    <t>[มือ1] 3DS Fire Emblem Awakening [US] - Brand New Sealed</t>
  </si>
  <si>
    <t>[มือ1] 3DS Fire Emblem Echoes [US] - Brand New Sealed</t>
  </si>
  <si>
    <t>[มือ1] 3DS Fire Emblem Fates Conquest [US] - Brand New Sealed</t>
  </si>
  <si>
    <t>[มือ1] 3DS Bravely Default [US] - Brand New Sealed</t>
  </si>
  <si>
    <t>[มือ1] 3DS Bravely Second [US] - Brand New Sealed</t>
  </si>
  <si>
    <t>[มือ1] 3DS Legend of Legacy [US] - Brand New Sealed</t>
  </si>
  <si>
    <t>[มือ1] NDS Golden Sun Dark Dawn [US] - Brand New Sealed</t>
  </si>
  <si>
    <t>[มือ1] PS4 Atelier Lydie &amp; Suelle [US/ZoneAll] - Brand New Sealed</t>
  </si>
  <si>
    <t>[มือ1] PS4 Tales of Vesperia Definitive Edition [US/ZoneAll] - Brand New Sealed</t>
  </si>
  <si>
    <t>[มือ1] PS4 Tales of Berseria [US/ZoneAll] - Brand New Sealed</t>
  </si>
  <si>
    <t>[มือ1] PS4 Pillars of Eternity Complete Edtion [US/ZoneAll] - Brand New Sealed</t>
  </si>
  <si>
    <t>[มือ1] PS4 Grand Kingdom [US/ZoneAll] - Brand New Sealed</t>
  </si>
  <si>
    <t>[มือ1] PS4 Under Night In-Birth EXE:LATE[CL-R] [US/ZoneAll] - Brand New Sealed</t>
  </si>
  <si>
    <t xml:space="preserve">[มือ1] PS4 Valkyria Chronicles 4 [US/ZoneAll] - Brand New Sealed </t>
  </si>
  <si>
    <t>[มือ1] PS4 Final Fantasy XV Royal Edition [Eng/Zone3] - Brand New Sealed*</t>
  </si>
  <si>
    <t>[มือ1] PS4 Ni no Kuni II Revenant Kingdom [US/ZoneAll] - Brand New Sealed</t>
  </si>
  <si>
    <t>[มือ1] PS4 Kingdom Hearts 3 [Eng/Zone3] - Brand New Sealed</t>
  </si>
  <si>
    <t>[มือ1] PS4 Starlink Battle for Atlas Starter Pack [Eng/Zone3] - Brand New Sealed</t>
  </si>
  <si>
    <t>[มือ1] PS4 Fallout 76 [Eng/Zone3] - Brand New Sealed</t>
  </si>
  <si>
    <t>[มือ1] NSW Nintendo Labo Toy-Con 01 Variety Kit</t>
  </si>
  <si>
    <t>[มือ1] NSW Nintendo Labo Toy-Con 02 Robot Kit</t>
  </si>
  <si>
    <t>[มือ1] NSW Nintendo Labo Toy-Con 03 Vehicle Kit</t>
  </si>
  <si>
    <t>Second Hand Collection</t>
  </si>
  <si>
    <t>3DS Fire Emblem Fates Birthright [US] มือสอง</t>
  </si>
  <si>
    <t>3DS Shin Megami Tensei Devil Survivor Overclocked [US] ตลับเปล่า</t>
  </si>
  <si>
    <t>PS4 The Legend of Heroes Trails of Cold Steel III Early Enrollment Edition [US/ZoneAll] มือสอง</t>
  </si>
  <si>
    <t>PS4 Tales of Berseria [Eng/Zone3] มือสอง</t>
  </si>
  <si>
    <t>PS4 Grand Kingdom [EU/Zone2] มือสอง</t>
  </si>
  <si>
    <t>PS4 Persona 5 Royal [US/ZoneAll] มือสอง</t>
  </si>
  <si>
    <t>PS4 Persona 5 Strikers [Eng/Zone3] มือสอง</t>
  </si>
  <si>
    <t>[มือ1] 3DS Poochy and Yoshi's Woolly World [US] - Brand New Sealed</t>
  </si>
  <si>
    <t>[มือ1] 3DS Donkey Kong Country Returns [US] - Brand New Sealed</t>
  </si>
  <si>
    <t>PS3 P4AU Persona 4 Arena Ultimax [US] มือสอง</t>
  </si>
  <si>
    <t>Nintendo Switch มือหนึ่ง</t>
  </si>
  <si>
    <t>[มือ1] NSW No More Heroes 1+2 Limited Run [US] - Brand New Sealed + NSW No More Heroes 3 [US/Asia] มือสอง</t>
  </si>
  <si>
    <t>[มือ1] NSW Daemon x Machina [US] - Brand New Sealed</t>
  </si>
  <si>
    <t>[มือ1] NSW The Legend of Heroes Trails into Reverie Deluxe Edition [US] - Brand New Sealed</t>
  </si>
  <si>
    <t>[มือ1] NSW Chocobo's Mystery Dungeon Every Buddy [JP] - Brand New Sealed</t>
  </si>
  <si>
    <t>[มือ1] NSW Ys IX Monstrum Nox Pact Edition [US] - Brand New Sealed</t>
  </si>
  <si>
    <t>[มือ1] NSW Ys Origin Limited Run [US] - Brand New Sealed</t>
  </si>
  <si>
    <t>[มือ1] NSW Atelier Ryza 2 Lost Legends &amp; The Secret Fairy [US] - Brand New Sealed</t>
  </si>
  <si>
    <t>[มือ1] NSW Fate/Extella Link [US] - Brand New Sealed</t>
  </si>
  <si>
    <t>[มือ1] NSW Castlevania Anniversary Collection [US] - Brand New Sealed</t>
  </si>
  <si>
    <t>[มือ1] NSW The Legend of Heroes Trails of Cold Steel III Extracurricullar Edition [US] - Brand New Sealed</t>
  </si>
  <si>
    <t>[มือ1] NSW Final Fantasy VII / VIII Remastered Twin Pack [Eng/Asia] - Brand New Sealed</t>
  </si>
  <si>
    <t>[มือ1] NSW Pokken Tournament DX [US] - Brand New Sealed</t>
  </si>
  <si>
    <t>[มือ1] NSW Fairy Tail [Eng/Asia] - Brand New Sealed</t>
  </si>
  <si>
    <t>[มือ1] NSW Final Fantasy IX [Eng/Asia] - Brand New Sealed</t>
  </si>
  <si>
    <t>[มือ1] NSW War Groove [EU] - Brand New Sealed</t>
  </si>
  <si>
    <t>[มือ1] NSW Trials of Mana [US] - Brand New Sealed</t>
  </si>
  <si>
    <t>[มือ1] NSW Romancing SaGa Minstrel Song [Eng/Asia] - Brand New Sealed</t>
  </si>
  <si>
    <t>[มือ1] NSW Blade Strangers [US] - Brand New Sealed</t>
  </si>
  <si>
    <t>[มือ1] NSW Persona 4 The Ultimax Ultra Suplex Hold [JP] - Brand New Sealed</t>
  </si>
  <si>
    <t>[มือ1] NSW Streets of Rage 4 Anniversary Edition [US] - Brand New Sealed</t>
  </si>
  <si>
    <t>[มือ1] NSW Pokemon Shining Pearl [US/Asia] - Brand New Sealed</t>
  </si>
  <si>
    <t>[มือ1] NSW Paper Mario The Origami King [US/Asia] - Brand New Sealed</t>
  </si>
  <si>
    <t>[มือ1] NSW Super Dragonball Heroes World Mission [US] - Brand New Sealed</t>
  </si>
  <si>
    <t>[มือ1] NSW Collection of Mana [US] - Brand New Sealed</t>
  </si>
  <si>
    <t>[มือ1] NSW Bloodstained Curse of the Moon Chronicles [JP] - Brand New Sealed</t>
  </si>
  <si>
    <t>[มือ1] NSW Disgaea 1 Complete [US] - Brand New Sealed</t>
  </si>
  <si>
    <t>[มือ1] NSW Disgaea 6 [US] - Brand New Sealed</t>
  </si>
  <si>
    <t>[มือ1] NSW Final Fantasy XII The Zodiac Age [US] - Brand New Sealed</t>
  </si>
  <si>
    <t>[มือ1] NSW Bravely Default 2 [EU] - Brand New Sealed</t>
  </si>
  <si>
    <t>[มือ1] NSW Bravely Default 2 [Eng/Asia] - Brand New Sealed</t>
  </si>
  <si>
    <t>[มือ1] NSW Tokyo Mirage Sessions #FE Encore [US/Asia] - Brand New Sealed</t>
  </si>
  <si>
    <t>[มือ1] NSW Valfaris [US] - Brand New Sealed</t>
  </si>
  <si>
    <t>[มือ1] NSW Ni no Kuni Wrath of the White Witch [US] - Brand New Sealed</t>
  </si>
  <si>
    <t>[มือ1] NSW Digimon Story Cyber Sleuth Complete Edition [US] - Brand New Sealed</t>
  </si>
  <si>
    <t>[มือ1] NSW Disaster Report 4 [US] - Brand New Sealed</t>
  </si>
  <si>
    <t>[มือ1] NSW Final Fantasy X / X-2 Remastered [US] - Brand New Sealed</t>
  </si>
  <si>
    <t>[มือ1] NSW The Outer Worlds [US] - Brand New Sealed</t>
  </si>
  <si>
    <t>WRPG</t>
  </si>
  <si>
    <t>[มือ1] NSW Tokyo Mirage Sessions #FE Encore [Eng/Aus] - Brand New Sealed</t>
  </si>
  <si>
    <t>[มือ1] NSW Dead Cells Action Game of The Year [US] - Brand New Sealed</t>
  </si>
  <si>
    <t>[มือ1] NSW The Legend of Zelda Skyward Sword HD [US/Asia] - Brand New Sealed</t>
  </si>
  <si>
    <t>[มือ1] NSW Miitopia [US/Asia] - Brand New Sealed</t>
  </si>
  <si>
    <t>[มือ1] NSW Kingdom Hearts Melody of Memory [Eng/Asia] - Brand New Sealed</t>
  </si>
  <si>
    <t>[มือ1] NSW Cadence of Hyrule [US/Asia] - Brand New Sealed</t>
  </si>
  <si>
    <t>[มือ1] NSW Cuphead [US] - Brand New Sealed</t>
  </si>
  <si>
    <t>[มือ1] NSW Persona 5 Strikers [US] - Brand New Sealed</t>
  </si>
  <si>
    <t>[มือ1] NSW Shin Megami Tensei III Nocturne HD Remaster [US] - Brand New Sealed</t>
  </si>
  <si>
    <t>[มือ1] NSW Astria Ascending [US] - Brand New Sealed</t>
  </si>
  <si>
    <t>Nintendo Switch มือสอง</t>
  </si>
  <si>
    <t>NSW The Legend of Heroes Trails to Azure [US] มือสอง</t>
  </si>
  <si>
    <t>NSW The Legend of Nayuta Boundless Trails Deluxe Edition [US] มือสอง</t>
  </si>
  <si>
    <t>NSW Fatal Frame Mask of the Lunar Eclipse [EngAsia] มือสอง</t>
  </si>
  <si>
    <t>NSW Final Fantasy I-VI Pixel Remaster [Thai/Asia] มือสอง</t>
  </si>
  <si>
    <t>NSW The Legend of Heroes Trails into Reverie Deluxe Edition [US] มือสอง</t>
  </si>
  <si>
    <t>NSW Stern Pinball Arcade [EU] มือสอง</t>
  </si>
  <si>
    <t>NSW .hack//G.U. Last Recode [Eng/Asia] มือสอง</t>
  </si>
  <si>
    <t>NSW Atelier Ryza 2 [US] มือสอง</t>
  </si>
  <si>
    <t>NSW Dragon Quest 1+2+3 Collection [Eng/Asia] มือสอง</t>
  </si>
  <si>
    <t>NSW Gunvolt Chronicles Luminous Avenger IX [US] มือสอง</t>
  </si>
  <si>
    <t>NSW Ultra Street Fighter II The Final Challengers [US] มือสอง</t>
  </si>
  <si>
    <t>NSW Ys VIII Lacrimosa of Dana [US] มือสอง*</t>
  </si>
  <si>
    <t>NSW Attack on Titan 2 [US] มือสอง*</t>
  </si>
  <si>
    <t>NSW Star Ocean Second Story R [Eng/Asia] มือสอง</t>
  </si>
  <si>
    <t>NSW Shin Megami Tensei III Nocturne HD Remaster [US] มือสอง</t>
  </si>
  <si>
    <t>NSW Collection of Mana [US] มือสอง</t>
  </si>
  <si>
    <t>NSW Fallen Legion Rise to Glory [US] มือสอง</t>
  </si>
  <si>
    <t>NSW Lost Sphere [US] มือสอง</t>
  </si>
  <si>
    <t>NSW Monster Hunter Rise [Eng/Asia] มือสอง</t>
  </si>
  <si>
    <t>NSW The Binding of Isaac Afterbirth + [US] มือสอง</t>
  </si>
  <si>
    <t>NSW Cave Story+ [US] มือสอง</t>
  </si>
  <si>
    <t>NSW Deadly Premonition Origins [EU] มือสอง</t>
  </si>
  <si>
    <t>PS4 มือหนึ่ง</t>
  </si>
  <si>
    <t>[มือ1] PS4 Ys Memories of Celceta Timeless Adventurer Edition [US] - Brand New Sealed</t>
  </si>
  <si>
    <t>[มือ1] PS4 Shin Megami Tensei III Nocturne HD Remaster [Eng/Zone3] - Brand New Sealed</t>
  </si>
  <si>
    <t>[มือ1] PS4 Persona 5 Strikers [Eng/Zone3] - Brand New Sealed</t>
  </si>
  <si>
    <t>[มือ1] PS4 Nier Replicant ver.1.22474487139... [Eng/Zone3] - Brand New Sealed</t>
  </si>
  <si>
    <t>[มือ1] PS4 Legend of Mana [Eng/Zone3] - Brand New Sealed</t>
  </si>
  <si>
    <t>[มือ1] PS4 Sword Art Online Alicization Lycoris [Eng/Zone3] - Brand New Sealed</t>
  </si>
  <si>
    <t>[มือ1] PS4 Borderlands 3 [Eng/Zone3] - Brand New Sealed</t>
  </si>
  <si>
    <t>[มือ1] PS4 Sword Art Online Lost Song [US/ZoneAll] - Brand New Sealed</t>
  </si>
  <si>
    <t>[มือ1] PS4 The Elder Scrolls Online Elsweyr [US/ZoneAll] - Brand New Sealed</t>
  </si>
  <si>
    <t>Nintendo 3DS / DS</t>
  </si>
  <si>
    <t>[มือ1] NDS Suikoden Tierkreis [US] - Brand New Sealed</t>
  </si>
  <si>
    <t>[มือ1] 3DS SMT Devil Survivor Overclocked [US] - Brand New Sealed</t>
  </si>
  <si>
    <t>[มือ1] 3DS Culdcept Revolt [US] - Brand New Sealed</t>
  </si>
  <si>
    <t>[มือ1] 3DS SMT Devil Summoner Soul Hackers [US] - Brand New Sealed</t>
  </si>
  <si>
    <t>[มือ1] 3DS SMT Strange Journey Redux [US] - Brand New Sealed</t>
  </si>
  <si>
    <t>[มือ1] 3DS Shin Megami Tensei IV Apocalypse [US] - Brand New Sealed</t>
  </si>
  <si>
    <t>[มือ1] 3DS Persona Q1 [US] - Brand New Sealed</t>
  </si>
  <si>
    <t>SHMUPS</t>
  </si>
  <si>
    <t>[มือ1] NSW Dodonpachi DaiOuJou Blissful Death Re:Incarnation Limited Edition [JP] - Brand New Sealed</t>
  </si>
  <si>
    <t>[Bundle มือ1] NSW Psikyo Shooting Stars Alpha + Bravo Limited Edition [US] - Brand New Sealed</t>
  </si>
  <si>
    <t>[มือ1] NSW Mushihimesama Collector's Edition Limited Run [US] - Brand New Sealed</t>
  </si>
  <si>
    <t>[มือ1] NSW DoDonPachi Resurrection Collector's Edition Limited Run [US] - Brand New Sealed</t>
  </si>
  <si>
    <t>[มือ1] NSW Akai Katana Shin Limited Edition [JP] - Brand New Sealed</t>
  </si>
  <si>
    <t>[มือ1] NSW Cotton 16Bit Special Pack Limited Edition [JP] - Brand New Sealed</t>
  </si>
  <si>
    <t>[มือ1] NSW Bullet Soul Double Soul Pack [JP] - Brand New Sealed</t>
  </si>
  <si>
    <t>[มือ1] NSW Batsugun Saturn Tribute Boosted Special Edition [JP] - Brand New Sealed</t>
  </si>
  <si>
    <t>[มือ1] NSW DoDonPachi Resurrection SuperDeluxe Edition [JP] - Brand New Sealed</t>
  </si>
  <si>
    <t>[มือ1] NSW Mushihimesama Limited Run [US] - Brand New Sealed</t>
  </si>
  <si>
    <t>[มือ1] NSW Ultimate Tiger Heli Toaplan Arcade Garage [JP] - Brand New Sealed</t>
  </si>
  <si>
    <t>[มือ1] NSW Cotton Rock 'n' Roll [JP] - Brand New Sealed</t>
  </si>
  <si>
    <t>[มือ1] NSW Darius Cozmic Revelation [JP] - Brand New Sealed</t>
  </si>
  <si>
    <t>NSW Dodonpachi DaiOuJou Blissful Death Re:Incarnation [JP] มือสอง</t>
  </si>
  <si>
    <t>[มือ1] NSW Zero Fire Toaplan Arcade Garage [JP] - Brand New Sealed</t>
  </si>
  <si>
    <t>[มือ1] NSW ESPGaluda II [JP] - Brand New Sealed</t>
  </si>
  <si>
    <t>[มือ1] NSW Deathsmiles I &amp; II [JP] - Brand New Sealed</t>
  </si>
  <si>
    <t>PS4 Ketsui Deathtiny [JP] มือสอง</t>
  </si>
  <si>
    <t>[มือ1] NSW Rolling Gunner + Over Power [JP] - Brand New Sealed</t>
  </si>
  <si>
    <t>[มือ1] PS4 Caladrius Blaze [Eng/Zone3] - Brand New Sealed</t>
  </si>
  <si>
    <t>[มือ1] NSW Shinkhondo Soul Eater [Eng/Asia] - Brand New Sealed</t>
  </si>
  <si>
    <t>[มือ1] NSW Ray Z Arcade Chronology [JP] - Brand New Sealed</t>
  </si>
  <si>
    <t>[มือ1] NSW Akai Katana Shin [JP] - Brand New Sealed</t>
  </si>
  <si>
    <t>[มือ1] NSW Cotton Reboot [JP] - Brand New Sealed</t>
  </si>
  <si>
    <t>[มือ1] NSW Cotton Guardian Force Saturn Tribute [JP] - Brand New Sealed</t>
  </si>
  <si>
    <t>[มือ1] NSW Darius Cozmic Collection [JP] - Brand New Sealed</t>
  </si>
  <si>
    <t>[มือ1] NSW Castle of Shikigai 2 [JP] - Brand New Sealed</t>
  </si>
  <si>
    <t>[มือ1] NSW Raiden V Director's Cut [US] - Brand New Sealed</t>
  </si>
  <si>
    <t>[มือ1] NSW Raiden III X MIKADO REMIX [US] - Brand New Sealed</t>
  </si>
  <si>
    <t>[มือ1] NSW Raiden IV X MIKADO REMIX [US] - Brand New Sealed</t>
  </si>
  <si>
    <t>[มือ1] NSW Batsugun Saturn Tribute Boosted [JP] - Brand New Sealed</t>
  </si>
  <si>
    <t>Pokemon TCG</t>
  </si>
  <si>
    <t>Tag Team GX RR x1</t>
  </si>
  <si>
    <t>TCG - Singles</t>
  </si>
  <si>
    <t>155 [PSA 10] Pokemon Card - Gengar Vmax เก็งกา Vmax #147/S-P Promo *ของแท้* (โปเกมอนการ์ด ภาษาไทย)</t>
  </si>
  <si>
    <t>TCG - Slabs</t>
  </si>
  <si>
    <t>232 [SQC 10 Gold] Pokemon Card - สายน้ำแห่งนภา - Rayquaza V เร็คควอซา V #076 SR AA *ของแท้* (โปเกมอนการ์ด ภาษาไทย)</t>
  </si>
  <si>
    <t>173 [PSA 10] Pokemon Card - ศึกตำนาน Arceus &amp; Dialga &amp; Palkia GX อาร์เซอุส &amp; ดีอัลกา &amp; พัลเกีย GX #214 SR AA *ของแท้* (โปเกมอนการ์ด ภาษาไทย)</t>
  </si>
  <si>
    <t>233 [SQC 10] Pokemon Card - ศึกตำนาน Moltres &amp; Zapdos &amp; Articuno GX ไฟเยอร์ &amp; ธันเดอร์ &amp; ฟรีเซอร์ GX #220 SR AA *ของแท้* (โปเกมอนการ์ด ภาษาไทย)</t>
  </si>
  <si>
    <t>183 [SQC 10] Pokemon Card - วิวัฒนาการเมก้าex - Mega Lucario เมก้ารูคาริโอ ex #184 MUR *ของแท้* (โปเกมอนการ์ด ภาษาไทย)</t>
  </si>
  <si>
    <t>389 [SQC 10] Pokemon Card - ราชาแห่งเพลิงกาฬ - Charizard ex ลิซาร์ดอน ex #134 SAR *ของแท้* (โปเกมอนการ์ด ภาษาไทย)</t>
  </si>
  <si>
    <t>180 [SQC 10] Pokemon Card - ศึกตำนาน - Slowpoke &amp; Psyduck GX ยาดง &amp; โคดัก GX #208 SR AA *ของแท้* (โปเกมอนการ์ด ภาษาไทย)</t>
  </si>
  <si>
    <t>361 [PSA 10] Pokemon Card - คอลเลคชั่นฉลองครบรอบ 25 ปี Promo - Pikachu พิคาชู #007</t>
  </si>
  <si>
    <t>406 [SQC 10] Pokemon Card - ศึกตำนาน - Reshiram &amp; Zekrom GX เรชิรัม &amp; เซครอม GX #241 SR AA *ของแท้* (โปเกมอนการ์ด ภาษาไทย)</t>
  </si>
  <si>
    <t>181 [SQC 10] Pokemon Card - ศึกตำนาน - Reshiram &amp; Zekrom GX เรชิรัม &amp; เซครอม GX #241 HR *ของแท้* (โปเกมอนการ์ด ภาษาไทย)</t>
  </si>
  <si>
    <t>396 [SQC 10] Pokemon Card - เทศกาลเทรัสตัลex - Sylveon ex นิมเฟีย ex #212 SAR *ของแท้* (โปเกมอนการ์ด ภาษาไทย)</t>
  </si>
  <si>
    <t>355 [SQC 10] Pokemon Card - วิวัฒนาการเมก้าex - Mega Gardevoir ex เมก้าเซอไนท์ ex #174 SAR *ของแท้* (โปเกมอนการ์ด ภาษาไทย)</t>
  </si>
  <si>
    <t>382 [SQC 10] Pokemon Card - จักรวาลVstar - Mewtwo Vstar มิวทู Vstar #221 SAR</t>
  </si>
  <si>
    <t>407 [SQC 10] Pokemon Card - ดรีมex - Mewtwo ex มิวทู ex ของแก๊งร็อกเกต #237 SAR *ของแท้* (โปเกมอนการ์ด ภาษาไทย)</t>
  </si>
  <si>
    <t>408 [SQC 10] Pokemon Card - คอลเลคชั่นฉลองครบรอบ 25 ปี Promo - Shiny Magikarp ไชนีคอยคิง #10 *ของแท้* (โปเกมอนการ์ด ภาษาไทย)</t>
  </si>
  <si>
    <t>409 [SQC 10] Pokemon Card - คอลเลคชั่นฉลองครบรอบ 25 ปี Promo - Zekrom เซครอม #21 *ของแท้* (โปเกมอนการ์ด ภาษาไทย)</t>
  </si>
  <si>
    <t>364 [SQC 10] Pokemon Card - คอลเลคชั่นฉลองครบรอบ 25 ปี Promo - Reshiram เรชิรัม #20 *ของแท้* (โปเกมอนการ์ด ภาษาไทย)</t>
  </si>
  <si>
    <t>365 [SQC 10] Pokemon Card - คอลเลคชั่นฉลองครบรอบ 25 ปี Promo - M Rayquaza ex M เร็คควอซา ex #24 *ของแท้* (โปเกมอนการ์ด ภาษาไทย)</t>
  </si>
  <si>
    <t>112 [SQC 10] Pokemon Card - คอลเลคชั่นฉลองครบรอบ 25 ปี Promo - Blastoise คาเมกซ์ #3 *ของแท้* (โปเกมอนการ์ด ภาษาไทย)</t>
  </si>
  <si>
    <t>388 [SQC 10] Pokemon Card - คอลเลคชั่นฉลองครบรอบ 25 ปี Promo - Mewtwo ex มิวทู ex #22 *ของแท้* (โปเกมอนการ์ด ภาษาไทย)</t>
  </si>
  <si>
    <t>410 [SQC 10] Pokemon Card - สายใยแห่งโชคชะตา - N's Zoroark ex โซโรอาร์ค ex ของN #179 SAR *ของแท้* (โปเกมอนการ์ด ภาษาไทย)</t>
  </si>
  <si>
    <t>200 [SQC 9.5] Pokemon Card - เทศกาลเทรัสตัลex - Sylveon ex นิมเฟีย ex #212 SAR *ของแท้* (โปเกมอนการ์ด ภาษาไทย)</t>
  </si>
  <si>
    <t>094 [SQC 9.5] Pokemon Card - เทศกาลเทรัสตัลex - Espeon ex เอฟี ex #211 SAR *ของแท้* (โปเกมอนการ์ด ภาษาไทย)</t>
  </si>
  <si>
    <t>052 [SQC 9.5] Pokemon Card - เทศกาลเทรัสตัลex - Leafeon ex ลีเฟีย ex #200 SAR *ของแท้* (โปเกมอนการ์ด ภาษาไทย)</t>
  </si>
  <si>
    <t>082 [SQC 9.5] Pokemon Card - เทศกาลเทรัสตัลex - Flareon ex บูสเตอร์ ex #202 SAR *ของแท้* (โปเกมอนการ์ด ภาษาไทย)</t>
  </si>
  <si>
    <t>083 [SQC 9.5] Pokemon Card - เทศกาลเทรัสตัลex - Vaporeon ex ชาวเวอร์ส ex #205 SAR *ของแท้* (โปเกมอนการ์ด ภาษาไทย)</t>
  </si>
  <si>
    <t>162 [SQC 9.5] Pokemon Card - เทศกาลเทรัสตัลex - Jolteon ex ธันเดอร์ส ex #209 SAR *ของแท้* (โปเกมอนการ์ด ภาษาไทย)</t>
  </si>
  <si>
    <t>084 [SQC 9.5] Pokemon Card - เทศกาลเทรัสตัลex - Eeeve ex อีวุย ex #223 SAR *ของแท้* (โปเกมอนการ์ด ภาษาไทย)</t>
  </si>
  <si>
    <t>085 [SQC 9.5] Pokemon Card - เทศกาลเทรัสตัลex - Eeeve ex อีวุย ex / วุยเค้ก #224 SAR *ของแท้* (โปเกมอนการ์ด ภาษาไทย)</t>
  </si>
  <si>
    <t>076 [SQC 9] Pokemon Card - สายใยแห่งโชคชะตา - Lillie's Clefairy ex ปิปปิ ex ของลิเลีย #178 SAR *ของแท้* (โปเกมอนการ์ด ภาษาไทย)</t>
  </si>
  <si>
    <t>399 [SQC 9.5] Pokemon Card - ไชนี่เทรเชอร์ex - Mew ex มิว ex #347 SAR *ของแท้* (โปเกมอนการ์ด ภาษาไทย)</t>
  </si>
  <si>
    <t>376 [SQC 9.5] Pokemon Card - ศึกตำนาน - Solgaleo &amp; Lunala GX โซลกาเลโอ &amp; ลูนาอาลา GX #211 SR AA *ของแท้* (โปเกมอนการ์ด ภาษาไทย)</t>
  </si>
  <si>
    <t>400 [SQC 9.5] Pokemon Card - แบล็ก &amp; ไวท์ - Reshiram ex เรชิรัม ex #347 BWR *ของแท้* (โปเกมอนการ์ด ภาษาไทย)</t>
  </si>
  <si>
    <t>401 [SQC 9.5] Pokemon Card - แบล็ก &amp; ไวท์ - Zekrom ex เซครอม ex #348 BWR *ของแท้* (โปเกมอนการ์ด ภาษาไทย)</t>
  </si>
  <si>
    <t>379 [SQC 9.5] Pokemon Card - วิวัฒนาการเมก้าex - Mega Gardevoir ex เมก้าเซอไนท์ ex #174 SAR *ของแท้* (โปเกมอนการ์ด ภาษาไทย)</t>
  </si>
  <si>
    <t>227 [SQC 9.5] Pokemon Card - แบล็ก &amp; ไวท์ - Zekrom ex เซครอม ex #338 SAR *ของแท้* (โปเกมอนการ์ด ภาษาไทย)</t>
  </si>
  <si>
    <t>380 [SQC 9.5] Pokemon Card - การผงาดของผู้ไร้พ่าย - Ethan's Ho-Oh ex โฮโอ ex #176 SAR *ของแท้* (โปเกมอนการ์ด ภาษาไทย)</t>
  </si>
  <si>
    <t>406 [SQC 9.5] Pokemon Card - Pikachu พิคาชู 144/SV-P Promo *ของแท้* (โปเกมอนการ์ด ภาษาไทย)</t>
  </si>
  <si>
    <t>362 [SQC 9.5] Pokemon Card - คอลเลคชั่นฉลองครบรอบ 25 ปี Promo - Shiny Magikarp ไชนีคอยคิง #10 *ของแท้* (โปเกมอนการ์ด ภาษาไทย)</t>
  </si>
  <si>
    <t>377 [SQC 9.5] Pokemon Card - คอลเลคชั่นฉลองครบรอบ 25 ปี Promo - Shiny Magikarp ไชนีคอยคิง #10 *ของแท้* (โปเกมอนการ์ด ภาษาไทย)</t>
  </si>
  <si>
    <t>363 [SQC 9.5] Pokemon Card - คอลเลคชั่นฉลองครบรอบ 25 ปี Promo - Zekrom เซครอม #21 *ของแท้* (โปเกมอนการ์ด ภาษาไทย)</t>
  </si>
  <si>
    <t>216 [SQC 9.5] Pokemon Card - อัคคีสีคราม - Dawn ฮิคาริ #142 SAR *ของแท้* (โปเกมอนการ์ด ภาษาไทย)</t>
  </si>
  <si>
    <t>214 [SQC 9.5] Pokemon Card - คอลเลคชั่นฉลองครบรอบ 25 ปี Promo - Reshiram เรชิรัม #20 *ของแท้* (โปเกมอนการ์ด ภาษาไทย)</t>
  </si>
  <si>
    <t>221 [SQC 9.5] Pokemon Card - คอลเลคชั่นฉลองครบรอบ 25 ปี Promo - Mewtwo ex มิวทู ex #22 *ของแท้* (โปเกมอนการ์ด ภาษาไทย)</t>
  </si>
  <si>
    <t>385 [SQC 9.5] Pokemon Card - เทศกาลเทรัสตัลex - Eeeve ex อีวุย ex #223 SAR *ของแท้* (โปเกมอนการ์ด ภาษาไทย)</t>
  </si>
  <si>
    <t>378 [SQC 9.5] Pokemon Card - ซอร์ด &amp; ชิลด์ - Zamazenta V ซามาเซ็นตา V #184 UR *ของแท้* (โปเกมอนการ์ด ภาษาไทย)</t>
  </si>
  <si>
    <t>404 Pokemon Card - ดับเบิ้ลเบิร์ส Gengar &amp; Mimikyu GX เก็งกา &amp; มิมิคคิว GX #193 SR AA *ของแท้* (โปเกมอนการ์ด ภาษาไทย)</t>
  </si>
  <si>
    <t>405 Pokemon Card - คอลเลคชั่นฉลองครบรอบ 25 ปี Promo - Umbreon แบล็คกี #12 *ของแท้* (โปเกมอนการ์ด ภาษาไทย)</t>
  </si>
  <si>
    <t>163 Pokemon Card - ดรีมex - Mewtwo ex มิวทู ex ของแก๊งร็อกเกต #237 SAR *ของแท้* (โปเกมอนการ์ด ภาษาไทย)</t>
  </si>
  <si>
    <t>164 Pokemon Card - ดรีมex - Mewtwo ex มิวทู ex ของแก๊งร็อกเกต #237 SAR *ของแท้* (โปเกมอนการ์ด ภาษาไทย)</t>
  </si>
  <si>
    <t>XXX /POKEMON TCG / 2021 / 25TH CELEBRATIONS / S8A-PT [ 025/025 ]</t>
  </si>
  <si>
    <t>XXX /POKEMON TCG / 2021 / 25TH CELEBRATIONS / S8A-PT [ 023/025 ]</t>
  </si>
  <si>
    <t>232 Pokemon Card - ดรีมex - Mega Eelektross ex เมก้าชิบิรูดอน ex #235 SAR *ของแท้* (โปเกมอนการ์ด ภาษาไทย)</t>
  </si>
  <si>
    <t>209 Pokemon Card - ดรีมex - Iono's Wattrel ไคเด็นของนันจาโม 048/M-P Promo *ของแท้* (โปเกมอนการ์ด ภาษาไทย)</t>
  </si>
  <si>
    <t>210 Pokemon Card - ดรีมex - Iono's Wattrel ไคเด็นของนันจาโม 048/M-P Promo *ของแท้* (โปเกมอนการ์ด ภาษาไทย)</t>
  </si>
  <si>
    <t>211 Pokemon Card - ดรีมex - Iono's Wattrel ไคเด็นของนันจาโม 048/M-P Promo *ของแท้* (โปเกมอนการ์ด ภาษาไทย)</t>
  </si>
  <si>
    <t>212 Pokemon Card - ดรีมex - Iono's Wattrel ไคเด็นของนันจาโม 048/M-P Promo *ของแท้* (โปเกมอนการ์ด ภาษาไทย)</t>
  </si>
  <si>
    <t>Tag Team GX RR x28</t>
  </si>
  <si>
    <t>SAR x18</t>
  </si>
  <si>
    <t>Saved Discount</t>
  </si>
  <si>
    <t>Pokemon Card - Eng - AR x1</t>
  </si>
  <si>
    <t>Pokemon Card - Eng - SR x3</t>
  </si>
  <si>
    <t>Pokemon Card - Eng - Master Ball x1</t>
  </si>
  <si>
    <t>Pokemon Card - Japanese - AR x6</t>
  </si>
  <si>
    <t>Pokemon Card - Japanese - SR x13</t>
  </si>
  <si>
    <t>Pokemon Card - Thai - AR x69</t>
  </si>
  <si>
    <t>Pokemon Card - Thai - SR x20</t>
  </si>
  <si>
    <t>Pokemon Card - Thai - SSR x2</t>
  </si>
  <si>
    <t>Pokemon Card - Thai - Master Ball x1</t>
  </si>
  <si>
    <t>Pokemon Promo Pack - ซองสุ่ม โปรโมการ์ด อัคคีสีคราม *ของแท้* (โปเกมอนการ์ด ภาษาไทย) x 115</t>
  </si>
  <si>
    <t>TCG - Sealed</t>
  </si>
  <si>
    <t>Pokemon Booster Box - กล่องสุ่ม แบล็ก &amp; ไวท์ *ของแท้* (โปเกมอนการ์ด ภาษาไทย)</t>
  </si>
  <si>
    <t>Pokemon Booster Box - กล่องสุ่ม ไชนีเทรเชอร์ex *ของแท้* (โปเกมอนการ์ด ภาษาไทย)</t>
  </si>
  <si>
    <t>Pokemon Booster Box - กล่องสุ่ม สายใยแห่งโชคชะตา *ของแท้* (โปเกมอนการ์ด ภาษาไทย)</t>
  </si>
  <si>
    <t>Pokemon Booster Box - ซองสุ่ม สเตลลาร์สายฟ้าฟาด *ของแท้* (โปเกมอนการ์ด ภาษาไทย) x20</t>
  </si>
  <si>
    <t>Yu-Gi-Oh! OCG</t>
  </si>
  <si>
    <t>[พร้อมส่ง JP Ver.] Yu-Gi-Oh! OCG Booster Box - กล่องสุ่ม LIMIT OVER COLLECTION -THE RIVALS- *ของแท้* (ยูกิโอการ์ด ภาษาญี่ปุ่น) LOCR-JP</t>
  </si>
  <si>
    <t>SQC Grading - 2nd Round March 2026 [98,000 &gt; XXX,XXX]</t>
  </si>
  <si>
    <t>202602000102</t>
  </si>
  <si>
    <t>157 Pokemon Card - ดรีมex - Mega Gengar ex เมก้าเก็งกา ex #240 SAR *ของแท้* (โปเกมอนการ์ด ภาษาไทย)</t>
  </si>
  <si>
    <t>159 Pokemon Card - ดรีมex - Mega Gengar ex เมก้าเก็งกา ex #240 SAR *ของแท้* (โปเกมอนการ์ด ภาษาไทย)</t>
  </si>
  <si>
    <t>219 Pokemon Card - ดรีมex - Mega Gengar ex เมก้าเก็งกา ex #240 SAR *ของแท้* (โปเกมอนการ์ด ภาษาไทย)</t>
  </si>
  <si>
    <t>220 Pokemon Card - ดรีมex - Mega Gengar ex เมก้าเก็งกา ex #240 SAR *ของแท้* (โปเกมอนการ์ด ภาษาไทย)</t>
  </si>
  <si>
    <t>234 Pokemon Card - ดรีมex - Mega Gengar ex เมก้าเก็งกา ex #240 SAR *ของแท้* (โปเกมอนการ์ด ภาษาไทย)</t>
  </si>
  <si>
    <t>235 Pokemon Card - ดรีมex - Mega Gengar ex เมก้าเก็งกา ex #240 SAR *ของแท้* (โปเกมอนการ์ด ภาษาไทย)</t>
  </si>
  <si>
    <t>187 Pokemon Card - ดรีมex - Mega Gengar ex เมก้าเก็งกา ex #240 SAR *ของแท้* (โปเกมอนการ์ด ภาษาไทย)</t>
  </si>
  <si>
    <t>191 Pokemon Card - ดรีมex - Mega Gengar ex เมก้าเก็งกา ex #240 SAR *ของแท้* (โปเกมอนการ์ด ภาษาไทย)</t>
  </si>
  <si>
    <t>341 Pokemon Card - ดรีมex - Mega Gengar ex เมก้าเก็งกา ex #240 SAR *ของแท้* (โปเกมอนการ์ด ภาษาไทย)</t>
  </si>
  <si>
    <t>344 Pokemon Card - ดรีมex - Mega Gengar ex เมก้าเก็งกา ex #240 SAR *ของแท้* (โปเกมอนการ์ด ภาษาไทย)</t>
  </si>
  <si>
    <t>192 Pokemon Card - ดรีมex - Pikachu ex พิคาชู #234 SAR *ของแท้* (โปเกมอนการ์ด ภาษาไทย)</t>
  </si>
  <si>
    <t>342 Pokemon Card - ดรีมex - Pikachu ex พิคาชู #234 SAR *ของแท้* (โปเกมอนการ์ด ภาษาไทย)</t>
  </si>
  <si>
    <t>345 Pokemon Card - ดรีมex - Pikachu ex พิคาชู #234 SAR *ของแท้* (โปเกมอนการ์ด ภาษาไทย)</t>
  </si>
  <si>
    <t>346 Pokemon Card - ดรีมex - Pikachu ex พิคาชู #234 SAR *ของแท้* (โปเกมอนการ์ด ภาษาไทย)</t>
  </si>
  <si>
    <t>169 Pokemon Card - ดรีมex - Mega Dragonite ex เมก้าไคริว #246 SAR *ของแท้* (โปเกมอนการ์ด ภาษาไทย)</t>
  </si>
  <si>
    <t>194 Pokemon Card - ดรีมex - Mega Dragonite ex เมก้าไคริว #246 SAR *ของแท้* (โปเกมอนการ์ด ภาษาไทย)</t>
  </si>
  <si>
    <t>195 Pokemon Card - ดรีมex - Mega Dragonite ex เมก้าไคริว #246 SAR *ของแท้* (โปเกมอนการ์ด ภาษาไทย)</t>
  </si>
  <si>
    <t>165 Pokemon Card - ดรีมex - Mewtwo ex มิวทู ex ของแก๊งร็อกเกต #237 SAR *ของแท้* (โปเกมอนการ์ด ภาษาไทย)</t>
  </si>
  <si>
    <t>167 Pokemon Card - ดรีมex - Marnie's Grimmsnarl ex โอลองเกะ ex ของแมรี #243 SAR *ของแท้* (โปเกมอนการ์ด ภาษาไทย)</t>
  </si>
  <si>
    <t>166 Pokemon Card - สายใยแห่งโชคชะตา - N's Zoroark ex โซโรอาร์ค ex ของN #179 SAR *ของแท้* (โปเกมอนการ์ด ภาษาไทย)</t>
  </si>
  <si>
    <t>230 Pokemon Card - ศึกตำนาน Moltres &amp; Zapdos &amp; Articuno GX ไฟเยอร์ &amp; ธันเดอร์ &amp; ฟรีเซอร์ GX #220 SR AA *ของแท้* (โปเกมอนการ์ด ภาษาไทย)</t>
  </si>
  <si>
    <t>179 Pokemon Card - ไชนี่เทรเชอร์ex - ลิซาร์ดอน ex #349 SAR *ของแท้* (โปเกมอนการ์ด ภาษาไทย)</t>
  </si>
  <si>
    <t>236 Pokemon Card - ไชนี่เทรเชอร์ex - ลิซาร์ดอน ex #349 SAR *ของแท้* (โปเกมอนการ์ด ภาษาไทย)</t>
  </si>
  <si>
    <t>186 Pokemon Card - สายใยแห่งโชคชะตา - Lillie's Clefairy ex ปิปปิ ex ของลิเลีย #178 SAR *ของแท้* (โปเกมอนการ์ด ภาษาไทย)</t>
  </si>
  <si>
    <t>217 Pokemon Card - วิวัฒนาการเมก้าex - Mega Lucario ex เมก้ารูคาริโอ ex #175 SAR *ของแท้* (โปเกมอนการ์ด ภาษาไทย)</t>
  </si>
  <si>
    <t>238 Pokemon Card - สตาร์เบิร์ท - Arceus V อาร์เซอุส V #172 SR AA *ของแท้* (โปเกมอนการ์ด ภาษาไทย)</t>
  </si>
  <si>
    <t>231 Pokemon Card - ดับเบิ้ลเบิร์ส - Magikarp &amp; Wailord GX คอยคิง &amp; เวลโอ GX #190 SR *ของแท้* (โปเกมอนการ์ด ภาษาไทย)</t>
  </si>
  <si>
    <t>203 Pokemon Card - อัคคีสีคราม - Oricorio ex โอโดริโดริ ex #138 SAR *ของแท้* (โปเกมอนการ์ด ภาษาไทย)</t>
  </si>
  <si>
    <t>218 Pokemon Card - การผงาดของผู้ไร้พ่าย - Team Rocket's Nidoking ex นิโดคิง ex ของแก็งร็อคเกต #179 SAR *ของแท้* (โปเกมอนการ์ด ภาษาไทย)</t>
  </si>
  <si>
    <t>205 Pokemon Card - การผงาดของผู้ไร้พ่าย - Ethan's Adventure การผจญภัยของฮิบิกิ #182 SAR *ของแท้* (โปเกมอนการ์ด ภาษาไทย)</t>
  </si>
  <si>
    <t>102 Pokemon Card - คอลเลคชั่นฉลองครบรอบ 25 ปี Promo - Dark Gyarados เกียราดอสชั่วร้าย #5 *ของแท้* (โปเกมอนการ์ด ภาษาไทย)</t>
  </si>
  <si>
    <t>103 Pokemon Card - คอลเลคชั่นฉลองครบรอบ 25 ปี Promo - Mewtwo ex มิวทู ex #22 *ของแท้* (โปเกมอนการ์ด ภาษาไทย)</t>
  </si>
  <si>
    <t>206 Pokemon Card - ดรีมex - Iono's Wattrel ไคเด็นของนันจาโม 048/M-P Promo *ของแท้* (โปเกมอนการ์ด ภาษาไทย)</t>
  </si>
  <si>
    <t>207 Pokemon Card - ดรีมex - Iono's Wattrel ไคเด็นของนันจาโม 048/M-P Promo *ของแท้* (โปเกมอนการ์ด ภาษาไทย)</t>
  </si>
  <si>
    <t>208 Pokemon Card - ดรีมex - Iono's Wattrel ไคเด็นของนันจาโม 048/M-P Promo *ของแท้* (โปเกมอนการ์ด ภาษาไทย)</t>
  </si>
  <si>
    <t>DON!! Card [Gold Alternate Art]</t>
  </si>
  <si>
    <t>Edward Newgate [Alternate Art] OP13-042</t>
  </si>
  <si>
    <t>Monkey D. Garp [Alternate Art] OP13-016</t>
  </si>
  <si>
    <t>Shanks [Alternate Art] OP13-028</t>
  </si>
  <si>
    <t>Boa Hancock [Alternate Art] OP13-051</t>
  </si>
  <si>
    <t>SQC Grading - 4th Round March 2026 [37,900 &gt; XX,XXX]</t>
  </si>
  <si>
    <t>202602000134</t>
  </si>
  <si>
    <t>366 Pokemon Card - อัคคีสีคราม - Mega Charizard X ex เมก้าลิซาร์ดอน X #137 ex SAR *ของแท้* (โปเกมอนการ์ด ภาษาไทย)</t>
  </si>
  <si>
    <t>367 Pokemon Card - อัคคีสีคราม - Mega Charizard X ex เมก้าลิซาร์ดอน X #137 ex SAR *ของแท้* (โปเกมอนการ์ด ภาษาไทย)</t>
  </si>
  <si>
    <t>368 Pokemon Card - อัคคีสีคราม - Mega Charizard X ex เมก้าลิซาร์ดอน X #137 ex SAR *ของแท้* (โปเกมอนการ์ด ภาษาไทย)</t>
  </si>
  <si>
    <t>369 Pokemon Card - จักรวาลVstar - Charizard Vstar ลิซาร์ดอน Vstar #212 SAR</t>
  </si>
  <si>
    <t>370 Pokemon Card - จักรวาลVstar - Mewtwo Vstar มิวทู Vstar #221 SAR</t>
  </si>
  <si>
    <t>356 Pokemon Card - ไชนี่เทรเชอร์ex - Gardevoir ex เซอไนท์ ex #348 SAR *ของแท้* (โปเกมอนการ์ด ภาษาไทย)</t>
  </si>
  <si>
    <t>372 Pokemon Card - คอลเลคชั่นฉลองครบรอบ 25 ปี Promo - Rocket's Zapdos ธันเดอร์ของแก๊งร็อกเกต #008</t>
  </si>
  <si>
    <t>373 Pokemon Card - คอลเลคชั่นฉลองครบรอบ 25 ปี Promo - Cleffa ปี #009</t>
  </si>
  <si>
    <t>374 Pokemon Card - คอลเลคชั่นฉลองครบรอบ 25 ปี Promo - Rocket's Admin ฝ่ายบริหารแก๊งร็อกเกต #013</t>
  </si>
  <si>
    <t>375 Pokemon Card - คอลเลคชั่นฉลองครบรอบ 25 ปี Promo - Mew ex มิว ex #014</t>
  </si>
  <si>
    <t>SQC Grading - 4th Round April 2026 [19,150 &gt; XX,XXX]</t>
  </si>
  <si>
    <t>202602000138</t>
  </si>
  <si>
    <t>394 Pokemon Card - วอยด์บลาสต์ - Mega Zygarde ex เมก้าซีการ์ด ex #181 MUR *ของแท้* (โปเกมอนการ์ด ภาษาไทย)</t>
  </si>
  <si>
    <t>341 Pokemon Card - ดรีมex - Mega Dragonite ex เมก้าไคริว ex #250 MUR *ของแท้* (โปเกมอนการ์ด ภาษาไทย)</t>
  </si>
  <si>
    <t>189 Pokemon Card - ศึกตำนาน - Reshiram &amp; Zekrom GX เรชิรัม &amp; เซครอม GX #241 SR AA *ของแท้* (โปเกมอนการ์ด ภาษาไทย)</t>
  </si>
  <si>
    <t>340 Pokemon Card - ดรีมex - Pikachu ex พิคาชู #234 SAR *ของแท้* (โปเกมอนการ์ด ภาษาไทย)</t>
  </si>
  <si>
    <t>395 Pokemon Card - วอยด์บลาสต์ - Mega Zygarde ex เมก้าซีการ์ด ex #163 SAR *ของแท้* (โปเกมอนการ์ด ภาษาไทย)</t>
  </si>
  <si>
    <t>GARDEVOIR EX /POKEMON TCG / 2021 / 25TH CELEBRATIONS / S8A-PT [ 015/025 ]</t>
  </si>
  <si>
    <t>CLAYDOL LV.45 /POKEMON TCG / 2021 / 25TH CELEBRATIONS / S8A-PT [ 016/025 ]</t>
  </si>
  <si>
    <t>LUXRAY GL LV.X /POKEMON TCG / 2021 / 25TH CELEBRATIONS / S8A-PT [ 017/025 ]</t>
  </si>
  <si>
    <t>DONPHAN /POKEMON TCG / 2021 / 25TH CELEBRATIONS / S8A-PT [ 019/025 ]</t>
  </si>
  <si>
    <t>PIKACHU /POKEMON TCG / 2026 / SUSHIRO [ 053/M-P ]</t>
  </si>
  <si>
    <t>Stock Summary</t>
  </si>
  <si>
    <t>Proportion (%)</t>
  </si>
  <si>
    <t>Recommended</t>
  </si>
  <si>
    <t>Pokemon TCG - Mystery Box</t>
  </si>
  <si>
    <t>Pokemon TCG - Slabs (Private Collection)</t>
  </si>
  <si>
    <t>Pokemon TCG - Slabs (For Sell)</t>
  </si>
  <si>
    <t>Pokemon TCG - Singles</t>
  </si>
  <si>
    <t>Pokemon TCG - Sealed</t>
  </si>
  <si>
    <t>Yu-Gi-Oh! OCG - Sealed</t>
  </si>
  <si>
    <t>Pokemon TCG - SQC Grading</t>
  </si>
  <si>
    <t>TCG - Total</t>
  </si>
  <si>
    <t>SQC Grading - 1st Round February 2026 [29,000 &gt; 79,663]</t>
  </si>
  <si>
    <t>066 [SQC 10] Pokemon Card - อัคคีสีคราม - Mega Charizard X ex เมก้าลิซาร์ดอน X #137 ex SAR *ของแท้* (โปเกมอนการ์ด ภาษาไทย)</t>
  </si>
  <si>
    <t>067 [SQC 10 Gold] Pokemon Card - หมอกสีชาด - Greninja ex เก็คโคกะ ex #090 SAR *ของแท้* (โปเกมอนการ์ด ภาษาไทย)</t>
  </si>
  <si>
    <t>072 [SQC 9.5] Pokemon Card - อัคคีสีคราม - Mega Charizard X ex เมก้าลิซาร์ดอน X #137 ex SAR *ของแท้* (โปเกมอนการ์ด ภาษาไทย)</t>
  </si>
  <si>
    <t>049 [SQC 10] Pokemon Card - เทศกาลเทรัสตัลex - Umbreon ex แบล็กกี ex #217 SAR *ของแท้* (โปเกมอนการ์ด ภาษาไทย)</t>
  </si>
  <si>
    <t>039 [SQC 9.5] Pokemon Card - การผงาดของผู้ไร้พ่าย - Mewtwo ex มิวทู ex ของแก๊งค์ร็อกเกต #177 SAR *ของแท้* (โปเกมอนการ์ด ภาษาไทย)</t>
  </si>
  <si>
    <t>068 [SQC 9] Pokemon Card - แบล็ก &amp; ไวท์ - Reshiram ex เรชิรัม ex #335 SAR *ของแท้* (โปเกมอนการ์ด ภาษาไทย)</t>
  </si>
  <si>
    <t>064 [SQC 9.5] Pokemon Card - วิวัฒนาการเมก้าex - Mega Gardevoir ex เมก้าเซอไนท์ ex #183 MUR *ของแท้* (โปเกมอนการ์ด ภาษาไทย)</t>
  </si>
  <si>
    <t>069 [SQC 9.5] Pokemon Card - การผงาดของผู้ไร้พ่าย - Cynthia's Garchomp ex กาเบรียส ex ของชิโรนะ #178 SAR *ของแท้* (โปเกมอนการ์ด ภาษาไทย)</t>
  </si>
  <si>
    <t>SQC Grading - 3rd Round March 2026 [10,680 &gt; 13,780]</t>
  </si>
  <si>
    <t>VIP202603000009</t>
  </si>
  <si>
    <t>353 [DGC 9.4] Pokemon Card - ไชนี่เทรเชอร์ex - ลิซาร์ดอน ex #349 SAR *ของแท้* (โปเกมอนการ์ด ภาษาไทย)</t>
  </si>
  <si>
    <t>VIP202603000010</t>
  </si>
  <si>
    <t>347 [DGC 9.5] Pokemon Card - ดรีมex - Mega Dragonite ex เมก้าไคริว ex #250 MUR *ของแท้* (โปเกมอนการ์ด ภาษาไทย)</t>
  </si>
  <si>
    <t>JRPG Collector 2026</t>
  </si>
  <si>
    <t>226 [PSA 10] Pokemon Card - ศึกตำนาน - Reshiram &amp; Zekrom GX เรชิรัม &amp; เซครอม GX #241 SR AA *ของแท้* (โปเกมอนการ์ด ภาษาไทย)</t>
  </si>
  <si>
    <t>403 [SQC 9.5] Pokemon Card - อัคคีสีคราม - Mega Charizard X ex เมก้าลิซาร์ดอน X #137 ex SAR *ของแท้* (โปเกมอนการ์ด ภาษาไทย)</t>
  </si>
  <si>
    <t>348 Pokemon Card - ดับเบิ้ลเบิร์ส - Eevee &amp; Snorlax GX อีวุย &amp; คาบิกอน GX #117 RR *ของแท้* (โปเกมอนการ์ด ภาษาไทย)</t>
  </si>
  <si>
    <t>392 [SQC 9.5] Pokemon Card - คอลเลคชั่นฉลองครบรอบ 25 ปี Promo - M Rayquaza ex M เร็คควอซา ex #24 *ของแท้* (โปเกมอนการ์ด ภาษาไทย)</t>
  </si>
  <si>
    <t>[พร้อมส่ง JP Ver.] Yu-Gi-Oh! OCG Booster Box - กล่องสุ่ม LIMIT OVER COLLECTION -THE HEROES- *ของแท้* (ยูกิโอการ์ด ภาษาญี่ปุ่น) LOCH-JP</t>
  </si>
  <si>
    <t>094 [SQC 9.5] Pokemon Card - การผงาดของผู้ไร้พ่าย - Team Rocket's Moltres ex ไฟเยอร์ ex ของแก๊งค์ร็อกเกต #175 SAR *ของแท้* (โปเกมอนการ์ด ภาษาไทย)</t>
  </si>
  <si>
    <t>360 1312 [PSA 10] Pokemon Card - คอลเลคชั่นฉลองครบรอบ 25 ปี Promo - Pikachu พิคาชู #007</t>
  </si>
  <si>
    <t>402 [SQC 9.5] Pokemon Card - วอยด์บลาสต์ - Pikachu ex พิคาชู ex #173 SAR *ของแท้* (โปเกมอนการ์ด ภาษาไทย)</t>
  </si>
  <si>
    <t>172 [PSA 10] Pokemon Card - ศึกตำนาน Moltres &amp; Zapdos &amp; Articuno GX ไฟเยอร์ &amp; ธันเดอร์ &amp; ฟรีเซอร์ GX #220 SR AA *ของแท้* (โปเกมอนการ์ด ภาษาไทย)</t>
  </si>
  <si>
    <t>143 Pokemon Card - ดรีมex - Iris's Fighting Spirit จิตนักสู้ของไอริส ex #247 SAR *ของแท้* (โปเกมอนการ์ด ภาษาไทย)</t>
  </si>
  <si>
    <t>383 [SQC 9.5] Pokemon Card - ลอสต์เวิลด์ - Giratina V กิราตินา V #111 SR AA *ของแท้* (โปเกมอนการ์ด ภาษาไทย)</t>
  </si>
  <si>
    <t>391 [SQC 9.5] Pokemon Card - คอลเลคชั่นฉลองครบรอบ 25 ปี Promo - M Rayquaza ex M เร็คควอซา ex #24 *ของแท้* (โปเกมอนการ์ด ภาษาไทย)</t>
  </si>
  <si>
    <t>359 1311 [PSA 10] Pokemon Card - คอลเลคชั่นฉลองครบรอบ 25 ปี Promo - Pikachu พิคาชู #007</t>
  </si>
  <si>
    <t>390 [SQC 9.5] Pokemon Card - คอลเลคชั่นฉลองครบรอบ 25 ปี Promo - M Rayquaza ex M เร็คควอซา ex #24 *ของแท้* (โปเกมอนการ์ด ภาษาไทย)</t>
  </si>
  <si>
    <t>397 [SQC 10] Pokemon Card - อัคคีสีคราม - Mega Charizard X ex เมก้าลิซาร์ดอน X #137 ex SAR *ของแท้* (โปเกมอนการ์ด ภาษาไทย)</t>
  </si>
  <si>
    <t>398 [SQC 9.5] Pokemon Card - อัคคีสีคราม - Mega Charizard X ex เมก้าลิซาร์ดอน X #137 ex SAR *ของแท้* (โปเกมอนการ์ด ภาษาไทย)</t>
  </si>
  <si>
    <t>396 [SQC 9.5] Pokemon Card - ไชนี่เทรเชอร์ex - Mew ex มิว ex #347 SAR *ของแท้* (โปเกมอนการ์ด ภาษาไทย)</t>
  </si>
  <si>
    <t>353 [SQC 9.5] Pokemon Card - ไชนี่เทรเชอร์ex - ลิซาร์ดอน ex #349 SAR *ของแท้* (โปเกมอนการ์ด ภาษาไทย)</t>
  </si>
  <si>
    <t>393 [SQC 9.5] Pokemon Card - เทศกาลเทรัสตัลex - Roaring Moon ex จันทร์คำรน ex #218 SAR *ของแท้* (โปเกมอนการ์ด ภาษาไทย)</t>
  </si>
  <si>
    <t>240 [SQC 9.5] Pokemon Card - Pikachu พิคาชู 144/SV-P Promo *ของแท้* (โปเกมอนการ์ด ภาษาไทย)</t>
  </si>
  <si>
    <t>347 [SQC 9.5] Pokemon Card - ดรีมex - Mega Dragonite ex เมก้าไคริว ex #250 MUR *ของแท้* (โปเกมอนการ์ด ภาษาไทย)</t>
  </si>
  <si>
    <t>358 1314 [PSA 10] Pokemon Card - คอลเลคชั่นฉลองครบรอบ 25 ปี Promo - Pikachu พิคาชู #007</t>
  </si>
  <si>
    <t>Pokemon Booster Box - กล่องสุ่ม วอยด์บลาสต์ *ของแท้* (โปเกมอนการ์ด ภาษาไทย)</t>
  </si>
  <si>
    <t>225 [SQC 10] Pokemon Card - ดับเบิ้ลเบิร์ส Gengar &amp; Mimikyu GX เก็งกา &amp; มิมิคคิว GX #193 SR AA *ของแท้* (โปเกมอนการ์ด ภาษาไทย)</t>
  </si>
  <si>
    <t>Pokemon Booster Box - กล่องสุ่ม สตาร์เบิร์ท *ของแท้* (โปเกมอนการ์ด ภาษาไทย)</t>
  </si>
  <si>
    <t>Pokemon Booster Box - กล่องสุ่ม หมอกสีชาด *ของแท้* (โปเกมอนการ์ด ภาษาไทย)</t>
  </si>
  <si>
    <t>Pokemon Booster Box - กล่องสุ่ม อัคคีสีคราม *ของแท้* (โปเกมอนการ์ด ภาษาไทย)</t>
  </si>
  <si>
    <t>351 Pokemon Card - ดับเบิ้ลเบิร์ส - Magikarp &amp; Wailord GX คอยคิง &amp; เวลโอ GX #030 RR *ของแท้* (โปเกมอนการ์ด ภาษาไทย)</t>
  </si>
  <si>
    <t>170 [PSA 10] Pokemon Card - ลอสต์เวิลด์ - Giratina V กิราตินา V #111 SR AA *ของแท้* (โปเกมอนการ์ด ภาษาไทย)</t>
  </si>
  <si>
    <t>Pokemon Booster Box - กล่องสุ่ม การผงาดของผู้ไร้พ่าย *ของแท้* (โปเกมอนการ์ด ภาษาไทย)</t>
  </si>
  <si>
    <t>Pokemon Booster Box - กล่องสุ่ม ศึกตำนาน set B *ของแท้* (โปเกมอนการ์ด ภาษาไทย)</t>
  </si>
  <si>
    <t>190 [PSA 10] Pokemon Card - สายน้ำแห่งนภา - Rayquaza Vmax เร็คควอซา Vmax #083 HR *ของแท้* (โปเกมอนการ์ด ภาษาไทย)</t>
  </si>
  <si>
    <t>171 [PSA 10] Pokemon Card - ดับเบิ้ลเบิร์ส Pikachu &amp; Zekrom GX พิคาชู &amp; เซครอม GX #194 SR AA *ของแท้* (โปเกมอนการ์ด ภาษาไทย)</t>
  </si>
  <si>
    <t>387 [SQC 9.5] Pokemon Card - ไชนี่เทรเชอร์ex - Mew ex มิว ex #347 SAR *ของแท้* (โปเกมอนการ์ด ภาษาไทย)</t>
  </si>
  <si>
    <t>[มือ1] NSW Live A Live [Eng/Asia] - Brand New Sealed</t>
  </si>
  <si>
    <t>Pokemon Booster Box - กล่องสุ่ม วิวัฒนาการเมก้า *ของแท้* (โปเกมอนการ์ด ภาษาไทย)</t>
  </si>
  <si>
    <t>371 Pokemon Card - ดรีมex - Mega Gengar ex เมก้าเก็งกา ex #240 SAR *ของแท้* (โปเกมอนการ์ด ภาษาไทย)</t>
  </si>
  <si>
    <t>381 [SQC 9.5] Pokemon Card - การผงาดของผู้ไร้พ่าย - Cynthia's Garchomp ex กาเบรียส ex ของชิโรนะ #178 SAR *ของแท้* (โปเกมอนการ์ด ภาษาไทย)</t>
  </si>
  <si>
    <t>Pokemon Booster Box - กล่องสุ่ม ดรีมex *ของแท้* (โปเกมอนการ์ด ภาษาไทย)</t>
  </si>
  <si>
    <t>357 [SQC 9.5] Pokemon Card - การผงาดของผู้ไร้พ่าย - Ethan's Ho-Oh ex โฮโอ ex #176 SAR *ของแท้* (โปเกมอนการ์ด ภาษาไทย)</t>
  </si>
  <si>
    <t>386 [SQC 10 Pre-Grade] Pokemon Card - สเตลลาร์สายฟ้าฟาด - Pikachu ex พิคาชู ex #230 SAR *ของแท้* (โปเกมอนการ์ด ภาษาไทย)</t>
  </si>
  <si>
    <t>168 Pokemon Card - ดรีมex - Mega Dragonite ex เมก้าไคริว ex #250 MUR *ของแท้* (โปเกมอนการ์ด ภาษาไทย)</t>
  </si>
  <si>
    <t>384 [SQC 9.5] Pokemon Card - อัคคีสีคราม - Mega Charizard X ex เมก้าลิซาร์ดอน X #143 ex MUR *ของแท้* (โปเกมอนการ์ด ภาษาไทย)</t>
  </si>
  <si>
    <t>226 [SQC 9.5] Pokemon Card - คอลเลคชั่นฉลองครบรอบ 25 ปี Promo - M Rayquaza ex M เร็คควอซา ex #24 *ของแท้* (โปเกมอนการ์ด ภาษาไทย)</t>
  </si>
  <si>
    <t>147 [SQC 9.5] Pokemon Card - วิวัฒนาการเมก้าex - Lillie's Determination ปณิธานของลิเลีย #182 SAR *ของแท้* (โปเกมอนการ์ด ภาษาไทย)</t>
  </si>
  <si>
    <t>223 [PSA 10] Pokemon Card - ไชนี่เทรเชอร์ex - Gardevoir ex เซอไนท์ ex #348 SAR *ของแท้* (โปเกมอนการ์ด ภาษาไทย)</t>
  </si>
  <si>
    <t>154 [SQC 10] Pokemon Card - ดับเบิ้ลเบิร์ส Gengar &amp; Mimikyu GX เก็งกา &amp; มิมิคคิว GX #193 SR AA *ของแท้* (โปเกมอนการ์ด ภาษาไทย)</t>
  </si>
  <si>
    <t>Selling Price 40% JP</t>
  </si>
  <si>
    <t>155 [PSA 10] Pokemon Card - Japanese Mega Dream - Mega Gengar ex #240 SAR *ของแท้* (โปเกมอนการ์ด ภาษาญี่ปุ่น)</t>
  </si>
  <si>
    <t>354 Pokemon Card - ดรีมex - Pikachu ex พิคาชู #234 SAR *ของแท้* (โปเกมอนการ์ด ภาษาไทย)</t>
  </si>
  <si>
    <t>237 [PSA 10] Pokemon Card - ไชนี่เทรเชอร์ex - Mew ex มิว ex #347 SAR *ของแท้* (โปเกมอนการ์ด ภาษาไทย)</t>
  </si>
  <si>
    <t>096 [SQC 9.5] Pokemon Card - แบล็ก &amp; ไวท์ - Reshiram ex เรชิรัม ex #347 BWR *ของแท้* (โปเกมอนการ์ด ภาษาไทย)</t>
  </si>
  <si>
    <t>352 [SQC 9.5] Pokemon Card - คอลเลคชั่นฉลองครบรอบ 25 ปี Promo - Shiny Magikarp ไชนีคอยคิง #10 *ของแท้* (โปเกมอนการ์ด ภาษาไทย)</t>
  </si>
  <si>
    <t>158 Pokemon Card - ดรีมex - Mega Gengar ex เมก้าเก็งกา ex #240 SAR *ของแท้* (โปเกมอนการ์ด ภาษาไทย)</t>
  </si>
  <si>
    <t>[Limited] Pokemon Booster Packs - 2nd Edition ซองสุ่ม 18 ซองจาก 8 ชุดยอดนิยมปี 2024-2026 *ของแท้* (โปเกมอนการ์ด ภาษาไทย)</t>
  </si>
  <si>
    <t>228 [SQC 10] Pokemon Card - วิวัฒนาการเมก้าex - Mega Absol ex เมก้าแอบโซล ex #176 SAR *ของแท้* (โปเกมอนการ์ด ภาษาไทย)</t>
  </si>
  <si>
    <t>229 [SQC 10] Pokemon Card - อัคคีสีคราม - Mega Sharpedo ex เมก้าซาเมฮาเดอร์ ex #140 SAR *ของแท้* (โปเกมอนการ์ด ภาษาไทย)</t>
  </si>
  <si>
    <t>174 [PSA 10] Pokemon Card - ไชนี่เทรเชอร์ex - Mew ex มิว ex #347 SAR *ของแท้* (โปเกมอนการ์ด ภาษาไทย)</t>
  </si>
  <si>
    <t>Selling Price 80% JP</t>
  </si>
  <si>
    <t>201 [SQC 10] Pokemon Card - อัคคีสีคราม - Oricorio ex โอโดริโดริ ex #138 SAR *ของแท้* (โปเกมอนการ์ด ภาษาไทย)</t>
  </si>
  <si>
    <t>188 [CGC 10] Pokemon Card - ลอสต์เวิลด์ - Giratina V กิราตินา V #111 SR AA *ของแท้* (โปเกมอนการ์ด ภาษาไทย)</t>
  </si>
  <si>
    <t>Selling Price 90% JP</t>
  </si>
  <si>
    <t>239 [SQC 9.5] Pokemon Card - Pikachu พิคาชู 019/SV-P Promo *ของแท้* (โปเกมอนการ์ด ภาษาไทย)</t>
  </si>
  <si>
    <t>197 Pokemon Card - อันธการลวงตา - Pikachu พิคาชู #073 CHR *ของแท้* (โปเกมอนการ์ด ภาษาไทย)</t>
  </si>
  <si>
    <t>[มือ1] NSW BlazBlue Centralfiction Special Edition [EU] - Brand New Sealed</t>
  </si>
  <si>
    <t>[มือ1] NSW Wolfenstein 2 [US] - Brand New Sealed</t>
  </si>
  <si>
    <t>193 Pokemon Card - ดรีมex - Mega Dragonite ex เมก้าไคริว #246 SAR *ของแท้* (โปเกมอนการ์ด ภาษาไทย)</t>
  </si>
  <si>
    <t>343 [SQC 9.5] Pokemon Card - เทศกาลเทรัสตัลex - Glaceon ex กราเซีย ex #206 SAR *ของแท้* (โปเกมอนการ์ด ภาษาไทย)</t>
  </si>
  <si>
    <t>198 Pokemon Card - จักรวาลแห่ง VSTAR - Mew มิว #183 AR *ของแท้* (โปเกมอนการ์ด ภาษาไทย)</t>
  </si>
  <si>
    <t>345 Pokemon Card - เทศกาลเทรัสตัลex - Ceruledge ex โซเบลดส์ ex #203 SAR *ของแท้* (โปเกมอนการ์ด ภาษาไทย)</t>
  </si>
  <si>
    <t>343 Pokemon Card - เทศกาลเทรัสตัลex - Roaring Moon ex จันทร์คำรน ex #218 SAR *ของแท้* (โปเกมอนการ์ด ภาษาไทย)</t>
  </si>
  <si>
    <t>224 [PSA 10] Pokemon Card - อำนาจอารยะ - Raging Bolt ex ฟ้าคะนองคลั่ง ex #095 SAR *ของแท้* (โปเกมอนการ์ด ภาษาไทย)</t>
  </si>
  <si>
    <t>059 [SQC 9.5] Pokemon Card - Pikachu พิคาชู 019/SV-P Promo *ของแท้* (โปเกมอนการ์ด ภาษาไทย)</t>
  </si>
  <si>
    <t>145 Pokemon Card - ดรีมex - N's Zoroark ex โซโรอาร์ค ex ของN #242 SAR *ของแท้* (โปเกมอนการ์ด ภาษาไทย)</t>
  </si>
  <si>
    <t>196 Pokemon Card - ศึกตำนาน - Pikachu พิคาชู #198 CHR *ของแท้* (โปเกมอนการ์ด ภาษาไทย)</t>
  </si>
  <si>
    <t>142 Pokemon Card - ดรีมex - Mega Hawlucha ex เมก้าลูจาบูล ex #239 SAR *ของแท้* (โปเกมอนการ์ด ภาษาไทย)</t>
  </si>
  <si>
    <t>099 Pokemon Card - คอลเลคชั่นฉลองครบรอบ 25 ปี Promo - Charizard ลิซาร์ดอน #1 *ของแท้* (โปเกมอนการ์ด ภาษาไทย)</t>
  </si>
  <si>
    <t>TCG - Mystery Box</t>
  </si>
  <si>
    <t>100 Pokemon Card - คอลเลคชั่นฉลองครบรอบ 25 ปี Promo - Venusaur ฟุชิกิบานะ #2 *ของแท้* (โปเกมอนการ์ด ภาษาไทย)</t>
  </si>
  <si>
    <t>101 Pokemon Card - คอลเลคชั่นฉลองครบรอบ 25 ปี Promo - Blastoise คาเมกซ์ #3 *ของแท้* (โปเกมอนการ์ด ภาษาไทย)</t>
  </si>
  <si>
    <t>กล่องที่ 54 - Pokemon Card - แบล็ก &amp; ไวท์ - โดริวซึ ex #341 SAR</t>
  </si>
  <si>
    <t>กล่องที่ 55 - Pokemon Booster Box - กล่องสุ่ม ดรีมex</t>
  </si>
  <si>
    <t>กล่องที่ 56 - [SQC 9.5] Pokemon Card - สเตลลาร์สายฟ้าฟาด - พิคาชู ex #230 SAR</t>
  </si>
  <si>
    <t>กล่องที่ 57 - Pokemon Card - อัคคีสีคราม - เมก้าลิซาร์ดอน X ex #137 SAR</t>
  </si>
  <si>
    <t>กล่องที่ 63 - Pokemon Card - สายใยแห่งโชคชะตา - โวลเคเนียน ex #176 SAR</t>
  </si>
  <si>
    <t>กล่องที่ 41 - Pokemon Card - ตุลาการไซเบอร์ - ศิลาเหล็ก ex #095 SAR</t>
  </si>
  <si>
    <t>กล่องที่ 46 - Pokemon Card - ประกายแสงจากอนาคต - แขนเหล็ก ex #088 SAR</t>
  </si>
  <si>
    <t>กล่องที่ 48 - Pokemon Card - เทศกาลเทรัสตัลex - ฟ้าคะนองคลั่ง ex #222 SAR</t>
  </si>
  <si>
    <t>กล่องที่ 50 - Pokemon Booster Box - กล่องสุ่ม วิวัฒนาการเมก้า</t>
  </si>
  <si>
    <t>กล่องที่ 16 - Pokemon Card - คลื่นพิโรธ - คาปู โคเคโค ex #086 SAR</t>
  </si>
  <si>
    <t>กล่องที่ 27 - Pokemon Card - ตุลาการไซเบอร์ - หัวเหล็ก ex #094 SAR</t>
  </si>
  <si>
    <t>กล่องที่ 30 - Pokemon Card - แสงนำทางแห่งสเตลลาร์ - มาชิมาชิระ ex #217 SAR</t>
  </si>
  <si>
    <t>กล่องที่ 36 - Pokemon Card - จักรวาลVstar - ลิซาร์ดอน Vstar #212 SAR</t>
  </si>
  <si>
    <t>กล่องที่ 38 - Pokemon Card - แบล็ก &amp; ไวท์ - จาโลดา ex #333 SAR</t>
  </si>
  <si>
    <t>กล่องที่ 40 - Pokemon Card - เสียงคำรามจากอดีต - ขนทราย ex #089 SAR</t>
  </si>
  <si>
    <t>กล่องที่ 15 - Pokemon Card - เทศกาลเทรัสตัลex - อิรุกะแมน ex #207 SAR</t>
  </si>
  <si>
    <t>กล่องที่ 52 - Pokemon Booster Box - กล่องสุ่ม ดรีมex</t>
  </si>
  <si>
    <t>กล่องที่ 19 - Pokemon Card - ราชาแห่งเพลิงกาฬ - ลิซาร์ดอน ex #134 SAR</t>
  </si>
  <si>
    <t>กล่องที่ 10 - Pokemon Card - ประกายแสงจากอนาคต - นักรบเหล็ก ex #089 SAR</t>
  </si>
  <si>
    <t>กล่องที่ 61 - Pokemon Card - ราชาแห่งเพลิงกาฬ - โบรโรโรม ex #135 SAR</t>
  </si>
  <si>
    <t>กล่องที่ 60 - Pokemon Card - เทศกาลเทรัสตัลex - แขนเหล็ก ex #210 SAR</t>
  </si>
  <si>
    <t>กล่องที่ 17 - Pokemon Card - สเตลลาร์สายฟ้าฟาด - บริดิวรัส ex #233 SAR *ของแท้* (โปเกมอนการ์ด ภาษาไทย)</t>
  </si>
  <si>
    <t>กล่องที่ 8 - Pokemon Card - แบล็ก &amp; ไวท์ - คิวเรม ex #336 SAR</t>
  </si>
  <si>
    <t>202 Pokemon Card - แบล็ก &amp; ไวท์ - Reshiram ex เรชิรัม ex #335 SAR *ของแท้* (โปเกมอนการ์ด ภาษาไทย)</t>
  </si>
  <si>
    <t>กล่องที่ 28 - Pokemon Card - เทศกาลเทรัสตัลex - นักรบเหล็ก ex #213 SAR</t>
  </si>
  <si>
    <t>กล่องที่ 20 - Pokemon Booster Box - กล่องสุ่ม วิวัฒนาการเมก้า</t>
  </si>
  <si>
    <t>กล่องที่ 11 - Pokemon Card - สเตลลาร์สายฟ้าฟาด - ไอแอนท์ ex #228 SAR</t>
  </si>
  <si>
    <t>กล่องท่ 5 - Pokemon Card - เสียงคำรามจากอดีต - กูโซคูมูฉะ ex #088 SAR</t>
  </si>
  <si>
    <t>กล่องที่ 25 - Pokemon Card - คอลเลคชั่นฉลองครบรอบ 25 ปี Promo - พิคาชู #7</t>
  </si>
  <si>
    <t>กล่องที่ 7 - Pokemon Card - อัคคีสีคราม - โอโดริโดริ ex #138 SAR</t>
  </si>
  <si>
    <t>149 Pokemon Card - ดรีมex - Iono's Bellibolt ex ฮาราบารี ex ของนันจาโม #236 SAR *ของแท้* (โปเกมอนการ์ด ภาษาไทย)</t>
  </si>
  <si>
    <t>178 Pokemon Card - ดรีมex - Mega Dragonite ex เมก้าไคริว #246 SAR *ของแท้* (โปเกมอนการ์ด ภาษาไทย)</t>
  </si>
  <si>
    <t>128 [SQC 9.5] Pokemon Card - จักรวาลแห่ง VSTAR - Origin Forme Dialga VSTAR ดีอัลกาดั้งเดิม VSTAR #260 UR *ของแท้* (โปเกมอนการ์ด ภาษาไทย)</t>
  </si>
  <si>
    <t>กล่องที่ 6 - Pokemon Card - สายใยแห่งโชคชะตา - เมกะยันมา ex #175 SAR</t>
  </si>
  <si>
    <t>กล่องที่ 22 - Pokemon Card - อำนาจอนารยะ - เพลิงทะลวง ex #093 SAR</t>
  </si>
  <si>
    <t>กล่องที่ 62 - Pokemon Card - ทริปเปิลบีต - เวนิวัล ex #098 SAR</t>
  </si>
  <si>
    <t>กล่องที่ 2 - Pokemon Card - สโนว์ฮาซาร์ด - อิคิริงโกะ ex #094 SAR</t>
  </si>
  <si>
    <t>กล่องที่ 64 - Pokemon Card - เทศกาลเทรัสตัลex - เทราปากอส ex #226 SAR</t>
  </si>
  <si>
    <t>กล่องที่ 3 - Pokemon Card - เทศกาลเทรัสตัลex - จันทร์คำรน ex #218 SAR</t>
  </si>
  <si>
    <t>กล่องที่ 43 - Pokemon Card - เทศกาลเทรัสตัลex - โซเบลดส์ ex #203 SAR</t>
  </si>
  <si>
    <t>กล่องที่ 23 - Pokemon Card - แบล็ก &amp; ไวท์ - เคลดิโอex #337 SAR</t>
  </si>
  <si>
    <t>กล่องที่ 14 - Pokemon Card - แบล็ก &amp; ไวท์ - เอลฟูน ex #334 SAR</t>
  </si>
  <si>
    <t>กล่องที่ 12 - Pokemon Booster Box - กล่องสุ่ม วิวัฒนาการเมก้า</t>
  </si>
  <si>
    <t>กล่องที่ 44 - Pokemon Card - ไชนี่เทรเชอร์ex - ลิซาร์ดอน ex #349 SAR *ของแท้* (โปเกมอนการ์ด ภาษาไทย)</t>
  </si>
  <si>
    <t>183 [SQC 10 Gold] Pokemon Card - ศึกตำนาน Moltres &amp; Zapdos &amp; Articuno GX ไฟเยอร์ &amp; ธันเดอร์ &amp; ฟรีเซอร์ GX #220 SR AA *ของแท้* (โปเกมอนการ์ด ภาษาไทย)</t>
  </si>
  <si>
    <t>Selling Price 30% JP</t>
  </si>
  <si>
    <t>153 [SQC 10] Pokemon Card - ไชนี่เทรเชอร์ex - Charizard ex ลิซาร์ดอน ex #349 SAR *ของแท้* (โปเกมอนการ์ด ภาษาไทย)</t>
  </si>
  <si>
    <t>Selling Price 100% JP</t>
  </si>
  <si>
    <t>215 [SQC 9.5] Pokemon Card - สเตลลาร์สายฟ้าฟาด - Pikachu ex พิคาชู ex #230 SAR *ของแท้* (โปเกมอนการ์ด ภาษาไทย)</t>
  </si>
  <si>
    <t>175 [PSA 10] Pokemon Card - จักรวาลVstar - Charizard Vstar ลิซาร์ดอน Vstar #212 SAR *ของแท้* (โปเกมอนการ์ด ภาษาไทย)</t>
  </si>
  <si>
    <t>132 Pokemon Card - ไชนี่เทรเชอร์ex - Gardevoir ex เซอไนท์ ex #348 SAR *ของแท้* (โปเกมอนการ์ด ภาษาไทย)</t>
  </si>
  <si>
    <t>204 Pokemon Card - วิวัฒนาการเมก้าex - Acerola's Mischief ความซุกซนของอเซโรลา #179 SAR *ของแท้* (โปเกมอนการ์ด ภาษาไทย)</t>
  </si>
  <si>
    <t>140 Pokemon Card - ดรีมex - N's Zoroark ex โซโรอาร์ค ex ของN #242 SAR *ของแท้* (โปเกมอนการ์ด ภาษาไทย)</t>
  </si>
  <si>
    <t>177 Pokemon Card - ดรีมex - Pikachu ex พิคาชู #234 SAR *ของแท้* (โปเกมอนการ์ด ภาษาไทย)</t>
  </si>
  <si>
    <t>086 Pokemon Card - เทศกาลเทรัสตัลex - Jolteon ex ธันเดอร์ส ex #209 SAR *ของแท้* (โปเกมอนการ์ด ภาษาไทย)</t>
  </si>
  <si>
    <t>182 [SQC 9.5] Pokemon Card - สเตลลาร์สายฟ้าฟาด - Pikachu ex พิคาชู ex #230 SAR *ของแท้* (โปเกมอนการ์ด ภาษาไทย)</t>
  </si>
  <si>
    <t>185 Pokemon Card - ดรีมex - MA x10 Set *ของแท้* (โปเกมอนการ์ด ภาษาไทย)</t>
  </si>
  <si>
    <t>213 [SQC 9.5] Pokemon Card - ไชนี่เทรเชอร์ex - Charizard ex ลิซาร์ดอน ex #349 SAR *ของแท้* (โปเกมอนการ์ด ภาษาไทย)</t>
  </si>
  <si>
    <t>กล่องที่ 31 - Pokemon Booster Box - กล่องสุ่ม วิวัฒนาการเมก้า</t>
  </si>
  <si>
    <t>176 [SQC 9.5] Pokemon Card - เทศกาลเทรัสตัลex - Umbreon ex แบล็กกี ex #217 SAR *ของแท้* (โปเกมอนการ์ด ภาษาไทย)</t>
  </si>
  <si>
    <t>199 [SQC 9.5] Pokemon Card - ดรีมex - Mega Dragonite ex เมก้าไคริว #246 SAR *ของแท้* (โปเกมอนการ์ด ภาษาไทย)</t>
  </si>
  <si>
    <t>กล่องที่ 39 - Pokemon Booster Box - กล่องสุ่ม วิวัฒนาการเมก้า</t>
  </si>
  <si>
    <t>กล่องที่ 59 - Pokemon Card - อัคคีสีคราม - ฮิคาริ #142 SAR</t>
  </si>
  <si>
    <t>กล่องที่ 35 - Pokemon Card - เทศกาลเทรัสตัลex - ชาร์ฟโก ex #220 SAR *ของแท้* (โปเกมอนการ์ด ภาษาไทย)</t>
  </si>
  <si>
    <t>กล่องที่ 34 - Pokemon Card - แบล็ก &amp; ไวท์ - ซาซันดรา ex #342 SAR</t>
  </si>
  <si>
    <t>138 Pokemon Card - อัคคีสีคราม - Dawn ฮิคาริ #142 SAR *ของแท้* (โปเกมอนการ์ด ภาษาไทย)</t>
  </si>
  <si>
    <t>Pokemon Booster Box - กล่องสุ่ม เทศกาลเทรัสตัลex *ของแท้* (โปเกมอนการ์ด ภาษาไทย)</t>
  </si>
  <si>
    <t>156 Pokemon Card - ไชนี่เทรเชอร์ex - ลิซาร์ดอน ex #349 SAR *ของแท้* (โปเกมอนการ์ด ภาษาไทย)</t>
  </si>
  <si>
    <t>184 Pokemon Card - เทศกาลเทรัสตัลex - Umbreon ex แบล็กกี ex #217 SAR *ของแท้* (โปเกมอนการ์ด ภาษาไทย)</t>
  </si>
  <si>
    <t>113 [SQC 10] Pokemon Card - คอลเลคชั่นฉลองครบรอบ 25 ปี Promo - Venusaur ฟุชิกิบานะ #2 *ของแท้* (โปเกมอนการ์ด ภาษาไทย)</t>
  </si>
  <si>
    <t>กล่องที่ 49 - Pokemon Card - แบล็ก &amp; ไวท์ - บัฟฟรอน ex #344 SAR</t>
  </si>
  <si>
    <t>กล่องที่ 58 - Pokemon Booster Box - กล่องสุ่ม ดรีมex</t>
  </si>
  <si>
    <t>144 Pokemon Card - ดรีมex - Mega Dragonite ex เมก้าไคริว ex #250 MUR *ของแท้* (โปเกมอนการ์ด ภาษาไทย)</t>
  </si>
  <si>
    <t>150 Pokemon Card - ดรีมex - Mega Gengar ex เมก้าเก็งกา ex #240 SAR *ของแท้* (โปเกมอนการ์ด ภาษาไทย)</t>
  </si>
  <si>
    <t>129 Pokemon Card - อำนาจอารยะ - Raging Bolt ex ฟ้าคะนองคลั่ง ex #095 SAR *ของแท้* (โปเกมอนการ์ด ภาษาไทย)</t>
  </si>
  <si>
    <t>057 Pokemon Card - ดับเบิ้ลเบิร์ส Gengar &amp; Mimikyu GX เก็งกา &amp; มิมิคคิว GX #035 RR *ของแท้* (โปเกมอนการ์ด ภาษาไทย)</t>
  </si>
  <si>
    <t>149 Pokemon Card - ดรีมex - Mega Gengar ex เมก้าเก็งกา ex #240 SAR *ของแท้* (โปเกมอนการ์ด ภาษาไทย)</t>
  </si>
  <si>
    <t>160 [SQC 9.5] Pokemon Card - สตาร์เบิร์ท - Arceus V อาร์เซอุส V #172 SR AA *ของแท้* (โปเกมอนการ์ด ภาษาไทย)</t>
  </si>
  <si>
    <t>Pokemon - Journey Together Elite Trainer Box Eng *ของแท้* (โปเกมอนการ์ด ภาษาอังกฤษ)</t>
  </si>
  <si>
    <t>161 [SQC 9.5] Pokemon Card - อัคคีสีคราม - Mega Charizard X ex เมก้าลิซาร์ดอน X #137 ex SAR *ของแท้* (โปเกมอนการ์ด ภาษาไทย)</t>
  </si>
  <si>
    <t>กล่องที่ 33 - Pokemon Booster Box - กล่องสุ่ม ดรีมex</t>
  </si>
  <si>
    <t>กล่องที่ 32 - Pokemon Card - ราชาแห่งเพลิงกาฬ - โคโรอิปโปะ ex #133 SAR</t>
  </si>
  <si>
    <t>กล่องที่ 26 - Pokemon Booster Box - กล่องสุ่ม วิวัฒนาการเมก้า</t>
  </si>
  <si>
    <t>056 Pokemon Card - ดับเบิ้ลเบิร์ส Gengar &amp; Mimikyu GX เก็งกา &amp; มิมิคคิว GX #192 SR *ของแท้* (โปเกมอนการ์ด ภาษาไทย)</t>
  </si>
  <si>
    <t>119 [SQC 9.5] Pokemon Card - หมอกสีชาด - Greninja ex เก็คโคกะ ex #090 SAR *ของแท้* (โปเกมอนการ์ด ภาษาไทย)</t>
  </si>
  <si>
    <t>Pokemon - Mega Evolution Elite Trainer Box [Mega Gardevoir] Eng *ของแท้* (โปเกมอนการ์ด ภาษาอังกฤษ)</t>
  </si>
  <si>
    <t>กล่องที่ 4 - Pokemon Card - แบล็ก &amp; ไวท์ - บูรุนเจล ex #339 SAR</t>
  </si>
  <si>
    <t>146 Pokemon Card - ดรีมex - Mega Yukimenoko ex เมก้ายูกิเมโนโกะ ex ของN #233 SAR *ของแท้* (โปเกมอนการ์ด ภาษาไทย)</t>
  </si>
  <si>
    <t>151 Pokemon Card - สายใยแห่งโชคชะตา - Lillie's Clefairy ex ปิปปิ ex ของลิเลีย #178 SAR *ของแท้* (โปเกมอนการ์ด ภาษาไทย)</t>
  </si>
  <si>
    <t>148 Pokemon Card - ลอสต์เวิลด์ - Giratina V กิราตินา V #111 SR AA *ของแท้* (โปเกมอนการ์ด ภาษาไทย)</t>
  </si>
  <si>
    <t>กล่องที่ 29 - [SQC 9.5] Pokemon Card - ไชนี่เทรเชอร์ex - ลิซาร์ดอน ex #349 SAR</t>
  </si>
  <si>
    <t>[มือ1] NSW Castlevania Dominus Collection Ultimate Edition Limited Run [US] - Brand New Sealed</t>
  </si>
  <si>
    <t>[มือ1] 3DS Dragon Quest VIII Journey Of The Cursed King [US] - Brand New Sealed*</t>
  </si>
  <si>
    <t>090 Pokemon Card - เทศกาลเทรัสตัลex - Espeon ex เอฟี ex #211 SAR *ของแท้* (โปเกมอนการ์ด ภาษาไทย)</t>
  </si>
  <si>
    <t>089 Pokemon Card - วิวัฒนาการเมก้าex - Mega Lucario เมก้ารูคาริโอ ex #175 SAR *ของแท้* (โปเกมอนการ์ด ภาษาไทย)</t>
  </si>
  <si>
    <t>126 Pokemon Card - อำนาจอารยะ - Raging Bolt ex ฟ้าคะนองคลั่ง ex #095 SAR *ของแท้* (โปเกมอนการ์ด ภาษาไทย)</t>
  </si>
  <si>
    <t>095 [SQC 9.5] Pokemon Card - เทศกาลเทรัสตัลex - Roaring Moon ex จันทร์คำรน ex #218 SAR *ของแท้* (โปเกมอนการ์ด ภาษาไทย)</t>
  </si>
  <si>
    <t>131 Pokemon Card - อำนาจอารยะ - Walking Wake ex คลื่นน้ำกระเพื่อม ex #094 SAR *ของแท้* (โปเกมอนการ์ด ภาษาไทย)</t>
  </si>
  <si>
    <t>075 Pokemon Card - สตาร์เบิร์ท - Arceus V อาร์เซอุส V #172 SR AA *ของแท้* (โปเกมอนการ์ด ภาษาไทย)</t>
  </si>
  <si>
    <t>095 Pokemon Card - เทศกาลเทรัสตัลex - Glaceon ex กราเซีย ex #206 SAR *ของแท้* (โปเกมอนการ์ด ภาษาไทย)</t>
  </si>
  <si>
    <t>141 Pokemon Card - ดรีมex - Steven's Metagross ex เมทากรอส ex ของไดโกะ #245 SAR *ของแท้* (โปเกมอนการ์ด ภาษาไทย)</t>
  </si>
  <si>
    <t>060 Pokemon Card - Mega Evolution - Bulbasaur [Stamped] #133 Promo *ของแท้* (โปเกมอนการ์ด ภาษาอังกฤษ)</t>
  </si>
  <si>
    <t>030 Pokemon Card - Japanese Terastal Festival - Jolteon ex #209 SAR *ของแท้* (โปเกมอนการ์ด ภาษาญี่ปุ่น)</t>
  </si>
  <si>
    <t>130 Pokemon Card - อำนาจอารยะ - Gouging Fire ex เพลิงทะลวง ex #093 SAR *ของแท้* (โปเกมอนการ์ด ภาษาไทย)</t>
  </si>
  <si>
    <t>152 Pokemon Card - ดรีมex - Mewtwo ex มิวทู ex ของแก๊งร็อกเกต #237 SAR *ของแท้* (โปเกมอนการ์ด ภาษาไทย)</t>
  </si>
  <si>
    <t>081 Pokemon Card - การผงาดของผู้ไร้พ่าย - Team Rocket's Moltres ex ไฟเยอร์ ex ของแก๊งค์ร็อกเกต #175 SAR *ของแท้* (โปเกมอนการ์ด ภาษาไทย)</t>
  </si>
  <si>
    <t>125 Pokemon Card - ไชนี่เทรเชอร์ex - Gardevoir ex เซอไนท์ ex #348 SAR *ของแท้* (โปเกมอนการ์ด ภาษาไทย)</t>
  </si>
  <si>
    <t>136 Pokemon Card - วิวัฒนาการเมก้าex - Mega Gardevoir ex เมก้าเซอไนท์ ex #174 SAR *ของแท้* (โปเกมอนการ์ด ภาษาไทย)</t>
  </si>
  <si>
    <t>139 Pokemon Card - ดรีมex - Mega Gengar ex เมก้าเก็งกา ex #240 SAR *ของแท้* (โปเกมอนการ์ด ภาษาไทย)</t>
  </si>
  <si>
    <t>123 Pokemon Card - เทศกาลเทรัสตัลex - Sylveon ex นิมเฟีย ex #212 SAR *ของแท้* (โปเกมอนการ์ด ภาษาไทย)</t>
  </si>
  <si>
    <t>137 Pokemon Card - สายใยแห่งโชคชะตา - N's Zoroark ex โซโรอาร์ค ex ของN #179 SAR *ของแท้* (โปเกมอนการ์ด ภาษาไทย)</t>
  </si>
  <si>
    <t>133 Pokemon Card - วิวัฒนาการเมก้าex - Mega Gardevoir ex เมก้าเซอไนท์ ex #174 SAR *ของแท้* (โปเกมอนการ์ด ภาษาไทย)</t>
  </si>
  <si>
    <t>127 [SQC 10] Pokemon Card - จักรวาลแห่ง VSTAR - Origin Forme Palkia VSTAR พัลเกียดั้งเดิม VSTAR #259 UR *ของแท้* (โปเกมอนการ์ด ภาษาไทย)</t>
  </si>
  <si>
    <t>กล่องที่ 18 - Pokemon Card - หมอกสีชาด - ยาบาโซฉะ ex #089 SAR</t>
  </si>
  <si>
    <t>กล่องที่ 18 - Pokemon Promo Pack - ซองสุ่ม โปรโมการ์ด อัคคีสีคราม *ของแท้* (โปเกมอนการ์ด ภาษาไทย) x 1</t>
  </si>
  <si>
    <t>135 Pokemon Card - ไชนี่เทรเชอร์ex - Mew ex มิว ex #347 SAR *ของแท้* (โปเกมอนการ์ด ภาษาไทย)</t>
  </si>
  <si>
    <t>055 Pokemon Card - สายใยแห่งโชคชะตา - Lillie's Clefairy ex ปิปปิ ex ของลิเลีย #178 SAR *ของแท้* (โปเกมอนการ์ด ภาษาไทย)</t>
  </si>
  <si>
    <t>077 Pokemon Card - วิวัฒนาการเมก้าex - Mega Gardevoir ex เมก้าเซอไนท์ ex #174 SAR *ของแท้* (โปเกมอนการ์ด ภาษาไทย)</t>
  </si>
  <si>
    <t>124 Pokemon Card - แบล็ก &amp; ไวท์ - Reshiram ex เรชิรัม ex #347 BWR *ของแท้* (โปเกมอนการ์ด ภาษาไทย)</t>
  </si>
  <si>
    <t>กล่องที่ 37 - Pokemon Card - วิวัฒนาการเมก้าex - เมก้าแอบโซล ex #176 SAR</t>
  </si>
  <si>
    <t>กล่องที่ 37 - Pokemon Promo Pack - ซองสุ่ม โปรโมการ์ด อัคคีสีคราม *ของแท้* (โปเกมอนการ์ด ภาษาไทย) x 1</t>
  </si>
  <si>
    <t>053 Pokemon Card - ดับเบิ้ลเบิร์ส Gengar &amp; Mimikyu GX เก็งกา &amp; มิมิคคิว GX #193 SR AA *ของแท้* (โปเกมอนการ์ด ภาษาไทย)</t>
  </si>
  <si>
    <t>Pokemon - Mega Evolution 6 Packs Set Eng *ของแท้* (โปเกมอนการ์ด ภาษาอังกฤษ)</t>
  </si>
  <si>
    <t>กล่องที่ 1 - Pokemon Card - แสงนำทางแห่งสเตลลาร์ - คามิสึโอโรจิ ex #213 SAR</t>
  </si>
  <si>
    <t>กล่องที่ 1 - Pokemon Promo Pack - ซองสุ่ม โปรโมการ์ด อัคคีสีคราม *ของแท้* (โปเกมอนการ์ด ภาษาไทย) x 1</t>
  </si>
  <si>
    <t>กล่องที่ 51 - Pokemon Card - อัคคีสีคราม - เมก้าลิซาร์ดอน X ex #137 SAR</t>
  </si>
  <si>
    <t>กล่องที่ 45 - Pokemon Booster Box - กล่องสุ่ม ดรีมex</t>
  </si>
  <si>
    <t>กล่องที่ 24 - Pokemon Card - แสงนำทางแห่งสเตลลาร์ - อี้เนะอินุ ex #216 SAR</t>
  </si>
  <si>
    <t>กล่องที่ 18 - Pokemon Card - เทศกาลเทรัสตัลex - โดราพัลท์ ex #221 SAR</t>
  </si>
  <si>
    <t>กล่องที่ 9 - Pokemon Booster Box - กล่องสุ่ม ดรีมex</t>
  </si>
  <si>
    <t>กล่องที่ 9, 18, 24, 45 - Pokemon Promo Pack - ซองสุ่ม โปรโมการ์ด อัคคีสีคราม *ของแท้* (โปเกมอนการ์ด ภาษาไทย) x 4</t>
  </si>
  <si>
    <t>111 [SQC 10 Gold] Pokemon Card - คอลเลคชั่นฉลองครบรอบ 25 ปี Promo - Blastoise คาเมกซ์ #3 *ของแท้* (โปเกมอนการ์ด ภาษาไทย)</t>
  </si>
  <si>
    <t>กล่องที่ 47 - Pokemon Card - อัคคีสีคราม - เมก้าลิซาร์ดอน X ex #137 SAR</t>
  </si>
  <si>
    <t>กล่องที่ 47 - Pokemon Promo Pack - ซองสุ่ม โปรโมการ์ด อัคคีสีคราม *ของแท้* (โปเกมอนการ์ด ภาษาไทย) x 1</t>
  </si>
  <si>
    <t>กล่องที่ 42 - Pokemon Card - แบล็ก &amp; ไวท์ - เมโลเอตตา ex #340 SAR</t>
  </si>
  <si>
    <t>กล่องที่ 42 - Pokemon Promo Pack - ซองสุ่ม โปรโมการ์ด อัคคีสีคราม *ของแท้* (โปเกมอนการ์ด ภาษาไทย) x 1</t>
  </si>
  <si>
    <t>Pokemon Booster Packs - ซองสุ่ม 20 ซองจาก 8 ชุดยอดนิยมปี 2024-2025 *ของแท้* (โปเกมอนการ์ด ภาษาไทย)</t>
  </si>
  <si>
    <t>Pokemon - Phantasmal Flames 36 Packs Booster Box Eng *ของแท้* (โปเกมอนการ์ด ภาษาอังกฤษ)</t>
  </si>
  <si>
    <t>Pokemon - Mega Evolution Elite Trainer Box [Mega Lucario] Eng *ของแท้* (โปเกมอนการ์ด ภาษาอังกฤษ)</t>
  </si>
  <si>
    <t>กล่องที่ 21 - Pokemon Card - อัคคีสีคราม - โรตอม ex #139 SAR</t>
  </si>
  <si>
    <t>กล่องที่ 21 - 120 Pokemon Card - อัคคีสีคราม Promo - Mega Charizard X ex เมก้าลิซาร์ดอน X ex 04/M-P ex *ของแท้* (โปเกมอนการ์ด ภาษาไทย)</t>
  </si>
  <si>
    <t>กล่องที่ 21 - Pokemon Promo Pack - ซองสุ่ม โปรโมการ์ด อัคคีสีคราม *ของแท้* (โปเกมอนการ์ด ภาษาไทย) x 1</t>
  </si>
  <si>
    <t>093 Pokemon Card - อัคคีสีคราม - Mega Charizard X ex เมก้าลิซาร์ดอน X ex #137 SAR *ของแท้* (โปเกมอนการ์ด ภาษาไทย)</t>
  </si>
  <si>
    <t>070 Pokemon Card - อัคคีสีคราม - Oricorio ex โอโดริโดริ ex #138 SAR *ของแท้* (โปเกมอนการ์ด ภาษาไทย)</t>
  </si>
  <si>
    <t>Pokemon Booster Box - กล่องสุ่ม 25th Anniversary Collection คอลเลคชั่นฉลองครบรอบ 25 ปี *ของแท้* (โปเกมอนการ์ด ภาษาไทย)</t>
  </si>
  <si>
    <t>094 Pokemon Card - อัคคีสีคราม - Dawn ฮิคาริ SAR *ของแท้* (โปเกมอนการ์ด ภาษาไทย)</t>
  </si>
  <si>
    <t>092 Pokemon Card - อัคคีสีคราม - Mega Charizard X ex เมก้าลิซาร์ดอน X #137 ex SAR *ของแท้* (โปเกมอนการ์ด ภาษาไทย)</t>
  </si>
  <si>
    <t>091 Pokemon Card - อัคคีสีคราม - Mega Charizard X ex เมก้าลิซาร์ดอน X #137 ex SAR *ของแท้* (โปเกมอนการ์ด ภาษาไทย)</t>
  </si>
  <si>
    <t>Pokemon - Phantasmal Flames 18 Packs Booster Box Eng *ของแท้* (โปเกมอนการ์ด ภาษาอังกฤษ)</t>
  </si>
  <si>
    <t>011 Pokemon Card - วิวัฒนาการเมก้าex - เมก้าลาทิอาส ex #177 SAR *ของแท้* (โปเกมอนการ์ด ภาษาไทย)</t>
  </si>
  <si>
    <t>088 Pokemon Card - วิวัฒนาการเมก้าex - Mega Lucario เมก้ารูคาริโอ ex #184 MUR *ของแท้* (โปเกมอนการ์ด ภาษาไทย)</t>
  </si>
  <si>
    <t>074 Pokemon Card - ไชนี่เทรเชอร์ex - Gardevoir ex เซอไนท์ ex #348 SAR *ของแท้* (โปเกมอนการ์ด ภาษาไทย)</t>
  </si>
  <si>
    <t>073 Pokemon Card - หมอกสีชาด - Greninja ex เก็คโคกะ ex #090 SAR *ของแท้* (โปเกมอนการ์ด ภาษาไทย)</t>
  </si>
  <si>
    <t>Pokemon - Phantasmal Flames 6 Packs Set Eng *ของแท้* (โปเกมอนการ์ด ภาษาอังกฤษ)</t>
  </si>
  <si>
    <t>080 Pokemon Card - แบล็ก &amp; ไวท์ - Zekrom ex เซครอม ex #348 BWR *ของแท้* (โปเกมอนการ์ด ภาษาไทย)</t>
  </si>
  <si>
    <t>012 Pokemon Card - การผงาดของผู้ไร้พ่าย - Mewtwo ex มิวทู ex ของแก๊งค์ร็อกเกต #177 SAR *ของแท้* (โปเกมอนการ์ด ภาษาไทย)</t>
  </si>
  <si>
    <t>040 [SQC 9.5] Pokemon Card - เทศกาลเทรัสตัลex - Umbreon ex แบล็กกี ex #217 SAR *ของแท้* (โปเกมอนการ์ด ภาษาไทย)</t>
  </si>
  <si>
    <t>Pokemon Booster Box - กล่องสุ่ม จักรวาลVstar *ของแท้* (โปเกมอนการ์ด ภาษาไทย)</t>
  </si>
  <si>
    <t>Pokemon Booster Box - กล่องสุ่ม สายน้ำแห่งนภา *ของแท้* (โปเกมอนการ์ด ภาษาไทย)</t>
  </si>
  <si>
    <t>NSW Atelier Dusk Trilogy Deluxe Pack [Eng/Asia] มือสอง</t>
  </si>
  <si>
    <t>[มือ1] 3DS Shin Megami Tensei IV [US] - Brand New Sealed</t>
  </si>
  <si>
    <t>[มือ1] NSW Bloodstained [EU] - Brand New Sealed</t>
  </si>
  <si>
    <t>JRPG Collector 2025</t>
  </si>
  <si>
    <t>048 Pokemon Card - อัคคีสีคราม - Mega Sharpedo ex เมก้าซาเมฮาเดอร์ ex #140 SAR *ของแท้* (โปเกมอนการ์ด ภาษาไทย)</t>
  </si>
  <si>
    <t>TCG</t>
  </si>
  <si>
    <t>079 Pokemon Card - อัคคีสีคราม - Mega Charizard X ex เมก้าลิซาร์ดอน X #137 ex SAR *ของแท้* (โปเกมอนการ์ด ภาษาไทย)</t>
  </si>
  <si>
    <t>042 [SQC 9.5] Pokemon Card - ไชนี่เทรเชอร์ex - Mew ex มิว ex #347 SAR *ของแท้* (โปเกมอนการ์ด ภาษาไทย)</t>
  </si>
  <si>
    <t>043 Pokemon Card - อัคคีสีคราม - Dawn ฮิคาริ SAR *ของแท้* (โปเกมอนการ์ด ภาษาไทย)</t>
  </si>
  <si>
    <t>078 Pokemon Card - อัคคีสีคราม - Mega Charizard X ex เมก้าลิซาร์ดอน X #143 ex MUR *ของแท้* (โปเกมอนการ์ด ภาษาไทย)</t>
  </si>
  <si>
    <t>065 Pokemon Card - อัคคีสีคราม - Oricorio ex โอโดริโดริ ex #138 SAR *ของแท้* (โปเกมอนการ์ด ภาษาไทย)</t>
  </si>
  <si>
    <t>071 [SQC 9.5] Pokemon Card - วิวัฒนาการเมก้าex - Mega Lucario เมก้ารูคาริโอ ex #184 MUR *ของแท้* (โปเกมอนการ์ด ภาษาไทย)</t>
  </si>
  <si>
    <t>060 Pokemon Card - ไชนี่เทรเชอร์ex - Mew ex มิว ex #347 SAR *ของแท้* (โปเกมอนการ์ด ภาษาไทย)</t>
  </si>
  <si>
    <t>062 Pokemon Card - อัคคีสีคราม - Mega Lopunny ex เมก้ามิมิล็อป ex #141 SAR *ของแท้* (โปเกมอนการ์ด ภาษาไทย)</t>
  </si>
  <si>
    <t>061 Pokemon Card - แบล็ก &amp; ไวท์ - Toko โทโกะ #346 SAR *ของแท้* (โปเกมอนการ์ด ภาษาไทย)</t>
  </si>
  <si>
    <t>058 Pokemon Card - ดับเบิ้ลเบิร์ส Umbreon &amp; Darkrai GX แบล็คกี &amp; ดาร์กไร GX #100 RR *ของแท้* (โปเกมอนการ์ด ภาษาไทย)</t>
  </si>
  <si>
    <t>063 Pokemon Card - อัคคีสีคราม - Mega Charizard X ex เมก้าลิซาร์ดอน X #137 ex SAR *ของแท้* (โปเกมอนการ์ด ภาษาไทย)</t>
  </si>
  <si>
    <t>037 Pokemon Card - เทศกาลเทรัสตัลex - Umbreon ex แบล็กกี ex #217 SAR *ของแท้* (โปเกมอนการ์ด ภาษาไทย)</t>
  </si>
  <si>
    <t>Pokemon - Destined Rivals 6 Packs Booster Bundle Eng *ของแท้* (โปเกมอนการ์ด ภาษาอังกฤษ)</t>
  </si>
  <si>
    <t>051 Pokemon Card - เทศกาลเทรัสตัลex - Vaporeon ex ชาวเวอร์ส ex #205 SAR *ของแท้* (โปเกมอนการ์ด ภาษาไทย)</t>
  </si>
  <si>
    <t>032 [SQC 9.5] Pokemon Card - ไชนี่เทรเชอร์ex - Charizard ex ลิซาร์ดอน ex #349 SAR *ของแท้* (โปเกมอนการ์ด ภาษาไทย)</t>
  </si>
  <si>
    <t>035 Pokemon Card - Destined Rivals - Team Rocket's Nidoking ex #233 SIR *ของแท้* (โปเกมอนการ์ด ภาษาอังกฤษ)</t>
  </si>
  <si>
    <t>Pokemon Booster Box - กล่องสุ่ม อีวุยฮีโร *ของแท้* (โปเกมอนการ์ด ภาษาไทย)</t>
  </si>
  <si>
    <t>031 [SQC 9.5] Pokemon Card - ไชนี่เทรเชอร์ex - Mew ex มิว ex #347 SAR *ของแท้* (โปเกมอนการ์ด ภาษาไทย)</t>
  </si>
  <si>
    <t>018 Pokemon Card - เทศกาลเทรัสตัลex - โอการ์ปอง หน้ากากสีทีล ex #201 SAR *ของแท้* (โปเกมอนการ์ด ภาษาไทย)</t>
  </si>
  <si>
    <t>034 Pokemon Card - เทศกาลเทรัสตัลex - Dragapult ex โดราพัลท์ ex #221 SAR *ของแท้* (โปเกมอนการ์ด ภาษาไทย)</t>
  </si>
  <si>
    <t>047 Pokemon Card - เทศกาลเทรัสตัลex - Nymphia ex นิมเฟีย ex #212 SAR *ของแท้* (โปเกมอนการ์ด ภาษาไทย)</t>
  </si>
  <si>
    <t>Pokemon - Prismatic Evolutions Premium Figure Collection Eng *ของแท้* (โปเกมอนการ์ด ภาษาอังกฤษ)</t>
  </si>
  <si>
    <t>053 Pokemon Card - อัคคีสีคราม - Oricorio ex โอโดริโดริ ex #138 SAR *ของแท้* (โปเกมอนการ์ด ภาษาไทย)</t>
  </si>
  <si>
    <t>Pokemon Booster Box - กล่องสุ่ม ดับเบิ้ลเบิร์ส set B *ของแท้* (โปเกมอนการ์ด ภาษาไทย)</t>
  </si>
  <si>
    <t>Pokemon Booster Box - กล่องสุ่ม ศึกตำนาน set A *ของแท้* (โปเกมอนการ์ด ภาษาไทย)</t>
  </si>
  <si>
    <t>054 [SQC 9.5] Pokemon Card - วิวัฒนาการเมก้าex - Mega Gardevoir ex เมก้าเซอไนท์ ex #174 SAR *ของแท้* (โปเกมอนการ์ด ภาษาไทย)</t>
  </si>
  <si>
    <t>[มือ1] NSW 13 Sentinels Aegis Rim [US] - Brand New Sealed</t>
  </si>
  <si>
    <t>NSW Attack on Titan 2 [US] มือสอง</t>
  </si>
  <si>
    <t>NSW The Legend of Heroes Trails of Cold Steel IV Limited Edition [US] มือสอง</t>
  </si>
  <si>
    <t>NSW The Legend of Heroes Trails from Zero Deluxe Edition [US] มือสอง</t>
  </si>
  <si>
    <t>[มือ1] 3DS Dragon Quest VII Fragments of the Forgotten Past [US] - Brand New Sealed*</t>
  </si>
  <si>
    <t>Persona Q2 [US] - Brand New Sealed มือสอง*</t>
  </si>
  <si>
    <t>NSW Ys IX Monstrum Nox Pact Edition [US] มือสอง</t>
  </si>
  <si>
    <t>NSW The Legend of Heroes Trails of Cold Steel III Extracurricullar Edition [US] มือสอง</t>
  </si>
  <si>
    <t>[มือ1] NSW Wario Ware Get It Together! [US/Asia] - Brand New Sealed</t>
  </si>
  <si>
    <t>NSW Disgaea 4 Complete + [US] มือสอง</t>
  </si>
  <si>
    <t>[มือ1] NSW Mario Strikers Battle League [US/Asia] - Brand New Sealed</t>
  </si>
  <si>
    <t>046 Pokemon Card - วิวัฒนาการเมก้าex - Lillie's Determination ปณิธานของลิเลีย #182 SAR *ของแท้* (โปเกมอนการ์ด ภาษาไทย)</t>
  </si>
  <si>
    <t>045 Pokemon Card - อัคคีสีคราม - Oricorio ex โอโดริโดริ ex #138 SAR *ของแท้* (โปเกมอนการ์ด ภาษาไทย)</t>
  </si>
  <si>
    <t>038 Pokemon Card - หมอกสีชาด - Greninja ex เก็คโคกะ ex SAR *ของแท้* (โปเกมอนการ์ด ภาษาไทย)</t>
  </si>
  <si>
    <t>044 Pokemon Card - อัคคีสีคราม - Mega Charizard X ex เมก้าลิซาร์ดอน X ex #137 SAR *ของแท้* (โปเกมอนการ์ด ภาษาไทย)</t>
  </si>
  <si>
    <t>036 [SQC 9.5] Pokemon Card - ลอสต์เวิลด์ - Giratina V กิราตินา V #111 SR AA *ของแท้* (โปเกมอนการ์ด ภาษาไทย)</t>
  </si>
  <si>
    <t>005 Pokemon Card - แบล็ก &amp; ไวท์ - Zekrom ex เซครอม ex #348 BWR *ของแท้* (โปเกมอนการ์ด ภาษาไทย)</t>
  </si>
  <si>
    <t>009 Pokemon Card - แบล็ก &amp; ไวท์ - Reshiram ex เรชิรัม ex #347 BWR *ของแท้* (โปเกมอนการ์ด ภาษาไทย)</t>
  </si>
  <si>
    <t>Pokemon Booster Pack - Japanese White Flare *ของแท้* (โปเกมอนการ์ด ภาษาญี่ปุ่น)</t>
  </si>
  <si>
    <t>033 Pokemon Card - เทศกาลเทรัสตัลex - Roaring Moon ex จันทร์คำรน ex #218 SAR *ของแท้* (โปเกมอนการ์ด ภาษาไทย)</t>
  </si>
  <si>
    <t>007 Pokemon Card - วิวัฒนาการเมก้าex - Mega Gardevoir ex เมก้าเซอไนท์ ex #183 MUR *ของแท้* (โปเกมอนการ์ด ภาษาไทย)</t>
  </si>
  <si>
    <t>008 Pokemon Card - วิวัฒนาการเมก้าex - Mega Lucario เมก้ารูคาริโอ ex #184 MUR *ของแท้* (โปเกมอนการ์ด ภาษาไทย)</t>
  </si>
  <si>
    <t>041 Pokemon Card - อัคคีสีคราม - Mega Charizard X ex เมก้าลิซาร์ดอน X ex SR *ของแท้* (โปเกมอนการ์ด ภาษาไทย)</t>
  </si>
  <si>
    <t>001 Pokemon Card - แบล็ก &amp; ไวท์ - Zekrom ex เซครอม ex #348 BWR *ของแท้* (โปเกมอนการ์ด ภาษาไทย)</t>
  </si>
  <si>
    <t>015 Pokemon Card - วิวัฒนาการเมก้าex - เมก้าการูรา ex #178 SAR *ของแท้* (โปเกมอนการ์ด ภาษาไทย)</t>
  </si>
  <si>
    <t>016 Pokemon Card - วิวัฒนาการเมก้าex - เมก้าฟูชิกิบานะ ex #173 SAR *ของแท้* (โปเกมอนการ์ด ภาษาไทย)</t>
  </si>
  <si>
    <t>006 Pokemon Card - วิวัฒนาการเมก้าex - เมก้ารูคาริโอ ex #184 MUR *ของแท้* (โปเกมอนการ์ด ภาษาไทย)</t>
  </si>
  <si>
    <t>Pokemon Booster Box - Prismatic Evolutions Eng *ของแท้* (โปเกมอนการ์ด ภาษาอังกฤษ)</t>
  </si>
  <si>
    <t>016 Pokemon Card - วิวัฒนาการเมก้าex - เมก้ารูคาริโอ ex #175 SAR *ของแท้* (โปเกมอนการ์ด ภาษาไทย)</t>
  </si>
  <si>
    <t>003 Pokemon Card - วิวัฒนาการเมก้าex - เมก้าเซอไนท์ ex #183 MUR *ของแท้* (โปเกมอนการ์ด ภาษาไทย)</t>
  </si>
  <si>
    <t>[มือ1] PS4 Nier Automata Game of the Yorha Edition [US/ZoneAll] - Brand New Sealed</t>
  </si>
  <si>
    <t>[มือ1] NSW Dragon Quest Collection [Eng/Asia] - Brand New Sealed</t>
  </si>
  <si>
    <t>[มือ1] NSW Capcom Fighting Collection [US] - Brand New Sealed</t>
  </si>
  <si>
    <t>Pokemon Booster Box - Destined Rivals Eng *ของแท้* (โปเกมอนการ์ด ภาษาอังกฤษ)</t>
  </si>
  <si>
    <t>Pokemon Booster Pack - Prismatic Evolutions Eng *ของแท้* (โปเกมอนการ์ด ภาษาอังกฤษ)</t>
  </si>
  <si>
    <t>002 Pokemon Card - แบล็ก &amp; ไวท์ - เซครอม ex #338 SAR *ของแท้* (โปเกมอนการ์ด ภาษาไทย)</t>
  </si>
  <si>
    <t>031 [SQC 9] Pokemon Card - เทศกาลเทรัสตัลex - แบล็คกี ex #217 SAR *ของแท้* (โปเกมอนการ์ด ภาษาไทย)</t>
  </si>
  <si>
    <t>020 Pokemon Card - แบล็ก &amp; ไวท์ - โดริวซึ ex #341 SAR *ของแท้* (โปเกมอนการ์ด ภาษาไทย)</t>
  </si>
  <si>
    <t>013 Pokemon Card - Prismatic Evolutions Eng - Espeon ex #175 Promo *ของแท้* (โปเกมอนการ์ด ภาษาอังกฤษ)</t>
  </si>
  <si>
    <t>017 [SQC 9.5] Pokemon Card - เทศกาลเทรัสตัลex - แบล็คกี ex #217 SAR *ของแท้* (โปเกมอนการ์ด ภาษาไทย)</t>
  </si>
  <si>
    <t>029 Pokemon Card - เทศกาลเทรัสตัลex - อีวุย ex / วุยเค้ก #224 SAR *ของแท้* (โปเกมอนการ์ด ภาษาไทย)</t>
  </si>
  <si>
    <t>028 Pokemon Card - เทศกาลเทรัสตัลex - อีวุย ex #223 SAR *ของแท้* (โปเกมอนการ์ด ภาษาไทย)</t>
  </si>
  <si>
    <t>027 Pokemon Card - เทศกาลเทรัสตัลex - นิมเฟีย ex #212 SAR *ของแท้* (โปเกมอนการ์ด ภาษาไทย)</t>
  </si>
  <si>
    <t>026 Pokemon Card - เทศกาลเทรัสตัลex - เอฟี ex #211 SAR *ของแท้* (โปเกมอนการ์ด ภาษาไทย)</t>
  </si>
  <si>
    <t>025 Pokemon Card - เทศกาลเทรัสตัลex - ธันเดอร์ส ex #209 SAR *ของแท้* (โปเกมอนการ์ด ภาษาไทย)</t>
  </si>
  <si>
    <t>024 Pokemon Card - เทศกาลเทรัสตัลex - กราเซีย ex #206 SAR *ของแท้* (โปเกมอนการ์ด ภาษาไทย)</t>
  </si>
  <si>
    <t>023 Pokemon Card - เทศกาลเทรัสตัลex - ชาวเวอร์ส ex #205 SAR *ของแท้* (โปเกมอนการ์ด ภาษาไทย)</t>
  </si>
  <si>
    <t>022 Pokemon Card - เทศกาลเทรัสตัลex - บูสเตอร์ ex #202 SAR *ของแท้* (โปเกมอนการ์ด ภาษาไทย)</t>
  </si>
  <si>
    <t>021 Pokemon Card - เทศกาลเทรัสตัลex - ลีเฟีย ex #200 SAR *ของแท้* (โปเกมอนการ์ด ภาษาไทย)</t>
  </si>
  <si>
    <t>010 Pokemon Card - Pokemon Card - เทศกาลเทรัสตัลex - แบล็คกี ex #217 SAR *ของแท้* (โปเกมอนการ์ด ภาษาไทย)</t>
  </si>
  <si>
    <t>แบล็ก &amp; ไวท์ - Booster Pack x5</t>
  </si>
  <si>
    <t>Pokemon Booster Box - 151 Eng *ของแท้* (โปเกมอนการ์ด ภาษาอังกฤษ)</t>
  </si>
  <si>
    <t>014 Pokemon Card - Prismatic Evolutions Eng - Umbreon ex #176 Promo *ของแท้* (โปเกมอนการ์ด ภาษาอังกฤษ)</t>
  </si>
  <si>
    <t>AR x11</t>
  </si>
  <si>
    <t>Pokemon Booster Box - Jaoanese White Flare *ของแท้* (โปเกมอนการ์ด ภาษาญี่ปุ่น)</t>
  </si>
  <si>
    <t>004 Pokemon Card - เทศกาลเทรัสตัลex - แบล็คกี ex #217 SAR *ของแท้* (โปเกมอนการ์ด ภาษาไทย)</t>
  </si>
  <si>
    <t>AR x42</t>
  </si>
  <si>
    <t>Pokemon Card - แบล็ก &amp; ไวท์ - เรชิรัม ex BWR</t>
  </si>
  <si>
    <t>Pokemon Card - การผงาดของผู้ไร้พ่าย - โฮโอ ex #176 SAR *ของแท้* (โปเกมอนการ์ด ภาษาไทย)</t>
  </si>
  <si>
    <t>[มือ1] 3DS SMT Devil Survivor 2 Record Breaker Launch Edition [US] - Brand New Sealed</t>
  </si>
  <si>
    <t xml:space="preserve">[มือ1] PS4 Divinity Original Sin 2 Definitive Edition [US/ZoneAll] - Brand New Sealed </t>
  </si>
  <si>
    <t>[มือ1] NSW Mega Man Zero/ZX Legacy Collection [US] - Brand New Sealed</t>
  </si>
  <si>
    <t>[มือ1] NSW Sakuna Of Rice and Ruin [US] - Brand New Sealed</t>
  </si>
  <si>
    <t>NSW The Legend of Heroes Trails of Cold Steel IV Frontline Edition [US] มือสอง</t>
  </si>
  <si>
    <t>[มือ1] NSW Teenage Mutant Ninja Turtles The Cowabunga Collection [US] - Brand New Sealed</t>
  </si>
  <si>
    <t>OP‑13 Carrying on His Will - Booster Box x5</t>
  </si>
  <si>
    <t>Pokemon Booster Box - Black Bolt *ของแท้* (โปเกมอนการ์ด ภาษาอังกฤษ)</t>
  </si>
  <si>
    <t>Black Bolt - Booster Box</t>
  </si>
  <si>
    <t>วิวัฒนาการเมก้า - Booster Pack x9 Spot</t>
  </si>
  <si>
    <t>เทศกาลเทรัสตัลex - Booster Box</t>
  </si>
  <si>
    <t>Prismatic Evolutions Eng - Booster Box</t>
  </si>
  <si>
    <t xml:space="preserve">OP‑13 Carrying on His Will - Booster Box </t>
  </si>
  <si>
    <t>แบล็ก &amp; ไวท์ - Booster Pack x1</t>
  </si>
  <si>
    <t>วิวัฒนาการเมก้า - ปณิธานของลิเลีย SR+</t>
  </si>
  <si>
    <t>แบล็ก &amp; ไวท์ - Booster Box</t>
  </si>
  <si>
    <t>Prismatic Evolutions Eng - Booster Pack</t>
  </si>
  <si>
    <t>[มือ1] NSW Fire Emblem Warriors Three Hopes [US/Asia] - Brand New Sealed</t>
  </si>
  <si>
    <t>[มือ1] PS4 Legend of Mana [Eng/Zone3]] - Brand New Sealed</t>
  </si>
  <si>
    <t>[มือ1] NSW The Legend of Heroes Trails to Azure Deluxe Edition [US] - Brand New Sealed</t>
  </si>
  <si>
    <t>[มือ1] NSW Bravely Default 2 [US] - Brand New Sealed</t>
  </si>
  <si>
    <t>[มือ1] NSW DioField Chronicle [Eng/Asia] - Brand New Sealed</t>
  </si>
  <si>
    <t>[มือ1] NSW Nier Automata The End of Yorha Edition [US] - Brand New Sealed</t>
  </si>
  <si>
    <t>[มือ1] NSW Crisis Core Final Fantasy VII Reunion [Eng/Asia] - Brand New Sealed</t>
  </si>
  <si>
    <t>[มือ1] NSW Dragon Quest XI S [US] - Brand New Sealed</t>
  </si>
  <si>
    <t>[มือ1] NSW The Legend of Heroes Trails from Zero Deluxe Edition [US] - Brand New Sealed</t>
  </si>
  <si>
    <t>[มือ1] NSW Alliance Alive HD Remastered Awakening Edition [US] - Brand New Sealed</t>
  </si>
  <si>
    <t>[มือ1] NSW Super Robot Wars 30 [Asia/Eng] - Brand New Sealed</t>
  </si>
  <si>
    <t>[มือ1] NSW Chrono Cross The Radical Dreamers Edition [Eng/Asia] - Brand New Sealed</t>
  </si>
  <si>
    <t>[มือ1] NSW Super Robot Wars V [Eng/Asia] - Brand New Sealed</t>
  </si>
  <si>
    <t>[มือ1] NSW Xenoblade Chronicles 3 [US/Asia] - Brand New Sealed</t>
  </si>
  <si>
    <t>[มือ1] NSW Super Robot Wars X [Eng/Asia] ปกจีน - Brand New Sealed</t>
  </si>
  <si>
    <t>[มือ1] NSW Kirby And The Forgotten Land [US/Asia] - Brand New Sealed</t>
  </si>
  <si>
    <t>[มือ1] The Legend of Zelda Tears of The Kingdom [US/Asia] - Brand New Sealed</t>
  </si>
  <si>
    <t>[มือ1] NSW Pokemon Legends Arceus [US/Asia] - Brand New Sealed</t>
  </si>
  <si>
    <t>[มือ1] NSW The Legend of Zelda Breath of the Wild [US/Asia] - Brand New Sealed</t>
  </si>
  <si>
    <t>[มือ1] PS4 The Legend of Heroes Trails of Cold Steel IV Frontline Edition [US/ZoneAll] - Brand New Sealed</t>
  </si>
  <si>
    <t>[มือ1] NSW Atelier Dusk Trilogy Deluxe Pack [Eng/Asia] - Brand New Sealed</t>
  </si>
  <si>
    <t>[มือ1] NSW Atelier Sophie 2 The Alchemist of the Mysterious Dream [US] - Brand New Sealed</t>
  </si>
  <si>
    <t>NSW Code of Princess EX [US] มือสอง</t>
  </si>
  <si>
    <t>[มือ1] NDS Dragon Quest VI Realms of Revelation [US] - Brand New Sealed</t>
  </si>
  <si>
    <t>JRPG Collector 2025 Grand Total</t>
  </si>
  <si>
    <t>JRPG Collector 2024</t>
  </si>
  <si>
    <t>NSW Mega Man Battle Network Legacy Collection [Eng/Asia] มือสอง</t>
  </si>
  <si>
    <t>NSW The Legend of Zelda Tears of The Kingdom [US/Asia] มือสอง</t>
  </si>
  <si>
    <t>NSW Baten Kaitos I &amp; III HD Remaster [Eng/Asia] มือสอง</t>
  </si>
  <si>
    <t>NSW Pokemon Legends Arceus [US/Asia] มือสอง</t>
  </si>
  <si>
    <t>NSW Kirby's Return to Dream Land Deluxe [US/Asia] มือสอง</t>
  </si>
  <si>
    <t>NSW Fire Emblem Three Houses [US/Asia] มือสอง</t>
  </si>
  <si>
    <t>NSW Fairy Tail [Eng/Asia] มือสอง</t>
  </si>
  <si>
    <t>NSW Triangle Strategy [Eng/Asia] มือสอง</t>
  </si>
  <si>
    <t>NSW Super Mario 3D World + Bowser's Fury [US/Asia] มือสอง</t>
  </si>
  <si>
    <t>NSW Dragon Quest XI S [US/Asia] มือสอง</t>
  </si>
  <si>
    <t>NSW Bravely Default 2 [US] มือสอง</t>
  </si>
  <si>
    <t>NSW Bravely Default 2 [Eng/Asia] มือสอง</t>
  </si>
  <si>
    <t>NSW Fire Emblem Engage [US/Asia] มือสอง</t>
  </si>
  <si>
    <t>NSW Pokemon Shield [US/Asia] มือสอง</t>
  </si>
  <si>
    <t>NSW Pokemon Sword [US/Asia] มือสอง</t>
  </si>
  <si>
    <t>NSW Fate/Extella Link [US] มือสอง</t>
  </si>
  <si>
    <t>NSW Pokemon Shining Diamond [US/Asia] มือสอง</t>
  </si>
  <si>
    <t>NSW Pokemon Brilliant Pearl [US/Asia] มือสอง</t>
  </si>
  <si>
    <t>NSW Metroid Prime Remaster [US/Asia] มือสอง</t>
  </si>
  <si>
    <t>NSW Chocobo's Mystery Dungeon Every Buddy [JP] มือสอง</t>
  </si>
  <si>
    <t>NSW Astral Chain [US] มือสอง</t>
  </si>
  <si>
    <t>NSW Xenoblade 3 [US/Asia] มือสอง</t>
  </si>
  <si>
    <t>NSW Final Fantasy X | X-2 HD Remaster [US] มือสอง</t>
  </si>
  <si>
    <t>NSW Street Fighter 30th Anniversary Collection [US] มือสอง</t>
  </si>
  <si>
    <t>[มือ1] 3DS Pokemon Ultra Moon [US] - Brand New Sealed</t>
  </si>
  <si>
    <t>[มือ1] 3DS Pokemon Ultra Sun [US] - Brand New Sealed</t>
  </si>
  <si>
    <t>3DS Tales of the Abyss [US] มือสอง</t>
  </si>
  <si>
    <t>3DS Project X Zone 1 [US] มือสอง</t>
  </si>
  <si>
    <t>3DS Project X Zone 2 [US] มือสอง</t>
  </si>
  <si>
    <t>3DS Wario Ware Gold [US] มือสอง</t>
  </si>
  <si>
    <t>JRPG Collector 2024 Grand Total</t>
  </si>
  <si>
    <t>JRPG Collector 2023</t>
  </si>
  <si>
    <t>[มือ1] Miyoo Mini Plus - Retro Grey</t>
  </si>
  <si>
    <t>Emulator</t>
  </si>
  <si>
    <t>[มือ1] Miyoo Mini Plus - White</t>
  </si>
  <si>
    <t>[มือ1] Miyoo Mini Plus - Crystal Black</t>
  </si>
  <si>
    <t>[มือ1] Miyoo Mini Plus - Crystal Purple</t>
  </si>
  <si>
    <t>[มือ1] NSW Xenoblade Chronicles Definitive Edition [US] - Brand New Sealed</t>
  </si>
  <si>
    <t>[มือ1] NSW Atelier Mysterious Trilogy Deluxe Pack [Eng/Asia] - Brand New Sealed</t>
  </si>
  <si>
    <t>[มือ1] NSW Super Smash Bros Ultimate [US/Asia] - Brand New Sealed</t>
  </si>
  <si>
    <t>[มือ1] NSW Pokemon Scarlet &amp; Violet Double Pack</t>
  </si>
  <si>
    <t>[มือ1] NSW SD Gundam G Generation Crossrays Platinum Edition [Eng/Asia] - Brand New Sealed</t>
  </si>
  <si>
    <t>[มือ1] NSW Super Robot Wars X [Eng/Asia] - Brand New Sealed</t>
  </si>
  <si>
    <t>[มือ1] NSW Fire Emblem Warriors [US/Asia] - Brand New Sealed</t>
  </si>
  <si>
    <t>iPad Mini</t>
  </si>
  <si>
    <t>Apple Pencil Gen 2</t>
  </si>
  <si>
    <t>[มือ1] NSW Fatal Frame Maiden of Black Water [Eng/Asia] - Brand New Sealed</t>
  </si>
  <si>
    <t>[มือ1] NSW Romancing SaGa 3 [Eng/Asia] - Brand New Sealed</t>
  </si>
  <si>
    <t>[มือ1] NSW The Legend of Heroes Trails of Cold Steel IV Frontline Edition [US] - Brand New Sealed</t>
  </si>
  <si>
    <t>PS5 Playstation 5 God of War Ragnarok Bundle</t>
  </si>
  <si>
    <t>Play Station Plus Deluxe 12 Month+</t>
  </si>
  <si>
    <t>PS5 Street Fighter VI [Eng/Zone3] มือสอง</t>
  </si>
  <si>
    <t>PS5 Call of Duty Modern Warfare II [Eng/Zone3] มือสอง</t>
  </si>
  <si>
    <t>PS5 Resident Evil Village [Eng/Zone3] มือสอง</t>
  </si>
  <si>
    <t>PS4 Borderlands 3 [Eng/Zone3] มือสอง</t>
  </si>
  <si>
    <t>PS4 Final Fantasy XV Royal Edition [Eng/Zone3] มือสอง</t>
  </si>
  <si>
    <t>[มือ1] God of War [Eng/Zone3]] - Brand New Sealed</t>
  </si>
  <si>
    <t>[มือ1] Assassin's Creed Origins [Eng/Zone3]] - Brand New Sealed</t>
  </si>
  <si>
    <t>[มือ1] PS4 The Division 2 [Eng/Zone3]] - Brand New Sealed</t>
  </si>
  <si>
    <t>[มือ1] PS4 The Binding of Isaac Afterbirth + [EU/Zone2] - Brand New Sealed</t>
  </si>
  <si>
    <t>[มือ1] OverWatch [Eng/Zone3]] - Brand New Sealed</t>
  </si>
  <si>
    <t>[มือ1] Anbenic RG35XX - Crystal Purple</t>
  </si>
  <si>
    <t>[มือ1] Anbenic RG35XX - Crystal White</t>
  </si>
  <si>
    <t>iPhone SE2</t>
  </si>
  <si>
    <t>Miyoo Mini Plus - White มือสอง</t>
  </si>
  <si>
    <t>NSW Mario Kart Racing Wheels for Nintendo Switch [JP] มือสอง</t>
  </si>
  <si>
    <t>Nintendo Wii U [US] มือสอง + 2 Games</t>
  </si>
  <si>
    <t>PS3</t>
  </si>
  <si>
    <t>Playstation TV [US] มือสอง</t>
  </si>
  <si>
    <t>PS4 DualShock 4 Rose Gold มือสอง</t>
  </si>
  <si>
    <t>[มือ1] NSW Hori Fighting Commander for Nintendo Switch</t>
  </si>
  <si>
    <t>NSW Hori Fighting Commander for Nintendo Switch มือสอง</t>
  </si>
  <si>
    <t>NSW Hori Fighting Stick Mini for Nintendo Switch [JP] มือสอง</t>
  </si>
  <si>
    <t>8bitdo SF30 Pro มือสอง</t>
  </si>
  <si>
    <t>8bitdo FC30 มือสอง</t>
  </si>
  <si>
    <t>[มือ1] NSW Mario Odyssey [US/Asia] - Brand New Sealed</t>
  </si>
  <si>
    <t>[มือ1] NSW Triangle Strategy [US] - Brand New Sealed</t>
  </si>
  <si>
    <t>[มือ1] Anbenic RG35XX - Retro Grey</t>
  </si>
  <si>
    <t>[มือ1] NSW Super Mario Party [US/Asia] - Brand New Sealed</t>
  </si>
  <si>
    <t>[มือ1] NSW Fire Emblem Three Houses [US] - Brand New Sealed</t>
  </si>
  <si>
    <t>Anbenic RG35XX - Retro Grey มือสอง</t>
  </si>
  <si>
    <t>[มือ1] NSW SD Gundam G Generation Genesis [Eng/Asia] - Brand New Sealed</t>
  </si>
  <si>
    <t>[มือ1] Nintendo Switch OLED White [Asia]</t>
  </si>
  <si>
    <t>CONSOLE</t>
  </si>
  <si>
    <t>[มือ1] NSW Romancing SaGa Minstrel Song] [Eng/Asia] - Brand New Sealed</t>
  </si>
  <si>
    <t>NSW Shin Meami Tensei V [US] มือสอง</t>
  </si>
  <si>
    <t>NSW Rune Factory 4 Special [US] มือสอง</t>
  </si>
  <si>
    <t>NSW Atelier Ryza 2 [EU] มือสอง</t>
  </si>
  <si>
    <t>NSW Romancing SaGa 3 [Eng/Asia] มือสอง</t>
  </si>
  <si>
    <t>NSW Fire Emblem Warriors [US] มือสอง</t>
  </si>
  <si>
    <t>NSW Dark Souls [EU] มือสอง</t>
  </si>
  <si>
    <t>NSW The Elder Scroll V Skyrim [US] มือสอง</t>
  </si>
  <si>
    <t>NSW Shining Resonance Refrain [US] มือสอง</t>
  </si>
  <si>
    <t>NSW Metro Redux [EU] มือสอง</t>
  </si>
  <si>
    <t>NSW Borderlands Legendary Collection [US] มือสอง</t>
  </si>
  <si>
    <t>NSW Super Neptunia RPG [US] มือสอง</t>
  </si>
  <si>
    <t xml:space="preserve">NSW One Piece Pirate Warriors 4 [Eng/Asia] มือสอง                                                                                                                                                                        </t>
  </si>
  <si>
    <t>NSW One Piece Pirate Warriors 4 [US] มือสอง</t>
  </si>
  <si>
    <t>NSW Dragonball Xenoverse 2 [US] มือสอง</t>
  </si>
  <si>
    <t>NSW Darkest Dungeon Ancestral Edition [US] มือสอง</t>
  </si>
  <si>
    <t>NSW Wild Guns Reloaded [US] มือสอง</t>
  </si>
  <si>
    <t>JRPG Collector 2023 Grand Total</t>
  </si>
  <si>
    <t>JRPG Collector 2022</t>
  </si>
  <si>
    <t>[มือ1] NSW Mario Golf Super Rush [US/Asia] - Brand New Sealed</t>
  </si>
  <si>
    <t>[มือ1] NSW Fire Emblem Three Houses Seasons of Warfare Edition [US] - Brand New Sealed</t>
  </si>
  <si>
    <t>[มือ1] 3DS Yo-Kai Watch 2 Psychic Specters [US] - Brand New Sealed</t>
  </si>
  <si>
    <t>3DS Radiant Historia Perfect Chronology Launch Edition [US] มือสอง</t>
  </si>
  <si>
    <t>[มือ1] NSW New Super Mario Bros U Deluxe [US/Asia] - Brand New Sealed</t>
  </si>
  <si>
    <t>[มือ1] NSW Fire Emblem Three Houses [US/Asia] - Brand New Sealed</t>
  </si>
  <si>
    <t>[มือ1] NSW Rune Factory 4 Special Archival Edition [US] - Brand New Sealed</t>
  </si>
  <si>
    <t>[มือ1] Nintendo Switch (Grey) [THA]</t>
  </si>
  <si>
    <t>[มือ1] NSW Xenoblade Chronicles Definitive Edition [US/Asia] - Brand New Sealed</t>
  </si>
  <si>
    <t>[มือ1] NSW Mario Kart 8 Deluxe [US/Asia] - Brand New Sealed</t>
  </si>
  <si>
    <t>[มือ1] NSW Atelier Ryza 2 [Eng/Asia] - Brand New Sealed</t>
  </si>
  <si>
    <t>[มือ1] NSW Animal Crossing New Horizons [US/Asia] - Brand New Sealed</t>
  </si>
  <si>
    <t>[มือ1] NSW Luigi's Mansion 3 [US/Asia] - Brand New Sealed</t>
  </si>
  <si>
    <t>Card</t>
  </si>
  <si>
    <t>[มือ1] NSW Monster Hunter Stories 2 [US] - Brand New Sealed</t>
  </si>
  <si>
    <t>[มือ1] NSW Bloodstained [US] - Brand New Sealed</t>
  </si>
  <si>
    <t>[มือ1] NSW Mega Man Zero / ZX Legacy Collection [US] - Brand New Sealed</t>
  </si>
  <si>
    <t>JRPG Collector 2022 Grand Total</t>
  </si>
  <si>
    <t>JRPG Collector 2021</t>
  </si>
  <si>
    <t>[Reward Gold] Robo-Dragon Knight - Legendary</t>
  </si>
  <si>
    <t>[Reward Gold] Spirit Druid Grog - Legendary</t>
  </si>
  <si>
    <t>[มือ1] NSW Code of Princess EX Launch Edition [US] - Brand New Sealed</t>
  </si>
  <si>
    <t>[มือ1] NSW SaGa Frontier Remastered [Eng/Asia] - Brand New Sealed</t>
  </si>
  <si>
    <t>[C] SX 6000D - 600</t>
  </si>
  <si>
    <t>Fleet</t>
  </si>
  <si>
    <t>[C] SX 6000C - 600</t>
  </si>
  <si>
    <t>[C] SX 6000B - 600</t>
  </si>
  <si>
    <t>[C] SX 6000A - 600</t>
  </si>
  <si>
    <t>ETERNAL</t>
  </si>
  <si>
    <t>[C] SX 7000B - 700</t>
  </si>
  <si>
    <t>[C] SX 60003 - 600</t>
  </si>
  <si>
    <t>[C] SX 7000ฺC - 700</t>
  </si>
  <si>
    <t>[C] SX 7000ฺD - 700</t>
  </si>
  <si>
    <t>[C] SX 7000A - 700</t>
  </si>
  <si>
    <t>[C] SX 60001 - 700</t>
  </si>
  <si>
    <t>[C] jaded_1 - 700</t>
  </si>
  <si>
    <t>[C] SX 3000A - 300</t>
  </si>
  <si>
    <t>[C] SX 9000A - 900</t>
  </si>
  <si>
    <t>[C] SX 3000B - 300</t>
  </si>
  <si>
    <t>[C] Mujing 1 2 3 4 5 - 600</t>
  </si>
  <si>
    <t>[C] SX 30003 - 600</t>
  </si>
  <si>
    <t>[C] SX 30000 - 600</t>
  </si>
  <si>
    <t>[C] SX 30001 - 600</t>
  </si>
  <si>
    <t>[มือ1] NSW Mortal Kombat 11 [US] - Brand New Sealed</t>
  </si>
  <si>
    <t>[C] SX 3000C - 300</t>
  </si>
  <si>
    <t>[C] SX 60007 - 607</t>
  </si>
  <si>
    <t>[มือ1] PS4 Bloodstained [US/ZoneAll] - Brand New Sealed</t>
  </si>
  <si>
    <t>[C] SX 30003 - 300</t>
  </si>
  <si>
    <t>[C] SX 30001 - 300</t>
  </si>
  <si>
    <t>[C] SX 30004 - 300</t>
  </si>
  <si>
    <t>[Alpha] Spineback Turtle - Common</t>
  </si>
  <si>
    <t>[4] Spaceship</t>
  </si>
  <si>
    <t>Spaceship</t>
  </si>
  <si>
    <t>[3] Spaceship</t>
  </si>
  <si>
    <t>[3] 133</t>
  </si>
  <si>
    <t>Worker</t>
  </si>
  <si>
    <t>[3] 109</t>
  </si>
  <si>
    <t>[3] 142</t>
  </si>
  <si>
    <t>[มือ1] PS4 Ys Memories of Celceta Timeless Adventurer Edition [US/ZoneAll] - Brand New Sealed</t>
  </si>
  <si>
    <t>BUSD</t>
  </si>
  <si>
    <t>[มือ1] NSW God Eater 3 [US] - Brand New Sealed</t>
  </si>
  <si>
    <t>[มือ1] NSW Dragonball Fighter Z [US] - Brand New Sealed</t>
  </si>
  <si>
    <t>[มือ1] PS4 Sekiro Shadows Die Twice [Eng/Zone3] - Brand New Sealed</t>
  </si>
  <si>
    <t>SPS</t>
  </si>
  <si>
    <t>[Alpha] Crustacean King - Common</t>
  </si>
  <si>
    <t>[Dice Gold] Lensmaster - Legendary</t>
  </si>
  <si>
    <t>DEC</t>
  </si>
  <si>
    <t>[Beta] Silvershield Knight - Common Lvl 5 (26)</t>
  </si>
  <si>
    <t>[มือ1] PS4 Kingdom Hearts All-In-One Package [US/ZoneAll] - Brand New Sealed</t>
  </si>
  <si>
    <t>[Untamed Gold] Unicorn Mustang - Rare</t>
  </si>
  <si>
    <t>[มือ1] NSW Rune Factory 4 Special [US] - Brand New Sealed</t>
  </si>
  <si>
    <t>[Reward] Venari Wavesmith - Rare Lvl 5 (40)</t>
  </si>
  <si>
    <t>[Reward] Silvershield Assassin - Rare Lvl 4 (14)</t>
  </si>
  <si>
    <t>[Reward Gold] Torhilo The Frozen - Epic</t>
  </si>
  <si>
    <t>[Reward Gold] Demented Shark - Common</t>
  </si>
  <si>
    <t>[Reward] Venari Crystalsmith - Rare Lvl 4 (25)</t>
  </si>
  <si>
    <t>[Dice] Demented Shark - Common Lvl 5</t>
  </si>
  <si>
    <t>[Epic] Record of Time</t>
  </si>
  <si>
    <t>Sphere</t>
  </si>
  <si>
    <t>[Reward Gold] Wave Runner - Common</t>
  </si>
  <si>
    <t>[Reward Gold] Feasting Seaweed - Common</t>
  </si>
  <si>
    <t>[Reward] Venari Wavesmith - Rare Lvl 3 (14)</t>
  </si>
  <si>
    <t>[Dice Gold] Forst Lion - Common</t>
  </si>
  <si>
    <t>[Dice Gold] Vela Salacia - Rare Lvl 4 (4)</t>
  </si>
  <si>
    <t>[Untamed Gold] Serpent of Eld - Rare</t>
  </si>
  <si>
    <t>[Reward] Venari Wavesmith - Rare Lvl 4 (25)</t>
  </si>
  <si>
    <t>[Epic] Gateway Key</t>
  </si>
  <si>
    <t>NSW Ys VIII Lacrimosa of Dana [US] มือสอง</t>
  </si>
  <si>
    <t>PS4 Ys VIII Lacrimosa of Dana [US] มือสอง</t>
  </si>
  <si>
    <t>[มือ1] NSW New Pokemon Snap [US/Asia] - Brand New Sealed</t>
  </si>
  <si>
    <t>[Reward Gold] Kelp Intiate - Rare</t>
  </si>
  <si>
    <t>[มือ1] NSW No More Heroes 1+2 Limited Run [US] - Brand New Sealed</t>
  </si>
  <si>
    <t>NSW No More Heroes 3 [US/Asia] มือสอง</t>
  </si>
  <si>
    <t>[Untamed Gold] Ice Pixie - Rare</t>
  </si>
  <si>
    <t>[Reward] Axemaster - Epic</t>
  </si>
  <si>
    <t>[Dice Gold] Mylor Crowling - Rare</t>
  </si>
  <si>
    <t>[มือ1] NSW Dragon Quest XI S [US/Asia] - Brand New Sealed</t>
  </si>
  <si>
    <t>[มือ1] NSW Xenoblade Chronicles 2 [US/Asia] - Brand New Sealed</t>
  </si>
  <si>
    <t>PS4 Persona 5 Royal [Eng/Zone3] มือสอง</t>
  </si>
  <si>
    <t>[มือ1] NSW Attack on Titan 2 [US]  - Brand New Sealed</t>
  </si>
  <si>
    <t>NSW Attack on Titan 2 Final Battle [EU] มือสอง</t>
  </si>
  <si>
    <t>[Reward Gold] Ancient Lich - Legendary</t>
  </si>
  <si>
    <t>[Promo] Halfing Alchemist - Epic</t>
  </si>
  <si>
    <t>Sand Worm</t>
  </si>
  <si>
    <t>[มือ1] NSW Splatoon 2 [US/Asia] - Brand New Sealed</t>
  </si>
  <si>
    <t>[มือ1] NSW Xenoblade Chronicles 2 Torna the Golden Country [US] - Brand New Sealed</t>
  </si>
  <si>
    <t>[มือ1] NSW Disgaea 4 Complete + [US] - Brand New Sealed</t>
  </si>
  <si>
    <t>Console</t>
  </si>
  <si>
    <t>[มือ1] PS4 Persona 5 Royal [Eng/Zone3] - Brand New Sealed</t>
  </si>
  <si>
    <t>[มือ1] PS4 Final Fantasy XII The Zodiac Age [US/ZoneAll] - Brand New Sealed</t>
  </si>
  <si>
    <t>[มือ1] NSW Octopath Traveler [US/Asia] - Brand New Sealed</t>
  </si>
  <si>
    <t>NSW Xenoblade Chronicles 2 Torna the Golden Country [US] มือสอง</t>
  </si>
  <si>
    <t>[มือ1] PS4 NieR Replicant ver.1.22474487139... [Eng/Zone3] - Brand New Sealed</t>
  </si>
  <si>
    <t>[มือ1] NSW SD Gundam G Generation Cross Rays [Eng/Asia] - Brand New Sealed</t>
  </si>
  <si>
    <t>[มือ1] NSW One Piece Pirate Warriors 4 [Thai/Asia] - Brand New Sealed</t>
  </si>
  <si>
    <t>PS4 Prey [Eng/Zone3] มือสอง</t>
  </si>
  <si>
    <t>[มือ1] NSW Super Robot Wars T [Eng/Asia] - Brand New Sealed</t>
  </si>
  <si>
    <t>NSW Tokyo Mirage Sessions #FE Encore [US/Asia] มือสอง</t>
  </si>
  <si>
    <t>PS4 The Legend of Heroes Trails of Cold Steel IV Frontline Edition [US/ZoneAll] มือสอง</t>
  </si>
  <si>
    <t>[มือ1] NSW Ys Origin [US] - Brand New Sealed</t>
  </si>
  <si>
    <t>[มือ1] NSW The Wonderful 101 [US] - Brand New Sealed</t>
  </si>
  <si>
    <t>[มือ1] NSW Hyrule Warriors Age of Calamity [US] - Brand New Sealed</t>
  </si>
  <si>
    <t>[มือ1] NDS Dragon Quest V Hand of the Heavenly Bride [US] - Brand New Sealed</t>
  </si>
  <si>
    <t>NSW Xenoblade Chronicles 2 [US/Asia] มือสอง</t>
  </si>
  <si>
    <t>[มือ1] NSW Pokemon Mystery Dungeon Rescue Team DX [US/Asia] - Brand New Sealed</t>
  </si>
  <si>
    <t>[มือ1] NSW Monster Hunter Rise [US] - Brand New Sealed</t>
  </si>
  <si>
    <t>[มือ1] NSW Labyrinth of Refrain Coven of Dusk [US] - Brand New Sealed</t>
  </si>
  <si>
    <t>[มือ1] NSW Dead or School [JP/Eng] - Brand New Sealed</t>
  </si>
  <si>
    <t>[มือ1] NSW Capcom Belt Action Collection [Eng/JP] - Brand New Sealed</t>
  </si>
  <si>
    <t>[มือ1] NSW Raiden V Director's Cut [US]</t>
  </si>
  <si>
    <t>[มือ1] NDS Dragon Quest IV Chapters of the Chosen [US] - Brand New Sealed</t>
  </si>
  <si>
    <t>[มือ1 ส่งฟรี] NSW The Legend of Heroes Trails of Cold Steel IV Frontline Edition [US] - Brand New Sealed</t>
  </si>
  <si>
    <t>[มือ1] 3DS Fire Emblem Fates Birthright [US] - Brand New Sealed</t>
  </si>
  <si>
    <t>[มือ1] PS4 Sakuna Of Rice and Ruin [US] - Brand New Sealed</t>
  </si>
  <si>
    <t>[มือ1] NDS Dragon Quest IX Sentinels of the Starry Skies [US] - Brand New Sealed</t>
  </si>
  <si>
    <t>[มือ1] 3DS Dragon Quest VII Fragments of the Forgotten Past [US] - Brand New Sealed</t>
  </si>
  <si>
    <t>[มือ1] NSW Ys VIII Lacrimosa of Dana [US] - Brand New Sealed</t>
  </si>
  <si>
    <t>[มือ1] 3DS Dragon Quest VIII Journey Of The Cursed King [US] - Brand New Sealed</t>
  </si>
  <si>
    <t>[มือ1 ส่งฟรี] NSW Monster Hunter Rise [US] - Brand New Sealed</t>
  </si>
  <si>
    <t>[มือ1 ส่งฟรี] NSW Persona 5 Strikers [US] - Brand New Sealed</t>
  </si>
  <si>
    <t>NSW Xenoblade Chronicles 2 Torna The Golden Country [US/Asia] มือสอง + DLC Code</t>
  </si>
  <si>
    <t>[มือ1 ส่งฟรี] NSW Bravely Default 2 [Eng/Asia] - Brand New Sealed</t>
  </si>
  <si>
    <t>[มือ1] NSW Tokyo Mirage Sessions #FE Encore [Eng/Asia] - Brand New Sealed</t>
  </si>
  <si>
    <t>NSW Mario Kart 8 Deluxe [US/Asia] มือสอง</t>
  </si>
  <si>
    <t>[มือ1] 3DS Radiant Historia Perfect Chronology [US] - Brand New Sealed</t>
  </si>
  <si>
    <t>[มือ1] NSW Super Mario 3D World + Bowser's Fury [US/Asia] - Brand New Sealed</t>
  </si>
  <si>
    <t>[มือ1] NSW Kirby Star Allies [US/Asia] - Brand New Sealed</t>
  </si>
  <si>
    <t>[มือ1 ส่งฟรี] NSW Atelier Ryza 2 [Eng/Asia] - Brand New Sealed</t>
  </si>
  <si>
    <t>[มือ1 ส่งฟรี] PS4 Atelier Ryza 2 [Eng/Asia] - Brand New Sealed</t>
  </si>
  <si>
    <t>[มือ1] PS4 Dragon Quest XI S [US/ZoneAll] - Brand New Sealed</t>
  </si>
  <si>
    <t>[มือ1] NSW Animal Crossing New Horizons - Brand New Sealed [US/Asia] - Brand New Sealed</t>
  </si>
  <si>
    <t>[มือ1] PS4 The Legend of Heroes Trails of Cold Steel II [US/ZoneAll] - Brand New Sealed</t>
  </si>
  <si>
    <t>[มือ1] PS4 The Legend of Heroes Trails of Cold Steel I [US/ZoneAll] - Brand New Sealed</t>
  </si>
  <si>
    <t>[มือ1] PS4 Resident Evil 7 Biohazard Gold Edition [US/ZoneAll] - Brand New Sealed</t>
  </si>
  <si>
    <t>NSW Just Dance 2020 [EU] มือสอง</t>
  </si>
  <si>
    <t>Nintendo Switch V2 (Grey) [PXT] - Nadz 10-08-2021 มือสอง</t>
  </si>
  <si>
    <t>NSW Rune Factory 4 Special [EU] มือสอง</t>
  </si>
  <si>
    <t>PS4 Wolfenstein Youngblood [Eng/Zone3] มือสอง</t>
  </si>
  <si>
    <t>[มือ1] NSW Xenoblade Chronicles 2 Special Edition [US] - Brand New Sealed</t>
  </si>
  <si>
    <t>[มือ1] Super Mario Party [US/Asia] - Brand New Sealed</t>
  </si>
  <si>
    <t>[มือ1 ส่งฟรี] NSW Monster Hunter Rise [Eng/Asia] - Brand New Sealed</t>
  </si>
  <si>
    <t>[มือ1 ส่งฟรี] NSW Ys Origin [US] - Brand New Sealed</t>
  </si>
  <si>
    <t>[มือ1 ส่งฟรี] NSW Bravely Default 2 [US] - Brand New Sealed</t>
  </si>
  <si>
    <t>PS4 The Legend of Heroes Trails of Cold Steel I + II [US/ZoneAll] มือสอง</t>
  </si>
  <si>
    <t>3DS Dragon Quest VIII Journey Of The Cursed King [US] มือสอง</t>
  </si>
  <si>
    <t>[มือ1] NSW Nintendo Switch [PXT] - Tinzshop</t>
  </si>
  <si>
    <t>[มือ1 ส่งฟรี] PS4 Ys IX Monstrum Nox Pact Edition [US/ZoneAll] - Brand New Sealed</t>
  </si>
  <si>
    <t>[มือ1] NSW Nelke &amp; the Legendary Alchemists Ateliers of the New World [US] - Brand New Sealed</t>
  </si>
  <si>
    <t>[มือ1 ส่งฟรี] NSW Hyrule Warriors Age of Calamity [US] - Brand New Sealed</t>
  </si>
  <si>
    <t>[มือ1] NSW Megaman X Collection 1+2 [US] - Brand New Sealed</t>
  </si>
  <si>
    <t>[มือ1] PS4 Dragon Quest XI S [Eng/Zone3] - Brand New Sealed</t>
  </si>
  <si>
    <t>[มือ1] NSW Animal Crossing New Horizons - Brand New Sealed [US/Asia]</t>
  </si>
  <si>
    <t>[มือ1] NSW Attack on Titan 2 [US] - Brand New Sealed</t>
  </si>
  <si>
    <t>[มือ1] NSW Nintendo Switch [MYS] - Nadz Project</t>
  </si>
  <si>
    <t>[มือ1] Ace Angler Fishing Simulation Game [Eng/Asia] - Brand New Sealed</t>
  </si>
  <si>
    <t>NSW Xenoblade Chronicles 2 Torna The Golden Country [US] มือสอง + DLC Code</t>
  </si>
  <si>
    <t>NSW Tokyo Mirage Sessions #FE Encore [US/Asia]</t>
  </si>
  <si>
    <t>[มือ1] PS4 Sekiro [Asia/Zone3] - Brand New Sealed</t>
  </si>
  <si>
    <t>[มือ1] NSW Xenoblade Chronicles 2 [US] - Brand New Sealed</t>
  </si>
  <si>
    <t>[มือ1] 3DS Pokemon Alpha Sapphire [US] - Brand New Sealed</t>
  </si>
  <si>
    <t>[มือ1] 3DS Pokemon Y [US] - Brand New Sealed</t>
  </si>
  <si>
    <t>[มือ1 ส่งฟรี] NSW Sakuna Of Rice and Ruin [US] - Brand New Sealed</t>
  </si>
  <si>
    <t>[มือ1] 3DS Shin Megami Tensei Devil Survivor 2 Record Breaker Launch Edition [US] - Brand New Sealed</t>
  </si>
  <si>
    <t>[มือ1] 3DS Persona Q2 [US] - Brand New Sealed</t>
  </si>
  <si>
    <t>[มือ1] NSW Code of Princess EX [US] - Brand New Sealed</t>
  </si>
  <si>
    <t>PS4 The Legend of Heroes Trails of Cold Steel IV Frontline Edition  [US/ZoneAll] มือสอง</t>
  </si>
  <si>
    <t>[มือ1] NSW Warriors Orochi 4 Ultimate EX [US] - Brand New Sealed</t>
  </si>
  <si>
    <t>[มือ1] WD BLUE SN550 1TB SSD NVMe M.2 2280 (5Y)</t>
  </si>
  <si>
    <t>3DS Fire Emblem Awakening [US] มือสอง</t>
  </si>
  <si>
    <t>PS4 Persona 5 Royal [Eng/Zone3] - Brand New Sealed</t>
  </si>
  <si>
    <t>[มือ1 ส่งฟรี] PS4 Sakuna Of Rice and Ruin [US] - Brand New Sealed</t>
  </si>
  <si>
    <t>[มือ1] NSW Darksiders Genesis [US] - Brand New Sealed</t>
  </si>
  <si>
    <t>NSW NSW Final Fantasy VII / VIII Remastered Twin Pack [Eng/Asia] มือสอง</t>
  </si>
  <si>
    <t>[มือ1] NSW Nintendo Switch [HKG] - Classic Gameshop</t>
  </si>
  <si>
    <t>[มือ1] NSW Final Fantasy VII / VIII Remastered Twin Pack [EU] - Brand New Sealed</t>
  </si>
  <si>
    <t>NSW Super Robot Wars X [Eng/Asia] มือสอง</t>
  </si>
  <si>
    <t>[มือ1] NSW Super Mario Maker 2 [US/Asia] - Brand New Sealed</t>
  </si>
  <si>
    <t>[มือ1] NSW Borderlands Legendary Collection [US] - Brand New Sealed</t>
  </si>
  <si>
    <t>[มือ1] PS4 Final Fantasy VII Remake [Eng/Zone3] - Brand New Sealed</t>
  </si>
  <si>
    <t>[มือ1] NSW Super Mario 3D All-Stars [US] - Brand New Sealed</t>
  </si>
  <si>
    <t>[มือ1] NSW Mario Tennis Aces [US/Asia] - Brand New Sealed</t>
  </si>
  <si>
    <t>NSW Astral Chain [US/Asia] มือสอง</t>
  </si>
  <si>
    <t>[มือ1] PS4 Nier Automata Game of the Yorha Edition [US] - Brand New Sealed</t>
  </si>
  <si>
    <t>NSW Xenoblade Chronicles Definitive Edition [US] มือสอง</t>
  </si>
  <si>
    <t>NSW Dark Souls [US] มือสอง</t>
  </si>
  <si>
    <t>NSW Final Fantasy XII Zodiac Age [Eng/Asia] มือสอง</t>
  </si>
  <si>
    <t>NSW Tales of Vesperia Definitive Edition [EU] มือสอง</t>
  </si>
  <si>
    <t>NSW Ni no Kuni Wrath of the White Witch [US] มือสอง</t>
  </si>
  <si>
    <t>[มือ1] NSW Animal Crossing New Horizon [US/Asia] - Brand New Sealed</t>
  </si>
  <si>
    <t>JRPG Collector 2021 Grand Total</t>
  </si>
  <si>
    <t>JRPG Collector 2020</t>
  </si>
  <si>
    <t>[มือ1] NSW Megaman Zero / ZX Collection [US] - Brand New Sealed</t>
  </si>
  <si>
    <t>[มือ1 ส่งฟรี] NSW Final Fantasy IX [Eng/Asia] - Brand New Sealed</t>
  </si>
  <si>
    <t>[มือ1] NSW Jump Force Deluxe Edition [Eng/Asia] - Brand New Sealed</t>
  </si>
  <si>
    <t>[มือ1] NSW Elder Scroll V Skyrim [US] - Brand New Sealed</t>
  </si>
  <si>
    <t>[มือ1] NSW Ring Fit Adventure [Eng/Asia]</t>
  </si>
  <si>
    <t>[มือ1] NSW Dead Cells Action Game of the Year [US] - Brand New Sealed</t>
  </si>
  <si>
    <t>[มือ1] Nintendo Switch V2 (Animal Crossing) - tinzshop XKJ70053395569</t>
  </si>
  <si>
    <t>[มือ1] NSW Shining Resonance Refrain [US] - Brand New Sealed</t>
  </si>
  <si>
    <t>[มือ1] NSW I am Setsuna [Eng/JP] - Brand New Sealed</t>
  </si>
  <si>
    <t>[มือ1] NSW Lost Sphear [US] - Brand New Sealed</t>
  </si>
  <si>
    <t>[มือ1 ส่งฟรี] NSW Hyrule Warriors Age of Calamity [US/Asia] - Brand New Sealed</t>
  </si>
  <si>
    <t>NSW SD Gundam G Generation Cross Rays [Eng/Asia] มือสอง</t>
  </si>
  <si>
    <t>[มือ1] NSW Yoshi's Crafted World [US/Asia] - Brand New Sealed</t>
  </si>
  <si>
    <t>[มือ1] Nintendo Switch V2 (Neon) - tinzshop</t>
  </si>
  <si>
    <t>NSW Ni no Kuni Wrath of the White Witch [Eng/Asia] มือสอง</t>
  </si>
  <si>
    <t>[มือ1] NSW Digimon Story Cyber Sleuth Complete Edition - Brand New Sealed</t>
  </si>
  <si>
    <t>[มือ1] NSW Tales of Vesperia Definitive Edition [US] - Brand New Sealed</t>
  </si>
  <si>
    <t>NSW Octopath Traveler [US] มือสอง</t>
  </si>
  <si>
    <t>[มือ1] NSW Hori Fighting Stick Mini for Nintendo Switch</t>
  </si>
  <si>
    <t>[มือ1] NSW Under Night In-Birth EXE:Late [Cl-r] [US] - Brand New Sealed</t>
  </si>
  <si>
    <t>[มือ1] Nintendo Switch V2 (Neon) - Game PlayStation</t>
  </si>
  <si>
    <t>[มือ1] NSW Pokemon Shield [US/Asia] - Brand New Sealed</t>
  </si>
  <si>
    <t>[มือ1] Nintendo Switch V2 (Neon) - Nadz XKJ70053682584</t>
  </si>
  <si>
    <t>[มือ1] Nintendo Switch V2 (Neon) - Nadz XKJ70053687879</t>
  </si>
  <si>
    <t>[มือ1] NSW Warriors Orochi 4 Ultimate [US] - Brand New Sealed</t>
  </si>
  <si>
    <t>[มือ1] NSW Megaman Collection 1+2 [US] - Brand New Sealed</t>
  </si>
  <si>
    <t>[มือ1] NSW Astral Chain [US/Asia] - Brand New Sealed</t>
  </si>
  <si>
    <t>[มือ1] NSW Octopath Traveller [US/Asia] - Brand New Sealed</t>
  </si>
  <si>
    <t>[มือ1] NSW Azure Striker Gunvolt Striker Pack [US] - Brand New Sealed</t>
  </si>
  <si>
    <t>3DS Bravely Default [US] มือสอง</t>
  </si>
  <si>
    <t>[มือ1] NSW Shovel Knight Treasure Trove [US] - Brand New Sealed</t>
  </si>
  <si>
    <t>NSW Final Fantasy VII / VIII Remastered Twin Pack [Eng/Asia] มือสอง</t>
  </si>
  <si>
    <t>[มือ1] PS4 Persona 5 Royal Steelbook Edition [EU] - Brand New Sealed</t>
  </si>
  <si>
    <t>NSW Xenoblade Chronicles Definitive Edition [US/Asia] มือสอง</t>
  </si>
  <si>
    <t>[มือ1] NSW Final Fantasy XII Zodiac Age [US] - Brand New Sealed</t>
  </si>
  <si>
    <t>[มือ1 ส่งฟรี] PS4 The Legend of Heroes Trails of Cold Steel IV Frontline Edition [US] - Brand New Sealed</t>
  </si>
  <si>
    <t>[มือ1] PS4 Final Fantasy XV Royal Edition [US/ZoneAll] - Brand New Sealed</t>
  </si>
  <si>
    <t>[มือ1] NSW Rune Factory 4 Special Archival Edition [US]  - Brand New Sealed</t>
  </si>
  <si>
    <t>[Bundle มือ1] PS4 The Legend of Heroes Trails of Cold Steel I + II [US/ZoneAll] - Brand New Sealed</t>
  </si>
  <si>
    <t>NSW Fate Extella The Umbral Star [JP/Eng] มือสอง</t>
  </si>
  <si>
    <t>[มือ1] NSW Super Mario 3D All-Stars [US/Asia] - Brand New Sealed</t>
  </si>
  <si>
    <t>[มือ1] Nintendo Switch V2 (Neon) - birdgames XKJ70032835963</t>
  </si>
  <si>
    <t>MSI Radeon RX 5700 XT EVOKE OC 8GB GDDR6 มือสอง</t>
  </si>
  <si>
    <t>[มือ1 ส่งฟรี] NSW The Legend of Heroes Trails of Cold Steel III Extracurricullar Edition [US] - Brand New Sealed</t>
  </si>
  <si>
    <t>[มือ1] Nintendo Switch V2 (Neon) - bjshopgame XKJ10037281532</t>
  </si>
  <si>
    <t>[มือ1] NSW The Witcher 3 Wild Hunt Complete Edition [US]</t>
  </si>
  <si>
    <t>[มือ1] PS4 God Eater 3 [US/ZoneAll] - Brand New Sealed</t>
  </si>
  <si>
    <t>NSW Final Fantasy X / X-2 Remastered [Eng/Asia] มือสอง</t>
  </si>
  <si>
    <t>[มือ1] Nintendo Switch V2 (Neon) - isquaresoftgame XKJ10026200674</t>
  </si>
  <si>
    <t>[มือ1] NSW Trials of Mana [Eng/Asia] - Brand New Sealed</t>
  </si>
  <si>
    <t>[มือ1] NSW Wireless Pro Controller for Nintendo Switch</t>
  </si>
  <si>
    <t>[มือ1] NSW Story of Seasons Friends of Mineral Town [US] + น้องวัว</t>
  </si>
  <si>
    <t>[มือ1] PS4 Trials of Mana [Eng/Zone3] - Brand New Sealed</t>
  </si>
  <si>
    <t>[มือ1] NSW Bayonetta 2 [US] - Brand New Sealed</t>
  </si>
  <si>
    <t>[มือ1 ส่งฟรี] PS4 Ys Memories of Celceta Timeless Adventurer Edition [US] - Brand New Sealed</t>
  </si>
  <si>
    <t>[มือ1] PS4 Trials of Mana [EngZone3] - Brand New Sealed</t>
  </si>
  <si>
    <t>[มือ1] PS4 Ni no Kuni Remastered [Eng/Zone3] - Brand New Sealed</t>
  </si>
  <si>
    <t>[มือ1] PS4 Final Fantasy VII Remake [EngZone3] - Brand New Sealed</t>
  </si>
  <si>
    <t>[มือ1] Nintendo Switch V2 (Neon) - Classic</t>
  </si>
  <si>
    <t>[มือ1] NSW Megaman 11 [US] - Brand New Sealed</t>
  </si>
  <si>
    <t>[มือ1 ประกันศูนย์] Nintendo Switch V2 (Neon) [ASI] - Tinzshop 25-09-2021</t>
  </si>
  <si>
    <t>[มือ1] NSW The Witcher 3 Wild Hunt Complete Edition [EU] - Brand New Sealed</t>
  </si>
  <si>
    <t>[มือ1] NSW Super Mario Odyssey [US/Asia] - Brand New Sealed</t>
  </si>
  <si>
    <t>[มือ1] NSW Mario &amp; Sonic at the Olympic Games Tokyo 2020 [US/Asia] - Brand New Sealed</t>
  </si>
  <si>
    <t>[มือ1] NSW Atelier Dusk Trilogy Deluxe Pack - Brand New Sealed</t>
  </si>
  <si>
    <t>[มือ1] Nintendo Switch Lite (Coral) [ASI] - Tinzshop 03-09-2021</t>
  </si>
  <si>
    <t>[มือ1 ประกันศูนย์] Nintendo Switch V2 (Neon) [ASI] - Tinzshop 11-09-2021</t>
  </si>
  <si>
    <t>NSW Tokyo Mirage Sessions #FE Encore [US] มือสอง</t>
  </si>
  <si>
    <t>[มือ1 ส่งฟรี] PS4 Sword Art Online Alicization Lycoris [Eng/Zone3] - Brand New Sealed</t>
  </si>
  <si>
    <t>[มือ1 ประกันศูนย์] Nintendo Switch V2 (Neon) [PXT] - Nadz 08-09-2021 XKJ0035787081</t>
  </si>
  <si>
    <t>[มือ1] NSW Borderlands Collection [US] - Brand New Sealed</t>
  </si>
  <si>
    <t>[มือ1] Nintendo Switch Pro Controller</t>
  </si>
  <si>
    <t>[มือ1] 3DS Shin Megami Tensei Devil Survivor 2 Record Breaker [US] - Brand New Sealed</t>
  </si>
  <si>
    <t>[มือ1 ประกันศูนย์] Nintendo Switch V2 (Neon) [PXT] - Nadz 22-08-2021 XKJ10034534846</t>
  </si>
  <si>
    <t>[มือ1] NSW Ring Fit Adventure [US/Asia]</t>
  </si>
  <si>
    <t>[มือ1] Nintendo Switch V2 (Neon) [KOR] - Game Playstation</t>
  </si>
  <si>
    <t>NSW Wolfenstein 2 [US] มือสอง</t>
  </si>
  <si>
    <t>PS4 God Eater 3 [US/ZoneAll] มือสอง</t>
  </si>
  <si>
    <t>[มือ1] Nintendo Switch V2 (Neon) [ASI] - Classic Gameshop XKJ70024916809</t>
  </si>
  <si>
    <t>[มือ1 ส่งฟรี] NSW Bare Knuckle IV Special Edition [JP] - Brand New Sealed</t>
  </si>
  <si>
    <t>[มือ1] WD BLUE SN550 250GB SSD NVMe M.2 2280 (5Y)</t>
  </si>
  <si>
    <t>[มือ1] Nintendo Switch V2 (Neon)</t>
  </si>
  <si>
    <t>[มือ1] ASROCK Mainboard AM4 B450M STEEL LEGEND</t>
  </si>
  <si>
    <t>PS4 Days Gone [Eng/Zone3] มือสอง</t>
  </si>
  <si>
    <t>PS4 Sword Art Online Fatal Bullet [Eng/Asia] มือสอง</t>
  </si>
  <si>
    <t>[มือ1 ประกันศูนย์] Nintendo Switch V2 (Neon) [PXT] - XKJ10034431572</t>
  </si>
  <si>
    <t>PS4 Trials of Mana [Eng/Zone3] มือสอง</t>
  </si>
  <si>
    <t>[มือ1] WD BLUE SN550 500GB SSD NVMe M.2 2280 (5Y)</t>
  </si>
  <si>
    <t>[มือ1] NSW Story of Seasons Friends of Mineral Town [US]</t>
  </si>
  <si>
    <t>[มือ1 ประกันศูนย์] Nintendo Switch V2 (Neon) [PXT] - Tinzshop XKJ10037344091</t>
  </si>
  <si>
    <t>[มือ1] NSW Ni no Kuni Remastered [US] - Brand New Sealed</t>
  </si>
  <si>
    <t>[มือ1] ASROCK Mainboard AM4 B450M STEEL LEGEND - D6M0XB369789</t>
  </si>
  <si>
    <t>[มือ1] Gigabyte GeForce GTX 1660 SUPER WINDFORCE OC 6GB GDDR6 - SN203141031304</t>
  </si>
  <si>
    <t>[มือ1] Gigabyte GeForce RTX 2060 SUPER WINDFORCE OC 8GB GDDR6 - SN202441051435</t>
  </si>
  <si>
    <t>NSW Atelier Ryza [US] มือสอง</t>
  </si>
  <si>
    <t>[มือ1 ส่งฟรี] NSW Xenoblade Chronicles Definitive Edition [US/Asia] - Brand New Sealed</t>
  </si>
  <si>
    <t>[มือ1] PS4 Sword Art Online Hollow Realization [Eng/Asia] - Brand New Sealed</t>
  </si>
  <si>
    <t>[มือ1 ประกันศูนย์] Nintendo Switch V2 (Grey) [PXT]</t>
  </si>
  <si>
    <t>PS4 Pro 1TB ประกันศูนย์ไทย มือสอง</t>
  </si>
  <si>
    <t>[มือ1] Gigabyte GeForce GTX 1660 SUPER WINDFORCE OC 6GB GDDR6 - SN203141031305</t>
  </si>
  <si>
    <t>[มือ1 มี DLC Code แถม] NSW Xenoblade Chronicles 2 Torna the Golden Country [US] - Brand New Sealed</t>
  </si>
  <si>
    <t>[มือ1] INNO3D GeForce GTX 1660 SUPER TWIN X2 OC RGB 6GB DDR6 - 32-696-200600372</t>
  </si>
  <si>
    <t>[มือ1] Nintendo Switch V2 (Neon) [HK] - XKJ70039765003</t>
  </si>
  <si>
    <t>[มือ1] PS4 Soulcalibur VI [US/ZoneAll] - Brand New Sealed</t>
  </si>
  <si>
    <t>T77</t>
  </si>
  <si>
    <t>[มือ1 ส่งฟรี] NSW Trials of Mana [US] - Brand New Sealed</t>
  </si>
  <si>
    <t>[มือ1 ส่งฟรี] NSW Borderlands Collection [US] - Brand New Sealed</t>
  </si>
  <si>
    <t>NSW Chocobo's Mystery Dungeon Every Buddy [Eng/JP] มือสอง</t>
  </si>
  <si>
    <t>[มือ1 ประกันศูนย์] Nintendo Switch V2 (Neon) [PXT]</t>
  </si>
  <si>
    <t>NSW Atelier Dusk Trilogy Deluxe Pack มือสอง</t>
  </si>
  <si>
    <t>[มือ1 ส่งฟรี] Nintendo Switch V2 (Neon)</t>
  </si>
  <si>
    <t>[มือ1 ส่งฟรี] PS4 Trials of Mana [US] - Brand New Sealed</t>
  </si>
  <si>
    <t>[มือ1] MSI Radeon RX 5600 XT MECH OC 6GB GDDR6</t>
  </si>
  <si>
    <t>[มือ1] Gigabyte GeForce GTX 1660 SUPER WINDFORCE OC 6GB GDDR6</t>
  </si>
  <si>
    <t>[มือ1] PS4 Slim 1TB Mega Pack ประกันศูนย์ไทย</t>
  </si>
  <si>
    <t>[มือ1 ส่งฟรี] Nintendo Switch V2 (Neon) [AUS]</t>
  </si>
  <si>
    <t>[มือ1 ส่งฟรี] Nintendo Switch V2 (Neon) [JP]</t>
  </si>
  <si>
    <t>[มือ1] NSW Diablo 3 Eternal Collection [US] - Brand New Sealed</t>
  </si>
  <si>
    <t>[มือ1 ส่งฟรี] NSW Trials of Mana [Eng/Asia] - Brand New Sealed</t>
  </si>
  <si>
    <t>[Bundle มือ1] NSW Pokemon Sword &amp; Shield + Steel Book [US/Asia] - Brand New Sealed</t>
  </si>
  <si>
    <t>[มือ1 ส่งฟรี] Nintendo Switch V2 (Grey) [Maxsoft]</t>
  </si>
  <si>
    <t>NSW Sword Art Online Hollow Realization Deluxe Edition [Eng/Asia] มือสอง</t>
  </si>
  <si>
    <t>[มือ1] 3DS Shin Megami Tensei Strange Journey Redux [US] - Brand New Sealed</t>
  </si>
  <si>
    <t>[มือ1 ส่งฟรี] NSW The Legend of Heroes Trails of the Cold Steel III Extracurricullar Edition [US] - Brand New Sealed</t>
  </si>
  <si>
    <t>[มือ1 ส่งฟรี] Nintendo Switch V2 (Neon) [KOR]</t>
  </si>
  <si>
    <t>[มือ1] INNO3D Geforce GTX 1660 SUPER TWIN X2 OC RGB 6GB DDR6</t>
  </si>
  <si>
    <t>[มือ1] PS4 Divinity Original Sin 2 Definitive Edition [US/ZoneAll] - Brand New Sealed</t>
  </si>
  <si>
    <t>NSW Shining Resonance [Eng/Asia] มือสอง</t>
  </si>
  <si>
    <t>[มือ1] Nintendo Switch Wireless Pro Controller</t>
  </si>
  <si>
    <t>[มือ1] PS4 Nier Automata Game of the Year Edition [US/ZoneAll] - Brand New Sealed</t>
  </si>
  <si>
    <t>[มือ1] NSW Cooking Mama Cookstar [US] - Brand New Sealed</t>
  </si>
  <si>
    <t>[มือ1 ส่งฟรี] Story of Seasons Friends of Mineral Town [US] - Brand New Sealed</t>
  </si>
  <si>
    <t>PS4 Persona 5 Royal Phantom Thieves Edition [US] มือสอง</t>
  </si>
  <si>
    <t>[มือ1] PS4 Final Fantasy XII The Zodiac Age [Eng/Zone3] - Brand New Sealed</t>
  </si>
  <si>
    <t>[มือ1] 3DS Wario Ware Gold [US] - Brand New Sealed</t>
  </si>
  <si>
    <t>[มือ1 มีของ ส่งฟรี] Nintendo Switch V2 (Neon) [JP]</t>
  </si>
  <si>
    <t>[มือ1] PS4 Granblue Fantasy Versus [US] - มีโค้ด Granblue มือถือ</t>
  </si>
  <si>
    <t>[มือ1] NSW Samurai Shodown [Eng/Asia] - Brand New Sealed</t>
  </si>
  <si>
    <t>[มือ1] Nintendo Switch Neon - Nadz</t>
  </si>
  <si>
    <t>[มือ1 ส่งฟรี] PS4 Pro 1TB God of War / The Last of Us Bundle</t>
  </si>
  <si>
    <t>NSW Megaman Zero / ZX Collection [US] มือสอง</t>
  </si>
  <si>
    <t>[มือ1 ส่งฟรี] INNO3D Geforce GTX 1660 SUPER TWIN X2 OC RGB 6GB DDR6</t>
  </si>
  <si>
    <t>[มือ1] Seagate BARRACUDA 1TB HDD</t>
  </si>
  <si>
    <t>[มือ1] PS4 Dark Souls 3 The Fire Fades Edition [US/ZoneAll] - Brand New Sealed</t>
  </si>
  <si>
    <t>NSW NSW Rune Factory 4 Special [US] มือสอง</t>
  </si>
  <si>
    <t>[มือ1] Dragon Quest XI S [US/Asia] - Brand New Sealed</t>
  </si>
  <si>
    <t>[มือ1] PS4 Nioh 2 [Eng/Zone3] - Brand New Sealed</t>
  </si>
  <si>
    <t>[มือ1 ส่งฟรี] NSW Paper Mario The Origami King [US/Asia] - Brand New Sealed</t>
  </si>
  <si>
    <t>[มือ1] NSW Fate/Extella The Umbral Star [JP/Eng] - Brand New Sealed</t>
  </si>
  <si>
    <t>3DS Shin Megami Tensei Devil Survivor 2 Record Breaker [US] มือสอง</t>
  </si>
  <si>
    <t>NSW World of Final Fantasy Maxima [Eng/Asia] มือสอง</t>
  </si>
  <si>
    <t>[มือ1] NSW Hollow Knight [US] - Brand New Sealed</t>
  </si>
  <si>
    <t>[Bundle มือ1] 3DS Fire Emblem [US] ครบทุกภาค - Brand New Sealed</t>
  </si>
  <si>
    <t>3DS Fire Emblem Fates Conquest [US] มือสอง</t>
  </si>
  <si>
    <t>3DS Etrian Odyssey IV [US] มือสอง</t>
  </si>
  <si>
    <t>3DS Stella Glow [US] มือสอง</t>
  </si>
  <si>
    <t>[มือ1] 3DS Etrian Odyssey Untold Launch Edition [US] - Brand New Sealed</t>
  </si>
  <si>
    <t>NDS Golden Sun Dark Dawn [US] มือสอง</t>
  </si>
  <si>
    <t>[DLC Code] NSW Xenoblade Chronicles 2 Torna the Golden Country [US]</t>
  </si>
  <si>
    <t>VITA P4G [US] มือสอง</t>
  </si>
  <si>
    <t>[มือ1] NSW Pokemon Shield [US] - Brand New Sealed</t>
  </si>
  <si>
    <t>[มือ1] PS4 Persona 5 Royal Phantom Thieves Edition [US] - Brand New Sealed</t>
  </si>
  <si>
    <t>[มือ1 ส่งฟรี] PS4 Pro 1TB God of War / The Last of Us Bundle - Banana IT</t>
  </si>
  <si>
    <t>[มือ1 ส่งฟรี] Nintendo Switch Lite (Coral) [HK] - iSquareSoft</t>
  </si>
  <si>
    <t>[มือ1] NSW Dragon Quest Builders 2 [US/Asia] - Brand New Sealed</t>
  </si>
  <si>
    <t>[มือ1] PS4 Tales of Vesperia Definitive Edition [Eng/Zone3] - Brand New Sealed</t>
  </si>
  <si>
    <t>[มือ1] Kirby Star Allies [US/Asia] - Brand New Sealed</t>
  </si>
  <si>
    <t>[มือ1] PS4 Ni no Kuni Remastered [EU/Zone2] - Brand New Sealed</t>
  </si>
  <si>
    <t>[มือ1] Splatoon 2 [US/Asia] - Brand New Sealed</t>
  </si>
  <si>
    <t>NSW Xenoblade Chronicles 2 - Torna The Golden Country [US] มือสอง</t>
  </si>
  <si>
    <t>NSW Oninaki [Eng/Asia] มือสอง</t>
  </si>
  <si>
    <t>[มือ1] Nintendo Classic Mini Famicom Shonen Jump Version</t>
  </si>
  <si>
    <t>NSW Ni no Kuni Remastered Wrath of the White Witch [US] มือสอง</t>
  </si>
  <si>
    <t>[มือ1] NSW Final Fantasy X / X-2 [US] - Brand New Sealed</t>
  </si>
  <si>
    <t>[มือ1 ส่งฟรี] NSW One Piece Pirate Warriors 4 [Eng/Asia] - Brand New Sealed</t>
  </si>
  <si>
    <t>[มือ1] Fire Emblem Warriors [US/Asia] - Brand New Sealed</t>
  </si>
  <si>
    <t>[มือ1] NSW Tales of Vesperia Definitive Edition [Eng/Asia] - Brand New Sealed</t>
  </si>
  <si>
    <t>[มือ1] PS4 Sekiro [Thai/Zone3] - Brand New Sealed</t>
  </si>
  <si>
    <t>[มือ1] PS4 Ace Combat 7 Skies Unknown [Eng/Zone3] - Brand New Sealed</t>
  </si>
  <si>
    <t>[มือ1 ส่งฟรี] Nintendo Switch Animal Crossing [MaxSoft] - Nadz</t>
  </si>
  <si>
    <t>PS4 Trails of Cold Steel 2 Relentless Edition [US] มือสอง</t>
  </si>
  <si>
    <t>PS4 Call of Duty Modern Warfare [Eng/Zone3] มือสอง</t>
  </si>
  <si>
    <t>NSW Final Fantasy XII Zodiac Age [US] มือสอง</t>
  </si>
  <si>
    <t>[มือ1] NSW Bayonetta 1+2 [EU] - Brand New Sealed</t>
  </si>
  <si>
    <t>[มือ1 ส่งฟรี] Nintendo Switch Lite (Grey) [EU] - Game Playstation</t>
  </si>
  <si>
    <t>[มือ1 ส่งฟรี] PS4 Trials of Mana [US/ZoneAll] - Brand New Sealed</t>
  </si>
  <si>
    <t>[มือ1 ส่งฟรี] INNO3D Geforce RTX 2070 SUPER ICHILL X3 ULTRA 8GB GDDR6</t>
  </si>
  <si>
    <t>PS4 Doom Eternal [Eng/Zone3] มือสอง</t>
  </si>
  <si>
    <t>[มือ1] NSW Animal Crossing [US/Asia] - Brand New Sealed</t>
  </si>
  <si>
    <t>[มือ1] NSW Super Mario Odessey [US/Asia] - Brand New Sealed</t>
  </si>
  <si>
    <t>[มือ1] PS4 Final Fantasy X / X-2 [EU/Zone2] - Brand New Sealed</t>
  </si>
  <si>
    <t>PS4 The Last of Us Remastered [Eng/Zone3] มือสอง</t>
  </si>
  <si>
    <t>NSW Snack World [US] มือสอง</t>
  </si>
  <si>
    <t>NSW Bioshock Collection [US] มือสอง</t>
  </si>
  <si>
    <t>[มือ1] Donkey Kong Country Tropical Freeze [US/Asia] - Brand New Sealed</t>
  </si>
  <si>
    <t>NSW NSW Fate/Extella The Umbral Star [JP] มือสอง</t>
  </si>
  <si>
    <t>[มือ1 ส่งฟรี] Nintendo Switch (Neon) [HK] - Game Playstation</t>
  </si>
  <si>
    <t>[มือ1 ส่งฟรี] Nintendo Switch Lite Pokemon [JP] - GSCS</t>
  </si>
  <si>
    <t>PS4 Ni no Kuni Remastered Wrath of the White Witch [Eng/Zone3] มือสอง</t>
  </si>
  <si>
    <t>NSW Doom [US] มือสอง</t>
  </si>
  <si>
    <t>[มือ1] NSW Yugioh Legacy of the Duelist Link Evolution [EU] - Brand New Sealed</t>
  </si>
  <si>
    <t>NSW NSW The Legend of Zelda Breath of the Wild [US/Asia] มือสอง</t>
  </si>
  <si>
    <t>NSW Chocobo's Mystery Dungeon Every Buddy [JP/Eng] มือสอง</t>
  </si>
  <si>
    <t>NSW Super Robot Wars V [Eng/Asia] มือสอง</t>
  </si>
  <si>
    <t>NSW Final Fantasy VII / VIII [US] มือสอง</t>
  </si>
  <si>
    <t>PS4 Samurai Shodown [Eng/Zone3] มือสอง</t>
  </si>
  <si>
    <t>NSW Tales of Vesperia Definitive Edition [US] มือสอง</t>
  </si>
  <si>
    <t>[มือ1] PS4 Valkyria Chronicles 4 [US/ZoneAll] - Brand New Sealed</t>
  </si>
  <si>
    <t>PS4 Final Fantasy VII Remake [Eng/Zone3] มือสอง</t>
  </si>
  <si>
    <t>[มือ1 ส่งฟรี] Nintendo Switch Lite Pokemon - Nadz</t>
  </si>
  <si>
    <t>[มือ1] NSW Xenoblade Chronicles 2 [EU] - Brand New Sealed</t>
  </si>
  <si>
    <t>[มือ1 ส่งฟรี] MSI Radeon RX 5700 XT MECH OC 8GB GDDR6</t>
  </si>
  <si>
    <t>[มือ1] NSW Dragon Quest 1+2+3 Collection [Eng/Asia] - Brand New Sealed</t>
  </si>
  <si>
    <t>[มือ1] 3DS Pokemon Ultra Moon [US]</t>
  </si>
  <si>
    <t>[มือ1 ส่งฟรี] PS4 Persona 5 Royal Phantom Thieves Edition [US] - Brand New Sealed</t>
  </si>
  <si>
    <t>Gigabyte GeForce RTX 2060 SUPER WINDFORCE OC 8GB GDDR6 มือสอง</t>
  </si>
  <si>
    <t>[มือ1] 3DS Pokemon Ultra Sun [US]</t>
  </si>
  <si>
    <t>[มือ1] NSW Luigi's Mansion 3 [US] - Brand New Sealed</t>
  </si>
  <si>
    <t>NSW Snack World The Dungeon Crawl GOLD [US] มือสอง</t>
  </si>
  <si>
    <t>[มือ1] PS4 Call of Duty Modern Warfare [Eng/Zone3] - Brand New Sealed</t>
  </si>
  <si>
    <t>[มือ1] Pokemon Mystery Dungeon Rescue Team DX [US/Asia] - Brand New Sealed</t>
  </si>
  <si>
    <t>NSW Atelier Ryza [EU] มือสอง</t>
  </si>
  <si>
    <t>NSW One Piece Pirate Warriors 4 [Thai/Asia] มือสอง</t>
  </si>
  <si>
    <t>[มือ1] NeoGeo Mini [JP] - Brand New</t>
  </si>
  <si>
    <t>NSW Disgaea 1 Complete [US] มือสอง</t>
  </si>
  <si>
    <t>[มือ1] NSW Atelier Dusk Trilogy Deluxe Pack [US/Asia] - Brand New Sealed</t>
  </si>
  <si>
    <t>[มือ1] NSW Octopath Traveler [Us/Asia] - Brand New Sealed</t>
  </si>
  <si>
    <t>[มือ1] Luigi's Mansion 3 [US] - Brand New Sealed</t>
  </si>
  <si>
    <t>[มือ1] NSW The Legend of Zelda Link's Awakening [US/Asia] - Brand New Sealed</t>
  </si>
  <si>
    <t>[มือ1] PS4 Final Fantasy XV Royal Edition [Eng/Zone3] - Brand New Sealed</t>
  </si>
  <si>
    <t>[มือ1 ส่งฟรี] PS4 Persona 5 Royal + Steel Book [US] - Brand New Sealed</t>
  </si>
  <si>
    <t>PS4 DualShock 4 มือสอง</t>
  </si>
  <si>
    <t>[มือ1] PS4 Slim 500GB*</t>
  </si>
  <si>
    <t>[มือ1] Asus ROG STRIX RX 5700 XT O8G GAMING</t>
  </si>
  <si>
    <t>[มือ1] INNO3D GeForce GTX 1660 SUPER TWIN x2 OC RGB 6GB GDDR 6</t>
  </si>
  <si>
    <t>[มือ1] Luigi's Mansion 3 [US/Asia] - Brand New Sealed</t>
  </si>
  <si>
    <t>[Bundle มือ1 ส่งฟรี] 3DS Fire Emblem [US] ครบทุกภาค - Brand New Sealed</t>
  </si>
  <si>
    <t>[มือ1] PS4 Slim 500GB</t>
  </si>
  <si>
    <t>[มือ1 ส่งฟรี] PS4 Trials of Mana [Eng/Zone3]</t>
  </si>
  <si>
    <t>[มือ1] Super Robot Wars T [Eng/Asia] - Brand New Sealed</t>
  </si>
  <si>
    <t>NSW Disgaea 5 Complete [EU] มือสอง</t>
  </si>
  <si>
    <t>[มือ1 ส่งฟรี] PS4 Final Fantasy VII Remake [Eng/Zone3] - Brand New Sealed</t>
  </si>
  <si>
    <t>PS4 Atelier Firis [EU] มือสอง</t>
  </si>
  <si>
    <t>NSW The Witcher 3 Wild Hunt Complete Edition [Eng]] มือสอง</t>
  </si>
  <si>
    <t>NSW Pokemon Let's Go Pikachu [US/Asia] มือสอง</t>
  </si>
  <si>
    <t>NSW Pokemon Let's Go Eevee [US/Asia] มือสอง</t>
  </si>
  <si>
    <t>NSW The Witcher 3 Wild Hunt Complete Edition [EU]] มือสอง</t>
  </si>
  <si>
    <t>NSW Trials of Mana [Eng/Asia] มือสอง</t>
  </si>
  <si>
    <t>[มือ1] Super Robot Wars X [Eng/Asia] - Brand New Sealed</t>
  </si>
  <si>
    <t>[มือ1] Nintendo Switch V2 (Neon) [Maxsoft] - Nadz</t>
  </si>
  <si>
    <t>[มือ1 ส่งฟรี] NSW Rune Factory 4 Special [US] - Brand New Sealed</t>
  </si>
  <si>
    <t>[มือ1] Gigabyte Geforce RTX2060 8GB GDDR6 Super OC</t>
  </si>
  <si>
    <t>[มือ1] NSW Animal Crossing New Horizons [AUS] - Brand New Sealed</t>
  </si>
  <si>
    <t>[มือ1 ส่งฟรี] One Piece Pirate Warriors 4 [Eng/Asia] - Brand New Sealed</t>
  </si>
  <si>
    <t>[มือ1] PS4 Persona 5 Royal [Eng/Zone3] + SteelBook</t>
  </si>
  <si>
    <t>[มือ1] Gigabyte 8GB GDDR6 RTX2060 Super OC</t>
  </si>
  <si>
    <t>[มือ1] Nintendo Switch V2 (Neon) [Maxsoft] - NSO Club</t>
  </si>
  <si>
    <t>[มือ1 แกะถ่ายรูป] PS4 Final Fantasy VII Remake Deluxe Edition [Eng/Zone3]</t>
  </si>
  <si>
    <t>[มือ1] 3DS Etrian Mystery Dungeon [US] - Brand New Sealed</t>
  </si>
  <si>
    <t>[มือ1] NSW The Legend of Zelda Breath of the Wild - Brand New Sealed</t>
  </si>
  <si>
    <t>[มือ1] NSW Super Smash Bros Ultimate [US] - Brand New Sealed</t>
  </si>
  <si>
    <t>[มือ1] Nintendo Switch V2 Animal Crossing [SG]</t>
  </si>
  <si>
    <t>[มือ1] Nintendo Switch Lite (Grey) [HK] - Minnano Game</t>
  </si>
  <si>
    <t>[มือ1 ส่งฟรี] PS4 Final Fantasy VII Remake Deluxe Edition [Eng/Zone3]</t>
  </si>
  <si>
    <t>[มือ1] NSW Xenoblade Chronicles 2 - Torna The Golden Country [US/Asia] - Brand New Sealed</t>
  </si>
  <si>
    <t>[มือ1 ส่งฟรี] PS4 Persona 5 The Royal Phantom Thieves Edition [US] - Brand New Sealed</t>
  </si>
  <si>
    <t>[มือ1 ส่งฟรี] NSW Under Night In-Birth EXE:Late [Cl-r] [US] - Brand New Sealed</t>
  </si>
  <si>
    <t>[มือ1 ส่งฟรี] PS4 Pro 1TB God of Wars + The Last of Us Bundle ประกันศูนย์ไทย</t>
  </si>
  <si>
    <t>[มือ1 ส่งฟรี] PS4 Final Fantasy VII Remake Deluxe Edition [Eng/Zone3] - Brand New Sealed</t>
  </si>
  <si>
    <t>[มือ1] PS4 Pro 1TB God of Wars Bundle ประกันศูนย์ไทย</t>
  </si>
  <si>
    <t>[มือ1] Attack on Titan 2 Final Battle [US] - Brand New Sealed</t>
  </si>
  <si>
    <t>[มือ1] 3DS Etrian Odyssey IV [US] - Brand New Sealed</t>
  </si>
  <si>
    <t>[มือ1] NSW Tokyo Mirage Sessions #FE Encore [US] - Brand New Sealed</t>
  </si>
  <si>
    <t>NSW Animal Crossing [US/Asia] มือสอง</t>
  </si>
  <si>
    <t>PS4 Atelier Ryza [EU] มือสอง</t>
  </si>
  <si>
    <t>NSW Octopath Traveller [US/Asia] มือสอง</t>
  </si>
  <si>
    <t>[มือ1] NSW Romancing SaGa 3 - Brand New Sealed</t>
  </si>
  <si>
    <t>PS4 The Legend of Heroes Trails of the Cold Steel III Early Enrollment Edition [US] มือสอง</t>
  </si>
  <si>
    <t>[มือ1] MSI Geforce RTX 2070 Gaming 8G DDR6</t>
  </si>
  <si>
    <t>PS4 Granblue Fantasy Versus [US] มือสอง</t>
  </si>
  <si>
    <t>[มือ1 ส่งฟรี] PS4 Persona 5 Royal [Eng/Zone3] - Brand New Sealed</t>
  </si>
  <si>
    <t>[มือ1] Nintendo Switch Lite (Zacian and Zamazenta) [JP] - Classic Gameshop</t>
  </si>
  <si>
    <t>[มือ1] Nintendo Switch Lite (Turquoise) [Asia] - Game Playstation</t>
  </si>
  <si>
    <t>[มือ1] Nintendo Switch Lite (Grey) [JP] - Bird Games</t>
  </si>
  <si>
    <t>[มือ1] NSW New Super Mario Bros U Deluxe - Brand New Sealed</t>
  </si>
  <si>
    <t>[มือ1] PS4 Nier Automata Game of the Year Edition - Brand New Sealed</t>
  </si>
  <si>
    <t>[มือ1] NSW Super Smash Bros Ultimate - Brand New Sealed</t>
  </si>
  <si>
    <t>[มือ1] PS4 The Legend of Heroes Trails of the Cold Steel III Early Enrollment Edition [US] - Brand New Sealed</t>
  </si>
  <si>
    <t>[มือ1] NSW Atelier Lulua [US] - Brand New Sealed</t>
  </si>
  <si>
    <t>[มือ1] NSW Atelier Lydie &amp; Suelle [US] - Brand New Sealed</t>
  </si>
  <si>
    <t>[มือ1] Nintendo Switch Lite (Yellow) [JP] - Monster Games</t>
  </si>
  <si>
    <t>[มือ1] PS4 Pro God of Wars Bundle ประกันศูนย์ไทย + Bloodborne + Battlefield 1</t>
  </si>
  <si>
    <t>[มือ1] NSW Luigi's Mansion 3 - Brand New Sealed</t>
  </si>
  <si>
    <t>NSW Megaman 11 [US] มือสอง</t>
  </si>
  <si>
    <t>Nintendo Switch [US]</t>
  </si>
  <si>
    <t>NSW Daemon x Machina [US] มือสอง</t>
  </si>
  <si>
    <t>NSW God Eater 3 [Eng/Asia] มือสอง</t>
  </si>
  <si>
    <t>[มือ1] PS4 The Legend of Heroes Trails of Cold Steel Decisive Edition [US] - Brand New Sealed</t>
  </si>
  <si>
    <t>[มือ1] PS4 The Legend of Heroes Trails of Cold Steel II Relentless Edition [US] - Brand New Sealed</t>
  </si>
  <si>
    <t>[มือ1] Nintendo Switch Lite</t>
  </si>
  <si>
    <t>[มือ1 ส่งฟรี] NSW Animal Crossing New Horizons - Brand New Sealed</t>
  </si>
  <si>
    <t>Nintendo Switch Wireless Pro Controller มือสอง</t>
  </si>
  <si>
    <t>8bitdo SN30 Pro+ มือสอง</t>
  </si>
  <si>
    <t>[มือ1] NSW Super Robot Wars X - Brand New Sealed</t>
  </si>
  <si>
    <t>[มือ1 ส่งฟรี] 3DS Fire Emblem Awakening [US] - Brand New Sealed</t>
  </si>
  <si>
    <t>[มือ1 ส่งฟรี] 3DS Fire Emblem Fates Birthright [US] - Brand New Sealed</t>
  </si>
  <si>
    <t>[มือ1 ส่งฟรี] 3DS Fire Emblem Fates Conquest [US] - Brand New Sealed</t>
  </si>
  <si>
    <t>[มือ1 ส่งฟรี] 3DS Fire Emblem Echoes [US] - Brand New Sealed</t>
  </si>
  <si>
    <t>NSW The Legend of Zelda Link's Awakening DX มือสอง</t>
  </si>
  <si>
    <t>[มือ1 ส่งฟรี] NSW Tokyo Mirage Sessions #FE Encore [US] - Brand New Sealed</t>
  </si>
  <si>
    <t>[มือ1 ส่งฟรี] NSW Pokemon Mystery Dungeon Rescue Team DX [US/Asia] - Brand New Sealed</t>
  </si>
  <si>
    <t>[มือ1 แกะถ่ายรูป] PS4 Granblue Fantasy Versus Premium Edition [US] มี Code GB มือถือ</t>
  </si>
  <si>
    <t>[มือ1] Nintendo Switch รุ่นใหม่ กล่องแดง แบตอึด</t>
  </si>
  <si>
    <t>[มือ1 ส่งฟรี] NSW Megaman Zero / ZX Collection - Brand New Sealed</t>
  </si>
  <si>
    <t>[มือ1] NSW Mario Kart 8 Deluxe - Brand New Sealed</t>
  </si>
  <si>
    <t>[มือ1 ส่งฟรี] NSW Darksiders Genesis [US] - Brand New Sealed</t>
  </si>
  <si>
    <t>3DS Fire Emblem Awakening มือสอง</t>
  </si>
  <si>
    <t>[มือ1] NSW Super Robot Wars V - Brand New Sealed</t>
  </si>
  <si>
    <t>NSW Pokemon Sword มือสอง</t>
  </si>
  <si>
    <t>NSW Astral Chain มือสอง</t>
  </si>
  <si>
    <t>NSW Pokemon Shield มือสอง</t>
  </si>
  <si>
    <t>NSW Mario Odyssey มือสอง</t>
  </si>
  <si>
    <t>[มือ1 ส่งฟรี] NSW Atelier Dusk Trilogy Deluxe Pack - Brand New Sealed</t>
  </si>
  <si>
    <t>[มือ1] NSW Fire Emblem Three Houses - Brand New Sealed</t>
  </si>
  <si>
    <t>[มือ1] NSW Final Fantasy X / X-2 HD Remaster [US] - Brand New Sealed</t>
  </si>
  <si>
    <t>[มือ1] NSW Daemon x Machina Controller for Nintendo Switch</t>
  </si>
  <si>
    <t>[มือ1] NSW Xenoblade Chronicles 2 - Brand New Sealed</t>
  </si>
  <si>
    <t>[มือ1] NSW Dragon Quest XI S - Brand New Sealed</t>
  </si>
  <si>
    <t>[มือ1 ส่งฟรี] NSW Romancing SaGa 3 - Brand New Sealed</t>
  </si>
  <si>
    <t>NSW Yoshi: Crafted World [JP] [Eng] มือสอง</t>
  </si>
  <si>
    <t>[มือ1] NSW Octopath Traveler - Brand New Sealed</t>
  </si>
  <si>
    <t>3DS Final Fantasy Explorers [US] มือสอง</t>
  </si>
  <si>
    <t>PS4 Nier Automata Game of the Year Edition มือสอง</t>
  </si>
  <si>
    <t>NSW Super Smash Bros Ultimate มือสอง</t>
  </si>
  <si>
    <t>NSW Tokyo Mirage Sessions #FE Encore มือสอง</t>
  </si>
  <si>
    <t>3DS Pokemon Y [US] มือสอง</t>
  </si>
  <si>
    <t>3DS Fire Emblem Echoes [US] มือสอง</t>
  </si>
  <si>
    <t>[มือ1] NSW Super Smash Bros Ultimate - Brand New Sealed*</t>
  </si>
  <si>
    <t>NSW Mortal Kombat 11 [US] มือสอง</t>
  </si>
  <si>
    <t>NSW Hyrule Warriors: Definitive Edition [US] มือสอง</t>
  </si>
  <si>
    <t>[มือ1] NSW Xenoblade Chronicles 2 - Torna The Golden Country - Brand New Sealed</t>
  </si>
  <si>
    <t>NDS Suikoden Tierkreis [US] มือสอง</t>
  </si>
  <si>
    <t>[มือ1] NSW Snack World The Dungeon Crawl GOLD - Brand New Sealed</t>
  </si>
  <si>
    <t>NSW Dragon Quest XI S มือสอง</t>
  </si>
  <si>
    <t>NSW Doraemon Story of Seasons มือสอง</t>
  </si>
  <si>
    <t>NSW The Legend of Zelda Breath of the Wild มือสอง</t>
  </si>
  <si>
    <t>[มือ1] 3DS Dragon Quest VIII [US] - Brand New Sealed</t>
  </si>
  <si>
    <t>NSW Fate/Extella The Umbral Star [JP] มือสอง</t>
  </si>
  <si>
    <t>NSW Nights of Azure 2 [EU] มือสอง</t>
  </si>
  <si>
    <t>NSW Azure Striker GUNVOLT Striker Pack [US] มือสอง</t>
  </si>
  <si>
    <t>[มือ1] NSW Nights of Azure 2 [US] - Brand New Sealed</t>
  </si>
  <si>
    <t>NSW Battle Chasers Nightwar [EU] มือสอง</t>
  </si>
  <si>
    <t>NSW Luigi Mansion 3 มือสอง</t>
  </si>
  <si>
    <t>NSW Dragon's Dogma Dark Arisen [US] มือสอง</t>
  </si>
  <si>
    <t>NSW New Super Mario Bros U Deluxe</t>
  </si>
  <si>
    <t>NSW Atelier Lydie &amp; Suelle [US] มือสอง</t>
  </si>
  <si>
    <t>NSW Dragon Quest Builders 2 มือสอง</t>
  </si>
  <si>
    <t>NSW Pokemon Sword [US] มือสอง</t>
  </si>
  <si>
    <t>NSW Ni no Kuni Wrath of the White Witch มือสอง</t>
  </si>
  <si>
    <t>NSW Octopath Traveler มือสอง</t>
  </si>
  <si>
    <t>NSW God Eater 3 มือสอง</t>
  </si>
  <si>
    <t>NSW Super Robot Wars T มือสอง</t>
  </si>
  <si>
    <t>NSW Xenoblade Chronicles 2 - Torna The Golden Country - Brand New Sealed</t>
  </si>
  <si>
    <t>NSW Super Mario Bros U DX มือสอง</t>
  </si>
  <si>
    <t>3DS Dragon Quest VIII [US] - Brand New Sealed</t>
  </si>
  <si>
    <t>3DS Dragon Quest VII [US] - Brand New Sealed</t>
  </si>
  <si>
    <t>NSW Atelier Ryza Ever Darkness &amp; the Secret Hideout มือสอง</t>
  </si>
  <si>
    <t>NSW Fire Emblem Three Houses - Brand New Sealed</t>
  </si>
  <si>
    <t>NSW Xenoblade Chronicles 2 มือสอง</t>
  </si>
  <si>
    <t>NSW Super Robot Wars V มือสอง</t>
  </si>
  <si>
    <t>NSW Tokyo Mirage Sessions #FE Encore [US] - Brand New Sealed</t>
  </si>
  <si>
    <t>3DS Fire Emblem Awakening [US] - Brand New Sealed</t>
  </si>
  <si>
    <t>3DS Fire Emblem Fates Birthright [US] - Brand New Sealed</t>
  </si>
  <si>
    <t>3DS Fire Emblem Fates Conquest [US] - Brand New Sealed</t>
  </si>
  <si>
    <t>3DS Fire Emblem Echoes [US] - Brand New Sealed</t>
  </si>
  <si>
    <t>NDS Pokemon Diamond [US] - Brand New Sealed</t>
  </si>
  <si>
    <t>NDS Pokemon Pearl [US] - Brand New Sealed</t>
  </si>
  <si>
    <t>NSW Tokyo Mirage Sessions #FE Encore - Brand New Sealed</t>
  </si>
  <si>
    <t>NSW Mario Odyssey [Jp] มือสอง</t>
  </si>
  <si>
    <t>NSW Super Smash Bros Ultimate [US] มือสอง</t>
  </si>
  <si>
    <t>NSW Fire Emblem Three Houses มือสอง</t>
  </si>
  <si>
    <t>NDS Castlevania: Dawn of Sorrow [US] มือสอง</t>
  </si>
  <si>
    <t>NSW Final Fantasy XII The Zodiac Age - Brand New Sealed</t>
  </si>
  <si>
    <t>NSW Digimon Story Cyber Sleuth Complete Edition - Brand New Sealed</t>
  </si>
  <si>
    <t>NSW Monster Hunter Generation Ultimate [US] มือสอง</t>
  </si>
  <si>
    <t>NSW Xenoblade Chronicles 2 - Torna The Golden Country [US] - Brand New Sealed</t>
  </si>
  <si>
    <t>NSW Xenoblade Chronicles 2 - Torna The Golden Country มือสอง</t>
  </si>
  <si>
    <t>NSW Final Fantasy XII The Zodiac Age [US] มือสอง</t>
  </si>
  <si>
    <t>NSW SD Gundam G Generation Cross Rays มือสอง</t>
  </si>
  <si>
    <t>NSW Ni no Kuni Wrath of the White Witch [US] - Brand New Sealed</t>
  </si>
  <si>
    <t>NSW Bloodstained [US] - Brand New Sealed</t>
  </si>
  <si>
    <t>NSW Shining Resonance Refrain มือสอง</t>
  </si>
  <si>
    <t>NSW Digimon Story Cyber Sleuth Complete Edition มือสอง</t>
  </si>
  <si>
    <t>NDS Suikoden Tierkreis [US] - Brand New Sealed</t>
  </si>
  <si>
    <t>3DS Radiant Historia Perfect Chronology Launch Edition มือสอง</t>
  </si>
  <si>
    <t>NDS Pokemon White Version 2 [US] มือสอง</t>
  </si>
  <si>
    <t>NDS Pokemon Black Version 2 [US] มือสอง</t>
  </si>
  <si>
    <t>NSW Pokken Tournament DX มือสอง</t>
  </si>
  <si>
    <t>3DS Bravery Second [US] มือสอง</t>
  </si>
  <si>
    <t>NSW Octopath Traveler [US] มือสอง - Nintendo Switch</t>
  </si>
  <si>
    <t>3DS Shin Megami Tensei IV [US] มือสอง - Limited Edition</t>
  </si>
  <si>
    <t>3DS Shin Megami Tensei IV Apocalypse [US] - Brand New Sealed</t>
  </si>
  <si>
    <t>3DS Shin Megami Tensei Devil Summoner Soul Hackers [US] มือสอง</t>
  </si>
  <si>
    <t>3DS Dragon Quest VIII [US] มือสอง</t>
  </si>
  <si>
    <t>NSW Donkey Kong Country Tropical Freeze [US] มือสอง - Nintendo Switch</t>
  </si>
  <si>
    <t>NSW Yu-Gi-Oh: Legacy of the Duelist มือสอง - Nintendo Switch</t>
  </si>
  <si>
    <t>NSW Ys VIII Lacrimosa of Dana [US] มือสอง - Nintendo Switch</t>
  </si>
  <si>
    <t>NSW Collection of Mana [US] มือสอง - Nintendo Switch</t>
  </si>
  <si>
    <t>NSW Pokemon Shield [US] มือสอง - Nintendo Switch</t>
  </si>
  <si>
    <t>Pokemon Sword &amp; Shield Steel Cases</t>
  </si>
  <si>
    <t>NSW Pokemon Sword [US] - Brand New Sealed</t>
  </si>
  <si>
    <t>3DS Pokemon Ultra Moon [US] มือสอง</t>
  </si>
  <si>
    <t>3DS Fire Emblem Fates Special Edition มือสอง</t>
  </si>
  <si>
    <t>NSW Daemon x Machina มือสอง - Nintendo Switch</t>
  </si>
  <si>
    <t>Pokemon Sword &amp; Shield Steel Case</t>
  </si>
  <si>
    <t>NSW Alliance Alive HD Remastered [US] มือสอง - Nintendo Switch</t>
  </si>
  <si>
    <t>NSW Nelke &amp; the Legendary Alchemists [US] - Brand New Sealed</t>
  </si>
  <si>
    <t>NSW The Snack World: Trejarers Gold [JP] มือสอง - Nintendo Switch</t>
  </si>
  <si>
    <t>NSW Fire Emblem Three Houses [US] มือสอง - Nintendo Switch</t>
  </si>
  <si>
    <t>PS4 สามแผ่น 500 RPG</t>
  </si>
  <si>
    <t>Wii / Wii U 3 แผ่น 500</t>
  </si>
  <si>
    <t>อุปกรณ์เสริม Wii Accessories ทั้งกอง 500</t>
  </si>
  <si>
    <t>NSW Blazblue Cross Tag Battle มือสอง - Nintendo Switch</t>
  </si>
  <si>
    <t>NSW Bloodstained [US] มือสอง - Nintendo Switch</t>
  </si>
  <si>
    <t>3DS Bravery Default [US] มือสอง</t>
  </si>
  <si>
    <t>NDS Shin Megami Tensei: Strange Journey [US] มือสอง - Limited Edition</t>
  </si>
  <si>
    <t>NDS Castlevania: Portrait of Ruin* [US] มือสอง - Nintendo DS</t>
  </si>
  <si>
    <t>NDS Castlevania: Order of Ecclesia [US] มือสอง - Nintendo DS</t>
  </si>
  <si>
    <t>3DS Pokemon Mystery Dungeon Gates to Infinity มือสอง</t>
  </si>
  <si>
    <t>3DS Fire Emblem Fates Conquest [US]</t>
  </si>
  <si>
    <t>JRPG Collector 2020 Grand Total</t>
  </si>
  <si>
    <t>Nobember</t>
  </si>
  <si>
    <t>Total Profit</t>
  </si>
  <si>
    <t>ลำดับ</t>
  </si>
  <si>
    <t>ชื่อ-สกุล</t>
  </si>
  <si>
    <t>เบอร์โทร</t>
  </si>
  <si>
    <t>อีเมล</t>
  </si>
  <si>
    <t>ถือหุ้น</t>
  </si>
  <si>
    <t>ผู้ถือหุ้น/กรรมการ</t>
  </si>
  <si>
    <t>นายตรีพล ตระกูลรังสิ</t>
  </si>
  <si>
    <t>061-7729222</t>
  </si>
  <si>
    <t>treephol@gmail.com</t>
  </si>
  <si>
    <t>กรรมการ</t>
  </si>
  <si>
    <t>นายไตรพร ตระกูลรังสิ</t>
  </si>
  <si>
    <t>084-0798244</t>
  </si>
  <si>
    <t>tluc1981@gmail.com</t>
  </si>
  <si>
    <t>ผู้ถือหุ้น</t>
  </si>
  <si>
    <t>2017 - Year End</t>
  </si>
  <si>
    <t>2018 - Year End</t>
  </si>
  <si>
    <t>2019 - Year End</t>
  </si>
  <si>
    <t>2020 - Year End</t>
  </si>
  <si>
    <t>2021 - Year End</t>
  </si>
  <si>
    <t>2022 - Year End</t>
  </si>
  <si>
    <t>2023 - Year End</t>
  </si>
  <si>
    <t>2024 - Year End</t>
  </si>
  <si>
    <t>2025 - Year End</t>
  </si>
  <si>
    <t>2026 Plan</t>
  </si>
  <si>
    <t>Credit Cards</t>
  </si>
  <si>
    <t>Credit Libit</t>
  </si>
  <si>
    <t>Available Balance</t>
  </si>
  <si>
    <t>Credit Bureau</t>
  </si>
  <si>
    <t>Splinterlands</t>
  </si>
  <si>
    <t>Assets</t>
  </si>
  <si>
    <t>Value</t>
  </si>
  <si>
    <t>Monthly Spending</t>
  </si>
  <si>
    <t>SCB Ultra Platinum + Beyond</t>
  </si>
  <si>
    <t>Account Name: @kowalskiii</t>
  </si>
  <si>
    <t>KTC JCB</t>
  </si>
  <si>
    <t>RHYTHM Asoke (Thai Credit)</t>
  </si>
  <si>
    <t>Master Password: cK1EmwIWhGh5JDqZdsigzP4e9YqfgqK5</t>
  </si>
  <si>
    <t>RHYTHM Asoke Transfer + Deco</t>
  </si>
  <si>
    <t>Properties</t>
  </si>
  <si>
    <t>Cash (Thai Credit)</t>
  </si>
  <si>
    <t>Kasikorn Platinum</t>
  </si>
  <si>
    <t>Owner Key: 5KDkjKdBTD6oYfJpp5wXW5smcM4dWRuke8GCY7HvtnDp2bASarZ</t>
  </si>
  <si>
    <t>RHYTHM Asoke Installments</t>
  </si>
  <si>
    <t>RHYTHM Asoke (Krungsri)</t>
  </si>
  <si>
    <t>UOB Privimiles</t>
  </si>
  <si>
    <t>Active Key: 5Jo4ZZhfeyFnWsqvjK9ezV26WQL924d7rRNf1g89dC182Mby5nV</t>
  </si>
  <si>
    <t>The Unique 62/1 Transfer + Deco</t>
  </si>
  <si>
    <t>My SPayLater</t>
  </si>
  <si>
    <t>SCB Ultra Platinum 100,000 3</t>
  </si>
  <si>
    <t>Posting Key: 5JKX9o48xMy1KHaCwr6XnDP4u5zZnGiYWNJwFo3311nAAkrwsUZ</t>
  </si>
  <si>
    <t>The Unique 62/1 Installments</t>
  </si>
  <si>
    <t>Total Credit Card Credit</t>
  </si>
  <si>
    <t>Kasikorn Platinum 200,000</t>
  </si>
  <si>
    <t>Memo Key: 5JMEcjwGYVdZTGPPRuSk7ECEG5Envwt7hPPQXUzBYM675NdFV5P</t>
  </si>
  <si>
    <t>Hype Design Territory</t>
  </si>
  <si>
    <t>Provident Fund + Tax</t>
  </si>
  <si>
    <t>ตา ทองแก้ว</t>
  </si>
  <si>
    <t>Cash Cards</t>
  </si>
  <si>
    <t>Xpress Cash</t>
  </si>
  <si>
    <t>The Unique 62/1 Furniture</t>
  </si>
  <si>
    <t>Others</t>
  </si>
  <si>
    <t>SCB Speedy Cash 200,000</t>
  </si>
  <si>
    <t>SCB Speedy Cash</t>
  </si>
  <si>
    <t>Crypto Mining</t>
  </si>
  <si>
    <t>SEasy Cash</t>
  </si>
  <si>
    <t>SCB Ultra Platinum</t>
  </si>
  <si>
    <t>Krungsri Assets</t>
  </si>
  <si>
    <t>Investment</t>
  </si>
  <si>
    <t>Investment: JRPG Collector</t>
  </si>
  <si>
    <t>SEasy Cash for Seller</t>
  </si>
  <si>
    <t>Phatra AM</t>
  </si>
  <si>
    <t>Investment: CE Store</t>
  </si>
  <si>
    <t>Total Cash Card Credit</t>
  </si>
  <si>
    <t>K-Cyber Trade</t>
  </si>
  <si>
    <t>Investment: CEI</t>
  </si>
  <si>
    <t>CEI</t>
  </si>
  <si>
    <t>Monthly Expense</t>
  </si>
  <si>
    <t>Tisco Asset Management</t>
  </si>
  <si>
    <t>Investment: Equity</t>
  </si>
  <si>
    <t>Mutual Fund | RMF</t>
  </si>
  <si>
    <t>Marriage Fund</t>
  </si>
  <si>
    <t>Total Monthly Investments</t>
  </si>
  <si>
    <t>Grand Total Credit</t>
  </si>
  <si>
    <t>AIA</t>
  </si>
  <si>
    <t>RMF</t>
  </si>
  <si>
    <t>MyMo</t>
  </si>
  <si>
    <t>Provident Fund</t>
  </si>
  <si>
    <t>Total Income</t>
  </si>
  <si>
    <t>Debt Payment Date</t>
  </si>
  <si>
    <t>Cash</t>
  </si>
  <si>
    <t>Available per Month</t>
  </si>
  <si>
    <t>Total Assets</t>
  </si>
  <si>
    <t>30 The Unique 62/1</t>
  </si>
  <si>
    <t>Income per Day (Passive)</t>
  </si>
  <si>
    <t>01 RHYTHM Asoke (Thai Credit)</t>
  </si>
  <si>
    <t>Debt</t>
  </si>
  <si>
    <t>01 Cash (Thai Credit)</t>
  </si>
  <si>
    <t>Dad</t>
  </si>
  <si>
    <t>UOB</t>
  </si>
  <si>
    <t>Credit Card Payment Date</t>
  </si>
  <si>
    <t>Krungsri iFin</t>
  </si>
  <si>
    <t>CIMB</t>
  </si>
  <si>
    <t>SCB Speedy Cash 2</t>
  </si>
  <si>
    <t>Kbank Smart Cash 6</t>
  </si>
  <si>
    <t>Income per Day (Active)</t>
  </si>
  <si>
    <t>01 SCB Beyond (10)</t>
  </si>
  <si>
    <t>SCB 1</t>
  </si>
  <si>
    <t>Tri</t>
  </si>
  <si>
    <t>SCB Speedy Cash 3</t>
  </si>
  <si>
    <t>SCB Ultra Platinum 100,000</t>
  </si>
  <si>
    <t>SCB Ultra Platinum 100,000 2</t>
  </si>
  <si>
    <t>01 SCB Ultra Platinum (10)</t>
  </si>
  <si>
    <t>SCB 2</t>
  </si>
  <si>
    <t>Kbank แบ่งชำระ</t>
  </si>
  <si>
    <t>Total Debt</t>
  </si>
  <si>
    <t>KISS</t>
  </si>
  <si>
    <t>TVND</t>
  </si>
  <si>
    <t>02 KTC JCB (18)</t>
  </si>
  <si>
    <t>Kasikorn Platinum 4</t>
  </si>
  <si>
    <t>Kbank แบ่งชำระ 3</t>
  </si>
  <si>
    <t>Total Assets to Total Debt Ratio</t>
  </si>
  <si>
    <t>07 Xpress Cash (23)</t>
  </si>
  <si>
    <t>Kbank แบ่งชำระ 4</t>
  </si>
  <si>
    <t>Kasikorn Platinum 75,000</t>
  </si>
  <si>
    <t>Income per Day</t>
  </si>
  <si>
    <t>09 Kasikorn Platinum (25)</t>
  </si>
  <si>
    <t>Kbank Smart Cash</t>
  </si>
  <si>
    <t>Kasikorn Platinum 150,000</t>
  </si>
  <si>
    <t>Kasikorn Platinum 33,000</t>
  </si>
  <si>
    <t>Income per Hour</t>
  </si>
  <si>
    <t>16 UOB Privimiles (25)</t>
  </si>
  <si>
    <t>RTX A4000</t>
  </si>
  <si>
    <t>25 SCB Speedy Cash (9)</t>
  </si>
  <si>
    <t>SEasyCash 2</t>
  </si>
  <si>
    <t>Tri: Investment</t>
  </si>
  <si>
    <t>8 Years</t>
  </si>
  <si>
    <t>01 SCB Ultra Platinum</t>
  </si>
  <si>
    <t>Paid</t>
  </si>
  <si>
    <t>Finance</t>
  </si>
  <si>
    <t>BitKub</t>
  </si>
  <si>
    <t>02 KTC JCB</t>
  </si>
  <si>
    <t>Mom</t>
  </si>
  <si>
    <t>Transfer Fee</t>
  </si>
  <si>
    <t>CoinEX</t>
  </si>
  <si>
    <t>07 Xpress Cash</t>
  </si>
  <si>
    <t>Poiko</t>
  </si>
  <si>
    <t>Tax</t>
  </si>
  <si>
    <t>KuCoin</t>
  </si>
  <si>
    <t>09 Kasikorn Platinum</t>
  </si>
  <si>
    <t>Jo</t>
  </si>
  <si>
    <t>Agent</t>
  </si>
  <si>
    <t>MetaMask</t>
  </si>
  <si>
    <t>Maew</t>
  </si>
  <si>
    <t>Biswap Launch Pools</t>
  </si>
  <si>
    <t>Selling Cash In</t>
  </si>
  <si>
    <t>ค่าเช่า-ดอกเบี้ย-ค่าส่วนกลาง-ค่าคอม</t>
  </si>
  <si>
    <t>Total Revenue</t>
  </si>
  <si>
    <t>Total Equity | Crypto Farming</t>
  </si>
  <si>
    <t>Missing</t>
  </si>
  <si>
    <t>The Base Cherng Talay</t>
  </si>
  <si>
    <t>Transfer + Deco</t>
  </si>
  <si>
    <t>Reservation</t>
  </si>
  <si>
    <t>15 RHYTHM Asoke</t>
  </si>
  <si>
    <t>15 The Base Cherngtalay</t>
  </si>
  <si>
    <t>Total Expenses</t>
  </si>
  <si>
    <t>Contract Payment</t>
  </si>
  <si>
    <t>18 UOB Privimiles</t>
  </si>
  <si>
    <t>Down Payment 14000/Month (10)</t>
  </si>
  <si>
    <t>Profit</t>
  </si>
  <si>
    <t>0xbF114D71ee4250E683888947BBFf72f79C107517</t>
  </si>
  <si>
    <t>Contract Purchase Price</t>
  </si>
  <si>
    <t>Remaining Down Payment (6)</t>
  </si>
  <si>
    <t>Transfer Payment</t>
  </si>
  <si>
    <t>Shopee 2025</t>
  </si>
  <si>
    <t>20-30</t>
  </si>
  <si>
    <t>25 The Unique 62/1</t>
  </si>
  <si>
    <t>25 SCB Speedy Cash</t>
  </si>
  <si>
    <t>29 TVND</t>
  </si>
  <si>
    <t>25 The Base Uptown</t>
  </si>
  <si>
    <t>30-03</t>
  </si>
  <si>
    <t>Wallets</t>
  </si>
  <si>
    <t>SCB</t>
  </si>
  <si>
    <t>Kasikorn</t>
  </si>
  <si>
    <t>Krungsri</t>
  </si>
  <si>
    <t>SCB Planet</t>
  </si>
  <si>
    <t>Shopee - My Balance</t>
  </si>
  <si>
    <t>Shopee - To Release</t>
  </si>
  <si>
    <t>eBay</t>
  </si>
  <si>
    <t>Missing Total</t>
  </si>
  <si>
    <t>BUDGET PLANNER</t>
  </si>
  <si>
    <t>BALANCE</t>
  </si>
  <si>
    <t>SUMMARY</t>
  </si>
  <si>
    <t>Total Expenditures</t>
  </si>
  <si>
    <t>Income -  Expenditures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</si>
  <si>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</si>
  <si>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</si>
  <si>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</si>
  <si>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</si>
  <si>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</si>
  <si>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</si>
  <si>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</si>
  <si>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</si>
  <si>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</si>
  <si>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</si>
  <si>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</si>
  <si>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TOTALS</t>
  </si>
  <si>
    <t>INCOME</t>
  </si>
  <si>
    <t>RHYTHM Asoke (12)</t>
  </si>
  <si>
    <t>The Unique 62/1 (5)</t>
  </si>
  <si>
    <t>TOTAL INCOME</t>
  </si>
  <si>
    <t>EXPENDITURES</t>
  </si>
  <si>
    <t>Interest</t>
  </si>
  <si>
    <t>Annual Expenses + Shopping</t>
  </si>
  <si>
    <t>Condo</t>
  </si>
  <si>
    <t>Auto</t>
  </si>
  <si>
    <t>Legion Y700 2025+</t>
  </si>
  <si>
    <t>Misc Variable</t>
  </si>
  <si>
    <t>Bills &amp; Utilities</t>
  </si>
  <si>
    <t>Family</t>
  </si>
  <si>
    <t>Mary Jane</t>
  </si>
  <si>
    <t>Gift</t>
  </si>
  <si>
    <t>Food &amp; Beverage</t>
  </si>
  <si>
    <t>Petrol</t>
  </si>
  <si>
    <t>Business</t>
  </si>
  <si>
    <t>Shopping</t>
  </si>
  <si>
    <t>Personal Care</t>
  </si>
  <si>
    <t>Movies</t>
  </si>
  <si>
    <t>Parking Fees</t>
  </si>
  <si>
    <t>Game</t>
  </si>
  <si>
    <t>Restaurants</t>
  </si>
  <si>
    <t>Entertainment</t>
  </si>
  <si>
    <t>Transportation</t>
  </si>
  <si>
    <t>Doctor</t>
  </si>
  <si>
    <t>Travel</t>
  </si>
  <si>
    <t>Investments</t>
  </si>
  <si>
    <t>The Base Cherngtalay Down Payment</t>
  </si>
  <si>
    <t>SCB Ultra Platinum 0% 4 Month</t>
  </si>
  <si>
    <t>TOTAL EXPENDITURES</t>
  </si>
  <si>
    <t xml:space="preserve"> </t>
  </si>
  <si>
    <t>RHYTHM Asoke (15)</t>
  </si>
  <si>
    <t>The Unique 62/1 (25)</t>
  </si>
  <si>
    <t>Legion Y700 2025+ / RMF</t>
  </si>
  <si>
    <t>Book</t>
  </si>
  <si>
    <t>Health &amp; Fitness</t>
  </si>
  <si>
    <t>The Base Cherngtalay SPA</t>
  </si>
  <si>
    <t>THB</t>
  </si>
  <si>
    <t>วิลลี่</t>
  </si>
  <si>
    <t>ตรี</t>
  </si>
  <si>
    <t>ปิ๋ง</t>
  </si>
  <si>
    <t>โก้</t>
  </si>
  <si>
    <t>Service Charge</t>
  </si>
  <si>
    <t>รันดื่ม (ยูฟ่า)</t>
  </si>
  <si>
    <t>Extra Coyote (ยูฟ่า)</t>
  </si>
  <si>
    <t>รันดื่ม (แอลลี่)</t>
  </si>
  <si>
    <t>Extra Coyote (แอลลี่)</t>
  </si>
  <si>
    <t>รันดื่ม (ชมพู่)</t>
  </si>
  <si>
    <t>ดื่มเซล (ซูจิน)</t>
  </si>
  <si>
    <t>รันดื่ม (นิกกี้)</t>
  </si>
  <si>
    <t>เหล้า (1 liter) 1.5 ขวด</t>
  </si>
  <si>
    <t>ร้านข้าวต้ม</t>
  </si>
  <si>
    <t>ยอดที่จ่ายไป</t>
  </si>
  <si>
    <t>สรุปยอดโอน</t>
  </si>
  <si>
    <t>ลบค่าเหล้า+ร้านข้าวต้มของปิ๋ง</t>
  </si>
  <si>
    <t>เหลือคืนวิลลี่</t>
  </si>
  <si>
    <t>เกิ๊ก</t>
  </si>
  <si>
    <t>รันดื่ม (แอลลี่) 10 ดื่ม</t>
  </si>
  <si>
    <t>รันดื่ม (ตังเม) 11 ดื่ม</t>
  </si>
  <si>
    <t>ดื่มเซล (ซูจิน) 3 ดื่ม</t>
  </si>
  <si>
    <t>เหล้า (1 liter) 2 ขวด</t>
  </si>
  <si>
    <t>นิค</t>
  </si>
  <si>
    <t>อั๋น</t>
  </si>
  <si>
    <t>รันดื่ม (กุ๊บกิ๊บ) 12 ดื่ม</t>
  </si>
  <si>
    <t>Lady Charge (1000)</t>
  </si>
  <si>
    <t>Singha Beer (ลูกค้า)</t>
  </si>
  <si>
    <t>ดื่มลอย (น้ำส้ม) 5 ดื่ม</t>
  </si>
  <si>
    <t>รันดื่ม (แอลลี่) 8 ดื่ม</t>
  </si>
  <si>
    <t>เหล้า (3,500*0.5) + (3,000*1.5)</t>
  </si>
  <si>
    <t>รันดื่ม (กุ๊บกิ๊บ) 13 ดื่ม</t>
  </si>
  <si>
    <t>รันดื่ม (กาฟิวส์) 10 ดื่ม</t>
  </si>
  <si>
    <t>Extra Super Model (กาฟิวส์)</t>
  </si>
  <si>
    <t>บุหรี่</t>
  </si>
  <si>
    <t>ดื่มลอย (ลูกส้ม) 5 ดื่ม</t>
  </si>
  <si>
    <t>ดื่มลอย (น้ำส้ม) 3 ดื่ม</t>
  </si>
  <si>
    <t>เหล้า (3,000*2)</t>
  </si>
  <si>
    <t>รวม 2 วัน</t>
  </si>
  <si>
    <t>สรุปยอด</t>
  </si>
  <si>
    <t>รอคืน</t>
  </si>
  <si>
    <t>จ่ายแล้ว</t>
  </si>
  <si>
    <t>ซอย</t>
  </si>
  <si>
    <t>รันดื่ม (แอลลี่) 11 ดื่ม</t>
  </si>
  <si>
    <t>ดื่มลอย (แพร) 8 ดื่ม</t>
  </si>
  <si>
    <t>เหล้า (2,500*1)</t>
  </si>
  <si>
    <t>Shakariki</t>
  </si>
  <si>
    <t>รอรวมยอด</t>
  </si>
  <si>
    <t>โอ้ต</t>
  </si>
  <si>
    <t>เอ็ด</t>
  </si>
  <si>
    <t>บี</t>
  </si>
  <si>
    <t>ข้อไก่ทอด</t>
  </si>
  <si>
    <t>รันดื่ม (ฟรอด) 11 ดื่ม</t>
  </si>
  <si>
    <t>เบียร์ 3 ขวด</t>
  </si>
  <si>
    <t>รันดื่ม (บีเอ็ม) 9 ดื่ม</t>
  </si>
  <si>
    <t>ดื่มลอย (ลูกส้ม) 3 ดื่ม</t>
  </si>
  <si>
    <t>ไข่ตุ๋นหมูสับ</t>
  </si>
  <si>
    <t>ดื่มลอย (ไทม์) 3 ดื่ม</t>
  </si>
  <si>
    <t>เหล้า 3 ขวด*3000</t>
  </si>
  <si>
    <t>วรุธ</t>
  </si>
  <si>
    <t>ดื่มลอย (กุ๊บกิ๊บ) 5 ดื่ม</t>
  </si>
  <si>
    <t>ดื่มลอย (เชอรีน) 2 ดื่ม</t>
  </si>
  <si>
    <t>เหล้า 1 1/4 ขวด*4000</t>
  </si>
  <si>
    <t>เล็ก</t>
  </si>
  <si>
    <t>อ๋อย</t>
  </si>
  <si>
    <t>บอม</t>
  </si>
  <si>
    <t>พีช</t>
  </si>
  <si>
    <t>หมี</t>
  </si>
  <si>
    <t>โอ๋</t>
  </si>
  <si>
    <t>Asahi 5 Tower</t>
  </si>
  <si>
    <t>Wine แดง 1 ขวด</t>
  </si>
  <si>
    <t>Wine ขาว 1 แก้ว</t>
  </si>
  <si>
    <t>อาหาร</t>
  </si>
  <si>
    <t>Service Charge 10%</t>
  </si>
  <si>
    <t>Tax 7%</t>
  </si>
  <si>
    <t>รันดื่ม (เฮร่า) 11 ดื่ม</t>
  </si>
  <si>
    <t>Extra Coyote (เฮร่า)</t>
  </si>
  <si>
    <t>รันดื่ม (กุ๊บกิ๊บ) 10 ดื่ม</t>
  </si>
  <si>
    <t>ดื่มลอย (พลอย) 2 ดื่ม</t>
  </si>
  <si>
    <t>ดื่มลอย (เป๋าเป้ย) 5 ดื่ม</t>
  </si>
  <si>
    <t>เหล้า 1 ขวด*4000</t>
  </si>
  <si>
    <t>เครื่องคำนวนสินเชื่อที่อยู่อาศัย</t>
  </si>
  <si>
    <t>วงเงินกู้</t>
  </si>
  <si>
    <t>ค่าผ่อนขั้นต่ำ</t>
  </si>
  <si>
    <t>จำนวนปีที่ผ่อน</t>
  </si>
  <si>
    <t>ค่าผ่อนชำระ</t>
  </si>
  <si>
    <t>ดอกเบี้ยต่องวด</t>
  </si>
  <si>
    <t>เงินต้นต่องวด</t>
  </si>
  <si>
    <t>ดอกเบี้ยรวม</t>
  </si>
  <si>
    <t>ค่าผ่อนชำระรวม</t>
  </si>
  <si>
    <t>เงินต้นคงเหลือ</t>
  </si>
  <si>
    <t>ดอกเบี้ย(%)</t>
  </si>
  <si>
    <t>ค่าเช่าต่องวด</t>
  </si>
  <si>
    <t>ค่าเช่ารวม</t>
  </si>
  <si>
    <t>MRR -5.75%</t>
  </si>
  <si>
    <t>MRR -1.1%</t>
  </si>
  <si>
    <t>MRR-3.2%</t>
  </si>
  <si>
    <t>Previous MRR-3.2</t>
  </si>
  <si>
    <t>2025: 3.70%</t>
  </si>
  <si>
    <t>2026: 3.70%</t>
  </si>
  <si>
    <t>2027: MRR-3.7</t>
  </si>
  <si>
    <t>After That: MRR-3.2</t>
  </si>
  <si>
    <t>Market Price</t>
  </si>
  <si>
    <t>Power Cons
(Watts)</t>
  </si>
  <si>
    <t>Hash Rate (MH/s)</t>
  </si>
  <si>
    <t>Profitability / 24</t>
  </si>
  <si>
    <t>Actual Profitability</t>
  </si>
  <si>
    <t>Price per MH/s</t>
  </si>
  <si>
    <t>RTX 3060 Profitability / 24</t>
  </si>
  <si>
    <t>THB per MH/s</t>
  </si>
  <si>
    <t>Items</t>
  </si>
  <si>
    <t>Actual Profit</t>
  </si>
  <si>
    <t>ZOTAC GAMING GeForce RTX 3080 Trinity OC 10GB (50%)</t>
  </si>
  <si>
    <t>ZOTAC GAMING GeForce RTX 3060 Twin Edge 12GB (50%)</t>
  </si>
  <si>
    <t>Jan: Mining</t>
  </si>
  <si>
    <t>ZOTAC GAMING GeForce RTX 3060 Twin Edge OC 12GB (50%)</t>
  </si>
  <si>
    <t>Feb: Selling</t>
  </si>
  <si>
    <t>Gigabyte GeForce RTX 3060 Vision OC 12GB (50%)</t>
  </si>
  <si>
    <t>Mar: Selling</t>
  </si>
  <si>
    <t>กำไรจากการขาย</t>
  </si>
  <si>
    <t>ELSA GeForce RTX 3060 Erazor 12GB (50%)</t>
  </si>
  <si>
    <t>BKK 3/13/2021</t>
  </si>
  <si>
    <t>กำไรจากการขุด</t>
  </si>
  <si>
    <t>INNO3D GeForce RTX 3060 TWIN X2 OC 12GB (50%)</t>
  </si>
  <si>
    <t>BKK 3/15/2021</t>
  </si>
  <si>
    <t>รวม</t>
  </si>
  <si>
    <t>GALAKURO GAMING GeForce RTX 3060 OC DF 12GB (50%)</t>
  </si>
  <si>
    <t>BKK 3/18/2021</t>
  </si>
  <si>
    <t>ผลตอบแทนต่อปี (%)</t>
  </si>
  <si>
    <t>GALAKURO GAMING GeForce RTX 3060 OC DF White 12GB (50%)</t>
  </si>
  <si>
    <t>BKK 3/24/2021</t>
  </si>
  <si>
    <t>หักค่า Management Fee</t>
  </si>
  <si>
    <t>ASUS ROG STRIX G15 (50%)</t>
  </si>
  <si>
    <t>BKK 3/26/2021</t>
  </si>
  <si>
    <t>ผลตอบแทนต่อเดือน</t>
  </si>
  <si>
    <t>MSI GeForce RTX 2060 SUPER VENTUS OC 8GB - Micron</t>
  </si>
  <si>
    <t>BKK 3/28/2021</t>
  </si>
  <si>
    <t>Gigabyte GeForce RTX 2060 6GB (50%)</t>
  </si>
  <si>
    <t>BKK 3/29/2021</t>
  </si>
  <si>
    <t>BKK 3/30/2021</t>
  </si>
  <si>
    <t>GeForce RTX 2060 6GB (50%)</t>
  </si>
  <si>
    <t>BKK 3/31/2021</t>
  </si>
  <si>
    <t>MSI GeForce GTX 1660 SUPER AERO ITX OC 6GB - Hynix</t>
  </si>
  <si>
    <t>Apr: Selling</t>
  </si>
  <si>
    <t>AMD Ryzen 5 3500 (50%)</t>
  </si>
  <si>
    <t>BKK 4/1/2021</t>
  </si>
  <si>
    <t>Asus PRIME X370-PRO (50%)</t>
  </si>
  <si>
    <t>BKK 4/2/2021</t>
  </si>
  <si>
    <t>CEI 4/5/2021</t>
  </si>
  <si>
    <t>WD Purple 4TB (50%)</t>
  </si>
  <si>
    <t>BKK 4/6/2021</t>
  </si>
  <si>
    <t>Corsair RM750 (50%)</t>
  </si>
  <si>
    <t>BKK 4/10/2021</t>
  </si>
  <si>
    <t>ผลตอบแทนต่อเดือน (May 2021)</t>
  </si>
  <si>
    <t>BKK 4/16/2021</t>
  </si>
  <si>
    <t>AMD Ryzen 5 3500X (50%)</t>
  </si>
  <si>
    <t>CEI 4/16/2021</t>
  </si>
  <si>
    <t>MSI X370 GAMING PRO CARBON (50%)</t>
  </si>
  <si>
    <t>CEI 4/19/2021</t>
  </si>
  <si>
    <t>Thermaltake Smart BX1 RGB 650W (50%)</t>
  </si>
  <si>
    <t>Kingston Hyper X Fury 8GB DDR4/2666 RAM PC (50%)</t>
  </si>
  <si>
    <t>BKK 4/22/2021</t>
  </si>
  <si>
    <t>CEI 4/23/2021</t>
  </si>
  <si>
    <t>BKK 4/25/2021</t>
  </si>
  <si>
    <t>Thermaltake Smart BX1 650W (50%)</t>
  </si>
  <si>
    <t>May: Selling</t>
  </si>
  <si>
    <t>BKK 4/28/2021</t>
  </si>
  <si>
    <t>BKK 4/30/2021</t>
  </si>
  <si>
    <t>CEI 4/30/2021</t>
  </si>
  <si>
    <t>Gigabyte P850GM 850W (50%)</t>
  </si>
  <si>
    <t>BKK 5/4/2021</t>
  </si>
  <si>
    <t>ASRock B450 Steel Legend (50%)</t>
  </si>
  <si>
    <t>BKK 5/8/2021</t>
  </si>
  <si>
    <t>ผลตอบแทนต่อเดือน (June 2021)</t>
  </si>
  <si>
    <t>CEI 5/8/2021</t>
  </si>
  <si>
    <t>BKK 5/15/2021</t>
  </si>
  <si>
    <t>BKK</t>
  </si>
  <si>
    <t>CEI 5/18/2021</t>
  </si>
  <si>
    <t>BKK 5/22/2021</t>
  </si>
  <si>
    <t>CEI 5/22/2021</t>
  </si>
  <si>
    <t>ASRock B450 Pro4</t>
  </si>
  <si>
    <t>June: Selling</t>
  </si>
  <si>
    <t>BKK 5/28/2021</t>
  </si>
  <si>
    <t>BKK 5/29/2021</t>
  </si>
  <si>
    <t>CEI 5/30/2021</t>
  </si>
  <si>
    <t>CEI 6/9/2021</t>
  </si>
  <si>
    <t>BKK 6/15/2021</t>
  </si>
  <si>
    <t>ผลตอบแทนต่อเดือน (July 2021)</t>
  </si>
  <si>
    <t>BKK 6/25/2021</t>
  </si>
  <si>
    <t>CEI 6/25/2021</t>
  </si>
  <si>
    <t>ZOTAC GAMING GeForce RTX 3080 Amp Holo 10GB - Micron</t>
  </si>
  <si>
    <t>Gigabyte X570 I AORUS PRO WIFI</t>
  </si>
  <si>
    <t>July: Selling</t>
  </si>
  <si>
    <t>AMD Ryzen 5 3600 3.6GHz</t>
  </si>
  <si>
    <t>CEI 6/27/2021</t>
  </si>
  <si>
    <t>NZXT Kraken X53</t>
  </si>
  <si>
    <t>CEI 7/4/2021</t>
  </si>
  <si>
    <t>GEEEK A60+</t>
  </si>
  <si>
    <t>BKK 7/8/2021</t>
  </si>
  <si>
    <t>Cooler Master Computer Case MasterBox NR200P</t>
  </si>
  <si>
    <t>CEI 7/12/2021</t>
  </si>
  <si>
    <t>BKK 7/18/2021</t>
  </si>
  <si>
    <t>ผลตอบแทนต่อเดือน (August 2021)</t>
  </si>
  <si>
    <t>WD BLACK SN750 250GB SSD NVMe M.2 2280</t>
  </si>
  <si>
    <t>CEI 7/20/2021</t>
  </si>
  <si>
    <t>BKK 7/20/2021</t>
  </si>
  <si>
    <t>BKK 7/25/2021</t>
  </si>
  <si>
    <t>CEI 7/25/2021</t>
  </si>
  <si>
    <t>August: Selling</t>
  </si>
  <si>
    <t>CEI 7/28/2021</t>
  </si>
  <si>
    <t>BKK 7/28/2021</t>
  </si>
  <si>
    <t>BKK 8/4/2021</t>
  </si>
  <si>
    <t>CEI 8/5/2021</t>
  </si>
  <si>
    <t>BKK 8/6/2021</t>
  </si>
  <si>
    <t>ผลตอบแทนต่อเดือน (September 2021)</t>
  </si>
  <si>
    <t>CEI 8/10/2021</t>
  </si>
  <si>
    <t>BKK 8/10/2021</t>
  </si>
  <si>
    <t>CEI 8/15/2021</t>
  </si>
  <si>
    <t>BKK 8/15/2021</t>
  </si>
  <si>
    <t>Thermaltake Smart Pro RGB 750W</t>
  </si>
  <si>
    <t>Kingston Hyper X Fury 8GB DDR4/2666 RAM PC</t>
  </si>
  <si>
    <t>CEI 8/20/2021</t>
  </si>
  <si>
    <t>BKK 5/19/2021</t>
  </si>
  <si>
    <t>BKK 8/232021</t>
  </si>
  <si>
    <t>BKK 8/25/2021</t>
  </si>
  <si>
    <t>CEi 8/25/2021</t>
  </si>
  <si>
    <t>SSD</t>
  </si>
  <si>
    <t>WiFi Adapter</t>
  </si>
  <si>
    <t>Sep: Selling</t>
  </si>
  <si>
    <t>BKK 8/31/2021</t>
  </si>
  <si>
    <t>CEI 8/31/2021</t>
  </si>
  <si>
    <t>CEI 9/5/2021</t>
  </si>
  <si>
    <t>AIS Internet Sim Card + Router</t>
  </si>
  <si>
    <t>BKK 9/10/2021</t>
  </si>
  <si>
    <t>ผลตอบแทนต่อเดือน (October 2021)</t>
  </si>
  <si>
    <t>SSD / HDD x 10</t>
  </si>
  <si>
    <t>CEI 9/10/2021</t>
  </si>
  <si>
    <t>USB WiFi Adapter x 10</t>
  </si>
  <si>
    <t>BKK 9/12/2021</t>
  </si>
  <si>
    <t>Riser Cards x 10</t>
  </si>
  <si>
    <t>CEI 9/14/2021</t>
  </si>
  <si>
    <t>CEI 9/15/2021</t>
  </si>
  <si>
    <t>ETH- MATIC</t>
  </si>
  <si>
    <t>CEI 9/17/2021</t>
  </si>
  <si>
    <t>0x7d10a758afe244b495f667399cae424f1154df17</t>
  </si>
  <si>
    <t>ETH - BKK</t>
  </si>
  <si>
    <t>CEI 9/19/2021</t>
  </si>
  <si>
    <t>0x230a06de7747A5cE6Cab999f279573b2E078C308</t>
  </si>
  <si>
    <t>ETH - MATIC</t>
  </si>
  <si>
    <t>0x72fef40381bcd5975932f4266f05f6be0c937464</t>
  </si>
  <si>
    <t>ETH - CEI</t>
  </si>
  <si>
    <t>BKK 9/19/2021</t>
  </si>
  <si>
    <t>t-rex.exe -a octopus -o stratum+tcp://cfx-asia1.nanopool.org:17777 -u cfx:aasdsyrf8jr058mez8vtyt3j1x9gc54nhu9t18ras6.rig0/treephol@gmail.com -p x -w rig0 -d 0,1
pause</t>
  </si>
  <si>
    <t>CFX</t>
  </si>
  <si>
    <t>cfx:aasdsyrf8jr058mez8vtyt3j1x9gc54nhu9t18ras6</t>
  </si>
  <si>
    <t>Conflux Portal</t>
  </si>
  <si>
    <t>BKK 9/21/2021</t>
  </si>
  <si>
    <t>cfx:aas98gw0c5cm5jhk20bdrypw89wg66tdw6ek1w63wu</t>
  </si>
  <si>
    <t>MXC</t>
  </si>
  <si>
    <t>BKK 9/23/2021</t>
  </si>
  <si>
    <t>CEI 9/24/2021</t>
  </si>
  <si>
    <t>wallet = 9fbdWwy1dgtHjZW3uKC8aaa6u1PfSsyY9S1ecKNe783cT7tbCnT
coin=ergo
rigname = Rig0
email = treephol@gmail.com
sortPools=true</t>
  </si>
  <si>
    <t>ERGO</t>
  </si>
  <si>
    <t>BKK 9/25/2021</t>
  </si>
  <si>
    <t>9fbdWwy1dgtHjZW3uKC8aaa6u1PfSsyY9S1ecKNe783cT7tbCnT</t>
  </si>
  <si>
    <t>Oct: Selling</t>
  </si>
  <si>
    <t>50% GPUs</t>
  </si>
  <si>
    <t>- Mining Result</t>
  </si>
  <si>
    <t>- Market Price</t>
  </si>
  <si>
    <t>Quantity</t>
  </si>
  <si>
    <t>Total Market</t>
  </si>
  <si>
    <t>BKK 9/27/2021</t>
  </si>
  <si>
    <t>RTX 3080</t>
  </si>
  <si>
    <t>BKK 9/29/2021</t>
  </si>
  <si>
    <t>RTX 3060</t>
  </si>
  <si>
    <t>CEI 9/30/2021</t>
  </si>
  <si>
    <t>ASUS ROG STRIX G15</t>
  </si>
  <si>
    <t>CEI House</t>
  </si>
  <si>
    <t>RTX 2060 Super</t>
  </si>
  <si>
    <t>CEI Electricity</t>
  </si>
  <si>
    <t>ผลตอบแทนต่อเดือน (November 2021)</t>
  </si>
  <si>
    <t>RTX 2060</t>
  </si>
  <si>
    <t>BKK 10/4/2021</t>
  </si>
  <si>
    <t>1660 Super</t>
  </si>
  <si>
    <t>BKK 10/5/2021</t>
  </si>
  <si>
    <t>CEI 10/5/2021</t>
  </si>
  <si>
    <t>100% GPUs</t>
  </si>
  <si>
    <t>BKK 10/6/2021</t>
  </si>
  <si>
    <t>BKK 10/7/2021</t>
  </si>
  <si>
    <t>BKK 10/9/2021</t>
  </si>
  <si>
    <t>CEI 10/10/2021</t>
  </si>
  <si>
    <t>RTX 3060 Ti  LHR</t>
  </si>
  <si>
    <t>BKK 10/12/2021</t>
  </si>
  <si>
    <t>RTX 3060 LHR</t>
  </si>
  <si>
    <t>BKK 10/14/2021</t>
  </si>
  <si>
    <t>CEI 10/15/2021</t>
  </si>
  <si>
    <t>BKK 10/16/2021</t>
  </si>
  <si>
    <t>CEI 10/19/2021</t>
  </si>
  <si>
    <t>Equipments</t>
  </si>
  <si>
    <t>BKK 10/19/2021</t>
  </si>
  <si>
    <t>BKK 10/20/2021</t>
  </si>
  <si>
    <t>ERG 10/20/2021</t>
  </si>
  <si>
    <t>BKK 10/22/2021</t>
  </si>
  <si>
    <t>Launch Price</t>
  </si>
  <si>
    <t>- Launch Price</t>
  </si>
  <si>
    <t>Total Launch</t>
  </si>
  <si>
    <t>CEI 10/23/2021</t>
  </si>
  <si>
    <t>BKK 10/23/2021</t>
  </si>
  <si>
    <t>ERG 10/24/2021</t>
  </si>
  <si>
    <t>BKK 10/24/2021</t>
  </si>
  <si>
    <t>Nov: Selling</t>
  </si>
  <si>
    <t>BKK 10/25/2021</t>
  </si>
  <si>
    <t>BKK 10/27/2021</t>
  </si>
  <si>
    <t>CEI 10/27/2021</t>
  </si>
  <si>
    <t>BKK 10/28/2021</t>
  </si>
  <si>
    <t>BKK 10/29/2021</t>
  </si>
  <si>
    <t>ผลตอบแทนต่อเดือน (December 2021)</t>
  </si>
  <si>
    <t>CEI 10/31/2021</t>
  </si>
  <si>
    <t>BKK 10/31/2021</t>
  </si>
  <si>
    <t>CEI 11/5/2021</t>
  </si>
  <si>
    <t>BKK 11/7/2021</t>
  </si>
  <si>
    <t>ERG 11/8/2021</t>
  </si>
  <si>
    <t>BKK 11.8/2021</t>
  </si>
  <si>
    <t>CEI 11/10/2021</t>
  </si>
  <si>
    <t>BKK 11/10/2021</t>
  </si>
  <si>
    <t>BKK 11/12/2021</t>
  </si>
  <si>
    <t>ERG 11/13/2021</t>
  </si>
  <si>
    <t>BKK 11/13/2021</t>
  </si>
  <si>
    <t>BKK 11/14/2021</t>
  </si>
  <si>
    <t>Target</t>
  </si>
  <si>
    <t>BKK 11/15/2021</t>
  </si>
  <si>
    <t>Days Left</t>
  </si>
  <si>
    <t>CEI 11/15/2021</t>
  </si>
  <si>
    <t>Months Left</t>
  </si>
  <si>
    <t>BKK Electricity</t>
  </si>
  <si>
    <t>BKK 11/16/2021</t>
  </si>
  <si>
    <t>BKK 11/17/2021</t>
  </si>
  <si>
    <t>Junk Price</t>
  </si>
  <si>
    <t>- Junk Price</t>
  </si>
  <si>
    <t>Total Junk</t>
  </si>
  <si>
    <t>BKK 11/18/2021</t>
  </si>
  <si>
    <t>BKK 11/19/2021</t>
  </si>
  <si>
    <t>CEI 11/20/2021</t>
  </si>
  <si>
    <t>BKK 11/20/2021</t>
  </si>
  <si>
    <t>BKK 11/21/2021</t>
  </si>
  <si>
    <t>BKK 11/22/2021</t>
  </si>
  <si>
    <t>BKK 11/23/2021</t>
  </si>
  <si>
    <t>BKK 11/24/2021</t>
  </si>
  <si>
    <t>CEI 11/25/2021</t>
  </si>
  <si>
    <t>CEI House x 2</t>
  </si>
  <si>
    <t>Dec: Selling</t>
  </si>
  <si>
    <t>BKK 11/25/2021</t>
  </si>
  <si>
    <t>BKK 11/26/2021</t>
  </si>
  <si>
    <t>BKK 11/27/2021</t>
  </si>
  <si>
    <t>BKK 11/28/2021</t>
  </si>
  <si>
    <t>BKK 11/29/2021</t>
  </si>
  <si>
    <t>ผลตอบแทนต่อเดือน (January 2022)</t>
  </si>
  <si>
    <t>CEI 11/30/2021</t>
  </si>
  <si>
    <t>BKK 11/30/2021</t>
  </si>
  <si>
    <t>BKK 12/1/2021</t>
  </si>
  <si>
    <t>BKK 12/2/2021</t>
  </si>
  <si>
    <t>BKK 12/3/2021</t>
  </si>
  <si>
    <t>BKK 12/4/2021</t>
  </si>
  <si>
    <t>CEI 12/5/2021</t>
  </si>
  <si>
    <t>BKK 12/5/2021</t>
  </si>
  <si>
    <t>BKK 12/6/2021</t>
  </si>
  <si>
    <t>BKK 12/7/2021</t>
  </si>
  <si>
    <t>BKK 12/9/2021</t>
  </si>
  <si>
    <t>BKK 12/10/2021</t>
  </si>
  <si>
    <t>CEI 12/10/2021</t>
  </si>
  <si>
    <t>BKK 12/11/2021</t>
  </si>
  <si>
    <t>BKK 12/12/2021</t>
  </si>
  <si>
    <t>BKK 12/13/2021</t>
  </si>
  <si>
    <t>BKK 12/14/2021</t>
  </si>
  <si>
    <t>BKK 12/15/2021</t>
  </si>
  <si>
    <t>CEI 12/15/2021</t>
  </si>
  <si>
    <t>BKK 12/16/2021</t>
  </si>
  <si>
    <t>BKK 12/17/2021</t>
  </si>
  <si>
    <t>BKK 12/18/2021</t>
  </si>
  <si>
    <t>BKK 12/19/2021</t>
  </si>
  <si>
    <t>BKK 12/20/2021</t>
  </si>
  <si>
    <t>CEI 12/20/2021</t>
  </si>
  <si>
    <t>BKK 12/21/2021</t>
  </si>
  <si>
    <t>BKK 12/22/2021</t>
  </si>
  <si>
    <t>BKK 12/23/2021</t>
  </si>
  <si>
    <t>BKK 12/24/2021</t>
  </si>
  <si>
    <t>BKK 12/25/2021</t>
  </si>
  <si>
    <t>CEI 12/25/2021</t>
  </si>
  <si>
    <t>Jan: Selling</t>
  </si>
  <si>
    <t>CEI 12/26/2021</t>
  </si>
  <si>
    <t>BKK 12/26/2021</t>
  </si>
  <si>
    <t>BKK 12/27/2021</t>
  </si>
  <si>
    <t>BKK 12/28/2021</t>
  </si>
  <si>
    <t>ผลตอบแทนต่อเดือน (February 2022)</t>
  </si>
  <si>
    <t>BKK 12/29/2021</t>
  </si>
  <si>
    <t>BKK 12/30/2021</t>
  </si>
  <si>
    <t>CEI 12/30/2021</t>
  </si>
  <si>
    <t>BKK 12/31/2021</t>
  </si>
  <si>
    <t>BKK 1/1/2022</t>
  </si>
  <si>
    <t>BKK 1/2/2021</t>
  </si>
  <si>
    <t>BKK 1/3/2021</t>
  </si>
  <si>
    <t>CEI 1/4/2021</t>
  </si>
  <si>
    <t>BKK 1/6/2021</t>
  </si>
  <si>
    <t>BKK 1/9/2021</t>
  </si>
  <si>
    <t>BKK 1/11/2021</t>
  </si>
  <si>
    <t>CEI 1/14/2021</t>
  </si>
  <si>
    <t>BKK 1/15/2021</t>
  </si>
  <si>
    <t>BKK 1/16/2021</t>
  </si>
  <si>
    <t>BKK 1/17/2021</t>
  </si>
  <si>
    <t>BKK 1/19/2021</t>
  </si>
  <si>
    <t>CEI 1/20/2021</t>
  </si>
  <si>
    <t>BKK 1/20/2021</t>
  </si>
  <si>
    <t>BKK 1/21/2021</t>
  </si>
  <si>
    <t>BKK 1/242021</t>
  </si>
  <si>
    <t>CEI 1/25/2021</t>
  </si>
  <si>
    <t>CEI 1/31/2022</t>
  </si>
  <si>
    <t>BKK 1/31/2022</t>
  </si>
  <si>
    <t>BKK 2/5/2022</t>
  </si>
  <si>
    <t>CEI 2/5/2022</t>
  </si>
  <si>
    <t>BKK 2/7/2022</t>
  </si>
  <si>
    <t>ผลตอบแทนต่อเดือน (March 2022)</t>
  </si>
  <si>
    <t>CEI 2/10/2022</t>
  </si>
  <si>
    <t>BKK 2/10/2022</t>
  </si>
  <si>
    <t>BKK 2/13/2022</t>
  </si>
  <si>
    <t>CEI 2/15/2022</t>
  </si>
  <si>
    <t>BKK 2/15/2022</t>
  </si>
  <si>
    <t>BKK 2/16/2022</t>
  </si>
  <si>
    <t>CEI 2/20/2022</t>
  </si>
  <si>
    <t>BKK 2/25/2022</t>
  </si>
  <si>
    <t>CEI 2/25/2022</t>
  </si>
  <si>
    <t>BKK 2/28/2022</t>
  </si>
  <si>
    <t>CEI 2/28/2022</t>
  </si>
  <si>
    <t>BKK 3/05/2022</t>
  </si>
  <si>
    <t>CEI 3/10/2022</t>
  </si>
  <si>
    <t>ผลตอบแทนต่อเดือน (April 2022)</t>
  </si>
  <si>
    <t>CEI 3/15/2022</t>
  </si>
  <si>
    <t>BKK 3/15/2022</t>
  </si>
  <si>
    <t>BKK 3/20/2022</t>
  </si>
  <si>
    <t>CEI 3/24/2022</t>
  </si>
  <si>
    <t>BKK 3/24/2022</t>
  </si>
  <si>
    <t>BKK 3/30/2022</t>
  </si>
  <si>
    <t>CEI 3/31/2022</t>
  </si>
  <si>
    <t>BKK 4/42022</t>
  </si>
  <si>
    <t>BKK 4/102022</t>
  </si>
  <si>
    <t>ผลตอบแทนต่อเดือน (May 2022)</t>
  </si>
  <si>
    <t>CEI 4/10/2022</t>
  </si>
  <si>
    <t>BKK 4/152022</t>
  </si>
  <si>
    <t>CEI 4/15/2022</t>
  </si>
  <si>
    <t>BKK 4/252022</t>
  </si>
  <si>
    <t>CEI 4/252022</t>
  </si>
  <si>
    <t>CEI 4/30/2022</t>
  </si>
  <si>
    <t>BKK 4/30/2022</t>
  </si>
  <si>
    <t>CEI 5/20/2022</t>
  </si>
  <si>
    <t>ผลตอบแทนต่อเดือน (June 2022)</t>
  </si>
  <si>
    <t>BKK 5/24/2022</t>
  </si>
  <si>
    <t>CEI 5/24/2022</t>
  </si>
  <si>
    <t>BKK 6/05/2022</t>
  </si>
  <si>
    <t>ผลตอบแทนต่อเดือน (July 2022)</t>
  </si>
  <si>
    <t>Jul: Selling</t>
  </si>
  <si>
    <t>ผลตอบแทนต่อเดือน (August 2022)</t>
  </si>
  <si>
    <t>Aug: Selling</t>
  </si>
  <si>
    <t>CEI 7/20/2022</t>
  </si>
  <si>
    <t>CEI 7/29/2022</t>
  </si>
  <si>
    <t>CEI 8/5/2022</t>
  </si>
  <si>
    <t>CEI 8/10/2022</t>
  </si>
  <si>
    <t>ผลตอบแทนต่อเดือน (September 2022)</t>
  </si>
  <si>
    <t>CEI NH</t>
  </si>
  <si>
    <t>CEI 8/152022</t>
  </si>
  <si>
    <t>BKK 8/20/2022</t>
  </si>
  <si>
    <t>BKK 8/24/2022</t>
  </si>
  <si>
    <t>CEI 8/25/2022</t>
  </si>
  <si>
    <t>CEI 8/30/2022</t>
  </si>
  <si>
    <t>CEI 9/05/2022</t>
  </si>
  <si>
    <t>BKK 9/20/2022</t>
  </si>
  <si>
    <t>ผลตอบแทนต่อเดือน (October 2022)</t>
  </si>
  <si>
    <t>CEI 9/20/2022</t>
  </si>
  <si>
    <t>Before Discount</t>
  </si>
  <si>
    <t>Discount</t>
  </si>
  <si>
    <t>After Discount</t>
  </si>
  <si>
    <t>Stock</t>
  </si>
  <si>
    <t>Stock (USD)</t>
  </si>
  <si>
    <t>Stock (THB)</t>
  </si>
  <si>
    <t>DEC to USD</t>
  </si>
  <si>
    <t>HIVE to USD</t>
  </si>
  <si>
    <t>SPS to USD</t>
  </si>
  <si>
    <t>Date</t>
  </si>
  <si>
    <t>DEC: In-Game</t>
  </si>
  <si>
    <t>Airdrop SPS</t>
  </si>
  <si>
    <t>กำไรจากการลงทุน August 2021</t>
  </si>
  <si>
    <t>DEC: Hive</t>
  </si>
  <si>
    <t>Rental DEC</t>
  </si>
  <si>
    <t>HIVE: Hive</t>
  </si>
  <si>
    <t>Cards</t>
  </si>
  <si>
    <t>CHAOS</t>
  </si>
  <si>
    <t>Season DEC</t>
  </si>
  <si>
    <t>Ranked DEC</t>
  </si>
  <si>
    <t>กำไรจากการลงทุน September 2021</t>
  </si>
  <si>
    <t>Staking SPS</t>
  </si>
  <si>
    <t>A+S SPS</t>
  </si>
  <si>
    <t>กำไรจากการลงทุน October 2021</t>
  </si>
  <si>
    <t>S Voucher</t>
  </si>
  <si>
    <t>S SPS</t>
  </si>
  <si>
    <t>Bonus SPS</t>
  </si>
  <si>
    <t>กำไรจากการลงทุน November 2021</t>
  </si>
  <si>
    <t>กำไรจากการลงทุน December 2021</t>
  </si>
  <si>
    <t>กำไรจากการลงทุน January 2022</t>
  </si>
  <si>
    <t>Crazy Miner</t>
  </si>
  <si>
    <t>OfficeLand</t>
  </si>
  <si>
    <t>กำไรจากการลงทุน February 2022</t>
  </si>
  <si>
    <t>Krypton Quest</t>
  </si>
  <si>
    <t>Farmer Coin</t>
  </si>
  <si>
    <t>Goldmand</t>
  </si>
  <si>
    <t>Farmers World</t>
  </si>
  <si>
    <t>กำไรจากการลงทุน March 2022</t>
  </si>
  <si>
    <t>MRR =6.05%</t>
  </si>
  <si>
    <t>ค่าจดจำนอง</t>
  </si>
  <si>
    <t>ค่่าธรรมเนียมการโอน</t>
  </si>
  <si>
    <t>ค่าส่วนกลาง</t>
  </si>
  <si>
    <t>ค่ากองทุน</t>
  </si>
  <si>
    <t>ประกันอัคคีภัย</t>
  </si>
  <si>
    <t>ประกัันมิเตอร์น้ำไฟ</t>
  </si>
  <si>
    <t>ประกันภัยอาคาร</t>
  </si>
  <si>
    <t>ค่าใช้จ่ายวันโอน</t>
  </si>
  <si>
    <t>ตกแต่ง (7,500/sq.m.)</t>
  </si>
  <si>
    <t>ผ่อนดาวน์</t>
  </si>
  <si>
    <t>ยอดโอน</t>
  </si>
  <si>
    <t>Return (%)</t>
  </si>
  <si>
    <t>Oct 2019 - Dad Final</t>
  </si>
  <si>
    <t>Selling (THB)</t>
  </si>
  <si>
    <t>Selling (USD)</t>
  </si>
  <si>
    <t>Selling (BCOIN)</t>
  </si>
  <si>
    <t>Stock (BCOIN)</t>
  </si>
  <si>
    <t>BCOIN to USD</t>
  </si>
  <si>
    <t>Bombcrypto</t>
  </si>
  <si>
    <t>Hero</t>
  </si>
  <si>
    <t>Super Rare (3)</t>
  </si>
  <si>
    <t>CEI 2</t>
  </si>
  <si>
    <t>Rare (3)</t>
  </si>
  <si>
    <t>CEI 1</t>
  </si>
  <si>
    <t>Common (2)</t>
  </si>
  <si>
    <t>Common (1)</t>
  </si>
  <si>
    <t>CEI 1 50%
(All Common)</t>
  </si>
  <si>
    <t>CEI 2 50%
(1 Epic, 3 Rare, 6 Common)</t>
  </si>
  <si>
    <t>กำไรจากการลงทุน January 2021</t>
  </si>
  <si>
    <t>กำไรจากการลงทุน February 2021</t>
  </si>
  <si>
    <t>Selling (Eternal)</t>
  </si>
  <si>
    <t>Eternal to USD</t>
  </si>
  <si>
    <t>CryptoMines</t>
  </si>
  <si>
    <t>[C] SX 60000 - 608</t>
  </si>
  <si>
    <t>HW</t>
  </si>
  <si>
    <t>[C] SX 60001 - 600</t>
  </si>
  <si>
    <t>[C] RUAY - 600</t>
  </si>
  <si>
    <t>[C] Los guarimberos - 600</t>
  </si>
  <si>
    <t>[C] Fleet 5 - 600</t>
  </si>
  <si>
    <t>[C] PI 3 - 600</t>
  </si>
  <si>
    <t>[C] PI 5 - 600</t>
  </si>
  <si>
    <t>[C] To The Moon - 600 (10)</t>
  </si>
  <si>
    <t>[C] 700</t>
  </si>
  <si>
    <t>Raid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</si>
</sst>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#,##0.000"/>
    <numFmt numFmtId="165" formatCode="d mmm yyyy"/>
    <numFmt numFmtId="166" formatCode="mmm yyyy"/>
    <numFmt numFmtId="167" formatCode="#,##"/>
    <numFmt numFmtId="168" formatCode="m/d/yyyy"/>
    <numFmt numFmtId="169" formatCode="d mmm"/>
    <numFmt numFmtId="170" formatCode="d mmmm"/>
    <numFmt numFmtId="171" formatCode="#,##0.0"/>
    <numFmt numFmtId="172" formatCode="m-d"/>
    <numFmt numFmtId="173" formatCode="#,##0;(#,##0)"/>
    <numFmt numFmtId="174" formatCode="d-mmm"/>
    <numFmt numFmtId="175" formatCode="0.00000"/>
    <numFmt numFmtId="176" formatCode="0.0"/>
    <numFmt numFmtId="177" formatCode="&quot;$&quot;#,##0.00"/>
    <numFmt numFmtId="178" formatCode="#,##0.0000"/>
    <numFmt numFmtId="179" formatCode="M/d/yyyy"/>
  </numFmts>
  <fonts count="41">
    <font>
      <sz val="10.0"/>
      <color rgb="FF000000"/>
      <name val="Arial"/>
    </font>
    <font/>
    <font>
      <b/>
      <sz val="9.0"/>
      <name val="Tahoma"/>
    </font>
    <font>
      <name val="Arial"/>
    </font>
    <font>
      <b/>
      <sz val="9.0"/>
      <color rgb="FF000000"/>
      <name val="Tahoma"/>
    </font>
    <font>
      <sz val="9.0"/>
      <name val="Tahoma"/>
    </font>
    <font>
      <b/>
    </font>
    <font>
      <b/>
      <color rgb="FF000000"/>
      <name val="Arial"/>
    </font>
    <font>
      <b/>
      <name val="Arial"/>
    </font>
    <font>
      <color rgb="FF000000"/>
      <name val="Arial"/>
    </font>
    <font>
      <color rgb="FF000000"/>
    </font>
    <font>
      <color rgb="FFFF0000"/>
    </font>
    <font>
      <u/>
      <color rgb="FF1155CC"/>
    </font>
    <font>
      <sz val="11.0"/>
      <color rgb="FF1D2129"/>
      <name val="Inherit"/>
    </font>
    <font>
      <b/>
      <u/>
      <color rgb="FF0000FF"/>
    </font>
    <font>
      <b/>
      <u/>
      <color rgb="FF0000FF"/>
    </font>
    <font>
      <color rgb="FFCCCCCC"/>
    </font>
    <font>
      <color rgb="FFCCCCCC"/>
      <name val="Arial"/>
    </font>
    <font>
      <sz val="10.0"/>
    </font>
    <font>
      <b/>
      <color rgb="FFFF0000"/>
    </font>
    <font>
      <sz val="10.0"/>
      <name val="Tahoma"/>
    </font>
    <font>
      <sz val="22.0"/>
      <color rgb="FF1F497D"/>
    </font>
    <font>
      <u/>
      <sz val="11.0"/>
      <color rgb="FF0070C0"/>
    </font>
    <font>
      <sz val="12.0"/>
      <color rgb="FF000000"/>
    </font>
    <font>
      <b/>
      <sz val="12.0"/>
      <color rgb="FFEBF1DE"/>
    </font>
    <font>
      <sz val="11.0"/>
      <color rgb="FF000000"/>
    </font>
    <font>
      <sz val="14.0"/>
      <color rgb="FF000000"/>
    </font>
    <font>
      <b/>
      <sz val="12.0"/>
      <color rgb="FFE6E0EC"/>
    </font>
    <font>
      <b/>
      <sz val="11.0"/>
      <color rgb="FF000000"/>
    </font>
    <font>
      <sz val="11.0"/>
      <name val="Arial"/>
    </font>
    <font>
      <sz val="11.0"/>
      <color rgb="FF000000"/>
      <name val="Arial"/>
    </font>
    <font>
      <b/>
      <sz val="11.0"/>
      <name val="Arial"/>
    </font>
    <font>
      <sz val="11.0"/>
    </font>
    <font>
      <b/>
      <sz val="11.0"/>
    </font>
    <font>
      <b/>
      <sz val="12.0"/>
      <color rgb="FFDCE6F2"/>
    </font>
    <font>
      <b/>
      <sz val="11.0"/>
      <color rgb="FF000000"/>
      <name val="Arial"/>
    </font>
    <font>
      <b/>
      <sz val="10.0"/>
      <name val="Tahoma"/>
    </font>
    <font>
      <b/>
      <color rgb="FFFF0000"/>
      <name val="Arial"/>
    </font>
    <font>
      <color rgb="FF434343"/>
    </font>
    <font>
      <b/>
      <color rgb="FF434343"/>
      <name val="Arial"/>
    </font>
    <font>
      <color rgb="FF434343"/>
      <name val="Arial"/>
    </font>
  </fonts>
  <fills count="29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6E3BC"/>
        <bgColor rgb="FFD6E3BC"/>
      </patternFill>
    </fill>
    <fill>
      <patternFill patternType="solid">
        <fgColor rgb="FFFFFF99"/>
        <bgColor rgb="FFFFFF99"/>
      </patternFill>
    </fill>
    <fill>
      <patternFill patternType="solid">
        <fgColor rgb="FFD99594"/>
        <bgColor rgb="FFD99594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4A86E8"/>
        <bgColor rgb="FF4A86E8"/>
      </patternFill>
    </fill>
    <fill>
      <patternFill patternType="solid">
        <fgColor rgb="FF666666"/>
        <bgColor rgb="FF666666"/>
      </patternFill>
    </fill>
    <fill>
      <patternFill patternType="solid">
        <fgColor rgb="FF00FFFF"/>
        <bgColor rgb="FF00FFFF"/>
      </patternFill>
    </fill>
    <fill>
      <patternFill patternType="solid">
        <fgColor rgb="FFF2F2F2"/>
        <bgColor rgb="FFF2F2F2"/>
      </patternFill>
    </fill>
    <fill>
      <patternFill patternType="solid">
        <fgColor rgb="FFF3F3F3"/>
        <bgColor rgb="FFF3F3F3"/>
      </patternFill>
    </fill>
    <fill>
      <patternFill patternType="solid">
        <fgColor rgb="FF748C43"/>
        <bgColor rgb="FF748C43"/>
      </patternFill>
    </fill>
    <fill>
      <patternFill patternType="solid">
        <fgColor rgb="FFEBF1DE"/>
        <bgColor rgb="FFEBF1DE"/>
      </patternFill>
    </fill>
    <fill>
      <patternFill patternType="solid">
        <fgColor rgb="FFC3D69B"/>
        <bgColor rgb="FFC3D69B"/>
      </patternFill>
    </fill>
    <fill>
      <patternFill patternType="solid">
        <fgColor rgb="FF604B7A"/>
        <bgColor rgb="FF604B7A"/>
      </patternFill>
    </fill>
    <fill>
      <patternFill patternType="solid">
        <fgColor rgb="FFE6E0EC"/>
        <bgColor rgb="FFE6E0EC"/>
      </patternFill>
    </fill>
    <fill>
      <patternFill patternType="solid">
        <fgColor rgb="FF3B618E"/>
        <bgColor rgb="FF3B618E"/>
      </patternFill>
    </fill>
    <fill>
      <patternFill patternType="solid">
        <fgColor rgb="FFDCE6F2"/>
        <bgColor rgb="FFDCE6F2"/>
      </patternFill>
    </fill>
    <fill>
      <patternFill patternType="solid">
        <fgColor rgb="FFC4BD97"/>
        <bgColor rgb="FFC4BD97"/>
      </patternFill>
    </fill>
    <fill>
      <patternFill patternType="solid">
        <fgColor rgb="FF548DD4"/>
        <bgColor rgb="FF548DD4"/>
      </patternFill>
    </fill>
    <fill>
      <patternFill patternType="solid">
        <fgColor rgb="FFC2D69B"/>
        <bgColor rgb="FFC2D69B"/>
      </patternFill>
    </fill>
  </fills>
  <borders count="45">
    <border/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bottom style="thin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right style="thin">
        <color rgb="FF000000"/>
      </right>
      <bottom/>
    </border>
    <border>
      <right/>
    </border>
    <border>
      <right/>
      <bottom style="thin">
        <color rgb="FF000000"/>
      </bottom>
    </border>
  </borders>
  <cellStyleXfs count="1">
    <xf borderId="0" fillId="0" fontId="0" numFmtId="0" applyAlignment="1" applyFont="1"/>
  </cellStyleXfs>
  <cellXfs count="68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3" xfId="0" applyAlignment="1" applyFont="1" applyNumberFormat="1">
      <alignment horizontal="center" readingOrder="0" shrinkToFit="0" wrapText="0"/>
    </xf>
    <xf borderId="0" fillId="0" fontId="2" numFmtId="3" xfId="0" applyAlignment="1" applyFont="1" applyNumberFormat="1">
      <alignment horizontal="center" shrinkToFit="0" vertical="center" wrapText="0"/>
    </xf>
    <xf borderId="0" fillId="0" fontId="2" numFmtId="4" xfId="0" applyAlignment="1" applyFont="1" applyNumberFormat="1">
      <alignment shrinkToFit="0" wrapText="0"/>
    </xf>
    <xf borderId="0" fillId="0" fontId="2" numFmtId="3" xfId="0" applyAlignment="1" applyFont="1" applyNumberFormat="1">
      <alignment horizontal="center" shrinkToFit="0" wrapText="0"/>
    </xf>
    <xf borderId="0" fillId="0" fontId="2" numFmtId="3" xfId="0" applyAlignment="1" applyFont="1" applyNumberFormat="1">
      <alignment horizontal="left" readingOrder="0" shrinkToFit="0" wrapText="0"/>
    </xf>
    <xf borderId="0" fillId="0" fontId="2" numFmtId="4" xfId="0" applyAlignment="1" applyFont="1" applyNumberFormat="1">
      <alignment readingOrder="0" shrinkToFit="0" wrapText="0"/>
    </xf>
    <xf borderId="1" fillId="0" fontId="2" numFmtId="4" xfId="0" applyAlignment="1" applyBorder="1" applyFont="1" applyNumberFormat="1">
      <alignment shrinkToFit="0" wrapText="0"/>
    </xf>
    <xf borderId="0" fillId="0" fontId="2" numFmtId="164" xfId="0" applyAlignment="1" applyFont="1" applyNumberFormat="1">
      <alignment shrinkToFit="0" wrapText="0"/>
    </xf>
    <xf borderId="2" fillId="3" fontId="2" numFmtId="3" xfId="0" applyAlignment="1" applyBorder="1" applyFill="1" applyFont="1" applyNumberFormat="1">
      <alignment horizontal="center" shrinkToFit="0" wrapText="0"/>
    </xf>
    <xf borderId="3" fillId="3" fontId="2" numFmtId="3" xfId="0" applyAlignment="1" applyBorder="1" applyFont="1" applyNumberFormat="1">
      <alignment horizontal="center" shrinkToFit="0" wrapText="0"/>
    </xf>
    <xf borderId="4" fillId="3" fontId="2" numFmtId="4" xfId="0" applyAlignment="1" applyBorder="1" applyFont="1" applyNumberFormat="1">
      <alignment horizontal="center" readingOrder="0" shrinkToFit="0" wrapText="0"/>
    </xf>
    <xf borderId="5" fillId="3" fontId="2" numFmtId="4" xfId="0" applyAlignment="1" applyBorder="1" applyFont="1" applyNumberFormat="1">
      <alignment horizontal="center" readingOrder="0" shrinkToFit="0" wrapText="0"/>
    </xf>
    <xf borderId="6" fillId="3" fontId="2" numFmtId="4" xfId="0" applyAlignment="1" applyBorder="1" applyFont="1" applyNumberFormat="1">
      <alignment horizontal="center" readingOrder="0" shrinkToFit="0" wrapText="0"/>
    </xf>
    <xf borderId="7" fillId="3" fontId="2" numFmtId="4" xfId="0" applyAlignment="1" applyBorder="1" applyFont="1" applyNumberFormat="1">
      <alignment horizontal="center" readingOrder="0" shrinkToFit="0" wrapText="0"/>
    </xf>
    <xf borderId="8" fillId="3" fontId="2" numFmtId="4" xfId="0" applyAlignment="1" applyBorder="1" applyFont="1" applyNumberFormat="1">
      <alignment horizontal="center" readingOrder="0" shrinkToFit="0" wrapText="0"/>
    </xf>
    <xf borderId="9" fillId="4" fontId="2" numFmtId="164" xfId="0" applyAlignment="1" applyBorder="1" applyFill="1" applyFont="1" applyNumberFormat="1">
      <alignment horizontal="center" readingOrder="0" shrinkToFit="0" wrapText="0"/>
    </xf>
    <xf borderId="2" fillId="5" fontId="2" numFmtId="4" xfId="0" applyAlignment="1" applyBorder="1" applyFill="1" applyFont="1" applyNumberFormat="1">
      <alignment horizontal="center" readingOrder="0" shrinkToFit="0" wrapText="0"/>
    </xf>
    <xf borderId="3" fillId="3" fontId="2" numFmtId="4" xfId="0" applyAlignment="1" applyBorder="1" applyFont="1" applyNumberFormat="1">
      <alignment horizontal="center" readingOrder="0" shrinkToFit="0" wrapText="0"/>
    </xf>
    <xf borderId="10" fillId="3" fontId="2" numFmtId="4" xfId="0" applyAlignment="1" applyBorder="1" applyFont="1" applyNumberFormat="1">
      <alignment horizontal="center" readingOrder="0" shrinkToFit="0" wrapText="0"/>
    </xf>
    <xf borderId="11" fillId="0" fontId="2" numFmtId="165" xfId="0" applyAlignment="1" applyBorder="1" applyFont="1" applyNumberFormat="1">
      <alignment horizontal="center" readingOrder="0" shrinkToFit="0" vertical="bottom" wrapText="0"/>
    </xf>
    <xf borderId="12" fillId="0" fontId="2" numFmtId="3" xfId="0" applyAlignment="1" applyBorder="1" applyFont="1" applyNumberFormat="1">
      <alignment horizontal="center" shrinkToFit="0" wrapText="0"/>
    </xf>
    <xf borderId="13" fillId="5" fontId="2" numFmtId="4" xfId="0" applyAlignment="1" applyBorder="1" applyFont="1" applyNumberFormat="1">
      <alignment horizontal="right" readingOrder="0" shrinkToFit="0" vertical="bottom" wrapText="0"/>
    </xf>
    <xf borderId="0" fillId="5" fontId="2" numFmtId="4" xfId="0" applyAlignment="1" applyFont="1" applyNumberFormat="1">
      <alignment horizontal="right" shrinkToFit="0" vertical="bottom" wrapText="0"/>
    </xf>
    <xf borderId="14" fillId="5" fontId="2" numFmtId="4" xfId="0" applyAlignment="1" applyBorder="1" applyFont="1" applyNumberFormat="1">
      <alignment horizontal="right" readingOrder="0" shrinkToFit="0" vertical="bottom" wrapText="0"/>
    </xf>
    <xf borderId="14" fillId="5" fontId="2" numFmtId="4" xfId="0" applyAlignment="1" applyBorder="1" applyFont="1" applyNumberFormat="1">
      <alignment horizontal="right" shrinkToFit="0" vertical="bottom" wrapText="0"/>
    </xf>
    <xf borderId="7" fillId="5" fontId="2" numFmtId="4" xfId="0" applyAlignment="1" applyBorder="1" applyFont="1" applyNumberFormat="1">
      <alignment horizontal="right" shrinkToFit="0" vertical="bottom" wrapText="0"/>
    </xf>
    <xf borderId="0" fillId="5" fontId="2" numFmtId="4" xfId="0" applyAlignment="1" applyFont="1" applyNumberFormat="1">
      <alignment shrinkToFit="0" wrapText="0"/>
    </xf>
    <xf borderId="15" fillId="5" fontId="2" numFmtId="4" xfId="0" applyAlignment="1" applyBorder="1" applyFont="1" applyNumberFormat="1">
      <alignment horizontal="right" readingOrder="0" shrinkToFit="0" vertical="bottom" wrapText="0"/>
    </xf>
    <xf borderId="14" fillId="5" fontId="2" numFmtId="4" xfId="0" applyAlignment="1" applyBorder="1" applyFont="1" applyNumberFormat="1">
      <alignment horizontal="right" readingOrder="0" shrinkToFit="0" vertical="bottom" wrapText="0"/>
    </xf>
    <xf borderId="7" fillId="5" fontId="2" numFmtId="4" xfId="0" applyAlignment="1" applyBorder="1" applyFont="1" applyNumberFormat="1">
      <alignment horizontal="right" shrinkToFit="0" vertical="bottom" wrapText="0"/>
    </xf>
    <xf borderId="16" fillId="5" fontId="2" numFmtId="164" xfId="0" applyAlignment="1" applyBorder="1" applyFont="1" applyNumberFormat="1">
      <alignment horizontal="right" readingOrder="0" shrinkToFit="0" vertical="bottom" wrapText="0"/>
    </xf>
    <xf borderId="17" fillId="5" fontId="2" numFmtId="4" xfId="0" applyAlignment="1" applyBorder="1" applyFont="1" applyNumberFormat="1">
      <alignment horizontal="right" shrinkToFit="0" vertical="bottom" wrapText="0"/>
    </xf>
    <xf borderId="18" fillId="5" fontId="2" numFmtId="4" xfId="0" applyAlignment="1" applyBorder="1" applyFont="1" applyNumberFormat="1">
      <alignment horizontal="right" readingOrder="0" shrinkToFit="0" vertical="bottom" wrapText="0"/>
    </xf>
    <xf borderId="14" fillId="5" fontId="2" numFmtId="4" xfId="0" applyAlignment="1" applyBorder="1" applyFont="1" applyNumberFormat="1">
      <alignment horizontal="right" shrinkToFit="0" vertical="bottom" wrapText="0"/>
    </xf>
    <xf borderId="11" fillId="0" fontId="3" numFmtId="3" xfId="0" applyAlignment="1" applyBorder="1" applyFont="1" applyNumberFormat="1">
      <alignment horizontal="center" shrinkToFit="0" vertical="bottom" wrapText="1"/>
    </xf>
    <xf borderId="19" fillId="0" fontId="2" numFmtId="3" xfId="0" applyAlignment="1" applyBorder="1" applyFont="1" applyNumberFormat="1">
      <alignment horizontal="center" shrinkToFit="0" wrapText="0"/>
    </xf>
    <xf borderId="20" fillId="5" fontId="2" numFmtId="4" xfId="0" applyAlignment="1" applyBorder="1" applyFont="1" applyNumberFormat="1">
      <alignment horizontal="right" readingOrder="0" shrinkToFit="0" vertical="bottom" wrapText="0"/>
    </xf>
    <xf borderId="0" fillId="5" fontId="2" numFmtId="4" xfId="0" applyAlignment="1" applyFont="1" applyNumberFormat="1">
      <alignment horizontal="right" readingOrder="0" shrinkToFit="0" vertical="bottom" wrapText="0"/>
    </xf>
    <xf borderId="11" fillId="5" fontId="2" numFmtId="4" xfId="0" applyAlignment="1" applyBorder="1" applyFont="1" applyNumberFormat="1">
      <alignment horizontal="right" shrinkToFit="0" vertical="bottom" wrapText="0"/>
    </xf>
    <xf borderId="21" fillId="5" fontId="2" numFmtId="4" xfId="0" applyAlignment="1" applyBorder="1" applyFont="1" applyNumberFormat="1">
      <alignment horizontal="right" readingOrder="0" shrinkToFit="0" vertical="bottom" wrapText="0"/>
    </xf>
    <xf borderId="22" fillId="5" fontId="2" numFmtId="4" xfId="0" applyAlignment="1" applyBorder="1" applyFont="1" applyNumberFormat="1">
      <alignment horizontal="right" shrinkToFit="0" vertical="bottom" wrapText="0"/>
    </xf>
    <xf borderId="23" fillId="5" fontId="2" numFmtId="4" xfId="0" applyAlignment="1" applyBorder="1" applyFont="1" applyNumberFormat="1">
      <alignment horizontal="right" readingOrder="0" shrinkToFit="0" vertical="bottom" wrapText="0"/>
    </xf>
    <xf borderId="11" fillId="0" fontId="2" numFmtId="166" xfId="0" applyAlignment="1" applyBorder="1" applyFont="1" applyNumberFormat="1">
      <alignment horizontal="center" readingOrder="0" shrinkToFit="0" vertical="bottom" wrapText="1"/>
    </xf>
    <xf borderId="24" fillId="0" fontId="3" numFmtId="166" xfId="0" applyAlignment="1" applyBorder="1" applyFont="1" applyNumberFormat="1">
      <alignment horizontal="center" readingOrder="0" shrinkToFit="0" vertical="bottom" wrapText="1"/>
    </xf>
    <xf borderId="13" fillId="0" fontId="2" numFmtId="3" xfId="0" applyAlignment="1" applyBorder="1" applyFont="1" applyNumberFormat="1">
      <alignment horizontal="center" shrinkToFit="0" wrapText="0"/>
    </xf>
    <xf borderId="1" fillId="5" fontId="2" numFmtId="4" xfId="0" applyAlignment="1" applyBorder="1" applyFont="1" applyNumberFormat="1">
      <alignment horizontal="right" shrinkToFit="0" vertical="bottom" wrapText="0"/>
    </xf>
    <xf borderId="1" fillId="5" fontId="2" numFmtId="4" xfId="0" applyAlignment="1" applyBorder="1" applyFont="1" applyNumberFormat="1">
      <alignment horizontal="right" readingOrder="0" shrinkToFit="0" vertical="bottom" wrapText="0"/>
    </xf>
    <xf borderId="24" fillId="5" fontId="2" numFmtId="4" xfId="0" applyAlignment="1" applyBorder="1" applyFont="1" applyNumberFormat="1">
      <alignment horizontal="right" shrinkToFit="0" vertical="bottom" wrapText="0"/>
    </xf>
    <xf borderId="25" fillId="5" fontId="2" numFmtId="4" xfId="0" applyAlignment="1" applyBorder="1" applyFont="1" applyNumberFormat="1">
      <alignment horizontal="right" readingOrder="0" shrinkToFit="0" vertical="bottom" wrapText="0"/>
    </xf>
    <xf borderId="26" fillId="5" fontId="2" numFmtId="4" xfId="0" applyAlignment="1" applyBorder="1" applyFont="1" applyNumberFormat="1">
      <alignment horizontal="right" readingOrder="0" shrinkToFit="0" vertical="bottom" wrapText="0"/>
    </xf>
    <xf borderId="11" fillId="0" fontId="3" numFmtId="166" xfId="0" applyAlignment="1" applyBorder="1" applyFont="1" applyNumberFormat="1">
      <alignment horizontal="center" readingOrder="0" shrinkToFit="0" vertical="bottom" wrapText="1"/>
    </xf>
    <xf borderId="0" fillId="5" fontId="4" numFmtId="4" xfId="0" applyAlignment="1" applyFont="1" applyNumberFormat="1">
      <alignment horizontal="right" readingOrder="0" shrinkToFit="0" wrapText="1"/>
    </xf>
    <xf borderId="11" fillId="0" fontId="3" numFmtId="3" xfId="0" applyAlignment="1" applyBorder="1" applyFont="1" applyNumberFormat="1">
      <alignment horizontal="center" readingOrder="0" shrinkToFit="0" vertical="bottom" wrapText="1"/>
    </xf>
    <xf borderId="24" fillId="0" fontId="3" numFmtId="3" xfId="0" applyAlignment="1" applyBorder="1" applyFont="1" applyNumberFormat="1">
      <alignment horizontal="center" shrinkToFit="0" vertical="bottom" wrapText="1"/>
    </xf>
    <xf borderId="25" fillId="6" fontId="2" numFmtId="4" xfId="0" applyAlignment="1" applyBorder="1" applyFill="1" applyFont="1" applyNumberFormat="1">
      <alignment horizontal="right" readingOrder="0" shrinkToFit="0" vertical="bottom" wrapText="0"/>
    </xf>
    <xf borderId="1" fillId="5" fontId="4" numFmtId="4" xfId="0" applyAlignment="1" applyBorder="1" applyFont="1" applyNumberFormat="1">
      <alignment horizontal="right" readingOrder="0" shrinkToFit="0" wrapText="1"/>
    </xf>
    <xf borderId="0" fillId="6" fontId="2" numFmtId="4" xfId="0" applyAlignment="1" applyFont="1" applyNumberFormat="1">
      <alignment horizontal="right" readingOrder="0" shrinkToFit="0" vertical="bottom" wrapText="0"/>
    </xf>
    <xf borderId="0" fillId="6" fontId="2" numFmtId="4" xfId="0" applyAlignment="1" applyFont="1" applyNumberFormat="1">
      <alignment horizontal="right" shrinkToFit="0" vertical="bottom" wrapText="0"/>
    </xf>
    <xf borderId="16" fillId="6" fontId="2" numFmtId="164" xfId="0" applyAlignment="1" applyBorder="1" applyFont="1" applyNumberFormat="1">
      <alignment horizontal="right" readingOrder="0" shrinkToFit="0" vertical="bottom" wrapText="0"/>
    </xf>
    <xf borderId="27" fillId="0" fontId="2" numFmtId="3" xfId="0" applyAlignment="1" applyBorder="1" applyFont="1" applyNumberFormat="1">
      <alignment horizontal="center" shrinkToFit="0" wrapText="0"/>
    </xf>
    <xf borderId="11" fillId="0" fontId="3" numFmtId="0" xfId="0" applyAlignment="1" applyBorder="1" applyFont="1">
      <alignment horizontal="center" readingOrder="0" shrinkToFit="0" vertical="bottom" wrapText="1"/>
    </xf>
    <xf borderId="26" fillId="0" fontId="2" numFmtId="165" xfId="0" applyAlignment="1" applyBorder="1" applyFont="1" applyNumberFormat="1">
      <alignment horizontal="center" readingOrder="0" shrinkToFit="0" wrapText="0"/>
    </xf>
    <xf borderId="28" fillId="0" fontId="2" numFmtId="3" xfId="0" applyAlignment="1" applyBorder="1" applyFont="1" applyNumberFormat="1">
      <alignment horizontal="center" shrinkToFit="0" vertical="center" wrapText="0"/>
    </xf>
    <xf borderId="29" fillId="5" fontId="2" numFmtId="4" xfId="0" applyAlignment="1" applyBorder="1" applyFont="1" applyNumberFormat="1">
      <alignment shrinkToFit="0" wrapText="0"/>
    </xf>
    <xf borderId="27" fillId="0" fontId="2" numFmtId="3" xfId="0" applyAlignment="1" applyBorder="1" applyFont="1" applyNumberFormat="1">
      <alignment horizontal="center" shrinkToFit="0" vertical="center" wrapText="0"/>
    </xf>
    <xf borderId="11" fillId="5" fontId="2" numFmtId="4" xfId="0" applyAlignment="1" applyBorder="1" applyFont="1" applyNumberFormat="1">
      <alignment shrinkToFit="0" wrapText="0"/>
    </xf>
    <xf borderId="0" fillId="0" fontId="2" numFmtId="166" xfId="0" applyAlignment="1" applyFont="1" applyNumberFormat="1">
      <alignment horizontal="center" readingOrder="0" shrinkToFit="0" wrapText="0"/>
    </xf>
    <xf borderId="1" fillId="0" fontId="2" numFmtId="3" xfId="0" applyAlignment="1" applyBorder="1" applyFont="1" applyNumberFormat="1">
      <alignment horizontal="center" shrinkToFit="0" wrapText="0"/>
    </xf>
    <xf borderId="18" fillId="0" fontId="2" numFmtId="3" xfId="0" applyAlignment="1" applyBorder="1" applyFont="1" applyNumberFormat="1">
      <alignment horizontal="center" shrinkToFit="0" vertical="center" wrapText="0"/>
    </xf>
    <xf borderId="1" fillId="5" fontId="2" numFmtId="4" xfId="0" applyAlignment="1" applyBorder="1" applyFont="1" applyNumberFormat="1">
      <alignment shrinkToFit="0" wrapText="0"/>
    </xf>
    <xf borderId="24" fillId="5" fontId="2" numFmtId="4" xfId="0" applyAlignment="1" applyBorder="1" applyFont="1" applyNumberFormat="1">
      <alignment shrinkToFit="0" wrapText="0"/>
    </xf>
    <xf borderId="0" fillId="5" fontId="2" numFmtId="4" xfId="0" applyAlignment="1" applyFont="1" applyNumberFormat="1">
      <alignment readingOrder="0" shrinkToFit="0" wrapText="0"/>
    </xf>
    <xf borderId="1" fillId="5" fontId="2" numFmtId="4" xfId="0" applyAlignment="1" applyBorder="1" applyFont="1" applyNumberFormat="1">
      <alignment readingOrder="0" shrinkToFit="0" wrapText="0"/>
    </xf>
    <xf borderId="21" fillId="0" fontId="2" numFmtId="4" xfId="0" applyAlignment="1" applyBorder="1" applyFont="1" applyNumberFormat="1">
      <alignment horizontal="right" readingOrder="0" shrinkToFit="0" vertical="bottom" wrapText="0"/>
    </xf>
    <xf borderId="0" fillId="0" fontId="2" numFmtId="4" xfId="0" applyAlignment="1" applyFont="1" applyNumberFormat="1">
      <alignment horizontal="right" readingOrder="0" shrinkToFit="0" vertical="bottom" wrapText="0"/>
    </xf>
    <xf borderId="0" fillId="0" fontId="2" numFmtId="4" xfId="0" applyAlignment="1" applyFont="1" applyNumberFormat="1">
      <alignment horizontal="right" shrinkToFit="0" vertical="bottom" wrapText="0"/>
    </xf>
    <xf borderId="11" fillId="2" fontId="2" numFmtId="4" xfId="0" applyAlignment="1" applyBorder="1" applyFont="1" applyNumberFormat="1">
      <alignment horizontal="right" shrinkToFit="0" vertical="bottom" wrapText="0"/>
    </xf>
    <xf borderId="16" fillId="4" fontId="2" numFmtId="164" xfId="0" applyAlignment="1" applyBorder="1" applyFont="1" applyNumberFormat="1">
      <alignment horizontal="right" readingOrder="0" shrinkToFit="0" vertical="bottom" wrapText="0"/>
    </xf>
    <xf borderId="22" fillId="0" fontId="2" numFmtId="4" xfId="0" applyAlignment="1" applyBorder="1" applyFont="1" applyNumberFormat="1">
      <alignment horizontal="right" shrinkToFit="0" vertical="bottom" wrapText="0"/>
    </xf>
    <xf borderId="23" fillId="0" fontId="2" numFmtId="4" xfId="0" applyAlignment="1" applyBorder="1" applyFont="1" applyNumberFormat="1">
      <alignment horizontal="right" readingOrder="0" shrinkToFit="0" vertical="bottom" wrapText="0"/>
    </xf>
    <xf borderId="0" fillId="2" fontId="2" numFmtId="4" xfId="0" applyAlignment="1" applyFont="1" applyNumberFormat="1">
      <alignment horizontal="right" shrinkToFit="0" vertical="bottom" wrapText="0"/>
    </xf>
    <xf borderId="11" fillId="0" fontId="2" numFmtId="4" xfId="0" applyAlignment="1" applyBorder="1" applyFont="1" applyNumberFormat="1">
      <alignment shrinkToFit="0" wrapText="0"/>
    </xf>
    <xf borderId="20" fillId="0" fontId="2" numFmtId="4" xfId="0" applyAlignment="1" applyBorder="1" applyFont="1" applyNumberFormat="1">
      <alignment horizontal="right" readingOrder="0" shrinkToFit="0" vertical="bottom" wrapText="0"/>
    </xf>
    <xf borderId="0" fillId="0" fontId="5" numFmtId="166" xfId="0" applyAlignment="1" applyFont="1" applyNumberFormat="1">
      <alignment horizontal="center" readingOrder="0" shrinkToFit="0" wrapText="0"/>
    </xf>
    <xf borderId="1" fillId="2" fontId="2" numFmtId="4" xfId="0" applyAlignment="1" applyBorder="1" applyFont="1" applyNumberFormat="1">
      <alignment horizontal="right" shrinkToFit="0" vertical="bottom" wrapText="0"/>
    </xf>
    <xf borderId="1" fillId="0" fontId="2" numFmtId="4" xfId="0" applyAlignment="1" applyBorder="1" applyFont="1" applyNumberFormat="1">
      <alignment horizontal="right" readingOrder="0" shrinkToFit="0" vertical="bottom" wrapText="0"/>
    </xf>
    <xf borderId="1" fillId="0" fontId="2" numFmtId="4" xfId="0" applyAlignment="1" applyBorder="1" applyFont="1" applyNumberFormat="1">
      <alignment horizontal="right" shrinkToFit="0" vertical="bottom" wrapText="0"/>
    </xf>
    <xf borderId="24" fillId="2" fontId="2" numFmtId="4" xfId="0" applyAlignment="1" applyBorder="1" applyFont="1" applyNumberFormat="1">
      <alignment horizontal="right" shrinkToFit="0" vertical="bottom" wrapText="0"/>
    </xf>
    <xf borderId="25" fillId="0" fontId="2" numFmtId="4" xfId="0" applyAlignment="1" applyBorder="1" applyFont="1" applyNumberFormat="1">
      <alignment horizontal="right" readingOrder="0" shrinkToFit="0" vertical="bottom" wrapText="0"/>
    </xf>
    <xf borderId="1" fillId="0" fontId="2" numFmtId="4" xfId="0" applyAlignment="1" applyBorder="1" applyFont="1" applyNumberFormat="1">
      <alignment readingOrder="0" shrinkToFit="0" wrapText="0"/>
    </xf>
    <xf borderId="24" fillId="0" fontId="2" numFmtId="4" xfId="0" applyAlignment="1" applyBorder="1" applyFont="1" applyNumberFormat="1">
      <alignment shrinkToFit="0" wrapText="0"/>
    </xf>
    <xf borderId="29" fillId="0" fontId="2" numFmtId="4" xfId="0" applyAlignment="1" applyBorder="1" applyFont="1" applyNumberFormat="1">
      <alignment shrinkToFit="0" wrapText="0"/>
    </xf>
    <xf borderId="26" fillId="0" fontId="2" numFmtId="0" xfId="0" applyAlignment="1" applyBorder="1" applyFont="1">
      <alignment horizontal="center" readingOrder="0" shrinkToFit="0" wrapText="0"/>
    </xf>
    <xf borderId="21" fillId="0" fontId="2" numFmtId="4" xfId="0" applyAlignment="1" applyBorder="1" applyFont="1" applyNumberFormat="1">
      <alignment shrinkToFit="0" wrapText="0"/>
    </xf>
    <xf borderId="1" fillId="2" fontId="2" numFmtId="4" xfId="0" applyAlignment="1" applyBorder="1" applyFont="1" applyNumberFormat="1">
      <alignment horizontal="right" readingOrder="0" shrinkToFit="0" vertical="bottom" wrapText="0"/>
    </xf>
    <xf borderId="25" fillId="0" fontId="2" numFmtId="4" xfId="0" applyAlignment="1" applyBorder="1" applyFont="1" applyNumberFormat="1">
      <alignment shrinkToFit="0" wrapText="0"/>
    </xf>
    <xf borderId="26" fillId="0" fontId="2" numFmtId="3" xfId="0" applyAlignment="1" applyBorder="1" applyFont="1" applyNumberFormat="1">
      <alignment horizontal="center" shrinkToFit="0" wrapText="0"/>
    </xf>
    <xf borderId="0" fillId="2" fontId="2" numFmtId="4" xfId="0" applyAlignment="1" applyFont="1" applyNumberFormat="1">
      <alignment horizontal="right" readingOrder="0" shrinkToFit="0" vertical="bottom" wrapText="0"/>
    </xf>
    <xf borderId="26" fillId="0" fontId="2" numFmtId="4" xfId="0" applyAlignment="1" applyBorder="1" applyFont="1" applyNumberFormat="1">
      <alignment horizontal="right" readingOrder="0" shrinkToFit="0" vertical="bottom" wrapText="0"/>
    </xf>
    <xf borderId="11" fillId="0" fontId="2" numFmtId="4" xfId="0" applyAlignment="1" applyBorder="1" applyFont="1" applyNumberFormat="1">
      <alignment horizontal="right" readingOrder="0" shrinkToFit="0" vertical="bottom" wrapText="0"/>
    </xf>
    <xf borderId="24" fillId="0" fontId="2" numFmtId="4" xfId="0" applyAlignment="1" applyBorder="1" applyFont="1" applyNumberFormat="1">
      <alignment horizontal="right" readingOrder="0" shrinkToFit="0" vertical="bottom" wrapText="0"/>
    </xf>
    <xf borderId="0" fillId="0" fontId="2" numFmtId="165" xfId="0" applyAlignment="1" applyFont="1" applyNumberFormat="1">
      <alignment horizontal="center" readingOrder="0" shrinkToFit="0" wrapText="0"/>
    </xf>
    <xf borderId="30" fillId="0" fontId="2" numFmtId="3" xfId="0" applyAlignment="1" applyBorder="1" applyFont="1" applyNumberFormat="1">
      <alignment horizontal="center" shrinkToFit="0" vertical="center" wrapText="0"/>
    </xf>
    <xf borderId="31" fillId="0" fontId="2" numFmtId="4" xfId="0" applyAlignment="1" applyBorder="1" applyFont="1" applyNumberFormat="1">
      <alignment horizontal="right" readingOrder="0" shrinkToFit="0" vertical="bottom" wrapText="0"/>
    </xf>
    <xf borderId="32" fillId="2" fontId="2" numFmtId="4" xfId="0" applyAlignment="1" applyBorder="1" applyFont="1" applyNumberFormat="1">
      <alignment horizontal="right" shrinkToFit="0" vertical="bottom" wrapText="0"/>
    </xf>
    <xf borderId="32" fillId="0" fontId="2" numFmtId="4" xfId="0" applyAlignment="1" applyBorder="1" applyFont="1" applyNumberFormat="1">
      <alignment horizontal="right" readingOrder="0" shrinkToFit="0" vertical="bottom" wrapText="0"/>
    </xf>
    <xf borderId="32" fillId="0" fontId="2" numFmtId="4" xfId="0" applyAlignment="1" applyBorder="1" applyFont="1" applyNumberFormat="1">
      <alignment horizontal="right" shrinkToFit="0" vertical="bottom" wrapText="0"/>
    </xf>
    <xf borderId="33" fillId="0" fontId="2" numFmtId="4" xfId="0" applyAlignment="1" applyBorder="1" applyFont="1" applyNumberFormat="1">
      <alignment horizontal="right" readingOrder="0" shrinkToFit="0" vertical="bottom" wrapText="0"/>
    </xf>
    <xf borderId="34" fillId="0" fontId="2" numFmtId="4" xfId="0" applyAlignment="1" applyBorder="1" applyFont="1" applyNumberFormat="1">
      <alignment shrinkToFit="0" wrapText="0"/>
    </xf>
    <xf borderId="32" fillId="0" fontId="2" numFmtId="4" xfId="0" applyAlignment="1" applyBorder="1" applyFont="1" applyNumberFormat="1">
      <alignment shrinkToFit="0" wrapText="0"/>
    </xf>
    <xf borderId="33" fillId="2" fontId="2" numFmtId="4" xfId="0" applyAlignment="1" applyBorder="1" applyFont="1" applyNumberFormat="1">
      <alignment horizontal="right" shrinkToFit="0" vertical="bottom" wrapText="0"/>
    </xf>
    <xf borderId="35" fillId="4" fontId="2" numFmtId="164" xfId="0" applyAlignment="1" applyBorder="1" applyFont="1" applyNumberFormat="1">
      <alignment horizontal="right" readingOrder="0" shrinkToFit="0" vertical="bottom" wrapText="0"/>
    </xf>
    <xf borderId="36" fillId="0" fontId="2" numFmtId="4" xfId="0" applyAlignment="1" applyBorder="1" applyFont="1" applyNumberFormat="1">
      <alignment horizontal="right" readingOrder="0" shrinkToFit="0" vertical="bottom" wrapText="0"/>
    </xf>
    <xf borderId="33" fillId="0" fontId="2" numFmtId="4" xfId="0" applyAlignment="1" applyBorder="1" applyFont="1" applyNumberFormat="1">
      <alignment shrinkToFit="0" wrapText="0"/>
    </xf>
    <xf borderId="0" fillId="0" fontId="1" numFmtId="0" xfId="0" applyAlignment="1" applyFont="1">
      <alignment horizontal="center" readingOrder="0" shrinkToFit="0" wrapText="1"/>
    </xf>
    <xf borderId="0" fillId="7" fontId="6" numFmtId="0" xfId="0" applyAlignment="1" applyFill="1" applyFont="1">
      <alignment readingOrder="0" shrinkToFit="0" wrapText="1"/>
    </xf>
    <xf borderId="0" fillId="7" fontId="6" numFmtId="167" xfId="0" applyAlignment="1" applyFont="1" applyNumberFormat="1">
      <alignment shrinkToFit="0" wrapText="1"/>
    </xf>
    <xf borderId="0" fillId="7" fontId="1" numFmtId="0" xfId="0" applyAlignment="1" applyFont="1">
      <alignment shrinkToFit="0" wrapText="1"/>
    </xf>
    <xf borderId="0" fillId="0" fontId="6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3" xfId="0" applyAlignment="1" applyFont="1" applyNumberFormat="1">
      <alignment readingOrder="0" shrinkToFit="0" wrapText="1"/>
    </xf>
    <xf borderId="0" fillId="0" fontId="1" numFmtId="3" xfId="0" applyAlignment="1" applyFont="1" applyNumberFormat="1">
      <alignment shrinkToFit="0" wrapText="1"/>
    </xf>
    <xf borderId="0" fillId="0" fontId="1" numFmtId="3" xfId="0" applyAlignment="1" applyFont="1" applyNumberFormat="1">
      <alignment horizontal="right" readingOrder="0" shrinkToFit="0" wrapText="1"/>
    </xf>
    <xf borderId="0" fillId="0" fontId="3" numFmtId="3" xfId="0" applyAlignment="1" applyFont="1" applyNumberForma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0" fontId="1" numFmtId="0" xfId="0" applyAlignment="1" applyFont="1">
      <alignment horizontal="right" readingOrder="0" shrinkToFit="0" wrapText="1"/>
    </xf>
    <xf borderId="0" fillId="8" fontId="7" numFmtId="0" xfId="0" applyAlignment="1" applyFill="1" applyFont="1">
      <alignment horizontal="left" readingOrder="0" shrinkToFit="0" wrapText="1"/>
    </xf>
    <xf borderId="0" fillId="0" fontId="3" numFmtId="3" xfId="0" applyAlignment="1" applyFont="1" applyNumberFormat="1">
      <alignment horizontal="right" shrinkToFit="0" vertical="bottom" wrapText="1"/>
    </xf>
    <xf borderId="0" fillId="0" fontId="6" numFmtId="3" xfId="0" applyAlignment="1" applyFont="1" applyNumberFormat="1">
      <alignment shrinkToFit="0" wrapText="1"/>
    </xf>
    <xf borderId="0" fillId="0" fontId="6" numFmtId="0" xfId="0" applyAlignment="1" applyFont="1">
      <alignment shrinkToFit="0" wrapText="1"/>
    </xf>
    <xf borderId="0" fillId="0" fontId="6" numFmtId="167" xfId="0" applyAlignment="1" applyFont="1" applyNumberFormat="1">
      <alignment shrinkToFit="0" wrapText="1"/>
    </xf>
    <xf borderId="0" fillId="0" fontId="6" numFmtId="167" xfId="0" applyAlignment="1" applyFont="1" applyNumberFormat="1">
      <alignment shrinkToFit="0" wrapText="1"/>
    </xf>
    <xf borderId="0" fillId="0" fontId="3" numFmtId="4" xfId="0" applyAlignment="1" applyFont="1" applyNumberFormat="1">
      <alignment readingOrder="0" shrinkToFit="0" vertical="bottom" wrapText="1"/>
    </xf>
    <xf borderId="0" fillId="0" fontId="8" numFmtId="0" xfId="0" applyAlignment="1" applyFont="1">
      <alignment horizontal="left" readingOrder="0" shrinkToFit="0" vertical="bottom" wrapText="1"/>
    </xf>
    <xf borderId="0" fillId="0" fontId="3" numFmtId="3" xfId="0" applyAlignment="1" applyFont="1" applyNumberFormat="1">
      <alignment shrinkToFit="0" vertical="bottom" wrapText="1"/>
    </xf>
    <xf borderId="0" fillId="0" fontId="1" numFmtId="4" xfId="0" applyAlignment="1" applyFont="1" applyNumberFormat="1">
      <alignment readingOrder="0" shrinkToFit="0" wrapText="1"/>
    </xf>
    <xf borderId="0" fillId="0" fontId="8" numFmtId="166" xfId="0" applyAlignment="1" applyFont="1" applyNumberFormat="1">
      <alignment horizontal="left" readingOrder="0" shrinkToFit="0" vertical="bottom" wrapText="1"/>
    </xf>
    <xf borderId="0" fillId="0" fontId="9" numFmtId="0" xfId="0" applyAlignment="1" applyFont="1">
      <alignment readingOrder="0" shrinkToFit="0" vertical="bottom" wrapText="1"/>
    </xf>
    <xf borderId="0" fillId="0" fontId="3" numFmtId="166" xfId="0" applyAlignment="1" applyFont="1" applyNumberFormat="1">
      <alignment shrinkToFit="0" vertical="bottom" wrapText="1"/>
    </xf>
    <xf borderId="0" fillId="0" fontId="8" numFmtId="166" xfId="0" applyAlignment="1" applyFont="1" applyNumberFormat="1">
      <alignment shrinkToFit="0" vertical="bottom" wrapText="1"/>
    </xf>
    <xf borderId="0" fillId="0" fontId="8" numFmtId="3" xfId="0" applyAlignment="1" applyFont="1" applyNumberFormat="1">
      <alignment horizontal="right" shrinkToFit="0" vertical="bottom" wrapText="1"/>
    </xf>
    <xf borderId="0" fillId="0" fontId="8" numFmtId="167" xfId="0" applyAlignment="1" applyFont="1" applyNumberFormat="1">
      <alignment horizontal="right" shrinkToFit="0" vertical="bottom" wrapText="1"/>
    </xf>
    <xf borderId="0" fillId="0" fontId="3" numFmtId="3" xfId="0" applyAlignment="1" applyFont="1" applyNumberForma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shrinkToFit="0" vertical="bottom" wrapText="1"/>
    </xf>
    <xf borderId="0" fillId="0" fontId="3" numFmtId="0" xfId="0" applyAlignment="1" applyFont="1">
      <alignment shrinkToFit="0" vertical="bottom" wrapText="1"/>
    </xf>
    <xf borderId="0" fillId="0" fontId="9" numFmtId="0" xfId="0" applyAlignment="1" applyFont="1">
      <alignment shrinkToFit="0" vertical="bottom" wrapText="1"/>
    </xf>
    <xf borderId="0" fillId="0" fontId="3" numFmtId="0" xfId="0" applyAlignment="1" applyFont="1">
      <alignment horizontal="right" shrinkToFit="0" vertical="bottom" wrapText="1"/>
    </xf>
    <xf borderId="0" fillId="0" fontId="3" numFmtId="4" xfId="0" applyAlignment="1" applyFont="1" applyNumberFormat="1">
      <alignment shrinkToFit="0" vertical="bottom" wrapText="1"/>
    </xf>
    <xf borderId="0" fillId="0" fontId="6" numFmtId="166" xfId="0" applyAlignment="1" applyFont="1" applyNumberFormat="1">
      <alignment horizontal="left" readingOrder="0" shrinkToFit="0" wrapText="1"/>
    </xf>
    <xf borderId="0" fillId="0" fontId="3" numFmtId="168" xfId="0" applyAlignment="1" applyFont="1" applyNumberFormat="1">
      <alignment shrinkToFit="0" vertical="bottom" wrapText="1"/>
    </xf>
    <xf borderId="0" fillId="0" fontId="9" numFmtId="3" xfId="0" applyAlignment="1" applyFont="1" applyNumberFormat="1">
      <alignment horizontal="right" readingOrder="0" shrinkToFit="0" vertical="bottom" wrapText="1"/>
    </xf>
    <xf borderId="0" fillId="0" fontId="1" numFmtId="168" xfId="0" applyAlignment="1" applyFont="1" applyNumberFormat="1">
      <alignment horizontal="right" readingOrder="0" shrinkToFit="0" wrapText="1"/>
    </xf>
    <xf borderId="0" fillId="0" fontId="10" numFmtId="1" xfId="0" applyAlignment="1" applyFont="1" applyNumberFormat="1">
      <alignment horizontal="right" readingOrder="0" shrinkToFit="0" wrapText="1"/>
    </xf>
    <xf borderId="0" fillId="0" fontId="9" numFmtId="0" xfId="0" applyAlignment="1" applyFont="1">
      <alignment horizontal="left" readingOrder="0" shrinkToFit="0" wrapText="1"/>
    </xf>
    <xf borderId="0" fillId="0" fontId="10" numFmtId="0" xfId="0" applyAlignment="1" applyFont="1">
      <alignment readingOrder="0" shrinkToFit="0" wrapText="1"/>
    </xf>
    <xf borderId="0" fillId="0" fontId="10" numFmtId="3" xfId="0" applyAlignment="1" applyFont="1" applyNumberFormat="1">
      <alignment readingOrder="0" shrinkToFit="0" wrapText="1"/>
    </xf>
    <xf borderId="0" fillId="0" fontId="9" numFmtId="0" xfId="0" applyAlignment="1" applyFont="1">
      <alignment horizontal="right" readingOrder="0" shrinkToFit="0" vertical="bottom" wrapText="1"/>
    </xf>
    <xf borderId="0" fillId="0" fontId="10" numFmtId="168" xfId="0" applyAlignment="1" applyFont="1" applyNumberFormat="1">
      <alignment horizontal="right" readingOrder="0" shrinkToFit="0" wrapText="1"/>
    </xf>
    <xf borderId="0" fillId="0" fontId="3" numFmtId="4" xfId="0" applyAlignment="1" applyFont="1" applyNumberFormat="1">
      <alignment horizontal="right" readingOrder="0" shrinkToFit="0" vertical="bottom" wrapText="1"/>
    </xf>
    <xf borderId="0" fillId="0" fontId="3" numFmtId="4" xfId="0" applyAlignment="1" applyFont="1" applyNumberFormat="1">
      <alignment horizontal="right" shrinkToFit="0" vertical="bottom" wrapText="1"/>
    </xf>
    <xf borderId="0" fillId="0" fontId="3" numFmtId="167" xfId="0" applyAlignment="1" applyFont="1" applyNumberFormat="1">
      <alignment shrinkToFit="0" vertical="bottom" wrapText="1"/>
    </xf>
    <xf borderId="0" fillId="0" fontId="3" numFmtId="167" xfId="0" applyAlignment="1" applyFont="1" applyNumberFormat="1">
      <alignment horizontal="right" readingOrder="0" shrinkToFit="0" vertical="bottom" wrapText="1"/>
    </xf>
    <xf borderId="0" fillId="0" fontId="3" numFmtId="167" xfId="0" applyAlignment="1" applyFont="1" applyNumberFormat="1">
      <alignment horizontal="right" shrinkToFit="0" vertical="bottom" wrapText="1"/>
    </xf>
    <xf borderId="0" fillId="0" fontId="3" numFmtId="167" xfId="0" applyAlignment="1" applyFont="1" applyNumberFormat="1">
      <alignment readingOrder="0" shrinkToFit="0" vertical="bottom" wrapText="1"/>
    </xf>
    <xf borderId="0" fillId="0" fontId="1" numFmtId="167" xfId="0" applyAlignment="1" applyFont="1" applyNumberFormat="1">
      <alignment shrinkToFit="0" wrapText="1"/>
    </xf>
    <xf borderId="0" fillId="0" fontId="9" numFmtId="3" xfId="0" applyAlignment="1" applyFont="1" applyNumberFormat="1">
      <alignment horizontal="right" readingOrder="0" shrinkToFit="0" wrapText="1"/>
    </xf>
    <xf borderId="0" fillId="8" fontId="9" numFmtId="3" xfId="0" applyAlignment="1" applyFont="1" applyNumberFormat="1">
      <alignment horizontal="right" readingOrder="0" shrinkToFit="0" wrapText="1"/>
    </xf>
    <xf borderId="0" fillId="7" fontId="6" numFmtId="3" xfId="0" applyAlignment="1" applyFont="1" applyNumberFormat="1">
      <alignment shrinkToFit="0" wrapText="1"/>
    </xf>
    <xf borderId="0" fillId="0" fontId="3" numFmtId="169" xfId="0" applyAlignment="1" applyFont="1" applyNumberFormat="1">
      <alignment readingOrder="0" shrinkToFit="0" vertical="bottom" wrapText="1"/>
    </xf>
    <xf borderId="0" fillId="0" fontId="3" numFmtId="169" xfId="0" applyAlignment="1" applyFont="1" applyNumberFormat="1">
      <alignment horizontal="right" readingOrder="0" shrinkToFit="0" vertical="bottom" wrapText="1"/>
    </xf>
    <xf borderId="0" fillId="9" fontId="1" numFmtId="0" xfId="0" applyAlignment="1" applyFill="1" applyFont="1">
      <alignment readingOrder="0" shrinkToFit="0" wrapText="1"/>
    </xf>
    <xf borderId="0" fillId="5" fontId="1" numFmtId="0" xfId="0" applyAlignment="1" applyFont="1">
      <alignment horizontal="right" readingOrder="0" shrinkToFit="0" wrapText="1"/>
    </xf>
    <xf borderId="0" fillId="9" fontId="1" numFmtId="0" xfId="0" applyAlignment="1" applyFont="1">
      <alignment horizontal="right" readingOrder="0" shrinkToFit="0" wrapText="1"/>
    </xf>
    <xf borderId="0" fillId="7" fontId="1" numFmtId="0" xfId="0" applyAlignment="1" applyFont="1">
      <alignment readingOrder="0" shrinkToFit="0" wrapText="1"/>
    </xf>
    <xf borderId="0" fillId="5" fontId="1" numFmtId="4" xfId="0" applyAlignment="1" applyFont="1" applyNumberFormat="1">
      <alignment readingOrder="0" shrinkToFit="0" wrapText="1"/>
    </xf>
    <xf borderId="0" fillId="7" fontId="1" numFmtId="4" xfId="0" applyAlignment="1" applyFont="1" applyNumberFormat="1">
      <alignment readingOrder="0" shrinkToFit="0" wrapText="1"/>
    </xf>
    <xf borderId="0" fillId="10" fontId="11" numFmtId="0" xfId="0" applyAlignment="1" applyFill="1" applyFont="1">
      <alignment readingOrder="0" shrinkToFit="0" wrapText="1"/>
    </xf>
    <xf borderId="0" fillId="5" fontId="11" numFmtId="4" xfId="0" applyAlignment="1" applyFont="1" applyNumberFormat="1">
      <alignment readingOrder="0" shrinkToFit="0" wrapText="1"/>
    </xf>
    <xf borderId="0" fillId="10" fontId="11" numFmtId="4" xfId="0" applyAlignment="1" applyFont="1" applyNumberFormat="1">
      <alignment readingOrder="0" shrinkToFit="0" wrapText="1"/>
    </xf>
    <xf borderId="0" fillId="0" fontId="11" numFmtId="4" xfId="0" applyAlignment="1" applyFont="1" applyNumberFormat="1">
      <alignment readingOrder="0" shrinkToFit="0" wrapText="1"/>
    </xf>
    <xf borderId="0" fillId="10" fontId="6" numFmtId="0" xfId="0" applyAlignment="1" applyFont="1">
      <alignment readingOrder="0" shrinkToFit="0" wrapText="1"/>
    </xf>
    <xf borderId="0" fillId="5" fontId="6" numFmtId="4" xfId="0" applyAlignment="1" applyFont="1" applyNumberFormat="1">
      <alignment shrinkToFit="0" wrapText="1"/>
    </xf>
    <xf borderId="0" fillId="10" fontId="6" numFmtId="4" xfId="0" applyAlignment="1" applyFont="1" applyNumberFormat="1">
      <alignment shrinkToFit="0" wrapText="1"/>
    </xf>
    <xf borderId="0" fillId="0" fontId="6" numFmtId="4" xfId="0" applyAlignment="1" applyFont="1" applyNumberFormat="1">
      <alignment shrinkToFit="0" wrapText="1"/>
    </xf>
    <xf borderId="0" fillId="7" fontId="10" numFmtId="167" xfId="0" applyAlignment="1" applyFont="1" applyNumberFormat="1">
      <alignment readingOrder="0" shrinkToFit="0" wrapText="1"/>
    </xf>
    <xf borderId="0" fillId="5" fontId="1" numFmtId="167" xfId="0" applyAlignment="1" applyFont="1" applyNumberFormat="1">
      <alignment readingOrder="0" shrinkToFit="0" wrapText="1"/>
    </xf>
    <xf borderId="0" fillId="7" fontId="1" numFmtId="167" xfId="0" applyAlignment="1" applyFont="1" applyNumberFormat="1">
      <alignment readingOrder="0" shrinkToFit="0" wrapText="1"/>
    </xf>
    <xf borderId="0" fillId="7" fontId="10" numFmtId="4" xfId="0" applyAlignment="1" applyFont="1" applyNumberFormat="1">
      <alignment readingOrder="0" shrinkToFit="0" wrapText="1"/>
    </xf>
    <xf borderId="0" fillId="10" fontId="10" numFmtId="167" xfId="0" applyAlignment="1" applyFont="1" applyNumberFormat="1">
      <alignment readingOrder="0" shrinkToFit="0" wrapText="1"/>
    </xf>
    <xf borderId="0" fillId="5" fontId="10" numFmtId="167" xfId="0" applyAlignment="1" applyFont="1" applyNumberFormat="1">
      <alignment readingOrder="0" shrinkToFit="0" wrapText="1"/>
    </xf>
    <xf borderId="0" fillId="0" fontId="10" numFmtId="4" xfId="0" applyAlignment="1" applyFont="1" applyNumberFormat="1">
      <alignment readingOrder="0" shrinkToFit="0" wrapText="1"/>
    </xf>
    <xf borderId="0" fillId="5" fontId="10" numFmtId="4" xfId="0" applyAlignment="1" applyFont="1" applyNumberFormat="1">
      <alignment readingOrder="0" shrinkToFit="0" wrapText="1"/>
    </xf>
    <xf borderId="0" fillId="5" fontId="6" numFmtId="4" xfId="0" applyAlignment="1" applyFont="1" applyNumberFormat="1">
      <alignment readingOrder="0" shrinkToFit="0" wrapText="1"/>
    </xf>
    <xf borderId="0" fillId="0" fontId="6" numFmtId="4" xfId="0" applyAlignment="1" applyFont="1" applyNumberFormat="1">
      <alignment readingOrder="0" shrinkToFit="0" wrapText="1"/>
    </xf>
    <xf borderId="0" fillId="0" fontId="12" numFmtId="0" xfId="0" applyAlignment="1" applyFont="1">
      <alignment readingOrder="0" shrinkToFit="0" wrapText="1"/>
    </xf>
    <xf borderId="0" fillId="7" fontId="6" numFmtId="0" xfId="0" applyAlignment="1" applyFont="1">
      <alignment shrinkToFit="0" wrapText="1"/>
    </xf>
    <xf borderId="0" fillId="7" fontId="1" numFmtId="4" xfId="0" applyAlignment="1" applyFont="1" applyNumberFormat="1">
      <alignment readingOrder="0" shrinkToFit="0" wrapText="0"/>
    </xf>
    <xf borderId="0" fillId="7" fontId="6" numFmtId="3" xfId="0" applyAlignment="1" applyFont="1" applyNumberFormat="1">
      <alignment readingOrder="0" shrinkToFit="0" wrapText="1"/>
    </xf>
    <xf borderId="0" fillId="7" fontId="8" numFmtId="3" xfId="0" applyAlignment="1" applyFont="1" applyNumberFormat="1">
      <alignment horizontal="right" shrinkToFit="0" vertical="bottom" wrapText="1"/>
    </xf>
    <xf borderId="0" fillId="0" fontId="8" numFmtId="0" xfId="0" applyAlignment="1" applyFont="1">
      <alignment readingOrder="0" shrinkToFit="0" vertical="bottom" wrapText="1"/>
    </xf>
    <xf borderId="0" fillId="0" fontId="1" numFmtId="4" xfId="0" applyAlignment="1" applyFont="1" applyNumberFormat="1">
      <alignment readingOrder="0" shrinkToFit="0" wrapText="0"/>
    </xf>
    <xf borderId="0" fillId="0" fontId="1" numFmtId="3" xfId="0" applyAlignment="1" applyFont="1" applyNumberFormat="1">
      <alignment readingOrder="0" shrinkToFit="0" wrapText="1"/>
    </xf>
    <xf borderId="0" fillId="0" fontId="3" numFmtId="3" xfId="0" applyAlignment="1" applyFont="1" applyNumberFormat="1">
      <alignment horizontal="right" shrinkToFit="0" vertical="bottom" wrapText="1"/>
    </xf>
    <xf borderId="0" fillId="0" fontId="1" numFmtId="3" xfId="0" applyAlignment="1" applyFont="1" applyNumberFormat="1">
      <alignment shrinkToFit="0" wrapText="1"/>
    </xf>
    <xf borderId="0" fillId="0" fontId="3" numFmtId="3" xfId="0" applyAlignment="1" applyFont="1" applyNumberFormat="1">
      <alignment horizontal="right" readingOrder="0" shrinkToFit="0" vertical="bottom" wrapText="1"/>
    </xf>
    <xf borderId="0" fillId="0" fontId="8" numFmtId="3" xfId="0" applyAlignment="1" applyFont="1" applyNumberFormat="1">
      <alignment horizontal="right" readingOrder="0" shrinkToFit="0" vertical="bottom" wrapText="1"/>
    </xf>
    <xf borderId="0" fillId="0" fontId="8" numFmtId="3" xfId="0" applyAlignment="1" applyFont="1" applyNumberFormat="1">
      <alignment shrinkToFit="0" vertical="bottom" wrapText="1"/>
    </xf>
    <xf borderId="0" fillId="0" fontId="8" numFmtId="0" xfId="0" applyAlignment="1" applyFont="1">
      <alignment shrinkToFit="0" vertical="bottom" wrapText="1"/>
    </xf>
    <xf borderId="0" fillId="0" fontId="6" numFmtId="3" xfId="0" applyAlignment="1" applyFont="1" applyNumberFormat="1">
      <alignment readingOrder="0" shrinkToFit="0" wrapText="1"/>
    </xf>
    <xf borderId="0" fillId="7" fontId="8" numFmtId="0" xfId="0" applyAlignment="1" applyFont="1">
      <alignment readingOrder="0" shrinkToFit="0" vertical="bottom" wrapText="1"/>
    </xf>
    <xf borderId="0" fillId="7" fontId="3" numFmtId="167" xfId="0" applyAlignment="1" applyFont="1" applyNumberFormat="1">
      <alignment shrinkToFit="0" vertical="bottom" wrapText="1"/>
    </xf>
    <xf borderId="0" fillId="7" fontId="3" numFmtId="0" xfId="0" applyAlignment="1" applyFont="1">
      <alignment shrinkToFit="0" vertical="bottom" wrapText="1"/>
    </xf>
    <xf borderId="0" fillId="0" fontId="1" numFmtId="0" xfId="0" applyAlignment="1" applyFont="1">
      <alignment horizontal="left" readingOrder="0" shrinkToFit="0" wrapText="1"/>
    </xf>
    <xf borderId="0" fillId="0" fontId="1" numFmtId="3" xfId="0" applyAlignment="1" applyFont="1" applyNumberFormat="1">
      <alignment horizontal="left" readingOrder="0" shrinkToFit="0" wrapText="1"/>
    </xf>
    <xf borderId="0" fillId="0" fontId="1" numFmtId="0" xfId="0" applyAlignment="1" applyFont="1">
      <alignment horizontal="left" shrinkToFit="0" wrapText="1"/>
    </xf>
    <xf borderId="0" fillId="0" fontId="6" numFmtId="3" xfId="0" applyAlignment="1" applyFont="1" applyNumberFormat="1">
      <alignment horizontal="left" readingOrder="0" shrinkToFit="0" wrapText="1"/>
    </xf>
    <xf borderId="0" fillId="0" fontId="1" numFmtId="0" xfId="0" applyAlignment="1" applyFont="1">
      <alignment shrinkToFit="0" wrapText="1"/>
    </xf>
    <xf borderId="0" fillId="8" fontId="13" numFmtId="0" xfId="0" applyAlignment="1" applyFont="1">
      <alignment horizontal="left" readingOrder="0" shrinkToFit="0" wrapText="1"/>
    </xf>
    <xf borderId="0" fillId="8" fontId="13" numFmtId="0" xfId="0" applyAlignment="1" applyFont="1">
      <alignment horizontal="left" shrinkToFit="0" wrapText="1"/>
    </xf>
    <xf borderId="0" fillId="0" fontId="1" numFmtId="169" xfId="0" applyAlignment="1" applyFont="1" applyNumberFormat="1">
      <alignment readingOrder="0" shrinkToFit="0" wrapText="1"/>
    </xf>
    <xf borderId="0" fillId="0" fontId="1" numFmtId="169" xfId="0" applyAlignment="1" applyFont="1" applyNumberFormat="1">
      <alignment horizontal="right" readingOrder="0" shrinkToFit="0" wrapText="1"/>
    </xf>
    <xf borderId="0" fillId="0" fontId="1" numFmtId="170" xfId="0" applyAlignment="1" applyFont="1" applyNumberFormat="1">
      <alignment readingOrder="0" shrinkToFit="0" wrapText="1"/>
    </xf>
    <xf borderId="0" fillId="0" fontId="14" numFmtId="0" xfId="0" applyAlignment="1" applyFont="1">
      <alignment readingOrder="0" shrinkToFit="0" wrapText="1"/>
    </xf>
    <xf borderId="0" fillId="0" fontId="15" numFmtId="0" xfId="0" applyAlignment="1" applyFont="1">
      <alignment readingOrder="0" shrinkToFit="0" wrapText="1"/>
    </xf>
    <xf borderId="0" fillId="0" fontId="1" numFmtId="170" xfId="0" applyAlignment="1" applyFont="1" applyNumberFormat="1">
      <alignment horizontal="right" readingOrder="0" shrinkToFit="0" wrapText="1"/>
    </xf>
    <xf borderId="0" fillId="0" fontId="3" numFmtId="1" xfId="0" applyAlignment="1" applyFont="1" applyNumberFormat="1">
      <alignment readingOrder="0" shrinkToFit="0" vertical="bottom" wrapText="1"/>
    </xf>
    <xf borderId="0" fillId="11" fontId="1" numFmtId="0" xfId="0" applyAlignment="1" applyFill="1" applyFont="1">
      <alignment readingOrder="0" shrinkToFit="0" wrapText="1"/>
    </xf>
    <xf borderId="0" fillId="11" fontId="1" numFmtId="3" xfId="0" applyAlignment="1" applyFont="1" applyNumberFormat="1">
      <alignment readingOrder="0" shrinkToFit="0" wrapText="1"/>
    </xf>
    <xf borderId="0" fillId="11" fontId="1" numFmtId="3" xfId="0" applyAlignment="1" applyFont="1" applyNumberFormat="1">
      <alignment shrinkToFit="0" wrapText="1"/>
    </xf>
    <xf borderId="0" fillId="11" fontId="1" numFmtId="0" xfId="0" applyAlignment="1" applyFont="1">
      <alignment horizontal="right" readingOrder="0" shrinkToFit="0" wrapText="1"/>
    </xf>
    <xf borderId="0" fillId="11" fontId="3" numFmtId="0" xfId="0" applyAlignment="1" applyFont="1">
      <alignment readingOrder="0" shrinkToFit="0" vertical="bottom" wrapText="1"/>
    </xf>
    <xf borderId="0" fillId="11" fontId="3" numFmtId="1" xfId="0" applyAlignment="1" applyFont="1" applyNumberFormat="1">
      <alignment readingOrder="0" shrinkToFit="0" vertical="bottom" wrapText="1"/>
    </xf>
    <xf borderId="0" fillId="11" fontId="3" numFmtId="167" xfId="0" applyAlignment="1" applyFont="1" applyNumberFormat="1">
      <alignment horizontal="right" shrinkToFit="0" vertical="bottom" wrapText="1"/>
    </xf>
    <xf borderId="0" fillId="11" fontId="1" numFmtId="0" xfId="0" applyAlignment="1" applyFont="1">
      <alignment shrinkToFit="0" wrapText="1"/>
    </xf>
    <xf borderId="0" fillId="11" fontId="3" numFmtId="0" xfId="0" applyAlignment="1" applyFont="1">
      <alignment shrinkToFit="0" vertical="bottom" wrapText="1"/>
    </xf>
    <xf borderId="0" fillId="11" fontId="1" numFmtId="3" xfId="0" applyAlignment="1" applyFont="1" applyNumberFormat="1">
      <alignment horizontal="right" readingOrder="0" shrinkToFit="0" wrapText="1"/>
    </xf>
    <xf borderId="0" fillId="12" fontId="3" numFmtId="0" xfId="0" applyAlignment="1" applyFill="1" applyFont="1">
      <alignment readingOrder="0" shrinkToFit="0" vertical="bottom" wrapText="1"/>
    </xf>
    <xf borderId="0" fillId="12" fontId="3" numFmtId="3" xfId="0" applyAlignment="1" applyFont="1" applyNumberFormat="1">
      <alignment horizontal="right" readingOrder="0" shrinkToFit="0" vertical="bottom" wrapText="1"/>
    </xf>
    <xf borderId="0" fillId="12" fontId="3" numFmtId="3" xfId="0" applyAlignment="1" applyFont="1" applyNumberFormat="1">
      <alignment horizontal="right" shrinkToFit="0" vertical="bottom" wrapText="1"/>
    </xf>
    <xf borderId="0" fillId="12" fontId="1" numFmtId="3" xfId="0" applyAlignment="1" applyFont="1" applyNumberFormat="1">
      <alignment horizontal="right" readingOrder="0" shrinkToFit="0" wrapText="1"/>
    </xf>
    <xf borderId="0" fillId="12" fontId="3" numFmtId="1" xfId="0" applyAlignment="1" applyFont="1" applyNumberFormat="1">
      <alignment readingOrder="0" shrinkToFit="0" vertical="bottom" wrapText="1"/>
    </xf>
    <xf borderId="0" fillId="12" fontId="3" numFmtId="167" xfId="0" applyAlignment="1" applyFont="1" applyNumberFormat="1">
      <alignment horizontal="right" shrinkToFit="0" vertical="bottom" wrapText="1"/>
    </xf>
    <xf borderId="0" fillId="12" fontId="3" numFmtId="0" xfId="0" applyAlignment="1" applyFont="1">
      <alignment shrinkToFit="0" vertical="bottom" wrapText="1"/>
    </xf>
    <xf borderId="0" fillId="12" fontId="3" numFmtId="0" xfId="0" applyAlignment="1" applyFont="1">
      <alignment shrinkToFit="0" vertical="bottom" wrapText="1"/>
    </xf>
    <xf borderId="0" fillId="12" fontId="1" numFmtId="0" xfId="0" applyAlignment="1" applyFont="1">
      <alignment readingOrder="0" shrinkToFit="0" wrapText="1"/>
    </xf>
    <xf borderId="0" fillId="12" fontId="1" numFmtId="3" xfId="0" applyAlignment="1" applyFont="1" applyNumberFormat="1">
      <alignment readingOrder="0" shrinkToFit="0" wrapText="1"/>
    </xf>
    <xf borderId="0" fillId="12" fontId="1" numFmtId="3" xfId="0" applyAlignment="1" applyFont="1" applyNumberFormat="1">
      <alignment shrinkToFit="0" wrapText="1"/>
    </xf>
    <xf borderId="0" fillId="12" fontId="1" numFmtId="0" xfId="0" applyAlignment="1" applyFont="1">
      <alignment shrinkToFit="0" wrapText="1"/>
    </xf>
    <xf borderId="0" fillId="12" fontId="9" numFmtId="0" xfId="0" applyAlignment="1" applyFont="1">
      <alignment horizontal="left" readingOrder="0" shrinkToFit="0" wrapText="1"/>
    </xf>
    <xf borderId="0" fillId="2" fontId="1" numFmtId="0" xfId="0" applyAlignment="1" applyFont="1">
      <alignment readingOrder="0" shrinkToFit="0" wrapText="1"/>
    </xf>
    <xf borderId="0" fillId="2" fontId="3" numFmtId="3" xfId="0" applyAlignment="1" applyFont="1" applyNumberFormat="1">
      <alignment horizontal="right" readingOrder="0" shrinkToFit="0" vertical="bottom" wrapText="1"/>
    </xf>
    <xf borderId="0" fillId="2" fontId="1" numFmtId="3" xfId="0" applyAlignment="1" applyFont="1" applyNumberFormat="1">
      <alignment shrinkToFit="0" wrapText="1"/>
    </xf>
    <xf borderId="0" fillId="2" fontId="1" numFmtId="3" xfId="0" applyAlignment="1" applyFont="1" applyNumberFormat="1">
      <alignment horizontal="right" readingOrder="0" shrinkToFit="0" wrapText="1"/>
    </xf>
    <xf borderId="0" fillId="2" fontId="3" numFmtId="0" xfId="0" applyAlignment="1" applyFont="1">
      <alignment readingOrder="0" shrinkToFit="0" vertical="bottom" wrapText="1"/>
    </xf>
    <xf borderId="0" fillId="2" fontId="3" numFmtId="1" xfId="0" applyAlignment="1" applyFont="1" applyNumberFormat="1">
      <alignment readingOrder="0" shrinkToFit="0" vertical="bottom" wrapText="1"/>
    </xf>
    <xf borderId="0" fillId="2" fontId="3" numFmtId="167" xfId="0" applyAlignment="1" applyFont="1" applyNumberFormat="1">
      <alignment horizontal="right" shrinkToFit="0" vertical="bottom" wrapText="1"/>
    </xf>
    <xf borderId="0" fillId="2" fontId="1" numFmtId="0" xfId="0" applyAlignment="1" applyFont="1">
      <alignment shrinkToFit="0" wrapText="1"/>
    </xf>
    <xf borderId="0" fillId="2" fontId="1" numFmtId="3" xfId="0" applyAlignment="1" applyFont="1" applyNumberFormat="1">
      <alignment readingOrder="0" shrinkToFit="0" wrapText="1"/>
    </xf>
    <xf borderId="0" fillId="2" fontId="3" numFmtId="0" xfId="0" applyAlignment="1" applyFont="1">
      <alignment shrinkToFit="0" vertical="bottom" wrapText="1"/>
    </xf>
    <xf borderId="0" fillId="11" fontId="3" numFmtId="3" xfId="0" applyAlignment="1" applyFont="1" applyNumberFormat="1">
      <alignment horizontal="right" readingOrder="0" shrinkToFit="0" vertical="bottom" wrapText="1"/>
    </xf>
    <xf borderId="0" fillId="11" fontId="3" numFmtId="3" xfId="0" applyAlignment="1" applyFont="1" applyNumberFormat="1">
      <alignment horizontal="right" shrinkToFit="0" vertical="bottom" wrapText="1"/>
    </xf>
    <xf borderId="0" fillId="11" fontId="3" numFmtId="0" xfId="0" applyAlignment="1" applyFont="1">
      <alignment shrinkToFit="0" vertical="bottom" wrapText="1"/>
    </xf>
    <xf borderId="0" fillId="11" fontId="3" numFmtId="3" xfId="0" applyAlignment="1" applyFont="1" applyNumberFormat="1">
      <alignment shrinkToFit="0" vertical="bottom" wrapText="1"/>
    </xf>
    <xf borderId="0" fillId="8" fontId="9" numFmtId="0" xfId="0" applyAlignment="1" applyFont="1">
      <alignment horizontal="left" readingOrder="0" shrinkToFit="0" wrapText="1"/>
    </xf>
    <xf borderId="0" fillId="0" fontId="3" numFmtId="167" xfId="0" applyAlignment="1" applyFont="1" applyNumberFormat="1">
      <alignment horizontal="right" shrinkToFit="0" vertical="bottom" wrapText="1"/>
    </xf>
    <xf borderId="0" fillId="0" fontId="3" numFmtId="167" xfId="0" applyAlignment="1" applyFont="1" applyNumberFormat="1">
      <alignment shrinkToFit="0" vertical="bottom" wrapText="1"/>
    </xf>
    <xf borderId="0" fillId="6" fontId="3" numFmtId="0" xfId="0" applyAlignment="1" applyFont="1">
      <alignment shrinkToFit="0" vertical="bottom" wrapText="1"/>
    </xf>
    <xf borderId="0" fillId="6" fontId="3" numFmtId="3" xfId="0" applyAlignment="1" applyFont="1" applyNumberFormat="1">
      <alignment horizontal="right" readingOrder="0" shrinkToFit="0" vertical="bottom" wrapText="1"/>
    </xf>
    <xf borderId="0" fillId="6" fontId="3" numFmtId="3" xfId="0" applyAlignment="1" applyFont="1" applyNumberFormat="1">
      <alignment horizontal="right" shrinkToFit="0" vertical="bottom" wrapText="1"/>
    </xf>
    <xf borderId="0" fillId="6" fontId="3" numFmtId="0" xfId="0" applyAlignment="1" applyFont="1">
      <alignment readingOrder="0" shrinkToFit="0" vertical="bottom" wrapText="1"/>
    </xf>
    <xf borderId="0" fillId="6" fontId="3" numFmtId="1" xfId="0" applyAlignment="1" applyFont="1" applyNumberFormat="1">
      <alignment readingOrder="0" shrinkToFit="0" vertical="bottom" wrapText="1"/>
    </xf>
    <xf borderId="0" fillId="6" fontId="3" numFmtId="167" xfId="0" applyAlignment="1" applyFont="1" applyNumberFormat="1">
      <alignment horizontal="right" shrinkToFit="0" vertical="bottom" wrapText="1"/>
    </xf>
    <xf borderId="0" fillId="6" fontId="3" numFmtId="0" xfId="0" applyAlignment="1" applyFont="1">
      <alignment shrinkToFit="0" vertical="bottom" wrapText="1"/>
    </xf>
    <xf borderId="0" fillId="6" fontId="1" numFmtId="3" xfId="0" applyAlignment="1" applyFont="1" applyNumberFormat="1">
      <alignment horizontal="right" readingOrder="0" shrinkToFit="0" wrapText="1"/>
    </xf>
    <xf borderId="0" fillId="6" fontId="9" numFmtId="0" xfId="0" applyAlignment="1" applyFont="1">
      <alignment horizontal="left" readingOrder="0" shrinkToFit="0" wrapText="1"/>
    </xf>
    <xf borderId="0" fillId="6" fontId="1" numFmtId="3" xfId="0" applyAlignment="1" applyFont="1" applyNumberFormat="1">
      <alignment readingOrder="0" shrinkToFit="0" wrapText="1"/>
    </xf>
    <xf borderId="0" fillId="6" fontId="1" numFmtId="3" xfId="0" applyAlignment="1" applyFont="1" applyNumberFormat="1">
      <alignment shrinkToFit="0" wrapText="1"/>
    </xf>
    <xf borderId="0" fillId="6" fontId="1" numFmtId="0" xfId="0" applyAlignment="1" applyFont="1">
      <alignment shrinkToFit="0" wrapText="1"/>
    </xf>
    <xf borderId="0" fillId="6" fontId="1" numFmtId="0" xfId="0" applyAlignment="1" applyFont="1">
      <alignment readingOrder="0" shrinkToFit="0" wrapText="1"/>
    </xf>
    <xf borderId="0" fillId="2" fontId="3" numFmtId="0" xfId="0" applyAlignment="1" applyFont="1">
      <alignment shrinkToFit="0" vertical="bottom" wrapText="1"/>
    </xf>
    <xf borderId="0" fillId="2" fontId="3" numFmtId="3" xfId="0" applyAlignment="1" applyFont="1" applyNumberFormat="1">
      <alignment horizontal="right" shrinkToFit="0" vertical="bottom" wrapText="1"/>
    </xf>
    <xf borderId="0" fillId="12" fontId="9" numFmtId="0" xfId="0" applyAlignment="1" applyFont="1">
      <alignment shrinkToFit="0" vertical="bottom" wrapText="1"/>
    </xf>
    <xf borderId="0" fillId="12" fontId="9" numFmtId="0" xfId="0" applyAlignment="1" applyFont="1">
      <alignment readingOrder="0" shrinkToFit="0" vertical="bottom" wrapText="1"/>
    </xf>
    <xf borderId="0" fillId="6" fontId="3" numFmtId="3" xfId="0" applyAlignment="1" applyFont="1" applyNumberFormat="1">
      <alignment readingOrder="0" shrinkToFit="0" vertical="bottom" wrapText="1"/>
    </xf>
    <xf borderId="0" fillId="6" fontId="3" numFmtId="167" xfId="0" applyAlignment="1" applyFont="1" applyNumberFormat="1">
      <alignment horizontal="right" readingOrder="0" shrinkToFit="0" vertical="bottom" wrapText="1"/>
    </xf>
    <xf borderId="0" fillId="6" fontId="9" numFmtId="0" xfId="0" applyAlignment="1" applyFont="1">
      <alignment shrinkToFit="0" vertical="bottom" wrapText="1"/>
    </xf>
    <xf borderId="0" fillId="2" fontId="9" numFmtId="0" xfId="0" applyAlignment="1" applyFont="1">
      <alignment shrinkToFit="0" vertical="bottom" wrapText="1"/>
    </xf>
    <xf borderId="0" fillId="2" fontId="9" numFmtId="0" xfId="0" applyAlignment="1" applyFont="1">
      <alignment readingOrder="0" shrinkToFit="0" vertical="bottom" wrapText="1"/>
    </xf>
    <xf borderId="0" fillId="12" fontId="3" numFmtId="3" xfId="0" applyAlignment="1" applyFont="1" applyNumberFormat="1">
      <alignment readingOrder="0" shrinkToFit="0" vertical="bottom" wrapText="1"/>
    </xf>
    <xf borderId="0" fillId="12" fontId="3" numFmtId="167" xfId="0" applyAlignment="1" applyFont="1" applyNumberFormat="1">
      <alignment horizontal="right" readingOrder="0" shrinkToFit="0" vertical="bottom" wrapText="1"/>
    </xf>
    <xf borderId="0" fillId="6" fontId="3" numFmtId="0" xfId="0" applyAlignment="1" applyFont="1">
      <alignment readingOrder="0" shrinkToFit="0" vertical="bottom" wrapText="1"/>
    </xf>
    <xf borderId="0" fillId="6" fontId="3" numFmtId="3" xfId="0" applyAlignment="1" applyFont="1" applyNumberFormat="1">
      <alignment horizontal="right" readingOrder="0" shrinkToFit="0" vertical="bottom" wrapText="1"/>
    </xf>
    <xf borderId="0" fillId="6" fontId="3" numFmtId="3" xfId="0" applyAlignment="1" applyFont="1" applyNumberFormat="1">
      <alignment horizontal="right" shrinkToFit="0" vertical="bottom" wrapText="1"/>
    </xf>
    <xf borderId="0" fillId="7" fontId="3" numFmtId="0" xfId="0" applyAlignment="1" applyFont="1">
      <alignment readingOrder="0" shrinkToFit="0" vertical="bottom" wrapText="1"/>
    </xf>
    <xf borderId="0" fillId="7" fontId="3" numFmtId="3" xfId="0" applyAlignment="1" applyFont="1" applyNumberFormat="1">
      <alignment horizontal="right" readingOrder="0" shrinkToFit="0" vertical="bottom" wrapText="1"/>
    </xf>
    <xf borderId="0" fillId="7" fontId="3" numFmtId="3" xfId="0" applyAlignment="1" applyFont="1" applyNumberFormat="1">
      <alignment horizontal="right" shrinkToFit="0" vertical="bottom" wrapText="1"/>
    </xf>
    <xf borderId="0" fillId="7" fontId="1" numFmtId="3" xfId="0" applyAlignment="1" applyFont="1" applyNumberFormat="1">
      <alignment horizontal="right" readingOrder="0" shrinkToFit="0" wrapText="1"/>
    </xf>
    <xf borderId="0" fillId="7" fontId="3" numFmtId="1" xfId="0" applyAlignment="1" applyFont="1" applyNumberFormat="1">
      <alignment readingOrder="0" shrinkToFit="0" vertical="bottom" wrapText="1"/>
    </xf>
    <xf borderId="0" fillId="7" fontId="3" numFmtId="167" xfId="0" applyAlignment="1" applyFont="1" applyNumberFormat="1">
      <alignment horizontal="right" shrinkToFit="0" vertical="bottom" wrapText="1"/>
    </xf>
    <xf borderId="0" fillId="6" fontId="3" numFmtId="0" xfId="0" applyAlignment="1" applyFont="1">
      <alignment shrinkToFit="0" vertical="bottom" wrapText="1"/>
    </xf>
    <xf borderId="0" fillId="2" fontId="3" numFmtId="3" xfId="0" applyAlignment="1" applyFont="1" applyNumberFormat="1">
      <alignment horizontal="right" shrinkToFit="0" vertical="bottom" wrapText="1"/>
    </xf>
    <xf borderId="0" fillId="12" fontId="3" numFmtId="0" xfId="0" applyAlignment="1" applyFont="1">
      <alignment shrinkToFit="0" vertical="bottom" wrapText="1"/>
    </xf>
    <xf borderId="0" fillId="12" fontId="3" numFmtId="3" xfId="0" applyAlignment="1" applyFont="1" applyNumberFormat="1">
      <alignment horizontal="right" shrinkToFit="0" vertical="bottom" wrapText="1"/>
    </xf>
    <xf borderId="0" fillId="12" fontId="3" numFmtId="0" xfId="0" applyAlignment="1" applyFont="1">
      <alignment shrinkToFit="0" vertical="bottom" wrapText="1"/>
    </xf>
    <xf borderId="0" fillId="12" fontId="3" numFmtId="3" xfId="0" applyAlignment="1" applyFont="1" applyNumberFormat="1">
      <alignment horizontal="right" readingOrder="0" shrinkToFit="0" vertical="bottom" wrapText="1"/>
    </xf>
    <xf borderId="0" fillId="12" fontId="3" numFmtId="0" xfId="0" applyAlignment="1" applyFont="1">
      <alignment horizontal="right" shrinkToFit="0" vertical="bottom" wrapText="1"/>
    </xf>
    <xf borderId="0" fillId="0" fontId="1" numFmtId="167" xfId="0" applyAlignment="1" applyFont="1" applyNumberFormat="1">
      <alignment readingOrder="0" shrinkToFit="0" wrapText="1"/>
    </xf>
    <xf borderId="0" fillId="0" fontId="1" numFmtId="167" xfId="0" applyAlignment="1" applyFont="1" applyNumberFormat="1">
      <alignment shrinkToFit="0" wrapText="1"/>
    </xf>
    <xf borderId="0" fillId="6" fontId="1" numFmtId="167" xfId="0" applyAlignment="1" applyFont="1" applyNumberFormat="1">
      <alignment readingOrder="0" shrinkToFit="0" wrapText="1"/>
    </xf>
    <xf borderId="0" fillId="6" fontId="9" numFmtId="3" xfId="0" applyAlignment="1" applyFont="1" applyNumberFormat="1">
      <alignment horizontal="right" shrinkToFit="0" vertical="bottom" wrapText="1"/>
    </xf>
    <xf borderId="0" fillId="6" fontId="1" numFmtId="167" xfId="0" applyAlignment="1" applyFont="1" applyNumberFormat="1">
      <alignment shrinkToFit="0" wrapText="1"/>
    </xf>
    <xf borderId="0" fillId="2" fontId="9" numFmtId="3" xfId="0" applyAlignment="1" applyFont="1" applyNumberFormat="1">
      <alignment horizontal="right" shrinkToFit="0" vertical="bottom" wrapText="1"/>
    </xf>
    <xf borderId="0" fillId="2" fontId="9" numFmtId="3" xfId="0" applyAlignment="1" applyFont="1" applyNumberFormat="1">
      <alignment horizontal="right" readingOrder="0" shrinkToFit="0" wrapText="1"/>
    </xf>
    <xf borderId="0" fillId="12" fontId="1" numFmtId="0" xfId="0" applyAlignment="1" applyFont="1">
      <alignment horizontal="right" readingOrder="0" shrinkToFit="0" wrapText="1"/>
    </xf>
    <xf borderId="0" fillId="13" fontId="3" numFmtId="0" xfId="0" applyAlignment="1" applyFill="1" applyFont="1">
      <alignment readingOrder="0" shrinkToFit="0" vertical="bottom" wrapText="1"/>
    </xf>
    <xf borderId="0" fillId="13" fontId="3" numFmtId="3" xfId="0" applyAlignment="1" applyFont="1" applyNumberFormat="1">
      <alignment horizontal="right" readingOrder="0" shrinkToFit="0" vertical="bottom" wrapText="1"/>
    </xf>
    <xf borderId="0" fillId="13" fontId="3" numFmtId="3" xfId="0" applyAlignment="1" applyFont="1" applyNumberFormat="1">
      <alignment horizontal="right" shrinkToFit="0" vertical="bottom" wrapText="1"/>
    </xf>
    <xf borderId="0" fillId="13" fontId="3" numFmtId="1" xfId="0" applyAlignment="1" applyFont="1" applyNumberFormat="1">
      <alignment readingOrder="0" shrinkToFit="0" vertical="bottom" wrapText="1"/>
    </xf>
    <xf borderId="0" fillId="13" fontId="3" numFmtId="167" xfId="0" applyAlignment="1" applyFont="1" applyNumberFormat="1">
      <alignment horizontal="right" shrinkToFit="0" vertical="bottom" wrapText="1"/>
    </xf>
    <xf borderId="0" fillId="13" fontId="3" numFmtId="0" xfId="0" applyAlignment="1" applyFont="1">
      <alignment shrinkToFit="0" vertical="bottom" wrapText="1"/>
    </xf>
    <xf borderId="0" fillId="2" fontId="3" numFmtId="3" xfId="0" applyAlignment="1" applyFont="1" applyNumberFormat="1">
      <alignment readingOrder="0" shrinkToFit="0" vertical="bottom" wrapText="1"/>
    </xf>
    <xf borderId="0" fillId="13" fontId="3" numFmtId="0" xfId="0" applyAlignment="1" applyFont="1">
      <alignment readingOrder="0" shrinkToFit="0" vertical="bottom" wrapText="1"/>
    </xf>
    <xf borderId="0" fillId="13" fontId="3" numFmtId="3" xfId="0" applyAlignment="1" applyFont="1" applyNumberFormat="1">
      <alignment readingOrder="0" shrinkToFit="0" vertical="bottom" wrapText="1"/>
    </xf>
    <xf borderId="0" fillId="13" fontId="3" numFmtId="0" xfId="0" applyAlignment="1" applyFont="1">
      <alignment readingOrder="0" shrinkToFit="0" wrapText="1"/>
    </xf>
    <xf borderId="0" fillId="13" fontId="1" numFmtId="3" xfId="0" applyAlignment="1" applyFont="1" applyNumberFormat="1">
      <alignment readingOrder="0" shrinkToFit="0" wrapText="1"/>
    </xf>
    <xf borderId="0" fillId="13" fontId="1" numFmtId="0" xfId="0" applyAlignment="1" applyFont="1">
      <alignment shrinkToFit="0" wrapText="1"/>
    </xf>
    <xf borderId="0" fillId="2" fontId="3" numFmtId="0" xfId="0" applyAlignment="1" applyFont="1">
      <alignment readingOrder="0" shrinkToFit="0" vertical="center" wrapText="1"/>
    </xf>
    <xf borderId="0" fillId="7" fontId="1" numFmtId="3" xfId="0" applyAlignment="1" applyFont="1" applyNumberFormat="1">
      <alignment readingOrder="0" shrinkToFit="0" wrapText="1"/>
    </xf>
    <xf borderId="0" fillId="7" fontId="3" numFmtId="1" xfId="0" applyAlignment="1" applyFont="1" applyNumberFormat="1">
      <alignment shrinkToFit="0" vertical="bottom" wrapText="1"/>
    </xf>
    <xf borderId="0" fillId="2" fontId="3" numFmtId="1" xfId="0" applyAlignment="1" applyFont="1" applyNumberFormat="1">
      <alignment shrinkToFit="0" vertical="bottom" wrapText="1"/>
    </xf>
    <xf borderId="0" fillId="7" fontId="3" numFmtId="0" xfId="0" applyAlignment="1" applyFont="1">
      <alignment readingOrder="0" shrinkToFit="0" vertical="center" wrapText="1"/>
    </xf>
    <xf borderId="0" fillId="0" fontId="3" numFmtId="1" xfId="0" applyAlignment="1" applyFont="1" applyNumberFormat="1">
      <alignment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6" fontId="3" numFmtId="1" xfId="0" applyAlignment="1" applyFont="1" applyNumberFormat="1">
      <alignment shrinkToFit="0" vertical="bottom" wrapText="1"/>
    </xf>
    <xf borderId="0" fillId="6" fontId="3" numFmtId="0" xfId="0" applyAlignment="1" applyFont="1">
      <alignment readingOrder="0" shrinkToFit="0" vertical="center" wrapText="1"/>
    </xf>
    <xf borderId="0" fillId="7" fontId="3" numFmtId="0" xfId="0" applyAlignment="1" applyFont="1">
      <alignment readingOrder="0" shrinkToFit="0" vertical="bottom" wrapText="1"/>
    </xf>
    <xf borderId="0" fillId="7" fontId="3" numFmtId="3" xfId="0" applyAlignment="1" applyFont="1" applyNumberFormat="1">
      <alignment readingOrder="0" shrinkToFit="0" vertical="bottom" wrapText="1"/>
    </xf>
    <xf borderId="0" fillId="12" fontId="3" numFmtId="1" xfId="0" applyAlignment="1" applyFont="1" applyNumberFormat="1">
      <alignment shrinkToFit="0" vertical="bottom" wrapText="1"/>
    </xf>
    <xf borderId="0" fillId="0" fontId="1" numFmtId="1" xfId="0" applyAlignment="1" applyFont="1" applyNumberFormat="1">
      <alignment shrinkToFit="0" wrapText="1"/>
    </xf>
    <xf borderId="0" fillId="2" fontId="3" numFmtId="1" xfId="0" applyAlignment="1" applyFont="1" applyNumberFormat="1">
      <alignment horizontal="right" shrinkToFit="0" vertical="bottom" wrapText="1"/>
    </xf>
    <xf borderId="0" fillId="6" fontId="3" numFmtId="1" xfId="0" applyAlignment="1" applyFont="1" applyNumberFormat="1">
      <alignment horizontal="right" shrinkToFit="0" vertical="bottom" wrapText="1"/>
    </xf>
    <xf borderId="0" fillId="0" fontId="3" numFmtId="1" xfId="0" applyAlignment="1" applyFont="1" applyNumberFormat="1">
      <alignment horizontal="right" shrinkToFit="0" vertical="bottom" wrapText="1"/>
    </xf>
    <xf borderId="0" fillId="12" fontId="3" numFmtId="1" xfId="0" applyAlignment="1" applyFont="1" applyNumberFormat="1">
      <alignment horizontal="right" shrinkToFit="0" vertical="bottom" wrapText="1"/>
    </xf>
    <xf borderId="0" fillId="0" fontId="6" numFmtId="1" xfId="0" applyAlignment="1" applyFont="1" applyNumberFormat="1">
      <alignment shrinkToFit="0" wrapText="1"/>
    </xf>
    <xf quotePrefix="1" borderId="0" fillId="0" fontId="1" numFmtId="0" xfId="0" applyAlignment="1" applyFont="1">
      <alignment readingOrder="0" shrinkToFit="0" wrapText="1"/>
    </xf>
    <xf borderId="0" fillId="14" fontId="1" numFmtId="0" xfId="0" applyAlignment="1" applyFill="1" applyFont="1">
      <alignment readingOrder="0" shrinkToFit="0" wrapText="1"/>
    </xf>
    <xf borderId="0" fillId="14" fontId="1" numFmtId="3" xfId="0" applyAlignment="1" applyFont="1" applyNumberFormat="1">
      <alignment readingOrder="0" shrinkToFit="0" wrapText="1"/>
    </xf>
    <xf borderId="0" fillId="14" fontId="3" numFmtId="3" xfId="0" applyAlignment="1" applyFont="1" applyNumberFormat="1">
      <alignment horizontal="right" readingOrder="0" shrinkToFit="0" vertical="bottom" wrapText="1"/>
    </xf>
    <xf borderId="0" fillId="14" fontId="3" numFmtId="3" xfId="0" applyAlignment="1" applyFont="1" applyNumberFormat="1">
      <alignment horizontal="right" shrinkToFit="0" vertical="bottom" wrapText="1"/>
    </xf>
    <xf borderId="0" fillId="14" fontId="3" numFmtId="0" xfId="0" applyAlignment="1" applyFont="1">
      <alignment readingOrder="0" shrinkToFit="0" vertical="bottom" wrapText="1"/>
    </xf>
    <xf borderId="0" fillId="14" fontId="3" numFmtId="1" xfId="0" applyAlignment="1" applyFont="1" applyNumberFormat="1">
      <alignment readingOrder="0" shrinkToFit="0" vertical="bottom" wrapText="1"/>
    </xf>
    <xf borderId="0" fillId="14" fontId="3" numFmtId="167" xfId="0" applyAlignment="1" applyFont="1" applyNumberFormat="1">
      <alignment horizontal="right" shrinkToFit="0" vertical="bottom" wrapText="1"/>
    </xf>
    <xf borderId="0" fillId="14" fontId="1" numFmtId="0" xfId="0" applyAlignment="1" applyFont="1">
      <alignment shrinkToFit="0" wrapText="1"/>
    </xf>
    <xf borderId="0" fillId="14" fontId="3" numFmtId="0" xfId="0" applyAlignment="1" applyFont="1">
      <alignment horizontal="right" shrinkToFit="0" vertical="bottom" wrapText="1"/>
    </xf>
    <xf borderId="0" fillId="14" fontId="3" numFmtId="1" xfId="0" applyAlignment="1" applyFont="1" applyNumberFormat="1">
      <alignment shrinkToFit="0" vertical="bottom" wrapText="1"/>
    </xf>
    <xf borderId="0" fillId="14" fontId="3" numFmtId="0" xfId="0" applyAlignment="1" applyFont="1">
      <alignment shrinkToFit="0" vertical="bottom" wrapText="1"/>
    </xf>
    <xf borderId="0" fillId="14" fontId="3" numFmtId="0" xfId="0" applyAlignment="1" applyFont="1">
      <alignment readingOrder="0" shrinkToFit="0" wrapText="1"/>
    </xf>
    <xf borderId="0" fillId="14" fontId="3" numFmtId="0" xfId="0" applyAlignment="1" applyFont="1">
      <alignment readingOrder="0" shrinkToFit="0" vertical="center" wrapText="1"/>
    </xf>
    <xf borderId="0" fillId="14" fontId="3" numFmtId="167" xfId="0" applyAlignment="1" applyFont="1" applyNumberFormat="1">
      <alignment horizontal="right" shrinkToFit="0" vertical="bottom" wrapText="1"/>
    </xf>
    <xf borderId="0" fillId="14" fontId="3" numFmtId="3" xfId="0" applyAlignment="1" applyFont="1" applyNumberFormat="1">
      <alignment readingOrder="0" shrinkToFit="0" vertical="bottom" wrapText="1"/>
    </xf>
    <xf borderId="0" fillId="14" fontId="3" numFmtId="0" xfId="0" applyAlignment="1" applyFont="1">
      <alignment readingOrder="0" shrinkToFit="0" wrapText="1"/>
    </xf>
    <xf borderId="0" fillId="14" fontId="3" numFmtId="1" xfId="0" applyAlignment="1" applyFont="1" applyNumberFormat="1">
      <alignment horizontal="right" shrinkToFit="0" vertical="bottom" wrapText="1"/>
    </xf>
    <xf borderId="0" fillId="14" fontId="3" numFmtId="167" xfId="0" applyAlignment="1" applyFont="1" applyNumberFormat="1">
      <alignment shrinkToFit="0" vertical="bottom" wrapText="1"/>
    </xf>
    <xf borderId="0" fillId="0" fontId="6" numFmtId="0" xfId="0" applyAlignment="1" applyFont="1">
      <alignment horizontal="center" readingOrder="0" shrinkToFit="0" wrapText="1"/>
    </xf>
    <xf borderId="0" fillId="0" fontId="1" numFmtId="2" xfId="0" applyAlignment="1" applyFont="1" applyNumberFormat="1">
      <alignment readingOrder="0" shrinkToFit="0" wrapText="1"/>
    </xf>
    <xf borderId="0" fillId="0" fontId="3" numFmtId="4" xfId="0" applyAlignment="1" applyFont="1" applyNumberFormat="1">
      <alignment horizontal="right" shrinkToFit="0" vertical="bottom" wrapText="0"/>
    </xf>
    <xf borderId="0" fillId="0" fontId="3" numFmtId="2" xfId="0" applyAlignment="1" applyFont="1" applyNumberFormat="1">
      <alignment horizontal="right" readingOrder="0" shrinkToFit="0" vertical="bottom" wrapText="1"/>
    </xf>
    <xf borderId="0" fillId="15" fontId="3" numFmtId="0" xfId="0" applyAlignment="1" applyFill="1" applyFont="1">
      <alignment shrinkToFit="0" vertical="bottom" wrapText="1"/>
    </xf>
    <xf borderId="0" fillId="15" fontId="3" numFmtId="3" xfId="0" applyAlignment="1" applyFont="1" applyNumberFormat="1">
      <alignment horizontal="right" readingOrder="0" shrinkToFit="0" vertical="bottom" wrapText="1"/>
    </xf>
    <xf borderId="0" fillId="15" fontId="3" numFmtId="3" xfId="0" applyAlignment="1" applyFont="1" applyNumberFormat="1">
      <alignment horizontal="right" shrinkToFit="0" vertical="bottom" wrapText="1"/>
    </xf>
    <xf borderId="0" fillId="15" fontId="3" numFmtId="1" xfId="0" applyAlignment="1" applyFont="1" applyNumberFormat="1">
      <alignment shrinkToFit="0" vertical="bottom" wrapText="1"/>
    </xf>
    <xf borderId="0" fillId="15" fontId="3" numFmtId="167" xfId="0" applyAlignment="1" applyFont="1" applyNumberFormat="1">
      <alignment horizontal="right" shrinkToFit="0" vertical="bottom" wrapText="1"/>
    </xf>
    <xf borderId="0" fillId="15" fontId="1" numFmtId="0" xfId="0" applyAlignment="1" applyFont="1">
      <alignment readingOrder="0" shrinkToFit="0" wrapText="1"/>
    </xf>
    <xf borderId="0" fillId="15" fontId="3" numFmtId="1" xfId="0" applyAlignment="1" applyFont="1" applyNumberFormat="1">
      <alignment readingOrder="0" shrinkToFit="0" vertical="bottom" wrapText="1"/>
    </xf>
    <xf borderId="0" fillId="15" fontId="1" numFmtId="0" xfId="0" applyAlignment="1" applyFont="1">
      <alignment shrinkToFit="0" wrapText="1"/>
    </xf>
    <xf borderId="0" fillId="15" fontId="3" numFmtId="0" xfId="0" applyAlignment="1" applyFont="1">
      <alignment readingOrder="0" shrinkToFit="0" vertical="bottom" wrapText="1"/>
    </xf>
    <xf borderId="0" fillId="15" fontId="1" numFmtId="3" xfId="0" applyAlignment="1" applyFont="1" applyNumberFormat="1">
      <alignment readingOrder="0" shrinkToFit="0" wrapText="1"/>
    </xf>
    <xf borderId="0" fillId="0" fontId="8" numFmtId="166" xfId="0" applyAlignment="1" applyFont="1" applyNumberFormat="1">
      <alignment horizontal="right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vertical="center" wrapText="1"/>
    </xf>
    <xf borderId="0" fillId="0" fontId="1" numFmtId="167" xfId="0" applyAlignment="1" applyFont="1" applyNumberForma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15" fontId="3" numFmtId="3" xfId="0" applyAlignment="1" applyFont="1" applyNumberForma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3" xfId="0" applyAlignment="1" applyFont="1" applyNumberFormat="1">
      <alignment horizontal="right" shrinkToFit="0" vertical="bottom" wrapText="1"/>
    </xf>
    <xf borderId="0" fillId="0" fontId="3" numFmtId="3" xfId="0" applyAlignment="1" applyFont="1" applyNumberFormat="1">
      <alignment horizontal="right" readingOrder="0" shrinkToFit="0" vertical="bottom" wrapText="1"/>
    </xf>
    <xf borderId="0" fillId="0" fontId="9" numFmtId="3" xfId="0" applyAlignment="1" applyFont="1" applyNumberFormat="1">
      <alignment horizontal="right" shrinkToFit="0" vertical="bottom" wrapText="1"/>
    </xf>
    <xf borderId="0" fillId="0" fontId="8" numFmtId="167" xfId="0" applyAlignment="1" applyFont="1" applyNumberFormat="1">
      <alignment horizontal="center" shrinkToFit="0" vertical="bottom" wrapText="1"/>
    </xf>
    <xf borderId="0" fillId="7" fontId="8" numFmtId="167" xfId="0" applyAlignment="1" applyFont="1" applyNumberFormat="1">
      <alignment horizontal="right" shrinkToFit="0" vertical="bottom" wrapText="1"/>
    </xf>
    <xf borderId="0" fillId="0" fontId="8" numFmtId="166" xfId="0" applyAlignment="1" applyFont="1" applyNumberForma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horizontal="right" shrinkToFit="0" vertical="bottom" wrapText="1"/>
    </xf>
    <xf borderId="0" fillId="7" fontId="3" numFmtId="3" xfId="0" applyAlignment="1" applyFont="1" applyNumberFormat="1">
      <alignment shrinkToFit="0" vertical="bottom" wrapText="1"/>
    </xf>
    <xf borderId="0" fillId="7" fontId="3" numFmtId="0" xfId="0" applyAlignment="1" applyFont="1">
      <alignment shrinkToFit="0" vertical="bottom" wrapText="1"/>
    </xf>
    <xf borderId="0" fillId="7" fontId="3" numFmtId="0" xfId="0" applyAlignment="1" applyFont="1">
      <alignment horizontal="right" readingOrder="0" shrinkToFit="0" vertical="bottom" wrapText="1"/>
    </xf>
    <xf borderId="0" fillId="0" fontId="9" numFmtId="3" xfId="0" applyAlignment="1" applyFont="1" applyNumberFormat="1">
      <alignment horizontal="right" readingOrder="0" shrinkToFit="0" vertical="bottom" wrapText="1"/>
    </xf>
    <xf borderId="0" fillId="7" fontId="1" numFmtId="3" xfId="0" applyAlignment="1" applyFont="1" applyNumberFormat="1">
      <alignment shrinkToFit="0" wrapText="1"/>
    </xf>
    <xf borderId="0" fillId="7" fontId="9" numFmtId="0" xfId="0" applyAlignment="1" applyFont="1">
      <alignment shrinkToFit="0" vertical="bottom" wrapText="1"/>
    </xf>
    <xf borderId="0" fillId="7" fontId="9" numFmtId="0" xfId="0" applyAlignment="1" applyFont="1">
      <alignment readingOrder="0" shrinkToFit="0" vertical="bottom" wrapText="1"/>
    </xf>
    <xf borderId="0" fillId="7" fontId="9" numFmtId="3" xfId="0" applyAlignment="1" applyFont="1" applyNumberFormat="1">
      <alignment horizontal="right" readingOrder="0" shrinkToFit="0" wrapText="1"/>
    </xf>
    <xf borderId="0" fillId="7" fontId="9" numFmtId="3" xfId="0" applyAlignment="1" applyFont="1" applyNumberFormat="1">
      <alignment horizontal="right" shrinkToFit="0" vertical="bottom" wrapText="1"/>
    </xf>
    <xf borderId="0" fillId="7" fontId="9" numFmtId="0" xfId="0" applyAlignment="1" applyFont="1">
      <alignment horizontal="left" readingOrder="0" shrinkToFit="0" wrapText="1"/>
    </xf>
    <xf borderId="0" fillId="0" fontId="3" numFmtId="3" xfId="0" applyAlignment="1" applyFont="1" applyNumberForma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9" fontId="1" numFmtId="0" xfId="0" applyAlignment="1" applyFont="1">
      <alignment shrinkToFit="0" wrapText="1"/>
    </xf>
    <xf borderId="0" fillId="8" fontId="1" numFmtId="0" xfId="0" applyAlignment="1" applyFont="1">
      <alignment readingOrder="0" shrinkToFit="0" wrapText="1"/>
    </xf>
    <xf borderId="0" fillId="8" fontId="1" numFmtId="0" xfId="0" applyAlignment="1" applyFont="1">
      <alignment shrinkToFit="0" wrapText="1"/>
    </xf>
    <xf borderId="0" fillId="10" fontId="10" numFmtId="0" xfId="0" applyAlignment="1" applyFont="1">
      <alignment readingOrder="0" shrinkToFit="0" wrapText="1"/>
    </xf>
    <xf borderId="0" fillId="10" fontId="1" numFmtId="0" xfId="0" applyAlignment="1" applyFont="1">
      <alignment shrinkToFit="0" wrapText="1"/>
    </xf>
    <xf borderId="0" fillId="7" fontId="6" numFmtId="4" xfId="0" applyAlignment="1" applyFont="1" applyNumberFormat="1">
      <alignment shrinkToFit="0" wrapText="1"/>
    </xf>
    <xf borderId="0" fillId="7" fontId="10" numFmtId="0" xfId="0" applyAlignment="1" applyFont="1">
      <alignment readingOrder="0" shrinkToFit="0" wrapText="1"/>
    </xf>
    <xf borderId="0" fillId="8" fontId="6" numFmtId="0" xfId="0" applyAlignment="1" applyFont="1">
      <alignment readingOrder="0" shrinkToFit="0" wrapText="1"/>
    </xf>
    <xf borderId="0" fillId="7" fontId="6" numFmtId="4" xfId="0" applyAlignment="1" applyFont="1" applyNumberFormat="1">
      <alignment readingOrder="0" shrinkToFit="0" wrapText="1"/>
    </xf>
    <xf borderId="0" fillId="0" fontId="10" numFmtId="167" xfId="0" applyAlignment="1" applyFont="1" applyNumberFormat="1">
      <alignment readingOrder="0" shrinkToFit="0" wrapText="1"/>
    </xf>
    <xf borderId="0" fillId="2" fontId="1" numFmtId="0" xfId="0" applyAlignment="1" applyFont="1">
      <alignment horizontal="center" readingOrder="0" shrinkToFit="0" wrapText="1"/>
    </xf>
    <xf borderId="0" fillId="2" fontId="3" numFmtId="0" xfId="0" applyAlignment="1" applyFont="1">
      <alignment horizontal="center" readingOrder="0" shrinkToFit="0" vertical="bottom" wrapText="0"/>
    </xf>
    <xf borderId="0" fillId="0" fontId="3" numFmtId="4" xfId="0" applyAlignment="1" applyFont="1" applyNumberFormat="1">
      <alignment shrinkToFit="0" vertical="bottom" wrapText="0"/>
    </xf>
    <xf borderId="0" fillId="2" fontId="1" numFmtId="0" xfId="0" applyAlignment="1" applyFont="1">
      <alignment horizontal="center" readingOrder="0" shrinkToFit="0" wrapText="0"/>
    </xf>
    <xf borderId="0" fillId="0" fontId="1" numFmtId="3" xfId="0" applyAlignment="1" applyFont="1" applyNumberFormat="1">
      <alignment readingOrder="0" shrinkToFit="0" wrapText="0"/>
    </xf>
    <xf borderId="0" fillId="0" fontId="6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1" numFmtId="4" xfId="0" applyAlignment="1" applyFont="1" applyNumberFormat="1">
      <alignment horizontal="right" readingOrder="0" shrinkToFit="0" wrapText="0"/>
    </xf>
    <xf borderId="0" fillId="0" fontId="1" numFmtId="0" xfId="0" applyAlignment="1" applyFont="1">
      <alignment shrinkToFit="0" wrapText="0"/>
    </xf>
    <xf borderId="0" fillId="2" fontId="1" numFmtId="4" xfId="0" applyAlignment="1" applyFont="1" applyNumberFormat="1">
      <alignment horizontal="center" readingOrder="0" shrinkToFit="0" wrapText="1"/>
    </xf>
    <xf borderId="0" fillId="2" fontId="3" numFmtId="0" xfId="0" applyAlignment="1" applyFont="1">
      <alignment horizontal="center" shrinkToFit="0" vertical="bottom" wrapText="0"/>
    </xf>
    <xf borderId="0" fillId="2" fontId="3" numFmtId="4" xfId="0" applyAlignment="1" applyFont="1" applyNumberFormat="1">
      <alignment horizontal="center" shrinkToFit="0" vertical="bottom" wrapText="0"/>
    </xf>
    <xf borderId="0" fillId="2" fontId="1" numFmtId="4" xfId="0" applyAlignment="1" applyFont="1" applyNumberFormat="1">
      <alignment horizontal="center" readingOrder="0" shrinkToFit="0" wrapText="0"/>
    </xf>
    <xf borderId="0" fillId="0" fontId="1" numFmtId="167" xfId="0" applyAlignment="1" applyFont="1" applyNumberFormat="1">
      <alignment readingOrder="0" shrinkToFit="0" wrapText="0"/>
    </xf>
    <xf borderId="0" fillId="0" fontId="3" numFmtId="0" xfId="0" applyAlignment="1" applyFont="1">
      <alignment shrinkToFit="0" vertical="bottom" wrapText="0"/>
    </xf>
    <xf borderId="0" fillId="5" fontId="1" numFmtId="0" xfId="0" applyAlignment="1" applyFont="1">
      <alignment readingOrder="0" shrinkToFit="0" wrapText="1"/>
    </xf>
    <xf borderId="0" fillId="5" fontId="3" numFmtId="0" xfId="0" applyAlignment="1" applyFont="1">
      <alignment shrinkToFit="0" vertical="bottom" wrapText="0"/>
    </xf>
    <xf borderId="0" fillId="5" fontId="3" numFmtId="4" xfId="0" applyAlignment="1" applyFont="1" applyNumberFormat="1">
      <alignment horizontal="right" shrinkToFit="0" vertical="bottom" wrapText="0"/>
    </xf>
    <xf borderId="0" fillId="5" fontId="1" numFmtId="0" xfId="0" applyAlignment="1" applyFont="1">
      <alignment readingOrder="0" shrinkToFit="0" wrapText="0"/>
    </xf>
    <xf borderId="0" fillId="5" fontId="1" numFmtId="4" xfId="0" applyAlignment="1" applyFont="1" applyNumberFormat="1">
      <alignment readingOrder="0" shrinkToFit="0" wrapText="0"/>
    </xf>
    <xf borderId="0" fillId="5" fontId="1" numFmtId="4" xfId="0" applyAlignment="1" applyFont="1" applyNumberFormat="1">
      <alignment shrinkToFit="0" wrapText="0"/>
    </xf>
    <xf borderId="0" fillId="0" fontId="1" numFmtId="171" xfId="0" applyAlignment="1" applyFont="1" applyNumberFormat="1">
      <alignment readingOrder="0" shrinkToFit="0" wrapText="0"/>
    </xf>
    <xf borderId="0" fillId="0" fontId="1" numFmtId="4" xfId="0" applyAlignment="1" applyFont="1" applyNumberFormat="1">
      <alignment shrinkToFit="0" wrapText="0"/>
    </xf>
    <xf borderId="0" fillId="5" fontId="16" numFmtId="0" xfId="0" applyAlignment="1" applyFont="1">
      <alignment readingOrder="0" shrinkToFit="0" wrapText="0"/>
    </xf>
    <xf borderId="0" fillId="5" fontId="16" numFmtId="4" xfId="0" applyAlignment="1" applyFont="1" applyNumberFormat="1">
      <alignment readingOrder="0" shrinkToFit="0" wrapText="0"/>
    </xf>
    <xf borderId="0" fillId="0" fontId="3" numFmtId="3" xfId="0" applyAlignment="1" applyFont="1" applyNumberFormat="1">
      <alignment horizontal="right" shrinkToFit="0" vertical="bottom" wrapText="0"/>
    </xf>
    <xf borderId="0" fillId="5" fontId="16" numFmtId="4" xfId="0" applyAlignment="1" applyFont="1" applyNumberFormat="1">
      <alignment shrinkToFit="0" wrapText="0"/>
    </xf>
    <xf borderId="0" fillId="0" fontId="16" numFmtId="0" xfId="0" applyAlignment="1" applyFont="1">
      <alignment readingOrder="0" shrinkToFit="0" wrapText="0"/>
    </xf>
    <xf borderId="0" fillId="0" fontId="16" numFmtId="4" xfId="0" applyAlignment="1" applyFont="1" applyNumberFormat="1">
      <alignment shrinkToFit="0" wrapText="0"/>
    </xf>
    <xf borderId="0" fillId="0" fontId="3" numFmtId="3" xfId="0" applyAlignment="1" applyFont="1" applyNumberFormat="1">
      <alignment horizontal="right" readingOrder="0" shrinkToFit="0" vertical="bottom" wrapText="0"/>
    </xf>
    <xf borderId="0" fillId="0" fontId="6" numFmtId="167" xfId="0" applyAlignment="1" applyFont="1" applyNumberFormat="1">
      <alignment shrinkToFit="0" wrapText="0"/>
    </xf>
    <xf borderId="0" fillId="0" fontId="1" numFmtId="167" xfId="0" applyAlignment="1" applyFont="1" applyNumberFormat="1">
      <alignment shrinkToFit="0" wrapText="0"/>
    </xf>
    <xf borderId="0" fillId="0" fontId="3" numFmtId="0" xfId="0" applyAlignment="1" applyFont="1">
      <alignment shrinkToFit="0" vertical="bottom" wrapText="0"/>
    </xf>
    <xf borderId="0" fillId="0" fontId="16" numFmtId="4" xfId="0" applyAlignment="1" applyFont="1" applyNumberFormat="1">
      <alignment readingOrder="0" shrinkToFit="0" wrapText="0"/>
    </xf>
    <xf borderId="0" fillId="0" fontId="3" numFmtId="0" xfId="0" applyAlignment="1" applyFont="1">
      <alignment readingOrder="0" shrinkToFit="0" vertical="bottom" wrapText="0"/>
    </xf>
    <xf borderId="0" fillId="0" fontId="1" numFmtId="167" xfId="0" applyAlignment="1" applyFont="1" applyNumberFormat="1">
      <alignment horizontal="right" readingOrder="0" shrinkToFit="0" wrapText="0"/>
    </xf>
    <xf borderId="0" fillId="5" fontId="1" numFmtId="4" xfId="0" applyAlignment="1" applyFont="1" applyNumberFormat="1">
      <alignment readingOrder="0" shrinkToFit="0" wrapText="1"/>
    </xf>
    <xf borderId="0" fillId="5" fontId="3" numFmtId="4" xfId="0" applyAlignment="1" applyFont="1" applyNumberFormat="1">
      <alignment horizontal="right" readingOrder="0" shrinkToFit="0" vertical="bottom" wrapText="0"/>
    </xf>
    <xf borderId="0" fillId="0" fontId="11" numFmtId="0" xfId="0" applyAlignment="1" applyFont="1">
      <alignment readingOrder="0" shrinkToFit="0" wrapText="0"/>
    </xf>
    <xf borderId="0" fillId="0" fontId="11" numFmtId="4" xfId="0" applyAlignment="1" applyFont="1" applyNumberFormat="1">
      <alignment readingOrder="0" shrinkToFit="0" wrapText="0"/>
    </xf>
    <xf borderId="0" fillId="0" fontId="1" numFmtId="167" xfId="0" applyAlignment="1" applyFont="1" applyNumberFormat="1">
      <alignment readingOrder="0" shrinkToFit="0" wrapText="0"/>
    </xf>
    <xf borderId="0" fillId="5" fontId="1" numFmtId="4" xfId="0" applyAlignment="1" applyFont="1" applyNumberFormat="1">
      <alignment shrinkToFit="0" wrapText="1"/>
    </xf>
    <xf borderId="0" fillId="0" fontId="1" numFmtId="167" xfId="0" applyAlignment="1" applyFont="1" applyNumberFormat="1">
      <alignment shrinkToFit="0" wrapText="0"/>
    </xf>
    <xf borderId="0" fillId="5" fontId="16" numFmtId="0" xfId="0" applyAlignment="1" applyFont="1">
      <alignment readingOrder="0" shrinkToFit="0" wrapText="1"/>
    </xf>
    <xf borderId="0" fillId="5" fontId="16" numFmtId="4" xfId="0" applyAlignment="1" applyFont="1" applyNumberFormat="1">
      <alignment readingOrder="0" shrinkToFit="0" wrapText="1"/>
    </xf>
    <xf borderId="0" fillId="5" fontId="17" numFmtId="0" xfId="0" applyAlignment="1" applyFont="1">
      <alignment shrinkToFit="0" vertical="bottom" wrapText="0"/>
    </xf>
    <xf borderId="0" fillId="5" fontId="17" numFmtId="4" xfId="0" applyAlignment="1" applyFont="1" applyNumberFormat="1">
      <alignment horizontal="right" readingOrder="0" shrinkToFit="0" vertical="bottom" wrapText="0"/>
    </xf>
    <xf borderId="0" fillId="0" fontId="6" numFmtId="3" xfId="0" applyAlignment="1" applyFont="1" applyNumberFormat="1">
      <alignment shrinkToFit="0" wrapText="0"/>
    </xf>
    <xf borderId="0" fillId="0" fontId="6" numFmtId="3" xfId="0" applyAlignment="1" applyFont="1" applyNumberFormat="1">
      <alignment readingOrder="0" shrinkToFit="0" wrapText="0"/>
    </xf>
    <xf borderId="0" fillId="0" fontId="1" numFmtId="4" xfId="0" applyAlignment="1" applyFont="1" applyNumberFormat="1">
      <alignment shrinkToFit="0" wrapText="1"/>
    </xf>
    <xf borderId="0" fillId="5" fontId="10" numFmtId="0" xfId="0" applyAlignment="1" applyFont="1">
      <alignment readingOrder="0" shrinkToFit="0" wrapText="0"/>
    </xf>
    <xf borderId="0" fillId="5" fontId="10" numFmtId="4" xfId="0" applyAlignment="1" applyFont="1" applyNumberFormat="1">
      <alignment readingOrder="0" shrinkToFit="0" wrapText="0"/>
    </xf>
    <xf borderId="0" fillId="0" fontId="16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 shrinkToFit="0" wrapText="0"/>
    </xf>
    <xf borderId="0" fillId="0" fontId="1" numFmtId="3" xfId="0" applyAlignment="1" applyFont="1" applyNumberFormat="1">
      <alignment shrinkToFit="0" wrapText="0"/>
    </xf>
    <xf borderId="0" fillId="5" fontId="1" numFmtId="0" xfId="0" applyAlignment="1" applyFont="1">
      <alignment shrinkToFit="0" wrapText="0"/>
    </xf>
    <xf borderId="0" fillId="16" fontId="1" numFmtId="0" xfId="0" applyAlignment="1" applyFill="1" applyFont="1">
      <alignment readingOrder="0" shrinkToFit="0" wrapText="0"/>
    </xf>
    <xf borderId="0" fillId="16" fontId="1" numFmtId="3" xfId="0" applyAlignment="1" applyFont="1" applyNumberFormat="1">
      <alignment readingOrder="0" shrinkToFit="0" wrapText="0"/>
    </xf>
    <xf borderId="0" fillId="16" fontId="1" numFmtId="167" xfId="0" applyAlignment="1" applyFont="1" applyNumberFormat="1">
      <alignment readingOrder="0" shrinkToFit="0" wrapText="0"/>
    </xf>
    <xf borderId="0" fillId="9" fontId="1" numFmtId="0" xfId="0" applyAlignment="1" applyFont="1">
      <alignment horizontal="center" readingOrder="0" shrinkToFit="0" wrapText="1"/>
    </xf>
    <xf borderId="0" fillId="9" fontId="1" numFmtId="4" xfId="0" applyAlignment="1" applyFont="1" applyNumberFormat="1">
      <alignment horizontal="center" readingOrder="0" shrinkToFit="0" wrapText="1"/>
    </xf>
    <xf borderId="0" fillId="9" fontId="3" numFmtId="0" xfId="0" applyAlignment="1" applyFont="1">
      <alignment horizontal="center" shrinkToFit="0" vertical="bottom" wrapText="0"/>
    </xf>
    <xf borderId="0" fillId="9" fontId="3" numFmtId="4" xfId="0" applyAlignment="1" applyFont="1" applyNumberFormat="1">
      <alignment horizontal="center" shrinkToFit="0" vertical="bottom" wrapText="0"/>
    </xf>
    <xf borderId="0" fillId="9" fontId="1" numFmtId="0" xfId="0" applyAlignment="1" applyFont="1">
      <alignment horizontal="center" readingOrder="0" shrinkToFit="0" wrapText="0"/>
    </xf>
    <xf borderId="0" fillId="9" fontId="1" numFmtId="4" xfId="0" applyAlignment="1" applyFont="1" applyNumberFormat="1">
      <alignment horizontal="center" readingOrder="0" shrinkToFit="0" wrapText="0"/>
    </xf>
    <xf borderId="0" fillId="0" fontId="1" numFmtId="0" xfId="0" applyAlignment="1" applyFont="1">
      <alignment shrinkToFit="0" wrapText="0"/>
    </xf>
    <xf borderId="0" fillId="5" fontId="9" numFmtId="0" xfId="0" applyAlignment="1" applyFont="1">
      <alignment shrinkToFit="0" vertical="bottom" wrapText="0"/>
    </xf>
    <xf borderId="0" fillId="5" fontId="9" numFmtId="4" xfId="0" applyAlignment="1" applyFont="1" applyNumberFormat="1">
      <alignment horizontal="right" shrinkToFit="0" vertical="bottom" wrapText="0"/>
    </xf>
    <xf borderId="0" fillId="0" fontId="1" numFmtId="4" xfId="0" applyAlignment="1" applyFont="1" applyNumberFormat="1">
      <alignment readingOrder="0" shrinkToFit="0" wrapText="1"/>
    </xf>
    <xf borderId="0" fillId="5" fontId="9" numFmtId="4" xfId="0" applyAlignment="1" applyFont="1" applyNumberFormat="1">
      <alignment shrinkToFit="0" vertical="bottom" wrapText="0"/>
    </xf>
    <xf borderId="0" fillId="0" fontId="10" numFmtId="0" xfId="0" applyAlignment="1" applyFont="1">
      <alignment readingOrder="0" shrinkToFit="0" wrapText="0"/>
    </xf>
    <xf borderId="0" fillId="7" fontId="1" numFmtId="0" xfId="0" applyAlignment="1" applyFont="1">
      <alignment readingOrder="0" shrinkToFit="0" wrapText="0"/>
    </xf>
    <xf borderId="0" fillId="7" fontId="1" numFmtId="3" xfId="0" applyAlignment="1" applyFont="1" applyNumberFormat="1">
      <alignment readingOrder="0" shrinkToFit="0" wrapText="0"/>
    </xf>
    <xf borderId="0" fillId="12" fontId="1" numFmtId="0" xfId="0" applyAlignment="1" applyFont="1">
      <alignment readingOrder="0" shrinkToFit="0" wrapText="0"/>
    </xf>
    <xf borderId="0" fillId="12" fontId="1" numFmtId="3" xfId="0" applyAlignment="1" applyFont="1" applyNumberFormat="1">
      <alignment readingOrder="0" shrinkToFit="0" wrapText="0"/>
    </xf>
    <xf borderId="0" fillId="5" fontId="1" numFmtId="0" xfId="0" applyAlignment="1" applyFont="1">
      <alignment shrinkToFit="0" wrapText="1"/>
    </xf>
    <xf borderId="0" fillId="6" fontId="1" numFmtId="0" xfId="0" applyAlignment="1" applyFont="1">
      <alignment readingOrder="0" shrinkToFit="0" wrapText="0"/>
    </xf>
    <xf borderId="0" fillId="6" fontId="1" numFmtId="3" xfId="0" applyAlignment="1" applyFont="1" applyNumberFormat="1">
      <alignment readingOrder="0" shrinkToFit="0" wrapText="0"/>
    </xf>
    <xf borderId="0" fillId="0" fontId="18" numFmtId="4" xfId="0" applyAlignment="1" applyFont="1" applyNumberFormat="1">
      <alignment horizontal="right" readingOrder="0" shrinkToFit="0" wrapText="0"/>
    </xf>
    <xf borderId="0" fillId="7" fontId="1" numFmtId="4" xfId="0" applyAlignment="1" applyFont="1" applyNumberFormat="1">
      <alignment horizontal="right" readingOrder="0" shrinkToFit="0" wrapText="0"/>
    </xf>
    <xf borderId="0" fillId="2" fontId="1" numFmtId="4" xfId="0" applyAlignment="1" applyFont="1" applyNumberFormat="1">
      <alignment readingOrder="0" shrinkToFit="0" wrapText="0"/>
    </xf>
    <xf borderId="0" fillId="0" fontId="1" numFmtId="169" xfId="0" applyAlignment="1" applyFont="1" applyNumberFormat="1">
      <alignment readingOrder="0" shrinkToFit="0" wrapText="0"/>
    </xf>
    <xf borderId="0" fillId="0" fontId="19" numFmtId="0" xfId="0" applyAlignment="1" applyFont="1">
      <alignment readingOrder="0" shrinkToFit="0" wrapText="0"/>
    </xf>
    <xf borderId="0" fillId="2" fontId="19" numFmtId="4" xfId="0" applyAlignment="1" applyFont="1" applyNumberFormat="1">
      <alignment shrinkToFit="0" wrapText="0"/>
    </xf>
    <xf borderId="0" fillId="0" fontId="1" numFmtId="2" xfId="0" applyAlignment="1" applyFont="1" applyNumberFormat="1">
      <alignment shrinkToFit="0" wrapText="0"/>
    </xf>
    <xf borderId="0" fillId="0" fontId="20" numFmtId="4" xfId="0" applyAlignment="1" applyFont="1" applyNumberFormat="1">
      <alignment horizontal="left" readingOrder="0" shrinkToFit="0" wrapText="0"/>
    </xf>
    <xf borderId="0" fillId="0" fontId="6" numFmtId="4" xfId="0" applyAlignment="1" applyFont="1" applyNumberFormat="1">
      <alignment readingOrder="0" shrinkToFit="0" wrapText="0"/>
    </xf>
    <xf borderId="0" fillId="2" fontId="6" numFmtId="4" xfId="0" applyAlignment="1" applyFont="1" applyNumberFormat="1">
      <alignment shrinkToFit="0" wrapText="0"/>
    </xf>
    <xf borderId="0" fillId="0" fontId="1" numFmtId="172" xfId="0" applyAlignment="1" applyFont="1" applyNumberFormat="1">
      <alignment horizontal="left" readingOrder="0" shrinkToFit="0" wrapText="0"/>
    </xf>
    <xf borderId="0" fillId="0" fontId="1" numFmtId="2" xfId="0" applyAlignment="1" applyFont="1" applyNumberFormat="1">
      <alignment readingOrder="0" shrinkToFit="0" wrapText="0"/>
    </xf>
    <xf borderId="0" fillId="0" fontId="1" numFmtId="3" xfId="0" applyAlignment="1" applyFont="1" applyNumberFormat="1">
      <alignment horizontal="right" readingOrder="0" shrinkToFit="0" wrapText="0"/>
    </xf>
    <xf borderId="0" fillId="0" fontId="3" numFmtId="4" xfId="0" applyAlignment="1" applyFont="1" applyNumberFormat="1">
      <alignment horizontal="right" readingOrder="0" shrinkToFit="0" vertical="bottom" wrapText="0"/>
    </xf>
    <xf borderId="0" fillId="12" fontId="1" numFmtId="0" xfId="0" applyAlignment="1" applyFont="1">
      <alignment shrinkToFit="0" wrapText="0"/>
    </xf>
    <xf borderId="0" fillId="0" fontId="6" numFmtId="0" xfId="0" applyAlignment="1" applyFont="1">
      <alignment shrinkToFit="0" wrapText="0"/>
    </xf>
    <xf borderId="0" fillId="0" fontId="6" numFmtId="4" xfId="0" applyAlignment="1" applyFont="1" applyNumberFormat="1">
      <alignment shrinkToFit="0" wrapText="0"/>
    </xf>
    <xf borderId="0" fillId="0" fontId="21" numFmtId="0" xfId="0" applyAlignment="1" applyFont="1">
      <alignment readingOrder="0" shrinkToFit="0" vertical="center" wrapText="0"/>
    </xf>
    <xf borderId="0" fillId="0" fontId="22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shrinkToFit="0" wrapText="1"/>
    </xf>
    <xf borderId="0" fillId="17" fontId="23" numFmtId="0" xfId="0" applyAlignment="1" applyFill="1" applyFont="1">
      <alignment shrinkToFit="0" vertical="bottom" wrapText="0"/>
    </xf>
    <xf borderId="19" fillId="17" fontId="23" numFmtId="0" xfId="0" applyAlignment="1" applyBorder="1" applyFont="1">
      <alignment readingOrder="0" shrinkToFit="0" vertical="bottom" wrapText="0"/>
    </xf>
    <xf borderId="37" fillId="5" fontId="23" numFmtId="173" xfId="0" applyAlignment="1" applyBorder="1" applyFont="1" applyNumberFormat="1">
      <alignment readingOrder="0" shrinkToFit="0" vertical="bottom" wrapText="0"/>
    </xf>
    <xf borderId="37" fillId="5" fontId="23" numFmtId="173" xfId="0" applyAlignment="1" applyBorder="1" applyFont="1" applyNumberFormat="1">
      <alignment shrinkToFit="0" vertical="bottom" wrapText="0"/>
    </xf>
    <xf borderId="37" fillId="17" fontId="23" numFmtId="173" xfId="0" applyAlignment="1" applyBorder="1" applyFont="1" applyNumberFormat="1">
      <alignment shrinkToFit="0" vertical="bottom" wrapText="0"/>
    </xf>
    <xf borderId="37" fillId="18" fontId="23" numFmtId="173" xfId="0" applyAlignment="1" applyBorder="1" applyFill="1" applyFont="1" applyNumberFormat="1">
      <alignment shrinkToFit="0" vertical="bottom" wrapText="0"/>
    </xf>
    <xf borderId="0" fillId="17" fontId="23" numFmtId="0" xfId="0" applyAlignment="1" applyFont="1">
      <alignment readingOrder="0" shrinkToFit="0" vertical="bottom" wrapText="0"/>
    </xf>
    <xf borderId="37" fillId="5" fontId="23" numFmtId="173" xfId="0" applyAlignment="1" applyBorder="1" applyFont="1" applyNumberFormat="1">
      <alignment horizontal="right" readingOrder="0" shrinkToFit="0" vertical="bottom" wrapText="0"/>
    </xf>
    <xf borderId="37" fillId="18" fontId="23" numFmtId="173" xfId="0" applyAlignment="1" applyBorder="1" applyFont="1" applyNumberFormat="1">
      <alignment horizontal="right" readingOrder="0" shrinkToFit="0" vertical="bottom" wrapText="0"/>
    </xf>
    <xf borderId="37" fillId="17" fontId="23" numFmtId="173" xfId="0" applyAlignment="1" applyBorder="1" applyFont="1" applyNumberFormat="1">
      <alignment horizontal="right" readingOrder="0" shrinkToFit="0" vertical="bottom" wrapText="0"/>
    </xf>
    <xf borderId="26" fillId="0" fontId="1" numFmtId="0" xfId="0" applyAlignment="1" applyBorder="1" applyFont="1">
      <alignment shrinkToFit="0" wrapText="1"/>
    </xf>
    <xf borderId="0" fillId="19" fontId="24" numFmtId="0" xfId="0" applyAlignment="1" applyFill="1" applyFont="1">
      <alignment readingOrder="0" shrinkToFit="0" vertical="bottom" wrapText="0"/>
    </xf>
    <xf borderId="1" fillId="19" fontId="24" numFmtId="173" xfId="0" applyAlignment="1" applyBorder="1" applyFont="1" applyNumberFormat="1">
      <alignment shrinkToFit="0" vertical="bottom" wrapText="0"/>
    </xf>
    <xf borderId="0" fillId="19" fontId="24" numFmtId="0" xfId="0" applyAlignment="1" applyFont="1">
      <alignment shrinkToFit="0" vertical="bottom" wrapText="0"/>
    </xf>
    <xf borderId="19" fillId="0" fontId="25" numFmtId="0" xfId="0" applyAlignment="1" applyBorder="1" applyFont="1">
      <alignment readingOrder="0" shrinkToFit="0" vertical="bottom" wrapText="0"/>
    </xf>
    <xf borderId="37" fillId="20" fontId="25" numFmtId="173" xfId="0" applyAlignment="1" applyBorder="1" applyFill="1" applyFont="1" applyNumberFormat="1">
      <alignment shrinkToFit="0" vertical="bottom" wrapText="0"/>
    </xf>
    <xf borderId="38" fillId="0" fontId="25" numFmtId="173" xfId="0" applyAlignment="1" applyBorder="1" applyFont="1" applyNumberFormat="1">
      <alignment shrinkToFit="0" vertical="bottom" wrapText="0"/>
    </xf>
    <xf borderId="37" fillId="21" fontId="25" numFmtId="173" xfId="0" applyAlignment="1" applyBorder="1" applyFill="1" applyFont="1" applyNumberFormat="1">
      <alignment shrinkToFit="0" vertical="bottom" wrapText="0"/>
    </xf>
    <xf borderId="26" fillId="0" fontId="26" numFmtId="173" xfId="0" applyAlignment="1" applyBorder="1" applyFont="1" applyNumberFormat="1">
      <alignment readingOrder="0" shrinkToFit="0" vertical="center" wrapText="0"/>
    </xf>
    <xf borderId="0" fillId="0" fontId="26" numFmtId="0" xfId="0" applyAlignment="1" applyFont="1">
      <alignment horizontal="right" readingOrder="0" shrinkToFit="0" vertical="center" wrapText="0"/>
    </xf>
    <xf borderId="0" fillId="22" fontId="27" numFmtId="0" xfId="0" applyAlignment="1" applyFill="1" applyFont="1">
      <alignment readingOrder="0" shrinkToFit="0" vertical="bottom" wrapText="0"/>
    </xf>
    <xf borderId="1" fillId="22" fontId="27" numFmtId="173" xfId="0" applyAlignment="1" applyBorder="1" applyFont="1" applyNumberFormat="1">
      <alignment shrinkToFit="0" vertical="bottom" wrapText="0"/>
    </xf>
    <xf borderId="0" fillId="22" fontId="27" numFmtId="0" xfId="0" applyAlignment="1" applyFont="1">
      <alignment shrinkToFit="0" vertical="bottom" wrapText="0"/>
    </xf>
    <xf borderId="19" fillId="0" fontId="25" numFmtId="0" xfId="0" applyAlignment="1" applyBorder="1" applyFont="1">
      <alignment readingOrder="0" shrinkToFit="0" vertical="bottom" wrapText="0"/>
    </xf>
    <xf borderId="37" fillId="5" fontId="25" numFmtId="173" xfId="0" applyAlignment="1" applyBorder="1" applyFont="1" applyNumberFormat="1">
      <alignment readingOrder="0" shrinkToFit="0" vertical="bottom" wrapText="0"/>
    </xf>
    <xf borderId="37" fillId="23" fontId="25" numFmtId="173" xfId="0" applyAlignment="1" applyBorder="1" applyFill="1" applyFont="1" applyNumberFormat="1">
      <alignment readingOrder="0" shrinkToFit="0" vertical="bottom" wrapText="0"/>
    </xf>
    <xf borderId="38" fillId="0" fontId="28" numFmtId="173" xfId="0" applyAlignment="1" applyBorder="1" applyFont="1" applyNumberFormat="1">
      <alignment shrinkToFit="0" vertical="bottom" wrapText="0"/>
    </xf>
    <xf borderId="19" fillId="0" fontId="29" numFmtId="0" xfId="0" applyAlignment="1" applyBorder="1" applyFont="1">
      <alignment readingOrder="0" shrinkToFit="0" vertical="bottom" wrapText="1"/>
    </xf>
    <xf borderId="37" fillId="5" fontId="30" numFmtId="173" xfId="0" applyAlignment="1" applyBorder="1" applyFont="1" applyNumberFormat="1">
      <alignment horizontal="right" readingOrder="0" shrinkToFit="0" vertical="bottom" wrapText="0"/>
    </xf>
    <xf borderId="37" fillId="23" fontId="30" numFmtId="173" xfId="0" applyAlignment="1" applyBorder="1" applyFont="1" applyNumberFormat="1">
      <alignment horizontal="right" readingOrder="0" shrinkToFit="0" vertical="bottom" wrapText="0"/>
    </xf>
    <xf borderId="0" fillId="0" fontId="31" numFmtId="173" xfId="0" applyAlignment="1" applyFont="1" applyNumberFormat="1">
      <alignment horizontal="right" shrinkToFit="0" vertical="bottom" wrapText="1"/>
    </xf>
    <xf borderId="0" fillId="0" fontId="18" numFmtId="0" xfId="0" applyAlignment="1" applyFont="1">
      <alignment shrinkToFit="0" vertical="bottom" wrapText="1"/>
    </xf>
    <xf borderId="19" fillId="0" fontId="32" numFmtId="0" xfId="0" applyAlignment="1" applyBorder="1" applyFont="1">
      <alignment readingOrder="0" shrinkToFit="0" vertical="bottom" wrapText="1"/>
    </xf>
    <xf borderId="0" fillId="0" fontId="33" numFmtId="173" xfId="0" applyAlignment="1" applyFont="1" applyNumberFormat="1">
      <alignment horizontal="right" shrinkToFit="0" vertical="bottom" wrapText="1"/>
    </xf>
    <xf borderId="37" fillId="23" fontId="25" numFmtId="173" xfId="0" applyAlignment="1" applyBorder="1" applyFont="1" applyNumberFormat="1">
      <alignment horizontal="right" readingOrder="0" shrinkToFit="0" vertical="bottom" wrapText="0"/>
    </xf>
    <xf borderId="26" fillId="22" fontId="27" numFmtId="173" xfId="0" applyAlignment="1" applyBorder="1" applyFont="1" applyNumberFormat="1">
      <alignment shrinkToFit="0" vertical="bottom" wrapText="0"/>
    </xf>
    <xf borderId="0" fillId="24" fontId="34" numFmtId="0" xfId="0" applyAlignment="1" applyFill="1" applyFont="1">
      <alignment readingOrder="0" shrinkToFit="0" vertical="bottom" wrapText="0"/>
    </xf>
    <xf borderId="1" fillId="24" fontId="34" numFmtId="173" xfId="0" applyAlignment="1" applyBorder="1" applyFont="1" applyNumberFormat="1">
      <alignment shrinkToFit="0" vertical="bottom" wrapText="0"/>
    </xf>
    <xf borderId="0" fillId="24" fontId="34" numFmtId="0" xfId="0" applyAlignment="1" applyFont="1">
      <alignment shrinkToFit="0" vertical="bottom" wrapText="0"/>
    </xf>
    <xf borderId="37" fillId="25" fontId="25" numFmtId="173" xfId="0" applyAlignment="1" applyBorder="1" applyFill="1" applyFont="1" applyNumberFormat="1">
      <alignment readingOrder="0" shrinkToFit="0" vertical="bottom" wrapText="0"/>
    </xf>
    <xf borderId="0" fillId="0" fontId="28" numFmtId="173" xfId="0" applyAlignment="1" applyFont="1" applyNumberFormat="1">
      <alignment shrinkToFit="0" vertical="bottom" wrapText="0"/>
    </xf>
    <xf borderId="0" fillId="0" fontId="28" numFmtId="0" xfId="0" applyAlignment="1" applyFont="1">
      <alignment readingOrder="0" shrinkToFit="0" vertical="bottom" wrapText="0"/>
    </xf>
    <xf borderId="16" fillId="0" fontId="1" numFmtId="0" xfId="0" applyAlignment="1" applyBorder="1" applyFont="1">
      <alignment shrinkToFit="0" wrapText="1"/>
    </xf>
    <xf borderId="19" fillId="0" fontId="30" numFmtId="0" xfId="0" applyAlignment="1" applyBorder="1" applyFont="1">
      <alignment readingOrder="0" shrinkToFit="0" vertical="bottom" wrapText="0"/>
    </xf>
    <xf borderId="0" fillId="0" fontId="35" numFmtId="173" xfId="0" applyAlignment="1" applyFont="1" applyNumberFormat="1">
      <alignment horizontal="right" shrinkToFit="0" vertical="bottom" wrapText="0"/>
    </xf>
    <xf borderId="0" fillId="0" fontId="28" numFmtId="0" xfId="0" applyAlignment="1" applyFont="1">
      <alignment readingOrder="0" shrinkToFit="0" vertical="bottom" wrapText="0"/>
    </xf>
    <xf borderId="37" fillId="5" fontId="30" numFmtId="173" xfId="0" applyAlignment="1" applyBorder="1" applyFont="1" applyNumberFormat="1">
      <alignment horizontal="right" shrinkToFit="0" vertical="bottom" wrapText="0"/>
    </xf>
    <xf borderId="37" fillId="25" fontId="30" numFmtId="173" xfId="0" applyAlignment="1" applyBorder="1" applyFont="1" applyNumberFormat="1">
      <alignment horizontal="right" shrinkToFit="0" vertical="bottom" wrapText="0"/>
    </xf>
    <xf borderId="38" fillId="0" fontId="35" numFmtId="173" xfId="0" applyAlignment="1" applyBorder="1" applyFont="1" applyNumberFormat="1">
      <alignment horizontal="right" shrinkToFit="0" vertical="bottom" wrapText="0"/>
    </xf>
    <xf borderId="0" fillId="0" fontId="25" numFmtId="0" xfId="0" applyAlignment="1" applyFont="1">
      <alignment readingOrder="0" shrinkToFit="0" vertical="bottom" wrapText="0"/>
    </xf>
    <xf borderId="26" fillId="8" fontId="25" numFmtId="173" xfId="0" applyAlignment="1" applyBorder="1" applyFont="1" applyNumberFormat="1">
      <alignment readingOrder="0" shrinkToFit="0" vertical="bottom" wrapText="0"/>
    </xf>
    <xf borderId="0" fillId="24" fontId="34" numFmtId="173" xfId="0" applyAlignment="1" applyFont="1" applyNumberFormat="1">
      <alignment shrinkToFit="0" vertical="bottom" wrapText="0"/>
    </xf>
    <xf borderId="37" fillId="17" fontId="23" numFmtId="173" xfId="0" applyAlignment="1" applyBorder="1" applyFont="1" applyNumberFormat="1">
      <alignment readingOrder="0" shrinkToFit="0" vertical="bottom" wrapText="0"/>
    </xf>
    <xf borderId="37" fillId="23" fontId="30" numFmtId="173" xfId="0" applyAlignment="1" applyBorder="1" applyFont="1" applyNumberFormat="1">
      <alignment horizontal="right" shrinkToFit="0" vertical="bottom" wrapText="0"/>
    </xf>
    <xf borderId="20" fillId="5" fontId="30" numFmtId="173" xfId="0" applyAlignment="1" applyBorder="1" applyFont="1" applyNumberFormat="1">
      <alignment horizontal="right" readingOrder="0" shrinkToFit="0" vertical="bottom" wrapText="0"/>
    </xf>
    <xf borderId="0" fillId="2" fontId="1" numFmtId="174" xfId="0" applyAlignment="1" applyFont="1" applyNumberFormat="1">
      <alignment horizontal="center" readingOrder="0" shrinkToFit="0" wrapText="1"/>
    </xf>
    <xf borderId="0" fillId="0" fontId="1" numFmtId="2" xfId="0" applyAlignment="1" applyFont="1" applyNumberFormat="1">
      <alignment shrinkToFit="0" wrapText="1"/>
    </xf>
    <xf borderId="0" fillId="2" fontId="1" numFmtId="2" xfId="0" applyAlignment="1" applyFont="1" applyNumberFormat="1">
      <alignment shrinkToFit="0" wrapText="1"/>
    </xf>
    <xf borderId="0" fillId="6" fontId="1" numFmtId="2" xfId="0" applyAlignment="1" applyFont="1" applyNumberFormat="1">
      <alignment shrinkToFit="0" wrapText="1"/>
    </xf>
    <xf borderId="0" fillId="7" fontId="1" numFmtId="2" xfId="0" applyAlignment="1" applyFont="1" applyNumberFormat="1">
      <alignment shrinkToFit="0" wrapText="1"/>
    </xf>
    <xf borderId="0" fillId="2" fontId="1" numFmtId="168" xfId="0" applyAlignment="1" applyFont="1" applyNumberFormat="1">
      <alignment horizontal="center" readingOrder="0" shrinkToFit="0" wrapText="1"/>
    </xf>
    <xf borderId="0" fillId="0" fontId="1" numFmtId="0" xfId="0" applyAlignment="1" applyFont="1">
      <alignment horizontal="right" shrinkToFit="0" wrapText="1"/>
    </xf>
    <xf borderId="0" fillId="2" fontId="3" numFmtId="168" xfId="0" applyAlignment="1" applyFont="1" applyNumberFormat="1">
      <alignment horizontal="center" readingOrder="0" shrinkToFit="0" vertical="bottom" wrapText="1"/>
    </xf>
    <xf borderId="0" fillId="2" fontId="3" numFmtId="0" xfId="0" applyAlignment="1" applyFont="1">
      <alignment horizontal="center" shrinkToFit="0" vertical="bottom" wrapText="1"/>
    </xf>
    <xf borderId="0" fillId="2" fontId="3" numFmtId="0" xfId="0" applyAlignment="1" applyFont="1">
      <alignment horizontal="center" readingOrder="0" shrinkToFit="0" vertical="bottom" wrapText="1"/>
    </xf>
    <xf borderId="0" fillId="0" fontId="3" numFmtId="2" xfId="0" applyAlignment="1" applyFont="1" applyNumberFormat="1">
      <alignment horizontal="right" shrinkToFit="0" vertical="bottom" wrapText="1"/>
    </xf>
    <xf borderId="0" fillId="0" fontId="3" numFmtId="2" xfId="0" applyAlignment="1" applyFont="1" applyNumberFormat="1">
      <alignment shrinkToFit="0" vertical="bottom" wrapText="1"/>
    </xf>
    <xf borderId="0" fillId="2" fontId="3" numFmtId="2" xfId="0" applyAlignment="1" applyFont="1" applyNumberFormat="1">
      <alignment horizontal="right" shrinkToFit="0" vertical="bottom" wrapText="1"/>
    </xf>
    <xf borderId="0" fillId="12" fontId="1" numFmtId="2" xfId="0" applyAlignment="1" applyFont="1" applyNumberFormat="1">
      <alignment shrinkToFit="0" wrapText="1"/>
    </xf>
    <xf borderId="39" fillId="26" fontId="36" numFmtId="4" xfId="0" applyAlignment="1" applyBorder="1" applyFill="1" applyFont="1" applyNumberFormat="1">
      <alignment shrinkToFit="0" wrapText="0"/>
    </xf>
    <xf borderId="40" fillId="26" fontId="2" numFmtId="4" xfId="0" applyAlignment="1" applyBorder="1" applyFont="1" applyNumberFormat="1">
      <alignment shrinkToFit="0" wrapText="0"/>
    </xf>
    <xf borderId="0" fillId="0" fontId="2" numFmtId="0" xfId="0" applyAlignment="1" applyFont="1">
      <alignment shrinkToFit="0" wrapText="0"/>
    </xf>
    <xf borderId="39" fillId="5" fontId="2" numFmtId="3" xfId="0" applyAlignment="1" applyBorder="1" applyFont="1" applyNumberFormat="1">
      <alignment horizontal="center" shrinkToFit="0" wrapText="0"/>
    </xf>
    <xf borderId="6" fillId="5" fontId="2" numFmtId="3" xfId="0" applyAlignment="1" applyBorder="1" applyFont="1" applyNumberFormat="1">
      <alignment readingOrder="0" shrinkToFit="0" wrapText="0"/>
    </xf>
    <xf borderId="2" fillId="27" fontId="2" numFmtId="4" xfId="0" applyAlignment="1" applyBorder="1" applyFill="1" applyFont="1" applyNumberFormat="1">
      <alignment readingOrder="0" shrinkToFit="0" wrapText="0"/>
    </xf>
    <xf borderId="39" fillId="28" fontId="2" numFmtId="4" xfId="0" applyAlignment="1" applyBorder="1" applyFill="1" applyFont="1" applyNumberFormat="1">
      <alignment shrinkToFit="0" wrapText="0"/>
    </xf>
    <xf borderId="6" fillId="28" fontId="2" numFmtId="3" xfId="0" applyAlignment="1" applyBorder="1" applyFont="1" applyNumberFormat="1">
      <alignment shrinkToFit="0" wrapText="0"/>
    </xf>
    <xf borderId="3" fillId="28" fontId="2" numFmtId="4" xfId="0" applyAlignment="1" applyBorder="1" applyFont="1" applyNumberFormat="1">
      <alignment shrinkToFit="0" wrapText="0"/>
    </xf>
    <xf borderId="40" fillId="28" fontId="2" numFmtId="3" xfId="0" applyAlignment="1" applyBorder="1" applyFont="1" applyNumberFormat="1">
      <alignment readingOrder="0" shrinkToFit="0" wrapText="0"/>
    </xf>
    <xf borderId="39" fillId="3" fontId="2" numFmtId="3" xfId="0" applyAlignment="1" applyBorder="1" applyFont="1" applyNumberFormat="1">
      <alignment horizontal="center" shrinkToFit="0" wrapText="0"/>
    </xf>
    <xf borderId="9" fillId="4" fontId="2" numFmtId="4" xfId="0" applyAlignment="1" applyBorder="1" applyFont="1" applyNumberFormat="1">
      <alignment horizontal="center" shrinkToFit="0" wrapText="0"/>
    </xf>
    <xf borderId="3" fillId="3" fontId="2" numFmtId="4" xfId="0" applyAlignment="1" applyBorder="1" applyFont="1" applyNumberFormat="1">
      <alignment horizontal="center" shrinkToFit="0" wrapText="0"/>
    </xf>
    <xf borderId="10" fillId="3" fontId="2" numFmtId="4" xfId="0" applyAlignment="1" applyBorder="1" applyFont="1" applyNumberFormat="1">
      <alignment horizontal="center" shrinkToFit="0" wrapText="0"/>
    </xf>
    <xf borderId="41" fillId="5" fontId="2" numFmtId="4" xfId="0" applyAlignment="1" applyBorder="1" applyFont="1" applyNumberFormat="1">
      <alignment horizontal="center" shrinkToFit="0" wrapText="0"/>
    </xf>
    <xf borderId="9" fillId="4" fontId="2" numFmtId="164" xfId="0" applyAlignment="1" applyBorder="1" applyFont="1" applyNumberFormat="1">
      <alignment horizontal="center" shrinkToFit="0" wrapText="0"/>
    </xf>
    <xf borderId="0" fillId="0" fontId="2" numFmtId="4" xfId="0" applyAlignment="1" applyFont="1" applyNumberFormat="1">
      <alignment horizontal="center" readingOrder="0" shrinkToFit="0" wrapText="0"/>
    </xf>
    <xf borderId="11" fillId="0" fontId="2" numFmtId="0" xfId="0" applyAlignment="1" applyBorder="1" applyFont="1">
      <alignment horizontal="center" readingOrder="0" shrinkToFit="0" vertical="bottom" wrapText="0"/>
    </xf>
    <xf borderId="20" fillId="4" fontId="2" numFmtId="4" xfId="0" applyAlignment="1" applyBorder="1" applyFont="1" applyNumberFormat="1">
      <alignment horizontal="right" readingOrder="0" shrinkToFit="0" vertical="bottom" wrapText="0"/>
    </xf>
    <xf borderId="14" fillId="0" fontId="2" numFmtId="4" xfId="0" applyAlignment="1" applyBorder="1" applyFont="1" applyNumberFormat="1">
      <alignment horizontal="right" shrinkToFit="0" vertical="bottom" wrapText="0"/>
    </xf>
    <xf borderId="12" fillId="0" fontId="2" numFmtId="4" xfId="0" applyAlignment="1" applyBorder="1" applyFont="1" applyNumberFormat="1">
      <alignment horizontal="right" shrinkToFit="0" vertical="bottom" wrapText="0"/>
    </xf>
    <xf borderId="20" fillId="4" fontId="2" numFmtId="164" xfId="0" applyAlignment="1" applyBorder="1" applyFont="1" applyNumberFormat="1">
      <alignment horizontal="right" readingOrder="0" shrinkToFit="0" vertical="bottom" wrapText="0"/>
    </xf>
    <xf borderId="19" fillId="0" fontId="2" numFmtId="4" xfId="0" applyAlignment="1" applyBorder="1" applyFont="1" applyNumberFormat="1">
      <alignment horizontal="right" shrinkToFit="0" vertical="bottom" wrapText="0"/>
    </xf>
    <xf borderId="0" fillId="0" fontId="2" numFmtId="0" xfId="0" applyAlignment="1" applyFont="1">
      <alignment readingOrder="0" shrinkToFit="0" wrapText="0"/>
    </xf>
    <xf borderId="13" fillId="0" fontId="2" numFmtId="4" xfId="0" applyAlignment="1" applyBorder="1" applyFont="1" applyNumberFormat="1">
      <alignment horizontal="right" shrinkToFit="0" vertical="bottom" wrapText="0"/>
    </xf>
    <xf borderId="42" fillId="0" fontId="2" numFmtId="4" xfId="0" applyAlignment="1" applyBorder="1" applyFont="1" applyNumberFormat="1">
      <alignment horizontal="right" shrinkToFit="0" vertical="bottom" wrapText="0"/>
    </xf>
    <xf borderId="43" fillId="0" fontId="2" numFmtId="4" xfId="0" applyAlignment="1" applyBorder="1" applyFont="1" applyNumberFormat="1">
      <alignment horizontal="right" shrinkToFit="0" vertical="bottom" wrapText="0"/>
    </xf>
    <xf borderId="44" fillId="0" fontId="2" numFmtId="4" xfId="0" applyAlignment="1" applyBorder="1" applyFont="1" applyNumberFormat="1">
      <alignment horizontal="right" shrinkToFit="0" vertical="bottom" wrapText="0"/>
    </xf>
    <xf borderId="26" fillId="0" fontId="2" numFmtId="4" xfId="0" applyAlignment="1" applyBorder="1" applyFont="1" applyNumberFormat="1">
      <alignment shrinkToFit="0" wrapText="0"/>
    </xf>
    <xf borderId="11" fillId="0" fontId="8" numFmtId="166" xfId="0" applyAlignment="1" applyBorder="1" applyFont="1" applyNumberFormat="1">
      <alignment horizontal="center" readingOrder="0" shrinkToFit="0" vertical="bottom" wrapText="1"/>
    </xf>
    <xf borderId="26" fillId="0" fontId="2" numFmtId="3" xfId="0" applyAlignment="1" applyBorder="1" applyFont="1" applyNumberFormat="1">
      <alignment horizontal="center" readingOrder="0" shrinkToFit="0" wrapText="0"/>
    </xf>
    <xf borderId="13" fillId="4" fontId="2" numFmtId="164" xfId="0" applyAlignment="1" applyBorder="1" applyFont="1" applyNumberFormat="1">
      <alignment horizontal="right" readingOrder="0" shrinkToFit="0" vertical="bottom" wrapText="0"/>
    </xf>
    <xf borderId="0" fillId="0" fontId="2" numFmtId="164" xfId="0" applyAlignment="1" applyFont="1" applyNumberFormat="1">
      <alignment horizontal="center" readingOrder="0" shrinkToFit="0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11" fillId="0" fontId="2" numFmtId="3" xfId="0" applyAlignment="1" applyBorder="1" applyFont="1" applyNumberFormat="1">
      <alignment horizontal="center" shrinkToFit="0" vertical="bottom" wrapText="0"/>
    </xf>
    <xf borderId="0" fillId="0" fontId="3" numFmtId="0" xfId="0" applyAlignment="1" applyFont="1">
      <alignment horizontal="center" readingOrder="0" shrinkToFit="0" vertical="bottom" wrapText="1"/>
    </xf>
    <xf borderId="0" fillId="6" fontId="8" numFmtId="3" xfId="0" applyAlignment="1" applyFont="1" applyNumberFormat="1">
      <alignment horizontal="right" readingOrder="0" shrinkToFit="0" vertical="bottom" wrapText="1"/>
    </xf>
    <xf borderId="0" fillId="5" fontId="8" numFmtId="4" xfId="0" applyAlignment="1" applyFont="1" applyNumberFormat="1">
      <alignment horizontal="right" readingOrder="0" shrinkToFit="0" vertical="bottom" wrapText="1"/>
    </xf>
    <xf borderId="0" fillId="0" fontId="16" numFmtId="0" xfId="0" applyAlignment="1" applyFont="1">
      <alignment horizontal="right" readingOrder="0" shrinkToFit="0" wrapText="1"/>
    </xf>
    <xf borderId="0" fillId="0" fontId="17" numFmtId="0" xfId="0" applyAlignment="1" applyFont="1">
      <alignment horizontal="right" readingOrder="0" shrinkToFit="0" vertical="bottom" wrapText="1"/>
    </xf>
    <xf borderId="0" fillId="0" fontId="17" numFmtId="3" xfId="0" applyAlignment="1" applyFont="1" applyNumberFormat="1">
      <alignment horizontal="right" readingOrder="0" shrinkToFit="0" vertical="bottom" wrapText="1"/>
    </xf>
    <xf borderId="0" fillId="0" fontId="10" numFmtId="4" xfId="0" applyAlignment="1" applyFont="1" applyNumberFormat="1">
      <alignment shrinkToFit="0" wrapText="1"/>
    </xf>
    <xf borderId="0" fillId="0" fontId="19" numFmtId="4" xfId="0" applyAlignment="1" applyFont="1" applyNumberFormat="1">
      <alignment shrinkToFit="0" wrapText="1"/>
    </xf>
    <xf borderId="0" fillId="0" fontId="37" numFmtId="0" xfId="0" applyAlignment="1" applyFont="1">
      <alignment horizontal="left" readingOrder="0" shrinkToFit="0" vertical="bottom" wrapText="1"/>
    </xf>
    <xf borderId="0" fillId="0" fontId="3" numFmtId="0" xfId="0" applyAlignment="1" applyFont="1">
      <alignment horizontal="left" readingOrder="0" shrinkToFit="0" vertical="bottom" wrapText="1"/>
    </xf>
    <xf borderId="0" fillId="0" fontId="11" numFmtId="0" xfId="0" applyAlignment="1" applyFont="1">
      <alignment readingOrder="0" shrinkToFit="0" wrapText="1"/>
    </xf>
    <xf borderId="0" fillId="0" fontId="16" numFmtId="0" xfId="0" applyAlignment="1" applyFont="1">
      <alignment shrinkToFit="0" wrapText="1"/>
    </xf>
    <xf borderId="0" fillId="0" fontId="1" numFmtId="2" xfId="0" applyAlignment="1" applyFont="1" applyNumberFormat="1">
      <alignment horizontal="right" readingOrder="0" shrinkToFit="0" wrapText="1"/>
    </xf>
    <xf borderId="0" fillId="0" fontId="10" numFmtId="2" xfId="0" applyAlignment="1" applyFont="1" applyNumberFormat="1">
      <alignment readingOrder="0" shrinkToFit="0" wrapText="1"/>
    </xf>
    <xf borderId="0" fillId="0" fontId="1" numFmtId="175" xfId="0" applyAlignment="1" applyFont="1" applyNumberFormat="1">
      <alignment readingOrder="0" shrinkToFit="0" wrapText="1"/>
    </xf>
    <xf borderId="0" fillId="0" fontId="1" numFmtId="168" xfId="0" applyAlignment="1" applyFont="1" applyNumberFormat="1">
      <alignment readingOrder="0" shrinkToFit="0" wrapText="1"/>
    </xf>
    <xf borderId="0" fillId="0" fontId="0" numFmtId="0" xfId="0" applyAlignment="1" applyFont="1">
      <alignment horizontal="left" readingOrder="0" shrinkToFit="0" wrapText="1"/>
    </xf>
    <xf borderId="0" fillId="0" fontId="1" numFmtId="0" xfId="0" applyAlignment="1" applyFont="1">
      <alignment readingOrder="0" shrinkToFit="0" vertical="top" wrapText="1"/>
    </xf>
    <xf quotePrefix="1" borderId="0" fillId="0" fontId="1" numFmtId="0" xfId="0" applyAlignment="1" applyFont="1">
      <alignment horizontal="center" readingOrder="0" shrinkToFit="0" wrapText="1"/>
    </xf>
    <xf borderId="0" fillId="0" fontId="1" numFmtId="176" xfId="0" applyAlignment="1" applyFont="1" applyNumberFormat="1">
      <alignment readingOrder="0" shrinkToFit="0" wrapText="1"/>
    </xf>
    <xf borderId="0" fillId="0" fontId="6" numFmtId="0" xfId="0" applyAlignment="1" applyFont="1">
      <alignment horizontal="right" readingOrder="0" shrinkToFit="0" wrapText="1"/>
    </xf>
    <xf borderId="0" fillId="0" fontId="1" numFmtId="176" xfId="0" applyAlignment="1" applyFont="1" applyNumberFormat="1">
      <alignment shrinkToFit="0" wrapText="1"/>
    </xf>
    <xf borderId="0" fillId="6" fontId="6" numFmtId="0" xfId="0" applyAlignment="1" applyFont="1">
      <alignment readingOrder="0" shrinkToFit="0" wrapText="1"/>
    </xf>
    <xf borderId="0" fillId="6" fontId="6" numFmtId="3" xfId="0" applyAlignment="1" applyFont="1" applyNumberFormat="1">
      <alignment shrinkToFit="0" wrapText="1"/>
    </xf>
    <xf borderId="0" fillId="0" fontId="1" numFmtId="177" xfId="0" applyAlignment="1" applyFont="1" applyNumberFormat="1">
      <alignment horizontal="center" readingOrder="0" shrinkToFit="0" wrapText="1"/>
    </xf>
    <xf borderId="0" fillId="6" fontId="8" numFmtId="178" xfId="0" applyAlignment="1" applyFont="1" applyNumberFormat="1">
      <alignment horizontal="right" readingOrder="0" shrinkToFit="0" vertical="bottom" wrapText="1"/>
    </xf>
    <xf borderId="0" fillId="0" fontId="16" numFmtId="179" xfId="0" applyAlignment="1" applyFont="1" applyNumberFormat="1">
      <alignment horizontal="right" readingOrder="0" shrinkToFit="0" wrapText="1"/>
    </xf>
    <xf borderId="0" fillId="0" fontId="2" numFmtId="9" xfId="0" applyAlignment="1" applyFont="1" applyNumberFormat="1">
      <alignment readingOrder="0" shrinkToFit="0" wrapText="0"/>
    </xf>
    <xf borderId="0" fillId="0" fontId="2" numFmtId="4" xfId="0" applyAlignment="1" applyFont="1" applyNumberFormat="1">
      <alignment horizontal="right" readingOrder="0" shrinkToFit="0" wrapText="0"/>
    </xf>
    <xf borderId="0" fillId="0" fontId="2" numFmtId="4" xfId="0" applyAlignment="1" applyFont="1" applyNumberFormat="1">
      <alignment horizontal="right" shrinkToFit="0" wrapText="0"/>
    </xf>
    <xf borderId="0" fillId="0" fontId="2" numFmtId="4" xfId="0" applyAlignment="1" applyFont="1" applyNumberFormat="1">
      <alignment horizontal="right" shrinkToFit="0" wrapText="1"/>
    </xf>
    <xf borderId="11" fillId="0" fontId="2" numFmtId="3" xfId="0" applyAlignment="1" applyBorder="1" applyFont="1" applyNumberFormat="1">
      <alignment horizontal="center" readingOrder="0" shrinkToFit="0" vertical="bottom" wrapText="0"/>
    </xf>
    <xf borderId="0" fillId="6" fontId="1" numFmtId="4" xfId="0" applyAlignment="1" applyFont="1" applyNumberFormat="1">
      <alignment horizontal="center" readingOrder="0" shrinkToFit="0" wrapText="1"/>
    </xf>
    <xf borderId="0" fillId="0" fontId="1" numFmtId="4" xfId="0" applyAlignment="1" applyFont="1" applyNumberFormat="1">
      <alignment horizontal="center" readingOrder="0" shrinkToFit="0" wrapText="1"/>
    </xf>
    <xf borderId="0" fillId="6" fontId="8" numFmtId="4" xfId="0" applyAlignment="1" applyFont="1" applyNumberFormat="1">
      <alignment horizontal="right" shrinkToFit="0" vertical="bottom" wrapText="1"/>
    </xf>
    <xf borderId="0" fillId="7" fontId="8" numFmtId="4" xfId="0" applyAlignment="1" applyFont="1" applyNumberFormat="1">
      <alignment horizontal="right" shrinkToFit="0" vertical="bottom" wrapText="1"/>
    </xf>
    <xf borderId="0" fillId="6" fontId="8" numFmtId="4" xfId="0" applyAlignment="1" applyFont="1" applyNumberFormat="1">
      <alignment horizontal="right" readingOrder="0" shrinkToFit="0" vertical="bottom" wrapText="1"/>
    </xf>
    <xf borderId="0" fillId="6" fontId="1" numFmtId="4" xfId="0" applyAlignment="1" applyFont="1" applyNumberFormat="1">
      <alignment shrinkToFit="0" wrapText="1"/>
    </xf>
    <xf borderId="0" fillId="6" fontId="1" numFmtId="4" xfId="0" applyAlignment="1" applyFont="1" applyNumberFormat="1">
      <alignment readingOrder="0" shrinkToFit="0" wrapText="1"/>
    </xf>
    <xf borderId="0" fillId="0" fontId="1" numFmtId="4" xfId="0" applyAlignment="1" applyFont="1" applyNumberFormat="1">
      <alignment horizontal="right" readingOrder="0" shrinkToFit="0" wrapText="1"/>
    </xf>
    <xf borderId="0" fillId="0" fontId="16" numFmtId="168" xfId="0" applyAlignment="1" applyFont="1" applyNumberFormat="1">
      <alignment horizontal="right" readingOrder="0" shrinkToFit="0" wrapText="1"/>
    </xf>
    <xf borderId="0" fillId="0" fontId="16" numFmtId="4" xfId="0" applyAlignment="1" applyFont="1" applyNumberFormat="1">
      <alignment horizontal="right" readingOrder="0" shrinkToFit="0" wrapText="1"/>
    </xf>
    <xf borderId="0" fillId="6" fontId="3" numFmtId="4" xfId="0" applyAlignment="1" applyFont="1" applyNumberFormat="1">
      <alignment horizontal="right" readingOrder="0" shrinkToFit="0" vertical="bottom" wrapText="1"/>
    </xf>
    <xf borderId="0" fillId="6" fontId="1" numFmtId="4" xfId="0" applyAlignment="1" applyFont="1" applyNumberFormat="1">
      <alignment readingOrder="0" shrinkToFit="0" vertical="top" wrapText="1"/>
    </xf>
    <xf borderId="0" fillId="0" fontId="1" numFmtId="4" xfId="0" applyAlignment="1" applyFont="1" applyNumberFormat="1">
      <alignment readingOrder="0" shrinkToFit="0" vertical="top" wrapText="1"/>
    </xf>
    <xf borderId="0" fillId="0" fontId="1" numFmtId="3" xfId="0" applyAlignment="1" applyFont="1" applyNumberFormat="1">
      <alignment horizontal="center" readingOrder="0" shrinkToFit="0" wrapText="1"/>
    </xf>
    <xf borderId="0" fillId="0" fontId="1" numFmtId="164" xfId="0" applyAlignment="1" applyFont="1" applyNumberFormat="1">
      <alignment horizontal="center" readingOrder="0" shrinkToFit="0" wrapText="1"/>
    </xf>
    <xf borderId="0" fillId="0" fontId="38" numFmtId="0" xfId="0" applyAlignment="1" applyFont="1">
      <alignment horizontal="center" readingOrder="0" shrinkToFit="0" wrapText="1"/>
    </xf>
    <xf borderId="0" fillId="0" fontId="8" numFmtId="164" xfId="0" applyAlignment="1" applyFont="1" applyNumberFormat="1">
      <alignment horizontal="right" shrinkToFit="0" vertical="bottom" wrapText="1"/>
    </xf>
    <xf borderId="0" fillId="6" fontId="39" numFmtId="178" xfId="0" applyAlignment="1" applyFont="1" applyNumberFormat="1">
      <alignment horizontal="right" readingOrder="0" shrinkToFit="0" vertical="bottom" wrapText="1"/>
    </xf>
    <xf borderId="0" fillId="0" fontId="1" numFmtId="164" xfId="0" applyAlignment="1" applyFont="1" applyNumberFormat="1">
      <alignment shrinkToFit="0" wrapText="1"/>
    </xf>
    <xf borderId="0" fillId="0" fontId="40" numFmtId="3" xfId="0" applyAlignment="1" applyFont="1" applyNumberFormat="1">
      <alignment shrinkToFit="0" vertical="bottom" wrapText="1"/>
    </xf>
    <xf borderId="0" fillId="0" fontId="1" numFmtId="164" xfId="0" applyAlignment="1" applyFont="1" applyNumberFormat="1">
      <alignment readingOrder="0" shrinkToFit="0" wrapText="1"/>
    </xf>
    <xf borderId="0" fillId="0" fontId="38" numFmtId="0" xfId="0" applyAlignment="1" applyFont="1">
      <alignment horizontal="right" readingOrder="0" shrinkToFit="0" wrapText="1"/>
    </xf>
    <xf borderId="0" fillId="0" fontId="38" numFmtId="0" xfId="0" applyAlignment="1" applyFont="1">
      <alignment shrinkToFit="0" wrapText="1"/>
    </xf>
    <xf borderId="0" fillId="0" fontId="38" numFmtId="4" xfId="0" applyAlignment="1" applyFont="1" applyNumberFormat="1">
      <alignment horizontal="right" readingOrder="0" shrinkToFit="0" wrapText="1"/>
    </xf>
    <xf borderId="0" fillId="0" fontId="3" numFmtId="164" xfId="0" applyAlignment="1" applyFont="1" applyNumberFormat="1">
      <alignment horizontal="right" readingOrder="0" shrinkToFit="0" vertical="bottom" wrapText="1"/>
    </xf>
    <xf borderId="0" fillId="0" fontId="1" numFmtId="3" xfId="0" applyAlignment="1" applyFont="1" applyNumberFormat="1">
      <alignment readingOrder="0" shrinkToFit="0" vertical="top" wrapText="1"/>
    </xf>
    <xf borderId="0" fillId="0" fontId="1" numFmtId="164" xfId="0" applyAlignment="1" applyFont="1" applyNumberFormat="1">
      <alignment readingOrder="0" shrinkToFit="0" vertical="top" wrapText="1"/>
    </xf>
  </cellXfs>
  <cellStyles count="1">
    <cellStyle xfId="0" name="Normal" builtinId="0"/>
  </cellStyles>
  <dxfs count="2">
    <dxf>
      <font>
        <color rgb="FF800080"/>
      </font>
      <fill>
        <patternFill patternType="solid">
          <fgColor rgb="FFFF99CC"/>
          <bgColor rgb="FFFF99CC"/>
        </patternFill>
      </fill>
      <alignment shrinkToFit="0" wrapText="0"/>
      <border>
        <left/>
        <right/>
        <top/>
        <bottom/>
      </border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123825</xdr:colOff>
      <xdr:row>0</xdr:row>
      <xdr:rowOff>57150</xdr:rowOff>
    </xdr:from>
    <xdr:ext cx="1038225" cy="523875"/>
    <xdr:sp>
      <xdr:nvSpPr>
        <xdr:cNvPr id="3" name="Shape 3"/>
        <xdr:cNvSpPr/>
      </xdr:nvSpPr>
      <xdr:spPr>
        <a:xfrm>
          <a:off x="4836413" y="3532350"/>
          <a:ext cx="1019175" cy="495300"/>
        </a:xfrm>
        <a:prstGeom prst="rightArrow">
          <a:avLst>
            <a:gd fmla="val 50000" name="adj1"/>
            <a:gd fmla="val 50000" name="adj2"/>
          </a:avLst>
        </a:prstGeom>
        <a:solidFill>
          <a:srgbClr val="4F81BD"/>
        </a:solidFill>
        <a:ln cap="flat" cmpd="sng" w="25400">
          <a:solidFill>
            <a:srgbClr val="385D8A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FFFFFF"/>
              </a:solidFill>
              <a:latin typeface="Tahoma"/>
              <a:ea typeface="Tahoma"/>
              <a:cs typeface="Tahoma"/>
              <a:sym typeface="Tahoma"/>
            </a:rPr>
            <a:t>ใส่วงเงินกู้</a:t>
          </a:r>
          <a:endParaRPr sz="14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123825</xdr:colOff>
      <xdr:row>0</xdr:row>
      <xdr:rowOff>57150</xdr:rowOff>
    </xdr:from>
    <xdr:ext cx="1038225" cy="523875"/>
    <xdr:sp>
      <xdr:nvSpPr>
        <xdr:cNvPr id="3" name="Shape 3"/>
        <xdr:cNvSpPr/>
      </xdr:nvSpPr>
      <xdr:spPr>
        <a:xfrm>
          <a:off x="4836413" y="3532350"/>
          <a:ext cx="1019175" cy="495300"/>
        </a:xfrm>
        <a:prstGeom prst="rightArrow">
          <a:avLst>
            <a:gd fmla="val 50000" name="adj1"/>
            <a:gd fmla="val 50000" name="adj2"/>
          </a:avLst>
        </a:prstGeom>
        <a:solidFill>
          <a:srgbClr val="4F81BD"/>
        </a:solidFill>
        <a:ln cap="flat" cmpd="sng" w="25400">
          <a:solidFill>
            <a:srgbClr val="385D8A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FFFFFF"/>
              </a:solidFill>
              <a:latin typeface="Tahoma"/>
              <a:ea typeface="Tahoma"/>
              <a:cs typeface="Tahoma"/>
              <a:sym typeface="Tahoma"/>
            </a:rPr>
            <a:t>ใส่วงเงินกู้</a:t>
          </a:r>
          <a:endParaRPr sz="14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123825</xdr:colOff>
      <xdr:row>0</xdr:row>
      <xdr:rowOff>57150</xdr:rowOff>
    </xdr:from>
    <xdr:ext cx="1038225" cy="523875"/>
    <xdr:sp>
      <xdr:nvSpPr>
        <xdr:cNvPr id="3" name="Shape 3"/>
        <xdr:cNvSpPr/>
      </xdr:nvSpPr>
      <xdr:spPr>
        <a:xfrm>
          <a:off x="4836413" y="3532350"/>
          <a:ext cx="1019175" cy="495300"/>
        </a:xfrm>
        <a:prstGeom prst="rightArrow">
          <a:avLst>
            <a:gd fmla="val 50000" name="adj1"/>
            <a:gd fmla="val 50000" name="adj2"/>
          </a:avLst>
        </a:prstGeom>
        <a:solidFill>
          <a:srgbClr val="4F81BD"/>
        </a:solidFill>
        <a:ln cap="flat" cmpd="sng" w="25400">
          <a:solidFill>
            <a:srgbClr val="385D8A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FFFFFF"/>
              </a:solidFill>
              <a:latin typeface="Tahoma"/>
              <a:ea typeface="Tahoma"/>
              <a:cs typeface="Tahoma"/>
              <a:sym typeface="Tahoma"/>
            </a:rPr>
            <a:t>ใส่วงเงินกู้</a:t>
          </a:r>
          <a:endParaRPr sz="1400"/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123825</xdr:colOff>
      <xdr:row>0</xdr:row>
      <xdr:rowOff>57150</xdr:rowOff>
    </xdr:from>
    <xdr:ext cx="1038225" cy="523875"/>
    <xdr:sp>
      <xdr:nvSpPr>
        <xdr:cNvPr id="3" name="Shape 3"/>
        <xdr:cNvSpPr/>
      </xdr:nvSpPr>
      <xdr:spPr>
        <a:xfrm>
          <a:off x="4836413" y="3532350"/>
          <a:ext cx="1019175" cy="495300"/>
        </a:xfrm>
        <a:prstGeom prst="rightArrow">
          <a:avLst>
            <a:gd fmla="val 50000" name="adj1"/>
            <a:gd fmla="val 50000" name="adj2"/>
          </a:avLst>
        </a:prstGeom>
        <a:solidFill>
          <a:srgbClr val="4F81BD"/>
        </a:solidFill>
        <a:ln cap="flat" cmpd="sng" w="25400">
          <a:solidFill>
            <a:srgbClr val="385D8A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FFFFFF"/>
              </a:solidFill>
              <a:latin typeface="Tahoma"/>
              <a:ea typeface="Tahoma"/>
              <a:cs typeface="Tahoma"/>
              <a:sym typeface="Tahoma"/>
            </a:rPr>
            <a:t>ใส่วงเงินกู้</a:t>
          </a:r>
          <a:endParaRPr sz="1400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123825</xdr:colOff>
      <xdr:row>0</xdr:row>
      <xdr:rowOff>57150</xdr:rowOff>
    </xdr:from>
    <xdr:ext cx="1038225" cy="523875"/>
    <xdr:sp>
      <xdr:nvSpPr>
        <xdr:cNvPr id="3" name="Shape 3"/>
        <xdr:cNvSpPr/>
      </xdr:nvSpPr>
      <xdr:spPr>
        <a:xfrm>
          <a:off x="4836413" y="3532350"/>
          <a:ext cx="1019175" cy="495300"/>
        </a:xfrm>
        <a:prstGeom prst="rightArrow">
          <a:avLst>
            <a:gd fmla="val 50000" name="adj1"/>
            <a:gd fmla="val 50000" name="adj2"/>
          </a:avLst>
        </a:prstGeom>
        <a:solidFill>
          <a:srgbClr val="4F81BD"/>
        </a:solidFill>
        <a:ln cap="flat" cmpd="sng" w="25400">
          <a:solidFill>
            <a:srgbClr val="385D8A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FFFFFF"/>
              </a:solidFill>
              <a:latin typeface="Tahoma"/>
              <a:ea typeface="Tahoma"/>
              <a:cs typeface="Tahoma"/>
              <a:sym typeface="Tahoma"/>
            </a:rPr>
            <a:t>ใส่วงเงินกู้</a:t>
          </a:r>
          <a:endParaRPr sz="1400"/>
        </a:p>
      </xdr:txBody>
    </xdr:sp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123825</xdr:colOff>
      <xdr:row>0</xdr:row>
      <xdr:rowOff>57150</xdr:rowOff>
    </xdr:from>
    <xdr:ext cx="1038225" cy="523875"/>
    <xdr:sp>
      <xdr:nvSpPr>
        <xdr:cNvPr id="3" name="Shape 3"/>
        <xdr:cNvSpPr/>
      </xdr:nvSpPr>
      <xdr:spPr>
        <a:xfrm>
          <a:off x="4836413" y="3532350"/>
          <a:ext cx="1019175" cy="495300"/>
        </a:xfrm>
        <a:prstGeom prst="rightArrow">
          <a:avLst>
            <a:gd fmla="val 50000" name="adj1"/>
            <a:gd fmla="val 50000" name="adj2"/>
          </a:avLst>
        </a:prstGeom>
        <a:solidFill>
          <a:srgbClr val="4F81BD"/>
        </a:solidFill>
        <a:ln cap="flat" cmpd="sng" w="25400">
          <a:solidFill>
            <a:srgbClr val="385D8A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FFFFFF"/>
              </a:solidFill>
              <a:latin typeface="Tahoma"/>
              <a:ea typeface="Tahoma"/>
              <a:cs typeface="Tahoma"/>
              <a:sym typeface="Tahoma"/>
            </a:rPr>
            <a:t>ใส่วงเงินกู้</a:t>
          </a:r>
          <a:endParaRPr sz="1400"/>
        </a:p>
      </xdr:txBody>
    </xdr:sp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lcbmart.com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archtaurus/RetroPieBIOS" TargetMode="External"/><Relationship Id="rId2" Type="http://schemas.openxmlformats.org/officeDocument/2006/relationships/hyperlink" Target="https://www.reddit.com/user/VultureMadAtTheOx/comments/1032kag/a_curated_and_scraped_rom_collection_20_reupload/" TargetMode="External"/><Relationship Id="rId3" Type="http://schemas.openxmlformats.org/officeDocument/2006/relationships/hyperlink" Target="https://archive.org/details/retro-roms-best-set" TargetMode="External"/><Relationship Id="rId4" Type="http://schemas.openxmlformats.org/officeDocument/2006/relationships/hyperlink" Target="https://docs.google.com/spreadsheets/d/1Vf7SIS7ecWa_J301h0mb2bxMWBMtKLvcpAFyaa5-LDc/edit" TargetMode="External"/><Relationship Id="rId5" Type="http://schemas.openxmlformats.org/officeDocument/2006/relationships/hyperlink" Target="http://lcbmart.com/" TargetMode="External"/><Relationship Id="rId6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2" max="2" width="31.13"/>
    <col customWidth="1" min="3" max="3" width="42.0"/>
    <col customWidth="1" min="4" max="4" width="25.5"/>
    <col customWidth="1" min="5" max="5" width="50.25"/>
  </cols>
  <sheetData>
    <row r="1">
      <c r="A1" s="1"/>
      <c r="B1" s="2" t="s">
        <v>0</v>
      </c>
      <c r="C1" s="2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2</v>
      </c>
      <c r="C3" s="3" t="s">
        <v>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3" t="s">
        <v>4</v>
      </c>
      <c r="C4" s="3" t="s">
        <v>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3" t="s">
        <v>6</v>
      </c>
      <c r="C5" s="3" t="s">
        <v>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3" t="s">
        <v>8</v>
      </c>
      <c r="C6" s="3" t="s">
        <v>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3" t="s">
        <v>10</v>
      </c>
      <c r="C7" s="3" t="s">
        <v>11</v>
      </c>
      <c r="D7" s="3"/>
      <c r="E7" s="3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2.75"/>
  <cols>
    <col customWidth="1" min="1" max="1" width="22.0"/>
    <col customWidth="1" min="2" max="2" width="4.88"/>
    <col customWidth="1" min="3" max="3" width="11.38"/>
    <col customWidth="1" min="4" max="12" width="13.13"/>
    <col customWidth="1" min="13" max="13" width="3.13"/>
    <col customWidth="1" min="14" max="22" width="11.38"/>
    <col customWidth="1" min="23" max="23" width="12.75"/>
    <col customWidth="1" min="24" max="24" width="10.25"/>
    <col customWidth="1" min="25" max="25" width="13.38"/>
    <col customWidth="1" min="26" max="26" width="3.13"/>
    <col customWidth="1" min="27" max="27" width="11.38"/>
    <col customWidth="1" min="28" max="28" width="13.13"/>
    <col customWidth="1" min="29" max="29" width="11.38"/>
    <col customWidth="1" min="30" max="30" width="12.75"/>
    <col customWidth="1" min="31" max="31" width="10.25"/>
    <col customWidth="1" min="32" max="32" width="13.38"/>
    <col customWidth="1" min="33" max="36" width="8.0"/>
    <col customWidth="1" min="37" max="42" width="7.0"/>
  </cols>
  <sheetData>
    <row r="1" ht="13.5" customHeight="1">
      <c r="A1" s="4" t="s">
        <v>12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ht="12.0" customHeight="1">
      <c r="A2" s="7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ht="12.0" customHeight="1">
      <c r="A3" s="8" t="s">
        <v>13</v>
      </c>
      <c r="B3" s="5"/>
      <c r="D3" s="9">
        <v>19500.0</v>
      </c>
      <c r="F3" s="9">
        <v>0.0</v>
      </c>
      <c r="H3" s="9">
        <v>779779.0</v>
      </c>
      <c r="J3" s="9">
        <v>177359.0</v>
      </c>
      <c r="L3" s="9"/>
      <c r="M3" s="10"/>
      <c r="N3" s="9" t="s">
        <v>14</v>
      </c>
      <c r="O3" s="9"/>
      <c r="P3" s="9"/>
      <c r="Q3" s="9"/>
      <c r="R3" s="9"/>
      <c r="S3" s="9"/>
      <c r="T3" s="9"/>
      <c r="U3" s="9"/>
      <c r="W3" s="6"/>
      <c r="X3" s="6"/>
      <c r="Y3" s="6"/>
      <c r="Z3" s="6"/>
      <c r="AA3" s="9" t="s">
        <v>15</v>
      </c>
      <c r="AB3" s="9">
        <v>19500.0</v>
      </c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ht="12.0" customHeight="1">
      <c r="A4" s="7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11"/>
      <c r="Y4" s="6"/>
      <c r="Z4" s="6"/>
      <c r="AA4" s="6"/>
      <c r="AB4" s="6"/>
      <c r="AC4" s="6"/>
      <c r="AD4" s="6"/>
      <c r="AE4" s="11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</row>
    <row r="5" ht="12.0" customHeight="1">
      <c r="A5" s="12" t="s">
        <v>16</v>
      </c>
      <c r="B5" s="13" t="s">
        <v>17</v>
      </c>
      <c r="C5" s="14" t="s">
        <v>18</v>
      </c>
      <c r="D5" s="15" t="s">
        <v>19</v>
      </c>
      <c r="E5" s="14" t="s">
        <v>20</v>
      </c>
      <c r="F5" s="15" t="s">
        <v>21</v>
      </c>
      <c r="G5" s="14" t="s">
        <v>22</v>
      </c>
      <c r="H5" s="15" t="s">
        <v>21</v>
      </c>
      <c r="I5" s="16" t="s">
        <v>23</v>
      </c>
      <c r="J5" s="17" t="s">
        <v>21</v>
      </c>
      <c r="K5" s="16" t="s">
        <v>24</v>
      </c>
      <c r="L5" s="17" t="s">
        <v>21</v>
      </c>
      <c r="M5" s="6"/>
      <c r="N5" s="18" t="s">
        <v>25</v>
      </c>
      <c r="O5" s="15" t="s">
        <v>26</v>
      </c>
      <c r="P5" s="15" t="s">
        <v>27</v>
      </c>
      <c r="Q5" s="15" t="s">
        <v>28</v>
      </c>
      <c r="R5" s="15" t="s">
        <v>29</v>
      </c>
      <c r="S5" s="15" t="s">
        <v>22</v>
      </c>
      <c r="T5" s="15" t="s">
        <v>23</v>
      </c>
      <c r="U5" s="15" t="s">
        <v>30</v>
      </c>
      <c r="V5" s="15" t="s">
        <v>31</v>
      </c>
      <c r="W5" s="14" t="s">
        <v>32</v>
      </c>
      <c r="X5" s="19" t="s">
        <v>33</v>
      </c>
      <c r="Y5" s="20" t="s">
        <v>34</v>
      </c>
      <c r="Z5" s="6"/>
      <c r="AA5" s="21" t="s">
        <v>35</v>
      </c>
      <c r="AB5" s="15" t="s">
        <v>36</v>
      </c>
      <c r="AC5" s="14" t="s">
        <v>31</v>
      </c>
      <c r="AD5" s="22" t="s">
        <v>32</v>
      </c>
      <c r="AE5" s="19" t="s">
        <v>33</v>
      </c>
      <c r="AF5" s="20" t="s">
        <v>34</v>
      </c>
      <c r="AG5" s="6"/>
      <c r="AH5" s="6"/>
      <c r="AI5" s="6"/>
      <c r="AJ5" s="6"/>
      <c r="AK5" s="6"/>
      <c r="AL5" s="6"/>
      <c r="AM5" s="6"/>
      <c r="AN5" s="6"/>
      <c r="AO5" s="6"/>
      <c r="AP5" s="6"/>
    </row>
    <row r="6" ht="11.25" customHeight="1">
      <c r="A6" s="23">
        <v>43770.0</v>
      </c>
      <c r="B6" s="24">
        <v>1.0</v>
      </c>
      <c r="C6" s="25">
        <v>30025.0</v>
      </c>
      <c r="D6" s="26">
        <f>D3+C6</f>
        <v>49525</v>
      </c>
      <c r="E6" s="27">
        <v>20000.0</v>
      </c>
      <c r="F6" s="26">
        <f>F3+E6</f>
        <v>20000</v>
      </c>
      <c r="G6" s="28">
        <f>IFERROR(__xludf.DUMMYFUNCTION("IMPORTRANGE(""https://docs.google.com/spreadsheets/d/1zU5eOdaH_7rO9eLngzy67eBz2J7GwA5lXQh_ru8EIwc"",""RHYTHM Asoke!E41:E74"")"),10294.171810723132)</f>
        <v>10294.17181</v>
      </c>
      <c r="H6" s="28">
        <f>IFERROR(__xludf.DUMMYFUNCTION("IMPORTRANGE(""https://docs.google.com/spreadsheets/d/1zU5eOdaH_7rO9eLngzy67eBz2J7GwA5lXQh_ru8EIwc"",""RHYTHM Asoke!F41:F74"")"),790073.3213368923)</f>
        <v>790073.3213</v>
      </c>
      <c r="I6" s="28">
        <f>IFERROR(__xludf.DUMMYFUNCTION("IMPORTRANGE(""https://docs.google.com/spreadsheets/d/1zU5eOdaH_7rO9eLngzy67eBz2J7GwA5lXQh_ru8EIwc"",""The Unique 62/1!E31:E253"")"),7979.247781414435)</f>
        <v>7979.247781</v>
      </c>
      <c r="J6" s="29">
        <f>IFERROR(__xludf.DUMMYFUNCTION("IMPORTRANGE(""https://docs.google.com/spreadsheets/d/1zU5eOdaH_7rO9eLngzy67eBz2J7GwA5lXQh_ru8EIwc"",""The Unique 62/1!F31:F253"")"),185338.53783403424)</f>
        <v>185338.5378</v>
      </c>
      <c r="K6" s="28"/>
      <c r="L6" s="29"/>
      <c r="M6" s="30"/>
      <c r="N6" s="31">
        <v>0.0</v>
      </c>
      <c r="O6" s="32">
        <v>6960.0</v>
      </c>
      <c r="P6" s="32">
        <v>0.0</v>
      </c>
      <c r="Q6" s="32">
        <v>0.0</v>
      </c>
      <c r="R6" s="32">
        <v>0.0</v>
      </c>
      <c r="S6" s="32">
        <f>IFERROR(__xludf.DUMMYFUNCTION("IMPORTRANGE(""https://docs.google.com/spreadsheets/d/1zU5eOdaH_7rO9eLngzy67eBz2J7GwA5lXQh_ru8EIwc"",""RHYTHM Asoke!R41:R75"")"),3652.1718107231427)</f>
        <v>3652.171811</v>
      </c>
      <c r="T6" s="32">
        <f>IFERROR(__xludf.DUMMYFUNCTION("IMPORTRANGE(""https://docs.google.com/spreadsheets/d/1zU5eOdaH_7rO9eLngzy67eBz2J7GwA5lXQh_ru8EIwc"",""The Unique 62/1!Q31:Q365"")"),3355.2477814144513)</f>
        <v>3355.247781</v>
      </c>
      <c r="U6" s="32">
        <v>0.0</v>
      </c>
      <c r="V6" s="26">
        <f t="shared" ref="V6:V42" si="1">SUM(N6:T6)</f>
        <v>13967.41959</v>
      </c>
      <c r="W6" s="33">
        <f>V6</f>
        <v>13967.41959</v>
      </c>
      <c r="X6" s="34">
        <f t="shared" ref="X6:X365" si="2">V6/((D6+F6+H6+J6)/100)</f>
        <v>1.336675941</v>
      </c>
      <c r="Y6" s="35">
        <f t="shared" ref="Y6:Y41" si="3">D6+F6+H6+J6+V6</f>
        <v>1058904.279</v>
      </c>
      <c r="Z6" s="30"/>
      <c r="AA6" s="36">
        <v>30025.0</v>
      </c>
      <c r="AB6" s="26">
        <f>AB3+AA6</f>
        <v>49525</v>
      </c>
      <c r="AC6" s="37">
        <f>((D6+F6+H6+J6)*AE6%)</f>
        <v>20898.73718</v>
      </c>
      <c r="AD6" s="33">
        <f>AC6</f>
        <v>20898.73718</v>
      </c>
      <c r="AE6" s="34">
        <v>2.0</v>
      </c>
      <c r="AF6" s="35">
        <f>D6+F6+H6+J6+AC6</f>
        <v>1065835.596</v>
      </c>
      <c r="AG6" s="6"/>
      <c r="AH6" s="6"/>
      <c r="AI6" s="6"/>
      <c r="AJ6" s="6"/>
      <c r="AK6" s="6"/>
      <c r="AL6" s="6"/>
      <c r="AM6" s="6"/>
      <c r="AN6" s="6"/>
      <c r="AO6" s="6"/>
      <c r="AP6" s="6"/>
    </row>
    <row r="7" ht="11.25" customHeight="1">
      <c r="A7" s="38"/>
      <c r="B7" s="39">
        <f t="shared" ref="B7:B53" si="4">B6+1</f>
        <v>2</v>
      </c>
      <c r="C7" s="40">
        <v>-4025.0</v>
      </c>
      <c r="D7" s="26">
        <f t="shared" ref="D7:D365" si="5">D6+C7</f>
        <v>45500</v>
      </c>
      <c r="E7" s="41">
        <v>50000.0</v>
      </c>
      <c r="F7" s="26">
        <f t="shared" ref="F7:F44" si="6">F6+E7</f>
        <v>70000</v>
      </c>
      <c r="G7" s="26">
        <f>IFERROR(__xludf.DUMMYFUNCTION("""COMPUTED_VALUE"""),10064.614398458085)</f>
        <v>10064.6144</v>
      </c>
      <c r="H7" s="26">
        <f>IFERROR(__xludf.DUMMYFUNCTION("""COMPUTED_VALUE"""),800137.9357353504)</f>
        <v>800137.9357</v>
      </c>
      <c r="I7" s="26">
        <f>IFERROR(__xludf.DUMMYFUNCTION("""COMPUTED_VALUE"""),8004.182930731355)</f>
        <v>8004.182931</v>
      </c>
      <c r="J7" s="42">
        <f>IFERROR(__xludf.DUMMYFUNCTION("""COMPUTED_VALUE"""),193342.7207647656)</f>
        <v>193342.7208</v>
      </c>
      <c r="K7" s="26"/>
      <c r="L7" s="42"/>
      <c r="M7" s="30"/>
      <c r="N7" s="43">
        <v>2370.0</v>
      </c>
      <c r="O7" s="41">
        <v>4599.0</v>
      </c>
      <c r="P7" s="41">
        <v>0.0</v>
      </c>
      <c r="Q7" s="41">
        <v>700.0</v>
      </c>
      <c r="R7" s="41">
        <v>0.0</v>
      </c>
      <c r="S7" s="41">
        <f>IFERROR(__xludf.DUMMYFUNCTION("""COMPUTED_VALUE"""),3522.6143984580995)</f>
        <v>3522.614398</v>
      </c>
      <c r="T7" s="41">
        <f>IFERROR(__xludf.DUMMYFUNCTION("""COMPUTED_VALUE"""),3380.182930731331)</f>
        <v>3380.182931</v>
      </c>
      <c r="U7" s="41">
        <v>0.0</v>
      </c>
      <c r="V7" s="26">
        <f t="shared" si="1"/>
        <v>14571.79733</v>
      </c>
      <c r="W7" s="42">
        <f t="shared" ref="W7:W365" si="7">W6+V7</f>
        <v>28539.21692</v>
      </c>
      <c r="X7" s="34">
        <f t="shared" si="2"/>
        <v>1.313981199</v>
      </c>
      <c r="Y7" s="44">
        <f t="shared" si="3"/>
        <v>1123552.454</v>
      </c>
      <c r="Z7" s="30"/>
      <c r="AA7" s="45">
        <f t="shared" ref="AA7:AA365" si="8">AC6</f>
        <v>20898.73718</v>
      </c>
      <c r="AB7" s="26">
        <f t="shared" ref="AB7:AB365" si="9">AB6+AA7</f>
        <v>70423.73718</v>
      </c>
      <c r="AC7" s="26">
        <f>((D7+F7+H7+J7)*AE6%)</f>
        <v>22179.61313</v>
      </c>
      <c r="AD7" s="42">
        <f t="shared" ref="AD7:AD365" si="10">AD6+AC7</f>
        <v>43078.35031</v>
      </c>
      <c r="AE7" s="34">
        <v>2.0</v>
      </c>
      <c r="AF7" s="44">
        <f t="shared" ref="AF7:AF68" si="11">AB7+F7+H7+J7+AC7</f>
        <v>1156084.007</v>
      </c>
      <c r="AG7" s="6"/>
      <c r="AH7" s="6"/>
      <c r="AI7" s="6"/>
      <c r="AJ7" s="6"/>
      <c r="AK7" s="6"/>
      <c r="AL7" s="6"/>
      <c r="AM7" s="6"/>
      <c r="AN7" s="6"/>
      <c r="AO7" s="6"/>
      <c r="AP7" s="6"/>
    </row>
    <row r="8" ht="11.25" customHeight="1">
      <c r="A8" s="46">
        <v>43831.0</v>
      </c>
      <c r="B8" s="39">
        <f t="shared" si="4"/>
        <v>3</v>
      </c>
      <c r="C8" s="40">
        <v>86300.0</v>
      </c>
      <c r="D8" s="26">
        <f t="shared" si="5"/>
        <v>131800</v>
      </c>
      <c r="E8" s="41">
        <v>10923.0</v>
      </c>
      <c r="F8" s="26">
        <f t="shared" si="6"/>
        <v>80923</v>
      </c>
      <c r="G8" s="26">
        <f>IFERROR(__xludf.DUMMYFUNCTION("""COMPUTED_VALUE"""),10103.19542031884)</f>
        <v>10103.19542</v>
      </c>
      <c r="H8" s="26">
        <f>IFERROR(__xludf.DUMMYFUNCTION("""COMPUTED_VALUE"""),810241.1311556692)</f>
        <v>810241.1312</v>
      </c>
      <c r="I8" s="26">
        <f>IFERROR(__xludf.DUMMYFUNCTION("""COMPUTED_VALUE"""),8029.19600238989)</f>
        <v>8029.196002</v>
      </c>
      <c r="J8" s="42">
        <f>IFERROR(__xludf.DUMMYFUNCTION("""COMPUTED_VALUE"""),201371.9167671555)</f>
        <v>201371.9168</v>
      </c>
      <c r="K8" s="26"/>
      <c r="L8" s="42"/>
      <c r="M8" s="30"/>
      <c r="N8" s="43">
        <v>0.0</v>
      </c>
      <c r="O8" s="41">
        <v>9750.0</v>
      </c>
      <c r="P8" s="41">
        <v>0.0</v>
      </c>
      <c r="Q8" s="41">
        <v>1350.0</v>
      </c>
      <c r="R8" s="41">
        <v>0.0</v>
      </c>
      <c r="S8" s="26">
        <f>IFERROR(__xludf.DUMMYFUNCTION("""COMPUTED_VALUE"""),3561.195420318865)</f>
        <v>3561.19542</v>
      </c>
      <c r="T8" s="26">
        <f>IFERROR(__xludf.DUMMYFUNCTION("""COMPUTED_VALUE"""),3405.1960023898864)</f>
        <v>3405.196002</v>
      </c>
      <c r="U8" s="41">
        <v>0.0</v>
      </c>
      <c r="V8" s="26">
        <f t="shared" si="1"/>
        <v>18066.39142</v>
      </c>
      <c r="W8" s="42">
        <f t="shared" si="7"/>
        <v>46605.60834</v>
      </c>
      <c r="X8" s="34">
        <f t="shared" si="2"/>
        <v>1.475607245</v>
      </c>
      <c r="Y8" s="44">
        <f t="shared" si="3"/>
        <v>1242402.439</v>
      </c>
      <c r="Z8" s="30"/>
      <c r="AA8" s="45">
        <f t="shared" si="8"/>
        <v>22179.61313</v>
      </c>
      <c r="AB8" s="26">
        <f t="shared" si="9"/>
        <v>92603.35031</v>
      </c>
      <c r="AC8" s="26">
        <f t="shared" ref="AC8:AC365" si="12">((F8+H8+J8+AB8)*AE8%)</f>
        <v>23702.78796</v>
      </c>
      <c r="AD8" s="42">
        <f t="shared" si="10"/>
        <v>66781.13828</v>
      </c>
      <c r="AE8" s="34">
        <v>2.0</v>
      </c>
      <c r="AF8" s="44">
        <f t="shared" si="11"/>
        <v>1208842.186</v>
      </c>
      <c r="AG8" s="6"/>
      <c r="AH8" s="6"/>
      <c r="AI8" s="6"/>
      <c r="AJ8" s="6"/>
      <c r="AK8" s="6"/>
      <c r="AL8" s="6"/>
      <c r="AM8" s="6"/>
      <c r="AN8" s="6"/>
      <c r="AO8" s="6"/>
      <c r="AP8" s="6"/>
    </row>
    <row r="9" ht="11.25" customHeight="1">
      <c r="A9" s="38"/>
      <c r="B9" s="39">
        <f t="shared" si="4"/>
        <v>4</v>
      </c>
      <c r="C9" s="40">
        <v>174700.0</v>
      </c>
      <c r="D9" s="26">
        <f t="shared" si="5"/>
        <v>306500</v>
      </c>
      <c r="E9" s="41">
        <v>10923.0</v>
      </c>
      <c r="F9" s="26">
        <f t="shared" si="6"/>
        <v>91846</v>
      </c>
      <c r="G9" s="26">
        <f>IFERROR(__xludf.DUMMYFUNCTION("""COMPUTED_VALUE"""),10558.124100439298)</f>
        <v>10558.1241</v>
      </c>
      <c r="H9" s="26">
        <f>IFERROR(__xludf.DUMMYFUNCTION("""COMPUTED_VALUE"""),820799.2552561085)</f>
        <v>820799.2553</v>
      </c>
      <c r="I9" s="26">
        <f>IFERROR(__xludf.DUMMYFUNCTION("""COMPUTED_VALUE"""),8670.668090570865)</f>
        <v>8670.668091</v>
      </c>
      <c r="J9" s="42">
        <f>IFERROR(__xludf.DUMMYFUNCTION("""COMPUTED_VALUE"""),210042.58485772635)</f>
        <v>210042.5849</v>
      </c>
      <c r="K9" s="26"/>
      <c r="L9" s="42"/>
      <c r="M9" s="30"/>
      <c r="N9" s="43">
        <v>0.0</v>
      </c>
      <c r="O9" s="41">
        <v>16300.0</v>
      </c>
      <c r="P9" s="41">
        <v>0.0</v>
      </c>
      <c r="Q9" s="41">
        <v>850.0</v>
      </c>
      <c r="R9" s="41">
        <v>0.0</v>
      </c>
      <c r="S9" s="26">
        <f>IFERROR(__xludf.DUMMYFUNCTION("""COMPUTED_VALUE"""),2816.1241004392505)</f>
        <v>2816.1241</v>
      </c>
      <c r="T9" s="26">
        <f>IFERROR(__xludf.DUMMYFUNCTION("""COMPUTED_VALUE"""),4046.6680905708927)</f>
        <v>4046.668091</v>
      </c>
      <c r="U9" s="41">
        <v>0.0</v>
      </c>
      <c r="V9" s="26">
        <f t="shared" si="1"/>
        <v>24012.79219</v>
      </c>
      <c r="W9" s="42">
        <f t="shared" si="7"/>
        <v>70618.40054</v>
      </c>
      <c r="X9" s="34">
        <f t="shared" si="2"/>
        <v>1.68017048</v>
      </c>
      <c r="Y9" s="44">
        <f t="shared" si="3"/>
        <v>1453200.632</v>
      </c>
      <c r="Z9" s="30"/>
      <c r="AA9" s="45">
        <f t="shared" si="8"/>
        <v>23702.78796</v>
      </c>
      <c r="AB9" s="26">
        <f t="shared" si="9"/>
        <v>116306.1383</v>
      </c>
      <c r="AC9" s="26">
        <f t="shared" si="12"/>
        <v>24779.87957</v>
      </c>
      <c r="AD9" s="42">
        <f t="shared" si="10"/>
        <v>91561.01785</v>
      </c>
      <c r="AE9" s="34">
        <v>2.0</v>
      </c>
      <c r="AF9" s="44">
        <f t="shared" si="11"/>
        <v>1263773.858</v>
      </c>
      <c r="AG9" s="6"/>
      <c r="AH9" s="6"/>
      <c r="AI9" s="6"/>
      <c r="AJ9" s="6"/>
      <c r="AK9" s="6"/>
      <c r="AL9" s="6"/>
      <c r="AM9" s="6"/>
      <c r="AN9" s="6"/>
      <c r="AO9" s="6"/>
      <c r="AP9" s="6"/>
    </row>
    <row r="10" ht="11.25" customHeight="1">
      <c r="A10" s="38"/>
      <c r="B10" s="39">
        <f t="shared" si="4"/>
        <v>5</v>
      </c>
      <c r="C10" s="40">
        <v>107200.0</v>
      </c>
      <c r="D10" s="26">
        <f t="shared" si="5"/>
        <v>413700</v>
      </c>
      <c r="E10" s="41">
        <v>10923.0</v>
      </c>
      <c r="F10" s="26">
        <f t="shared" si="6"/>
        <v>102769</v>
      </c>
      <c r="G10" s="26">
        <f>IFERROR(__xludf.DUMMYFUNCTION("""COMPUTED_VALUE"""),10596.39730030339)</f>
        <v>10596.3973</v>
      </c>
      <c r="H10" s="26">
        <f>IFERROR(__xludf.DUMMYFUNCTION("""COMPUTED_VALUE"""),831395.6525564119)</f>
        <v>831395.6526</v>
      </c>
      <c r="I10" s="26">
        <f>IFERROR(__xludf.DUMMYFUNCTION("""COMPUTED_VALUE"""),8695.957539168363)</f>
        <v>8695.957539</v>
      </c>
      <c r="J10" s="42">
        <f>IFERROR(__xludf.DUMMYFUNCTION("""COMPUTED_VALUE"""),218738.5423968947)</f>
        <v>218738.5424</v>
      </c>
      <c r="K10" s="26"/>
      <c r="L10" s="42"/>
      <c r="M10" s="30"/>
      <c r="N10" s="43">
        <v>0.0</v>
      </c>
      <c r="O10" s="41">
        <v>22350.0</v>
      </c>
      <c r="P10" s="41">
        <v>0.0</v>
      </c>
      <c r="Q10" s="41">
        <v>-2500.0</v>
      </c>
      <c r="R10" s="41">
        <v>0.0</v>
      </c>
      <c r="S10" s="26">
        <f>IFERROR(__xludf.DUMMYFUNCTION("""COMPUTED_VALUE"""),2854.397300303448)</f>
        <v>2854.3973</v>
      </c>
      <c r="T10" s="26">
        <f>IFERROR(__xludf.DUMMYFUNCTION("""COMPUTED_VALUE"""),4071.957539168361)</f>
        <v>4071.957539</v>
      </c>
      <c r="U10" s="41">
        <v>0.0</v>
      </c>
      <c r="V10" s="26">
        <f t="shared" si="1"/>
        <v>26776.35484</v>
      </c>
      <c r="W10" s="42">
        <f t="shared" si="7"/>
        <v>97394.75537</v>
      </c>
      <c r="X10" s="34">
        <f t="shared" si="2"/>
        <v>1.709198279</v>
      </c>
      <c r="Y10" s="44">
        <f t="shared" si="3"/>
        <v>1593379.55</v>
      </c>
      <c r="Z10" s="30"/>
      <c r="AA10" s="45">
        <f t="shared" si="8"/>
        <v>24779.87957</v>
      </c>
      <c r="AB10" s="26">
        <f t="shared" si="9"/>
        <v>141086.0178</v>
      </c>
      <c r="AC10" s="26">
        <f t="shared" si="12"/>
        <v>25879.78426</v>
      </c>
      <c r="AD10" s="42">
        <f t="shared" si="10"/>
        <v>117440.8021</v>
      </c>
      <c r="AE10" s="34">
        <v>2.0</v>
      </c>
      <c r="AF10" s="44">
        <f t="shared" si="11"/>
        <v>1319868.997</v>
      </c>
      <c r="AG10" s="6"/>
      <c r="AH10" s="6"/>
      <c r="AI10" s="6"/>
      <c r="AJ10" s="6"/>
      <c r="AK10" s="6"/>
      <c r="AL10" s="6"/>
      <c r="AM10" s="6"/>
      <c r="AN10" s="6"/>
      <c r="AO10" s="6"/>
      <c r="AP10" s="6"/>
    </row>
    <row r="11" ht="11.25" customHeight="1">
      <c r="A11" s="38"/>
      <c r="B11" s="39">
        <f t="shared" si="4"/>
        <v>6</v>
      </c>
      <c r="C11" s="40">
        <v>351100.0</v>
      </c>
      <c r="D11" s="26">
        <f t="shared" si="5"/>
        <v>764800</v>
      </c>
      <c r="E11" s="41">
        <v>10923.0</v>
      </c>
      <c r="F11" s="26">
        <f t="shared" si="6"/>
        <v>113692</v>
      </c>
      <c r="G11" s="26">
        <f>IFERROR(__xludf.DUMMYFUNCTION("""COMPUTED_VALUE"""),11293.677356331522)</f>
        <v>11293.67736</v>
      </c>
      <c r="H11" s="26">
        <f>IFERROR(__xludf.DUMMYFUNCTION("""COMPUTED_VALUE"""),842689.3299127434)</f>
        <v>842689.3299</v>
      </c>
      <c r="I11" s="26">
        <f>IFERROR(__xludf.DUMMYFUNCTION("""COMPUTED_VALUE"""),9701.741234525307)</f>
        <v>9701.741235</v>
      </c>
      <c r="J11" s="42">
        <f>IFERROR(__xludf.DUMMYFUNCTION("""COMPUTED_VALUE"""),228440.28363142002)</f>
        <v>228440.2836</v>
      </c>
      <c r="K11" s="26"/>
      <c r="L11" s="42"/>
      <c r="M11" s="30"/>
      <c r="N11" s="43">
        <v>0.0</v>
      </c>
      <c r="O11" s="41">
        <v>36300.0</v>
      </c>
      <c r="P11" s="41">
        <v>0.0</v>
      </c>
      <c r="Q11" s="41">
        <v>-400.0</v>
      </c>
      <c r="R11" s="41">
        <v>0.0</v>
      </c>
      <c r="S11" s="26">
        <f>IFERROR(__xludf.DUMMYFUNCTION("""COMPUTED_VALUE"""),3551.677356331493)</f>
        <v>3551.677356</v>
      </c>
      <c r="T11" s="26">
        <f>IFERROR(__xludf.DUMMYFUNCTION("""COMPUTED_VALUE"""),5077.7412345252815)</f>
        <v>5077.741235</v>
      </c>
      <c r="U11" s="41">
        <v>0.0</v>
      </c>
      <c r="V11" s="26">
        <f t="shared" si="1"/>
        <v>44529.41859</v>
      </c>
      <c r="W11" s="42">
        <f t="shared" si="7"/>
        <v>141924.174</v>
      </c>
      <c r="X11" s="34">
        <f t="shared" si="2"/>
        <v>2.284003126</v>
      </c>
      <c r="Y11" s="44">
        <f t="shared" si="3"/>
        <v>1994151.032</v>
      </c>
      <c r="Z11" s="30"/>
      <c r="AA11" s="45">
        <f t="shared" si="8"/>
        <v>25879.78426</v>
      </c>
      <c r="AB11" s="26">
        <f t="shared" si="9"/>
        <v>166965.8021</v>
      </c>
      <c r="AC11" s="26">
        <f t="shared" si="12"/>
        <v>27035.74831</v>
      </c>
      <c r="AD11" s="42">
        <f t="shared" si="10"/>
        <v>144476.5504</v>
      </c>
      <c r="AE11" s="34">
        <v>2.0</v>
      </c>
      <c r="AF11" s="44">
        <f t="shared" si="11"/>
        <v>1378823.164</v>
      </c>
      <c r="AG11" s="6"/>
      <c r="AH11" s="6"/>
      <c r="AI11" s="6"/>
      <c r="AJ11" s="6"/>
      <c r="AK11" s="6"/>
      <c r="AL11" s="6"/>
      <c r="AM11" s="6"/>
      <c r="AN11" s="6"/>
      <c r="AO11" s="6"/>
      <c r="AP11" s="6"/>
    </row>
    <row r="12" ht="11.25" customHeight="1">
      <c r="A12" s="38"/>
      <c r="B12" s="39">
        <f t="shared" si="4"/>
        <v>7</v>
      </c>
      <c r="C12" s="40">
        <v>-85530.0</v>
      </c>
      <c r="D12" s="26">
        <f t="shared" si="5"/>
        <v>679270</v>
      </c>
      <c r="E12" s="41">
        <v>10923.0</v>
      </c>
      <c r="F12" s="26">
        <f t="shared" si="6"/>
        <v>124615</v>
      </c>
      <c r="G12" s="26">
        <f>IFERROR(__xludf.DUMMYFUNCTION("""COMPUTED_VALUE"""),11740.29210056429)</f>
        <v>11740.2921</v>
      </c>
      <c r="H12" s="26">
        <f>IFERROR(__xludf.DUMMYFUNCTION("""COMPUTED_VALUE"""),854429.6220133078)</f>
        <v>854429.622</v>
      </c>
      <c r="I12" s="26">
        <f>IFERROR(__xludf.DUMMYFUNCTION("""COMPUTED_VALUE"""),10337.54567362462)</f>
        <v>10337.54567</v>
      </c>
      <c r="J12" s="42">
        <f>IFERROR(__xludf.DUMMYFUNCTION("""COMPUTED_VALUE"""),238777.82930504464)</f>
        <v>238777.8293</v>
      </c>
      <c r="K12" s="26"/>
      <c r="L12" s="42"/>
      <c r="M12" s="30"/>
      <c r="N12" s="43">
        <v>2730.0</v>
      </c>
      <c r="O12" s="41">
        <v>30350.0</v>
      </c>
      <c r="P12" s="41">
        <v>200.0</v>
      </c>
      <c r="Q12" s="41">
        <v>4500.0</v>
      </c>
      <c r="R12" s="41">
        <v>0.0</v>
      </c>
      <c r="S12" s="26">
        <f>IFERROR(__xludf.DUMMYFUNCTION("""COMPUTED_VALUE"""),3998.2921005642856)</f>
        <v>3998.292101</v>
      </c>
      <c r="T12" s="26">
        <f>IFERROR(__xludf.DUMMYFUNCTION("""COMPUTED_VALUE"""),5713.545673624612)</f>
        <v>5713.545674</v>
      </c>
      <c r="U12" s="41">
        <v>0.0</v>
      </c>
      <c r="V12" s="26">
        <f t="shared" si="1"/>
        <v>47491.83777</v>
      </c>
      <c r="W12" s="42">
        <f t="shared" si="7"/>
        <v>189416.0117</v>
      </c>
      <c r="X12" s="34">
        <f t="shared" si="2"/>
        <v>2.503401336</v>
      </c>
      <c r="Y12" s="44">
        <f t="shared" si="3"/>
        <v>1944584.289</v>
      </c>
      <c r="Z12" s="30"/>
      <c r="AA12" s="45">
        <f t="shared" si="8"/>
        <v>27035.74831</v>
      </c>
      <c r="AB12" s="26">
        <f t="shared" si="9"/>
        <v>194001.5504</v>
      </c>
      <c r="AC12" s="26">
        <f t="shared" si="12"/>
        <v>28236.48003</v>
      </c>
      <c r="AD12" s="42">
        <f t="shared" si="10"/>
        <v>172713.0304</v>
      </c>
      <c r="AE12" s="34">
        <v>2.0</v>
      </c>
      <c r="AF12" s="44">
        <f t="shared" si="11"/>
        <v>1440060.482</v>
      </c>
      <c r="AG12" s="6"/>
      <c r="AH12" s="6"/>
      <c r="AI12" s="6"/>
      <c r="AJ12" s="6"/>
      <c r="AK12" s="6"/>
      <c r="AL12" s="6"/>
      <c r="AM12" s="6"/>
      <c r="AN12" s="6"/>
      <c r="AO12" s="6"/>
      <c r="AP12" s="6"/>
    </row>
    <row r="13" ht="11.25" customHeight="1">
      <c r="A13" s="38"/>
      <c r="B13" s="39">
        <f t="shared" si="4"/>
        <v>8</v>
      </c>
      <c r="C13" s="40">
        <v>-275796.0</v>
      </c>
      <c r="D13" s="26">
        <f t="shared" si="5"/>
        <v>403474</v>
      </c>
      <c r="E13" s="41">
        <v>10923.0</v>
      </c>
      <c r="F13" s="26">
        <f t="shared" si="6"/>
        <v>135538</v>
      </c>
      <c r="G13" s="26">
        <f>IFERROR(__xludf.DUMMYFUNCTION("""COMPUTED_VALUE"""),11776.491334541031)</f>
        <v>11776.49133</v>
      </c>
      <c r="H13" s="26">
        <f>IFERROR(__xludf.DUMMYFUNCTION("""COMPUTED_VALUE"""),866206.1133478488)</f>
        <v>866206.1133</v>
      </c>
      <c r="I13" s="26">
        <f>IFERROR(__xludf.DUMMYFUNCTION("""COMPUTED_VALUE"""),10362.097344599475)</f>
        <v>10362.09734</v>
      </c>
      <c r="J13" s="42">
        <f>IFERROR(__xludf.DUMMYFUNCTION("""COMPUTED_VALUE"""),249139.9266496441)</f>
        <v>249139.9266</v>
      </c>
      <c r="K13" s="26"/>
      <c r="L13" s="42"/>
      <c r="M13" s="30"/>
      <c r="N13" s="43">
        <v>2370.0</v>
      </c>
      <c r="O13" s="41">
        <v>24407.0</v>
      </c>
      <c r="P13" s="41">
        <v>470.0</v>
      </c>
      <c r="Q13" s="41">
        <v>9000.0</v>
      </c>
      <c r="R13" s="41">
        <v>0.0</v>
      </c>
      <c r="S13" s="26">
        <f>IFERROR(__xludf.DUMMYFUNCTION("""COMPUTED_VALUE"""),4034.4913345410605)</f>
        <v>4034.491335</v>
      </c>
      <c r="T13" s="26">
        <f>IFERROR(__xludf.DUMMYFUNCTION("""COMPUTED_VALUE"""),2538.0973445994896)</f>
        <v>2538.097345</v>
      </c>
      <c r="U13" s="41">
        <v>0.0</v>
      </c>
      <c r="V13" s="26">
        <f t="shared" si="1"/>
        <v>42819.58868</v>
      </c>
      <c r="W13" s="42">
        <f t="shared" si="7"/>
        <v>232235.6004</v>
      </c>
      <c r="X13" s="34">
        <f t="shared" si="2"/>
        <v>2.5882903</v>
      </c>
      <c r="Y13" s="44">
        <f t="shared" si="3"/>
        <v>1697177.629</v>
      </c>
      <c r="Z13" s="30"/>
      <c r="AA13" s="45">
        <f t="shared" si="8"/>
        <v>28236.48003</v>
      </c>
      <c r="AB13" s="26">
        <f t="shared" si="9"/>
        <v>222238.0304</v>
      </c>
      <c r="AC13" s="26">
        <f t="shared" si="12"/>
        <v>29462.44141</v>
      </c>
      <c r="AD13" s="42">
        <f t="shared" si="10"/>
        <v>202175.4719</v>
      </c>
      <c r="AE13" s="34">
        <v>2.0</v>
      </c>
      <c r="AF13" s="44">
        <f t="shared" si="11"/>
        <v>1502584.512</v>
      </c>
      <c r="AG13" s="6"/>
      <c r="AH13" s="6"/>
      <c r="AI13" s="6"/>
      <c r="AJ13" s="6"/>
      <c r="AK13" s="6"/>
      <c r="AL13" s="6"/>
      <c r="AM13" s="6"/>
      <c r="AN13" s="6"/>
      <c r="AO13" s="6"/>
      <c r="AP13" s="6"/>
    </row>
    <row r="14" ht="11.25" customHeight="1">
      <c r="A14" s="38"/>
      <c r="B14" s="39">
        <f t="shared" si="4"/>
        <v>9</v>
      </c>
      <c r="C14" s="40">
        <v>21497.0</v>
      </c>
      <c r="D14" s="26">
        <f t="shared" si="5"/>
        <v>424971</v>
      </c>
      <c r="E14" s="41">
        <v>10923.0</v>
      </c>
      <c r="F14" s="26">
        <f t="shared" si="6"/>
        <v>146461</v>
      </c>
      <c r="G14" s="26">
        <f>IFERROR(__xludf.DUMMYFUNCTION("""COMPUTED_VALUE"""),11812.802182822532)</f>
        <v>11812.80218</v>
      </c>
      <c r="H14" s="26">
        <f>IFERROR(__xludf.DUMMYFUNCTION("""COMPUTED_VALUE"""),878018.9155306712)</f>
        <v>878018.9155</v>
      </c>
      <c r="I14" s="26">
        <f>IFERROR(__xludf.DUMMYFUNCTION("""COMPUTED_VALUE"""),10386.7073257929)</f>
        <v>10386.70733</v>
      </c>
      <c r="J14" s="42">
        <f>IFERROR(__xludf.DUMMYFUNCTION("""COMPUTED_VALUE"""),259526.633975437)</f>
        <v>259526.634</v>
      </c>
      <c r="K14" s="26"/>
      <c r="L14" s="42"/>
      <c r="M14" s="30"/>
      <c r="N14" s="43">
        <v>0.0</v>
      </c>
      <c r="O14" s="41">
        <v>28840.0</v>
      </c>
      <c r="P14" s="41">
        <v>219.0</v>
      </c>
      <c r="Q14" s="41">
        <v>174.0</v>
      </c>
      <c r="R14" s="41">
        <v>0.0</v>
      </c>
      <c r="S14" s="26">
        <f>IFERROR(__xludf.DUMMYFUNCTION("""COMPUTED_VALUE"""),4070.8021828224882)</f>
        <v>4070.802183</v>
      </c>
      <c r="T14" s="26">
        <f>IFERROR(__xludf.DUMMYFUNCTION("""COMPUTED_VALUE"""),2562.7073257928714)</f>
        <v>2562.707326</v>
      </c>
      <c r="U14" s="41">
        <v>0.0</v>
      </c>
      <c r="V14" s="26">
        <f t="shared" si="1"/>
        <v>35866.50951</v>
      </c>
      <c r="W14" s="42">
        <f t="shared" si="7"/>
        <v>268102.1099</v>
      </c>
      <c r="X14" s="34">
        <f t="shared" si="2"/>
        <v>2.098711567</v>
      </c>
      <c r="Y14" s="44">
        <f t="shared" si="3"/>
        <v>1744844.059</v>
      </c>
      <c r="Z14" s="30"/>
      <c r="AA14" s="45">
        <f t="shared" si="8"/>
        <v>29462.44141</v>
      </c>
      <c r="AB14" s="26">
        <f t="shared" si="9"/>
        <v>251700.4719</v>
      </c>
      <c r="AC14" s="26">
        <f t="shared" si="12"/>
        <v>30714.14043</v>
      </c>
      <c r="AD14" s="42">
        <f t="shared" si="10"/>
        <v>232889.6123</v>
      </c>
      <c r="AE14" s="34">
        <v>2.0</v>
      </c>
      <c r="AF14" s="44">
        <f t="shared" si="11"/>
        <v>1566421.162</v>
      </c>
      <c r="AG14" s="6"/>
      <c r="AH14" s="6"/>
      <c r="AI14" s="6"/>
      <c r="AJ14" s="6"/>
      <c r="AK14" s="6"/>
      <c r="AL14" s="6"/>
      <c r="AM14" s="6"/>
      <c r="AN14" s="6"/>
      <c r="AO14" s="6"/>
      <c r="AP14" s="6"/>
    </row>
    <row r="15" ht="11.25" customHeight="1">
      <c r="A15" s="38"/>
      <c r="B15" s="39">
        <f t="shared" si="4"/>
        <v>10</v>
      </c>
      <c r="C15" s="40">
        <v>-2521.0</v>
      </c>
      <c r="D15" s="26">
        <f t="shared" si="5"/>
        <v>422450</v>
      </c>
      <c r="E15" s="41">
        <v>10923.0</v>
      </c>
      <c r="F15" s="26">
        <f t="shared" si="6"/>
        <v>157384</v>
      </c>
      <c r="G15" s="26">
        <f>IFERROR(__xludf.DUMMYFUNCTION("""COMPUTED_VALUE"""),11849.224989552902)</f>
        <v>11849.22499</v>
      </c>
      <c r="H15" s="26">
        <f>IFERROR(__xludf.DUMMYFUNCTION("""COMPUTED_VALUE"""),889868.1405202241)</f>
        <v>889868.1405</v>
      </c>
      <c r="I15" s="26">
        <f>IFERROR(__xludf.DUMMYFUNCTION("""COMPUTED_VALUE"""),10411.37575569166)</f>
        <v>10411.37576</v>
      </c>
      <c r="J15" s="42">
        <f>IFERROR(__xludf.DUMMYFUNCTION("""COMPUTED_VALUE"""),269938.00973112864)</f>
        <v>269938.0097</v>
      </c>
      <c r="K15" s="26"/>
      <c r="L15" s="42"/>
      <c r="M15" s="30"/>
      <c r="N15" s="43">
        <v>0.0</v>
      </c>
      <c r="O15" s="41">
        <v>43934.0</v>
      </c>
      <c r="P15" s="41">
        <v>596.0</v>
      </c>
      <c r="Q15" s="41">
        <v>500.0</v>
      </c>
      <c r="R15" s="41">
        <v>0.0</v>
      </c>
      <c r="S15" s="26">
        <f>IFERROR(__xludf.DUMMYFUNCTION("""COMPUTED_VALUE"""),4107.224989552866)</f>
        <v>4107.22499</v>
      </c>
      <c r="T15" s="26">
        <f>IFERROR(__xludf.DUMMYFUNCTION("""COMPUTED_VALUE"""),2587.375755691668)</f>
        <v>2587.375756</v>
      </c>
      <c r="U15" s="41">
        <v>0.0</v>
      </c>
      <c r="V15" s="26">
        <f t="shared" si="1"/>
        <v>51724.60075</v>
      </c>
      <c r="W15" s="42">
        <f t="shared" si="7"/>
        <v>319826.7107</v>
      </c>
      <c r="X15" s="34">
        <f t="shared" si="2"/>
        <v>2.973293111</v>
      </c>
      <c r="Y15" s="44">
        <f t="shared" si="3"/>
        <v>1791364.751</v>
      </c>
      <c r="Z15" s="30"/>
      <c r="AA15" s="45">
        <f t="shared" si="8"/>
        <v>30714.14043</v>
      </c>
      <c r="AB15" s="26">
        <f t="shared" si="9"/>
        <v>282414.6123</v>
      </c>
      <c r="AC15" s="26">
        <f t="shared" si="12"/>
        <v>31992.09525</v>
      </c>
      <c r="AD15" s="42">
        <f t="shared" si="10"/>
        <v>264881.7075</v>
      </c>
      <c r="AE15" s="34">
        <v>2.0</v>
      </c>
      <c r="AF15" s="44">
        <f t="shared" si="11"/>
        <v>1631596.858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</row>
    <row r="16" ht="11.25" customHeight="1">
      <c r="A16" s="38"/>
      <c r="B16" s="39">
        <f t="shared" si="4"/>
        <v>11</v>
      </c>
      <c r="C16" s="40">
        <v>-54800.0</v>
      </c>
      <c r="D16" s="26">
        <f t="shared" si="5"/>
        <v>367650</v>
      </c>
      <c r="E16" s="41">
        <v>10923.0</v>
      </c>
      <c r="F16" s="26">
        <f t="shared" si="6"/>
        <v>168307</v>
      </c>
      <c r="G16" s="26">
        <f>IFERROR(__xludf.DUMMYFUNCTION("""COMPUTED_VALUE"""),11885.760099937357)</f>
        <v>11885.7601</v>
      </c>
      <c r="H16" s="26">
        <f>IFERROR(__xludf.DUMMYFUNCTION("""COMPUTED_VALUE"""),901753.9006201614)</f>
        <v>901753.9006</v>
      </c>
      <c r="I16" s="26">
        <f>IFERROR(__xludf.DUMMYFUNCTION("""COMPUTED_VALUE"""),10436.102773111426)</f>
        <v>10436.10277</v>
      </c>
      <c r="J16" s="42">
        <f>IFERROR(__xludf.DUMMYFUNCTION("""COMPUTED_VALUE"""),280374.11250424007)</f>
        <v>280374.1125</v>
      </c>
      <c r="K16" s="26"/>
      <c r="L16" s="42"/>
      <c r="M16" s="30"/>
      <c r="N16" s="43">
        <v>0.0</v>
      </c>
      <c r="O16" s="41">
        <v>35700.0</v>
      </c>
      <c r="P16" s="41">
        <v>1090.0</v>
      </c>
      <c r="Q16" s="41">
        <v>0.0</v>
      </c>
      <c r="R16" s="41">
        <v>0.0</v>
      </c>
      <c r="S16" s="26">
        <f>IFERROR(__xludf.DUMMYFUNCTION("""COMPUTED_VALUE"""),4143.760099937383)</f>
        <v>4143.7601</v>
      </c>
      <c r="T16" s="26">
        <f>IFERROR(__xludf.DUMMYFUNCTION("""COMPUTED_VALUE"""),2612.10277311143)</f>
        <v>2612.102773</v>
      </c>
      <c r="U16" s="41">
        <v>0.0</v>
      </c>
      <c r="V16" s="26">
        <f t="shared" si="1"/>
        <v>43545.86287</v>
      </c>
      <c r="W16" s="42">
        <f t="shared" si="7"/>
        <v>363372.5735</v>
      </c>
      <c r="X16" s="34">
        <f t="shared" si="2"/>
        <v>2.5345581</v>
      </c>
      <c r="Y16" s="44">
        <f t="shared" si="3"/>
        <v>1761630.876</v>
      </c>
      <c r="Z16" s="30"/>
      <c r="AA16" s="45">
        <f t="shared" si="8"/>
        <v>31992.09525</v>
      </c>
      <c r="AB16" s="26">
        <f t="shared" si="9"/>
        <v>314406.7075</v>
      </c>
      <c r="AC16" s="26">
        <f t="shared" si="12"/>
        <v>33296.83441</v>
      </c>
      <c r="AD16" s="42">
        <f t="shared" si="10"/>
        <v>298178.5419</v>
      </c>
      <c r="AE16" s="34">
        <v>2.0</v>
      </c>
      <c r="AF16" s="44">
        <f t="shared" si="11"/>
        <v>1698138.555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</row>
    <row r="17" ht="11.25" customHeight="1">
      <c r="A17" s="47"/>
      <c r="B17" s="48">
        <f t="shared" si="4"/>
        <v>12</v>
      </c>
      <c r="C17" s="40">
        <v>84850.0</v>
      </c>
      <c r="D17" s="49">
        <f t="shared" si="5"/>
        <v>452500</v>
      </c>
      <c r="E17" s="50">
        <v>10923.0</v>
      </c>
      <c r="F17" s="49">
        <f t="shared" si="6"/>
        <v>179230</v>
      </c>
      <c r="G17" s="49">
        <f>IFERROR(__xludf.DUMMYFUNCTION("""COMPUTED_VALUE"""),11922.407860245497)</f>
        <v>11922.40786</v>
      </c>
      <c r="H17" s="49">
        <f>IFERROR(__xludf.DUMMYFUNCTION("""COMPUTED_VALUE"""),913676.3084804069)</f>
        <v>913676.3085</v>
      </c>
      <c r="I17" s="49">
        <f>IFERROR(__xludf.DUMMYFUNCTION("""COMPUTED_VALUE"""),10460.888517197567)</f>
        <v>10460.88852</v>
      </c>
      <c r="J17" s="51">
        <f>IFERROR(__xludf.DUMMYFUNCTION("""COMPUTED_VALUE"""),290835.00102143764)</f>
        <v>290835.001</v>
      </c>
      <c r="K17" s="49"/>
      <c r="L17" s="51"/>
      <c r="M17" s="30"/>
      <c r="N17" s="52">
        <v>0.0</v>
      </c>
      <c r="O17" s="41">
        <v>26157.0</v>
      </c>
      <c r="P17" s="50">
        <v>550.0</v>
      </c>
      <c r="Q17" s="50">
        <v>0.0</v>
      </c>
      <c r="R17" s="50">
        <v>0.0</v>
      </c>
      <c r="S17" s="49">
        <f>IFERROR(__xludf.DUMMYFUNCTION("""COMPUTED_VALUE"""),4180.407860245497)</f>
        <v>4180.40786</v>
      </c>
      <c r="T17" s="49">
        <f>IFERROR(__xludf.DUMMYFUNCTION("""COMPUTED_VALUE"""),2636.8885171975708)</f>
        <v>2636.888517</v>
      </c>
      <c r="U17" s="50">
        <v>0.0</v>
      </c>
      <c r="V17" s="49">
        <f t="shared" si="1"/>
        <v>33524.29638</v>
      </c>
      <c r="W17" s="51">
        <f t="shared" si="7"/>
        <v>396896.8699</v>
      </c>
      <c r="X17" s="34">
        <f t="shared" si="2"/>
        <v>1.825702112</v>
      </c>
      <c r="Y17" s="44">
        <f t="shared" si="3"/>
        <v>1869765.606</v>
      </c>
      <c r="Z17" s="30"/>
      <c r="AA17" s="45">
        <f t="shared" si="8"/>
        <v>33296.83441</v>
      </c>
      <c r="AB17" s="49">
        <f t="shared" si="9"/>
        <v>347703.5419</v>
      </c>
      <c r="AC17" s="49">
        <f t="shared" si="12"/>
        <v>34628.89703</v>
      </c>
      <c r="AD17" s="51">
        <f t="shared" si="10"/>
        <v>332807.439</v>
      </c>
      <c r="AE17" s="34">
        <v>2.0</v>
      </c>
      <c r="AF17" s="44">
        <f t="shared" si="11"/>
        <v>1766073.748</v>
      </c>
      <c r="AG17" s="6"/>
      <c r="AH17" s="6"/>
      <c r="AI17" s="6"/>
      <c r="AJ17" s="6"/>
      <c r="AK17" s="6"/>
      <c r="AL17" s="6"/>
      <c r="AM17" s="6"/>
      <c r="AN17" s="6"/>
      <c r="AO17" s="6"/>
      <c r="AP17" s="6"/>
    </row>
    <row r="18" ht="11.25" customHeight="1">
      <c r="A18" s="23">
        <v>44137.0</v>
      </c>
      <c r="B18" s="39">
        <f t="shared" si="4"/>
        <v>13</v>
      </c>
      <c r="C18" s="40">
        <v>10400.0</v>
      </c>
      <c r="D18" s="26">
        <f t="shared" si="5"/>
        <v>462900</v>
      </c>
      <c r="E18" s="41">
        <v>10923.0</v>
      </c>
      <c r="F18" s="26">
        <f t="shared" si="6"/>
        <v>190153</v>
      </c>
      <c r="G18" s="26">
        <f>IFERROR(__xludf.DUMMYFUNCTION("""COMPUTED_VALUE"""),11959.168617814586)</f>
        <v>11959.16862</v>
      </c>
      <c r="H18" s="26">
        <f>IFERROR(__xludf.DUMMYFUNCTION("""COMPUTED_VALUE"""),925635.4770982214)</f>
        <v>925635.4771</v>
      </c>
      <c r="I18" s="26">
        <f>IFERROR(__xludf.DUMMYFUNCTION("""COMPUTED_VALUE"""),10485.733127425909)</f>
        <v>10485.73313</v>
      </c>
      <c r="J18" s="42">
        <f>IFERROR(__xludf.DUMMYFUNCTION("""COMPUTED_VALUE"""),301320.7341488635)</f>
        <v>301320.7341</v>
      </c>
      <c r="K18" s="26"/>
      <c r="L18" s="42"/>
      <c r="M18" s="30"/>
      <c r="N18" s="43">
        <v>17101.0</v>
      </c>
      <c r="O18" s="53">
        <v>23884.0</v>
      </c>
      <c r="P18" s="41">
        <v>20.0</v>
      </c>
      <c r="Q18" s="41">
        <v>2167.0</v>
      </c>
      <c r="R18" s="41">
        <v>0.0</v>
      </c>
      <c r="S18" s="26">
        <f>IFERROR(__xludf.DUMMYFUNCTION("""COMPUTED_VALUE"""),4217.168617814605)</f>
        <v>4217.168618</v>
      </c>
      <c r="T18" s="26">
        <f>IFERROR(__xludf.DUMMYFUNCTION("""COMPUTED_VALUE"""),2661.7331274258904)</f>
        <v>2661.733127</v>
      </c>
      <c r="U18" s="41">
        <v>0.0</v>
      </c>
      <c r="V18" s="26">
        <f t="shared" si="1"/>
        <v>50050.90175</v>
      </c>
      <c r="W18" s="42">
        <f t="shared" si="7"/>
        <v>446947.7717</v>
      </c>
      <c r="X18" s="34">
        <f t="shared" si="2"/>
        <v>2.662268964</v>
      </c>
      <c r="Y18" s="44">
        <f t="shared" si="3"/>
        <v>1930060.113</v>
      </c>
      <c r="Z18" s="30"/>
      <c r="AA18" s="45">
        <f t="shared" si="8"/>
        <v>34628.89703</v>
      </c>
      <c r="AB18" s="26">
        <f t="shared" si="9"/>
        <v>382332.439</v>
      </c>
      <c r="AC18" s="26">
        <f t="shared" si="12"/>
        <v>35988.833</v>
      </c>
      <c r="AD18" s="42">
        <f t="shared" si="10"/>
        <v>368796.272</v>
      </c>
      <c r="AE18" s="34">
        <v>2.0</v>
      </c>
      <c r="AF18" s="44">
        <f t="shared" si="11"/>
        <v>1835430.483</v>
      </c>
      <c r="AG18" s="6"/>
      <c r="AH18" s="6"/>
      <c r="AI18" s="6"/>
      <c r="AJ18" s="6"/>
      <c r="AK18" s="6"/>
      <c r="AL18" s="6"/>
      <c r="AM18" s="6"/>
      <c r="AN18" s="6"/>
      <c r="AO18" s="6"/>
      <c r="AP18" s="6"/>
    </row>
    <row r="19" ht="11.25" customHeight="1">
      <c r="A19" s="54"/>
      <c r="B19" s="39">
        <f t="shared" si="4"/>
        <v>14</v>
      </c>
      <c r="C19" s="40">
        <v>-127750.0</v>
      </c>
      <c r="D19" s="26">
        <f t="shared" si="5"/>
        <v>335150</v>
      </c>
      <c r="E19" s="41">
        <v>10923.0</v>
      </c>
      <c r="F19" s="26">
        <f t="shared" si="6"/>
        <v>201076</v>
      </c>
      <c r="G19" s="26">
        <f>IFERROR(__xludf.DUMMYFUNCTION("""COMPUTED_VALUE"""),11996.042721052847)</f>
        <v>11996.04272</v>
      </c>
      <c r="H19" s="26">
        <f>IFERROR(__xludf.DUMMYFUNCTION("""COMPUTED_VALUE"""),937631.5198192743)</f>
        <v>937631.5198</v>
      </c>
      <c r="I19" s="26">
        <f>IFERROR(__xludf.DUMMYFUNCTION("""COMPUTED_VALUE"""),10034.190199295022)</f>
        <v>10034.1902</v>
      </c>
      <c r="J19" s="42">
        <f>IFERROR(__xludf.DUMMYFUNCTION("""COMPUTED_VALUE"""),311354.9243481585)</f>
        <v>311354.9243</v>
      </c>
      <c r="K19" s="26"/>
      <c r="L19" s="42"/>
      <c r="M19" s="30"/>
      <c r="N19" s="43">
        <v>23735.0</v>
      </c>
      <c r="O19" s="41">
        <v>15069.0</v>
      </c>
      <c r="P19" s="41">
        <v>0.0</v>
      </c>
      <c r="Q19" s="41">
        <v>0.0</v>
      </c>
      <c r="R19" s="41">
        <v>0.0</v>
      </c>
      <c r="S19" s="26">
        <f>IFERROR(__xludf.DUMMYFUNCTION("""COMPUTED_VALUE"""),4254.042721052829)</f>
        <v>4254.042721</v>
      </c>
      <c r="T19" s="26">
        <f>IFERROR(__xludf.DUMMYFUNCTION("""COMPUTED_VALUE"""),2210.1901992950006)</f>
        <v>2210.190199</v>
      </c>
      <c r="U19" s="41">
        <v>0.0</v>
      </c>
      <c r="V19" s="26">
        <f t="shared" si="1"/>
        <v>45268.23292</v>
      </c>
      <c r="W19" s="42">
        <f t="shared" si="7"/>
        <v>492216.0046</v>
      </c>
      <c r="X19" s="34">
        <f t="shared" si="2"/>
        <v>2.535733664</v>
      </c>
      <c r="Y19" s="44">
        <f t="shared" si="3"/>
        <v>1830480.677</v>
      </c>
      <c r="Z19" s="30"/>
      <c r="AA19" s="45">
        <f t="shared" si="8"/>
        <v>35988.833</v>
      </c>
      <c r="AB19" s="26">
        <f t="shared" si="9"/>
        <v>418321.272</v>
      </c>
      <c r="AC19" s="26">
        <f t="shared" si="12"/>
        <v>37367.67432</v>
      </c>
      <c r="AD19" s="42">
        <f t="shared" si="10"/>
        <v>406163.9463</v>
      </c>
      <c r="AE19" s="34">
        <v>2.0</v>
      </c>
      <c r="AF19" s="44">
        <f t="shared" si="11"/>
        <v>1905751.39</v>
      </c>
      <c r="AG19" s="6"/>
      <c r="AH19" s="6"/>
      <c r="AI19" s="6"/>
      <c r="AJ19" s="6"/>
      <c r="AK19" s="6"/>
      <c r="AL19" s="6"/>
      <c r="AM19" s="6"/>
      <c r="AN19" s="6"/>
      <c r="AO19" s="6"/>
      <c r="AP19" s="6"/>
    </row>
    <row r="20" ht="11.25" customHeight="1">
      <c r="A20" s="46">
        <v>44197.0</v>
      </c>
      <c r="B20" s="39">
        <f t="shared" si="4"/>
        <v>15</v>
      </c>
      <c r="C20" s="40">
        <v>17070.0</v>
      </c>
      <c r="D20" s="26">
        <f t="shared" si="5"/>
        <v>352220</v>
      </c>
      <c r="E20" s="41">
        <v>10923.0</v>
      </c>
      <c r="F20" s="26">
        <f t="shared" si="6"/>
        <v>211999</v>
      </c>
      <c r="G20" s="26">
        <f>IFERROR(__xludf.DUMMYFUNCTION("""COMPUTED_VALUE"""),12033.03051944276)</f>
        <v>12033.03052</v>
      </c>
      <c r="H20" s="26">
        <f>IFERROR(__xludf.DUMMYFUNCTION("""COMPUTED_VALUE"""),949664.5503387171)</f>
        <v>949664.5503</v>
      </c>
      <c r="I20" s="26">
        <f>IFERROR(__xludf.DUMMYFUNCTION("""COMPUTED_VALUE"""),9110.14540750095)</f>
        <v>9110.145408</v>
      </c>
      <c r="J20" s="42">
        <f>IFERROR(__xludf.DUMMYFUNCTION("""COMPUTED_VALUE"""),320465.0697556595)</f>
        <v>320465.0698</v>
      </c>
      <c r="K20" s="26"/>
      <c r="L20" s="42"/>
      <c r="M20" s="30"/>
      <c r="N20" s="43">
        <v>1250.0</v>
      </c>
      <c r="O20" s="41">
        <v>26671.0</v>
      </c>
      <c r="P20" s="41">
        <v>1044.0</v>
      </c>
      <c r="Q20" s="41">
        <v>1461.0</v>
      </c>
      <c r="R20" s="41">
        <v>0.0</v>
      </c>
      <c r="S20" s="26">
        <f>IFERROR(__xludf.DUMMYFUNCTION("""COMPUTED_VALUE"""),4291.030519442749)</f>
        <v>4291.030519</v>
      </c>
      <c r="T20" s="26">
        <f>IFERROR(__xludf.DUMMYFUNCTION("""COMPUTED_VALUE"""),1286.1454075009678)</f>
        <v>1286.145408</v>
      </c>
      <c r="U20" s="41">
        <v>0.0</v>
      </c>
      <c r="V20" s="26">
        <f t="shared" si="1"/>
        <v>36003.17593</v>
      </c>
      <c r="W20" s="42">
        <f t="shared" si="7"/>
        <v>528219.1805</v>
      </c>
      <c r="X20" s="34">
        <f t="shared" si="2"/>
        <v>1.962722654</v>
      </c>
      <c r="Y20" s="44">
        <f t="shared" si="3"/>
        <v>1870351.796</v>
      </c>
      <c r="Z20" s="30"/>
      <c r="AA20" s="45">
        <f t="shared" si="8"/>
        <v>37367.67432</v>
      </c>
      <c r="AB20" s="26">
        <f t="shared" si="9"/>
        <v>455688.9463</v>
      </c>
      <c r="AC20" s="26">
        <f t="shared" si="12"/>
        <v>38756.35133</v>
      </c>
      <c r="AD20" s="42">
        <f t="shared" si="10"/>
        <v>444920.2976</v>
      </c>
      <c r="AE20" s="34">
        <v>2.0</v>
      </c>
      <c r="AF20" s="44">
        <f t="shared" si="11"/>
        <v>1976573.918</v>
      </c>
      <c r="AG20" s="6"/>
      <c r="AH20" s="6"/>
      <c r="AI20" s="6"/>
      <c r="AJ20" s="6"/>
      <c r="AK20" s="6"/>
      <c r="AL20" s="6"/>
      <c r="AM20" s="6"/>
      <c r="AN20" s="6"/>
      <c r="AO20" s="6"/>
      <c r="AP20" s="6"/>
    </row>
    <row r="21" ht="11.25" customHeight="1">
      <c r="A21" s="38"/>
      <c r="B21" s="39">
        <f t="shared" si="4"/>
        <v>16</v>
      </c>
      <c r="C21" s="40">
        <v>46640.0</v>
      </c>
      <c r="D21" s="26">
        <f t="shared" si="5"/>
        <v>398860</v>
      </c>
      <c r="E21" s="41">
        <v>10923.0</v>
      </c>
      <c r="F21" s="26">
        <f t="shared" si="6"/>
        <v>222922</v>
      </c>
      <c r="G21" s="26">
        <f>IFERROR(__xludf.DUMMYFUNCTION("""COMPUTED_VALUE"""),12070.132363544377)</f>
        <v>12070.13236</v>
      </c>
      <c r="H21" s="26">
        <f>IFERROR(__xludf.DUMMYFUNCTION("""COMPUTED_VALUE"""),961734.6827022615)</f>
        <v>961734.6827</v>
      </c>
      <c r="I21" s="26">
        <f>IFERROR(__xludf.DUMMYFUNCTION("""COMPUTED_VALUE"""),8781.395209266973)</f>
        <v>8781.395209</v>
      </c>
      <c r="J21" s="42">
        <f>IFERROR(__xludf.DUMMYFUNCTION("""COMPUTED_VALUE"""),329246.4649649265)</f>
        <v>329246.465</v>
      </c>
      <c r="K21" s="26"/>
      <c r="L21" s="42"/>
      <c r="M21" s="30"/>
      <c r="N21" s="43">
        <v>29378.0</v>
      </c>
      <c r="O21" s="41">
        <v>25038.0</v>
      </c>
      <c r="P21" s="41">
        <v>4716.0</v>
      </c>
      <c r="Q21" s="41">
        <v>1792.0</v>
      </c>
      <c r="R21" s="41">
        <v>5308.0</v>
      </c>
      <c r="S21" s="26">
        <f>IFERROR(__xludf.DUMMYFUNCTION("""COMPUTED_VALUE"""),4328.13236354437)</f>
        <v>4328.132364</v>
      </c>
      <c r="T21" s="26">
        <f>IFERROR(__xludf.DUMMYFUNCTION("""COMPUTED_VALUE"""),957.3952092669788)</f>
        <v>957.3952093</v>
      </c>
      <c r="U21" s="41">
        <v>0.0</v>
      </c>
      <c r="V21" s="26">
        <f t="shared" si="1"/>
        <v>71517.52757</v>
      </c>
      <c r="W21" s="42">
        <f t="shared" si="7"/>
        <v>599736.7081</v>
      </c>
      <c r="X21" s="34">
        <f t="shared" si="2"/>
        <v>3.738964109</v>
      </c>
      <c r="Y21" s="44">
        <f t="shared" si="3"/>
        <v>1984280.675</v>
      </c>
      <c r="Z21" s="30"/>
      <c r="AA21" s="45">
        <f t="shared" si="8"/>
        <v>38756.35133</v>
      </c>
      <c r="AB21" s="26">
        <f t="shared" si="9"/>
        <v>494445.2976</v>
      </c>
      <c r="AC21" s="26">
        <f t="shared" si="12"/>
        <v>40166.96891</v>
      </c>
      <c r="AD21" s="42">
        <f t="shared" si="10"/>
        <v>485087.2665</v>
      </c>
      <c r="AE21" s="34">
        <v>2.0</v>
      </c>
      <c r="AF21" s="44">
        <f t="shared" si="11"/>
        <v>2048515.414</v>
      </c>
      <c r="AG21" s="6"/>
      <c r="AH21" s="6"/>
      <c r="AI21" s="6"/>
      <c r="AJ21" s="6"/>
      <c r="AK21" s="6"/>
      <c r="AL21" s="6"/>
      <c r="AM21" s="6"/>
      <c r="AN21" s="6"/>
      <c r="AO21" s="6"/>
      <c r="AP21" s="6"/>
    </row>
    <row r="22" ht="11.25" customHeight="1">
      <c r="A22" s="38"/>
      <c r="B22" s="39">
        <f t="shared" si="4"/>
        <v>17</v>
      </c>
      <c r="C22" s="40">
        <f>V21</f>
        <v>71517.52757</v>
      </c>
      <c r="D22" s="26">
        <f t="shared" si="5"/>
        <v>470377.5276</v>
      </c>
      <c r="E22" s="41">
        <v>10923.0</v>
      </c>
      <c r="F22" s="26">
        <f t="shared" si="6"/>
        <v>233845</v>
      </c>
      <c r="G22" s="26">
        <f>IFERROR(__xludf.DUMMYFUNCTION("""COMPUTED_VALUE"""),12107.348604998639)</f>
        <v>12107.3486</v>
      </c>
      <c r="H22" s="26">
        <f>IFERROR(__xludf.DUMMYFUNCTION("""COMPUTED_VALUE"""),973842.0313072602)</f>
        <v>973842.0313</v>
      </c>
      <c r="I22" s="26">
        <f>IFERROR(__xludf.DUMMYFUNCTION("""COMPUTED_VALUE"""),8807.739394894774)</f>
        <v>8807.739395</v>
      </c>
      <c r="J22" s="42">
        <f>IFERROR(__xludf.DUMMYFUNCTION("""COMPUTED_VALUE"""),338054.2043598213)</f>
        <v>338054.2044</v>
      </c>
      <c r="K22" s="26"/>
      <c r="L22" s="42"/>
      <c r="M22" s="30"/>
      <c r="N22" s="43">
        <v>8000.0</v>
      </c>
      <c r="O22" s="41">
        <v>34503.0</v>
      </c>
      <c r="P22" s="41">
        <v>3650.0</v>
      </c>
      <c r="Q22" s="41">
        <v>-625.0</v>
      </c>
      <c r="R22" s="41">
        <v>5675.0</v>
      </c>
      <c r="S22" s="26">
        <f>IFERROR(__xludf.DUMMYFUNCTION("""COMPUTED_VALUE"""),4365.3486049986095)</f>
        <v>4365.348605</v>
      </c>
      <c r="T22" s="26">
        <f>IFERROR(__xludf.DUMMYFUNCTION("""COMPUTED_VALUE"""),983.7393948948011)</f>
        <v>983.7393949</v>
      </c>
      <c r="U22" s="41">
        <v>0.0</v>
      </c>
      <c r="V22" s="26">
        <f t="shared" si="1"/>
        <v>56552.088</v>
      </c>
      <c r="W22" s="42">
        <f t="shared" si="7"/>
        <v>656288.7961</v>
      </c>
      <c r="X22" s="34">
        <f t="shared" si="2"/>
        <v>2.804997852</v>
      </c>
      <c r="Y22" s="44">
        <f t="shared" si="3"/>
        <v>2072670.851</v>
      </c>
      <c r="Z22" s="30"/>
      <c r="AA22" s="45">
        <f t="shared" si="8"/>
        <v>40166.96891</v>
      </c>
      <c r="AB22" s="26">
        <f t="shared" si="9"/>
        <v>534612.2665</v>
      </c>
      <c r="AC22" s="26">
        <f t="shared" si="12"/>
        <v>41607.07004</v>
      </c>
      <c r="AD22" s="42">
        <f t="shared" si="10"/>
        <v>526694.3366</v>
      </c>
      <c r="AE22" s="34">
        <v>2.0</v>
      </c>
      <c r="AF22" s="44">
        <f t="shared" si="11"/>
        <v>2121960.572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</row>
    <row r="23" ht="11.25" customHeight="1">
      <c r="A23" s="38"/>
      <c r="B23" s="39">
        <f t="shared" si="4"/>
        <v>18</v>
      </c>
      <c r="C23" s="40">
        <v>-61326.75</v>
      </c>
      <c r="D23" s="26">
        <f t="shared" si="5"/>
        <v>409050.7776</v>
      </c>
      <c r="E23" s="41">
        <v>10923.0</v>
      </c>
      <c r="F23" s="26">
        <f t="shared" si="6"/>
        <v>244768</v>
      </c>
      <c r="G23" s="26">
        <f>IFERROR(__xludf.DUMMYFUNCTION("""COMPUTED_VALUE"""),12144.679596530717)</f>
        <v>12144.6796</v>
      </c>
      <c r="H23" s="26">
        <f>IFERROR(__xludf.DUMMYFUNCTION("""COMPUTED_VALUE"""),985986.7109037909)</f>
        <v>985986.7109</v>
      </c>
      <c r="I23" s="26">
        <f>IFERROR(__xludf.DUMMYFUNCTION("""COMPUTED_VALUE"""),8599.000463442777)</f>
        <v>8599.000463</v>
      </c>
      <c r="J23" s="42">
        <f>IFERROR(__xludf.DUMMYFUNCTION("""COMPUTED_VALUE"""),346653.20482326404)</f>
        <v>346653.2048</v>
      </c>
      <c r="K23" s="26"/>
      <c r="L23" s="42"/>
      <c r="M23" s="30"/>
      <c r="N23" s="43">
        <v>20316.0</v>
      </c>
      <c r="O23" s="41">
        <v>22495.0</v>
      </c>
      <c r="P23" s="41">
        <v>10875.0</v>
      </c>
      <c r="Q23" s="41">
        <v>1600.0</v>
      </c>
      <c r="R23" s="41">
        <v>7309.0</v>
      </c>
      <c r="S23" s="26">
        <f>IFERROR(__xludf.DUMMYFUNCTION("""COMPUTED_VALUE"""),4402.679596530739)</f>
        <v>4402.679597</v>
      </c>
      <c r="T23" s="26">
        <f>IFERROR(__xludf.DUMMYFUNCTION("""COMPUTED_VALUE"""),775.0004634427605)</f>
        <v>775.0004634</v>
      </c>
      <c r="U23" s="41">
        <v>0.0</v>
      </c>
      <c r="V23" s="26">
        <f t="shared" si="1"/>
        <v>67772.68006</v>
      </c>
      <c r="W23" s="42">
        <f t="shared" si="7"/>
        <v>724061.4761</v>
      </c>
      <c r="X23" s="34">
        <f t="shared" si="2"/>
        <v>3.411733669</v>
      </c>
      <c r="Y23" s="44">
        <f t="shared" si="3"/>
        <v>2054231.373</v>
      </c>
      <c r="Z23" s="30"/>
      <c r="AA23" s="45">
        <f t="shared" si="8"/>
        <v>41607.07004</v>
      </c>
      <c r="AB23" s="26">
        <f t="shared" si="9"/>
        <v>576219.3366</v>
      </c>
      <c r="AC23" s="26">
        <f t="shared" si="12"/>
        <v>43072.54505</v>
      </c>
      <c r="AD23" s="42">
        <f t="shared" si="10"/>
        <v>569766.8816</v>
      </c>
      <c r="AE23" s="34">
        <v>2.0</v>
      </c>
      <c r="AF23" s="44">
        <f t="shared" si="11"/>
        <v>2196699.797</v>
      </c>
      <c r="AG23" s="6"/>
      <c r="AH23" s="6"/>
      <c r="AI23" s="6"/>
      <c r="AJ23" s="6"/>
      <c r="AK23" s="6"/>
      <c r="AL23" s="6"/>
      <c r="AM23" s="6"/>
      <c r="AN23" s="6"/>
      <c r="AO23" s="6"/>
      <c r="AP23" s="6"/>
    </row>
    <row r="24" ht="11.25" customHeight="1">
      <c r="A24" s="38"/>
      <c r="B24" s="39">
        <f t="shared" si="4"/>
        <v>19</v>
      </c>
      <c r="C24" s="40">
        <v>182555.0</v>
      </c>
      <c r="D24" s="26">
        <f t="shared" si="5"/>
        <v>591605.7776</v>
      </c>
      <c r="E24" s="41">
        <v>10923.0</v>
      </c>
      <c r="F24" s="26">
        <f t="shared" si="6"/>
        <v>255691</v>
      </c>
      <c r="G24" s="26">
        <f>IFERROR(__xludf.DUMMYFUNCTION("""COMPUTED_VALUE"""),12182.125691953352)</f>
        <v>12182.12569</v>
      </c>
      <c r="H24" s="26">
        <f>IFERROR(__xludf.DUMMYFUNCTION("""COMPUTED_VALUE"""),998168.8365957442)</f>
        <v>998168.8366</v>
      </c>
      <c r="I24" s="26">
        <f>IFERROR(__xludf.DUMMYFUNCTION("""COMPUTED_VALUE"""),8625.514048205057)</f>
        <v>8625.514048</v>
      </c>
      <c r="J24" s="42">
        <f>IFERROR(__xludf.DUMMYFUNCTION("""COMPUTED_VALUE"""),355278.7188714691)</f>
        <v>355278.7189</v>
      </c>
      <c r="K24" s="26"/>
      <c r="L24" s="42"/>
      <c r="M24" s="30"/>
      <c r="N24" s="43">
        <v>17393.0</v>
      </c>
      <c r="O24" s="41">
        <v>23837.0</v>
      </c>
      <c r="P24" s="41">
        <v>27445.0</v>
      </c>
      <c r="Q24" s="55">
        <v>-5000.0</v>
      </c>
      <c r="R24" s="55">
        <v>11004.0</v>
      </c>
      <c r="S24" s="26">
        <f>IFERROR(__xludf.DUMMYFUNCTION("""COMPUTED_VALUE"""),4440.125691953348)</f>
        <v>4440.125692</v>
      </c>
      <c r="T24" s="26">
        <f>IFERROR(__xludf.DUMMYFUNCTION("""COMPUTED_VALUE"""),801.5140482050483)</f>
        <v>801.5140482</v>
      </c>
      <c r="U24" s="41">
        <v>0.0</v>
      </c>
      <c r="V24" s="26">
        <f t="shared" si="1"/>
        <v>79920.63974</v>
      </c>
      <c r="W24" s="42">
        <f t="shared" si="7"/>
        <v>803982.1159</v>
      </c>
      <c r="X24" s="34">
        <f t="shared" si="2"/>
        <v>3.631527685</v>
      </c>
      <c r="Y24" s="44">
        <f t="shared" si="3"/>
        <v>2280664.973</v>
      </c>
      <c r="Z24" s="30"/>
      <c r="AA24" s="45">
        <f t="shared" si="8"/>
        <v>43072.54505</v>
      </c>
      <c r="AB24" s="26">
        <f t="shared" si="9"/>
        <v>619291.8816</v>
      </c>
      <c r="AC24" s="26">
        <f t="shared" si="12"/>
        <v>44568.60874</v>
      </c>
      <c r="AD24" s="42">
        <f t="shared" si="10"/>
        <v>614335.4904</v>
      </c>
      <c r="AE24" s="34">
        <v>2.0</v>
      </c>
      <c r="AF24" s="44">
        <f t="shared" si="11"/>
        <v>2272999.046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</row>
    <row r="25" ht="11.25" customHeight="1">
      <c r="A25" s="38"/>
      <c r="B25" s="39">
        <f t="shared" si="4"/>
        <v>20</v>
      </c>
      <c r="C25" s="40">
        <v>235510.0</v>
      </c>
      <c r="D25" s="26">
        <f t="shared" si="5"/>
        <v>827115.7776</v>
      </c>
      <c r="E25" s="41">
        <v>10923.0</v>
      </c>
      <c r="F25" s="26">
        <f t="shared" si="6"/>
        <v>266614</v>
      </c>
      <c r="G25" s="26">
        <f>IFERROR(__xludf.DUMMYFUNCTION("""COMPUTED_VALUE"""),12219.687246170208)</f>
        <v>12219.68725</v>
      </c>
      <c r="H25" s="26">
        <f>IFERROR(__xludf.DUMMYFUNCTION("""COMPUTED_VALUE"""),1010388.5238419145)</f>
        <v>1010388.524</v>
      </c>
      <c r="I25" s="26">
        <f>IFERROR(__xludf.DUMMYFUNCTION("""COMPUTED_VALUE"""),8067.792449618582)</f>
        <v>8067.79245</v>
      </c>
      <c r="J25" s="42">
        <f>IFERROR(__xludf.DUMMYFUNCTION("""COMPUTED_VALUE"""),363346.51132108766)</f>
        <v>363346.5113</v>
      </c>
      <c r="K25" s="26"/>
      <c r="L25" s="42"/>
      <c r="M25" s="30"/>
      <c r="N25" s="43">
        <v>12000.0</v>
      </c>
      <c r="O25" s="41">
        <v>10451.0</v>
      </c>
      <c r="P25" s="41">
        <v>22522.0</v>
      </c>
      <c r="Q25" s="55">
        <v>750.0</v>
      </c>
      <c r="R25" s="55">
        <v>10013.0</v>
      </c>
      <c r="S25" s="26">
        <f>IFERROR(__xludf.DUMMYFUNCTION("""COMPUTED_VALUE"""),4477.687246170186)</f>
        <v>4477.687246</v>
      </c>
      <c r="T25" s="26">
        <f>IFERROR(__xludf.DUMMYFUNCTION("""COMPUTED_VALUE"""),243.7924496185733)</f>
        <v>243.7924496</v>
      </c>
      <c r="U25" s="41">
        <v>0.0</v>
      </c>
      <c r="V25" s="26">
        <f t="shared" si="1"/>
        <v>60457.4797</v>
      </c>
      <c r="W25" s="42">
        <f t="shared" si="7"/>
        <v>864439.5956</v>
      </c>
      <c r="X25" s="34">
        <f t="shared" si="2"/>
        <v>2.450186093</v>
      </c>
      <c r="Y25" s="44">
        <f t="shared" si="3"/>
        <v>2527922.292</v>
      </c>
      <c r="Z25" s="30"/>
      <c r="AA25" s="45">
        <f t="shared" si="8"/>
        <v>44568.60874</v>
      </c>
      <c r="AB25" s="26">
        <f t="shared" si="9"/>
        <v>663860.4904</v>
      </c>
      <c r="AC25" s="26">
        <f t="shared" si="12"/>
        <v>46084.19051</v>
      </c>
      <c r="AD25" s="42">
        <f t="shared" si="10"/>
        <v>660419.6809</v>
      </c>
      <c r="AE25" s="34">
        <v>2.0</v>
      </c>
      <c r="AF25" s="44">
        <f t="shared" si="11"/>
        <v>2350293.716</v>
      </c>
      <c r="AG25" s="6"/>
      <c r="AH25" s="6"/>
      <c r="AI25" s="6"/>
      <c r="AJ25" s="6"/>
      <c r="AK25" s="6"/>
      <c r="AL25" s="6"/>
      <c r="AM25" s="6"/>
      <c r="AN25" s="6"/>
      <c r="AO25" s="6"/>
      <c r="AP25" s="6"/>
    </row>
    <row r="26" ht="11.25" customHeight="1">
      <c r="A26" s="38"/>
      <c r="B26" s="39">
        <f t="shared" si="4"/>
        <v>21</v>
      </c>
      <c r="C26" s="40">
        <v>-8460.0</v>
      </c>
      <c r="D26" s="26">
        <f t="shared" si="5"/>
        <v>818655.7776</v>
      </c>
      <c r="E26" s="41">
        <v>10923.0</v>
      </c>
      <c r="F26" s="26">
        <f t="shared" si="6"/>
        <v>277537</v>
      </c>
      <c r="G26" s="26">
        <f>IFERROR(__xludf.DUMMYFUNCTION("""COMPUTED_VALUE"""),12257.364615179235)</f>
        <v>12257.36462</v>
      </c>
      <c r="H26" s="26">
        <f>IFERROR(__xludf.DUMMYFUNCTION("""COMPUTED_VALUE"""),1022645.8884570937)</f>
        <v>1022645.888</v>
      </c>
      <c r="I26" s="26">
        <f>IFERROR(__xludf.DUMMYFUNCTION("""COMPUTED_VALUE"""),8094.348933098576)</f>
        <v>8094.348933</v>
      </c>
      <c r="J26" s="42">
        <f>IFERROR(__xludf.DUMMYFUNCTION("""COMPUTED_VALUE"""),371440.8602541862)</f>
        <v>371440.8603</v>
      </c>
      <c r="K26" s="26"/>
      <c r="L26" s="42"/>
      <c r="M26" s="30"/>
      <c r="N26" s="43">
        <v>18275.0</v>
      </c>
      <c r="O26" s="41">
        <v>20837.0</v>
      </c>
      <c r="P26" s="41">
        <v>24150.0</v>
      </c>
      <c r="Q26" s="55">
        <v>0.0</v>
      </c>
      <c r="R26" s="55">
        <v>11979.0</v>
      </c>
      <c r="S26" s="26">
        <f>IFERROR(__xludf.DUMMYFUNCTION("""COMPUTED_VALUE"""),4515.364615179249)</f>
        <v>4515.364615</v>
      </c>
      <c r="T26" s="26">
        <f>IFERROR(__xludf.DUMMYFUNCTION("""COMPUTED_VALUE"""),270.3489330986049)</f>
        <v>270.3489331</v>
      </c>
      <c r="U26" s="41">
        <v>0.0</v>
      </c>
      <c r="V26" s="26">
        <f t="shared" si="1"/>
        <v>80026.71355</v>
      </c>
      <c r="W26" s="42">
        <f t="shared" si="7"/>
        <v>944466.3091</v>
      </c>
      <c r="X26" s="34">
        <f t="shared" si="2"/>
        <v>3.213563486</v>
      </c>
      <c r="Y26" s="44">
        <f t="shared" si="3"/>
        <v>2570306.24</v>
      </c>
      <c r="Z26" s="30"/>
      <c r="AA26" s="45">
        <f t="shared" si="8"/>
        <v>46084.19051</v>
      </c>
      <c r="AB26" s="26">
        <f t="shared" si="9"/>
        <v>709944.6809</v>
      </c>
      <c r="AC26" s="26">
        <f t="shared" si="12"/>
        <v>47631.36859</v>
      </c>
      <c r="AD26" s="42">
        <f t="shared" si="10"/>
        <v>708051.0495</v>
      </c>
      <c r="AE26" s="34">
        <v>2.0</v>
      </c>
      <c r="AF26" s="44">
        <f t="shared" si="11"/>
        <v>2429199.798</v>
      </c>
      <c r="AG26" s="6"/>
      <c r="AH26" s="6"/>
      <c r="AI26" s="6"/>
      <c r="AJ26" s="6"/>
      <c r="AK26" s="6"/>
      <c r="AL26" s="6"/>
      <c r="AM26" s="6"/>
      <c r="AN26" s="6"/>
      <c r="AO26" s="6"/>
      <c r="AP26" s="6"/>
    </row>
    <row r="27" ht="11.25" customHeight="1">
      <c r="A27" s="38"/>
      <c r="B27" s="39">
        <f t="shared" si="4"/>
        <v>22</v>
      </c>
      <c r="C27" s="40">
        <v>169325.0</v>
      </c>
      <c r="D27" s="26">
        <f t="shared" si="5"/>
        <v>987980.7776</v>
      </c>
      <c r="E27" s="41">
        <v>10923.0</v>
      </c>
      <c r="F27" s="26">
        <f t="shared" si="6"/>
        <v>288460</v>
      </c>
      <c r="G27" s="26">
        <f>IFERROR(__xludf.DUMMYFUNCTION("""COMPUTED_VALUE"""),12295.158156076035)</f>
        <v>12295.15816</v>
      </c>
      <c r="H27" s="26">
        <f>IFERROR(__xludf.DUMMYFUNCTION("""COMPUTED_VALUE"""),1034941.0466131697)</f>
        <v>1034941.047</v>
      </c>
      <c r="I27" s="26">
        <f>IFERROR(__xludf.DUMMYFUNCTION("""COMPUTED_VALUE"""),8120.992831670024)</f>
        <v>8120.992832</v>
      </c>
      <c r="J27" s="42">
        <f>IFERROR(__xludf.DUMMYFUNCTION("""COMPUTED_VALUE"""),379561.85308585624)</f>
        <v>379561.8531</v>
      </c>
      <c r="K27" s="26"/>
      <c r="L27" s="42"/>
      <c r="M27" s="30"/>
      <c r="N27" s="43">
        <v>19672.0</v>
      </c>
      <c r="O27" s="41">
        <v>20808.0</v>
      </c>
      <c r="P27" s="41">
        <v>46175.0</v>
      </c>
      <c r="Q27" s="55">
        <v>900.0</v>
      </c>
      <c r="R27" s="55">
        <v>13074.0</v>
      </c>
      <c r="S27" s="26">
        <f>IFERROR(__xludf.DUMMYFUNCTION("""COMPUTED_VALUE"""),4553.158156076039)</f>
        <v>4553.158156</v>
      </c>
      <c r="T27" s="26">
        <f>IFERROR(__xludf.DUMMYFUNCTION("""COMPUTED_VALUE"""),296.99283167003887)</f>
        <v>296.9928317</v>
      </c>
      <c r="U27" s="41">
        <v>0.0</v>
      </c>
      <c r="V27" s="26">
        <f t="shared" si="1"/>
        <v>105479.151</v>
      </c>
      <c r="W27" s="42">
        <f t="shared" si="7"/>
        <v>1049945.46</v>
      </c>
      <c r="X27" s="34">
        <f t="shared" si="2"/>
        <v>3.919782933</v>
      </c>
      <c r="Y27" s="44">
        <f t="shared" si="3"/>
        <v>2796422.828</v>
      </c>
      <c r="Z27" s="30"/>
      <c r="AA27" s="45">
        <f t="shared" si="8"/>
        <v>47631.36859</v>
      </c>
      <c r="AB27" s="26">
        <f t="shared" si="9"/>
        <v>757576.0495</v>
      </c>
      <c r="AC27" s="26">
        <f t="shared" si="12"/>
        <v>49210.77898</v>
      </c>
      <c r="AD27" s="42">
        <f t="shared" si="10"/>
        <v>757261.8285</v>
      </c>
      <c r="AE27" s="34">
        <v>2.0</v>
      </c>
      <c r="AF27" s="44">
        <f t="shared" si="11"/>
        <v>2509749.728</v>
      </c>
      <c r="AG27" s="6"/>
      <c r="AH27" s="6"/>
      <c r="AI27" s="6"/>
      <c r="AJ27" s="6"/>
      <c r="AK27" s="6"/>
      <c r="AL27" s="6"/>
      <c r="AM27" s="6"/>
      <c r="AN27" s="6"/>
      <c r="AO27" s="6"/>
      <c r="AP27" s="6"/>
    </row>
    <row r="28" ht="11.25" customHeight="1">
      <c r="A28" s="56"/>
      <c r="B28" s="39">
        <f t="shared" si="4"/>
        <v>23</v>
      </c>
      <c r="C28" s="40">
        <v>68536.0</v>
      </c>
      <c r="D28" s="26">
        <f t="shared" si="5"/>
        <v>1056516.778</v>
      </c>
      <c r="E28" s="41">
        <v>10923.0</v>
      </c>
      <c r="F28" s="26">
        <f t="shared" si="6"/>
        <v>299383</v>
      </c>
      <c r="G28" s="26">
        <f>IFERROR(__xludf.DUMMYFUNCTION("""COMPUTED_VALUE"""),12333.068227057272)</f>
        <v>12333.06823</v>
      </c>
      <c r="H28" s="26">
        <f>IFERROR(__xludf.DUMMYFUNCTION("""COMPUTED_VALUE"""),1047274.114840227)</f>
        <v>1047274.115</v>
      </c>
      <c r="I28" s="26">
        <f>IFERROR(__xludf.DUMMYFUNCTION("""COMPUTED_VALUE"""),8147.724433074272)</f>
        <v>8147.724433</v>
      </c>
      <c r="J28" s="42">
        <f>IFERROR(__xludf.DUMMYFUNCTION("""COMPUTED_VALUE"""),387709.57751893054)</f>
        <v>387709.5775</v>
      </c>
      <c r="K28" s="26"/>
      <c r="L28" s="42"/>
      <c r="M28" s="30"/>
      <c r="N28" s="43">
        <v>6000.0</v>
      </c>
      <c r="O28" s="41">
        <v>19481.0</v>
      </c>
      <c r="P28" s="41">
        <v>36900.0</v>
      </c>
      <c r="Q28" s="55">
        <v>8425.0</v>
      </c>
      <c r="R28" s="55">
        <v>11583.0</v>
      </c>
      <c r="S28" s="26">
        <f>IFERROR(__xludf.DUMMYFUNCTION("""COMPUTED_VALUE"""),2591.068227057287)</f>
        <v>2591.068227</v>
      </c>
      <c r="T28" s="26">
        <f>IFERROR(__xludf.DUMMYFUNCTION("""COMPUTED_VALUE"""),323.72443307429785)</f>
        <v>323.7244331</v>
      </c>
      <c r="U28" s="41">
        <v>0.0</v>
      </c>
      <c r="V28" s="26">
        <f t="shared" si="1"/>
        <v>85303.79266</v>
      </c>
      <c r="W28" s="42">
        <f t="shared" si="7"/>
        <v>1135249.253</v>
      </c>
      <c r="X28" s="34">
        <f t="shared" si="2"/>
        <v>3.056515744</v>
      </c>
      <c r="Y28" s="44">
        <f t="shared" si="3"/>
        <v>2876187.263</v>
      </c>
      <c r="Z28" s="30"/>
      <c r="AA28" s="45">
        <f t="shared" si="8"/>
        <v>49210.77898</v>
      </c>
      <c r="AB28" s="26">
        <f t="shared" si="9"/>
        <v>806786.8285</v>
      </c>
      <c r="AC28" s="26">
        <f t="shared" si="12"/>
        <v>50823.07042</v>
      </c>
      <c r="AD28" s="42">
        <f t="shared" si="10"/>
        <v>808084.8989</v>
      </c>
      <c r="AE28" s="34">
        <v>2.0</v>
      </c>
      <c r="AF28" s="44">
        <f t="shared" si="11"/>
        <v>2591976.591</v>
      </c>
      <c r="AG28" s="6"/>
      <c r="AH28" s="6"/>
      <c r="AI28" s="6"/>
      <c r="AJ28" s="6"/>
      <c r="AK28" s="6"/>
      <c r="AL28" s="6"/>
      <c r="AM28" s="6"/>
      <c r="AN28" s="6"/>
      <c r="AO28" s="6"/>
      <c r="AP28" s="6"/>
    </row>
    <row r="29" ht="11.25" customHeight="1">
      <c r="A29" s="57"/>
      <c r="B29" s="48">
        <f t="shared" si="4"/>
        <v>24</v>
      </c>
      <c r="C29" s="40">
        <v>-53923.0</v>
      </c>
      <c r="D29" s="49">
        <f t="shared" si="5"/>
        <v>1002593.778</v>
      </c>
      <c r="E29" s="50">
        <v>10923.0</v>
      </c>
      <c r="F29" s="49">
        <f t="shared" si="6"/>
        <v>310306</v>
      </c>
      <c r="G29" s="49">
        <f>IFERROR(__xludf.DUMMYFUNCTION("""COMPUTED_VALUE"""),12371.09518742403)</f>
        <v>12371.09519</v>
      </c>
      <c r="H29" s="49">
        <f>IFERROR(__xludf.DUMMYFUNCTION("""COMPUTED_VALUE"""),1059645.210027651)</f>
        <v>1059645.21</v>
      </c>
      <c r="I29" s="49">
        <f>IFERROR(__xludf.DUMMYFUNCTION("""COMPUTED_VALUE"""),7596.983521316251)</f>
        <v>7596.983521</v>
      </c>
      <c r="J29" s="51">
        <f>IFERROR(__xludf.DUMMYFUNCTION("""COMPUTED_VALUE"""),395306.5610402468)</f>
        <v>395306.561</v>
      </c>
      <c r="K29" s="49"/>
      <c r="L29" s="51"/>
      <c r="M29" s="30"/>
      <c r="N29" s="58">
        <v>37500.0</v>
      </c>
      <c r="O29" s="50">
        <v>62922.0</v>
      </c>
      <c r="P29" s="50">
        <v>37000.0</v>
      </c>
      <c r="Q29" s="59">
        <v>19200.0</v>
      </c>
      <c r="R29" s="59">
        <v>5627.0</v>
      </c>
      <c r="S29" s="49">
        <f>IFERROR(__xludf.DUMMYFUNCTION("""COMPUTED_VALUE"""),2629.095187424042)</f>
        <v>2629.095187</v>
      </c>
      <c r="T29" s="49">
        <f>IFERROR(__xludf.DUMMYFUNCTION("""COMPUTED_VALUE"""),-227.0164786837413)</f>
        <v>-227.0164787</v>
      </c>
      <c r="U29" s="50">
        <v>0.0</v>
      </c>
      <c r="V29" s="49">
        <f t="shared" si="1"/>
        <v>164651.0787</v>
      </c>
      <c r="W29" s="51">
        <f t="shared" si="7"/>
        <v>1299900.331</v>
      </c>
      <c r="X29" s="34">
        <f t="shared" si="2"/>
        <v>5.948696157</v>
      </c>
      <c r="Y29" s="44">
        <f t="shared" si="3"/>
        <v>2932502.627</v>
      </c>
      <c r="Z29" s="30"/>
      <c r="AA29" s="45">
        <f t="shared" si="8"/>
        <v>50823.07042</v>
      </c>
      <c r="AB29" s="49">
        <f t="shared" si="9"/>
        <v>857609.8989</v>
      </c>
      <c r="AC29" s="49">
        <f t="shared" si="12"/>
        <v>52457.3534</v>
      </c>
      <c r="AD29" s="51">
        <f t="shared" si="10"/>
        <v>860542.2523</v>
      </c>
      <c r="AE29" s="34">
        <v>2.0</v>
      </c>
      <c r="AF29" s="44">
        <f t="shared" si="11"/>
        <v>2675325.023</v>
      </c>
      <c r="AG29" s="6"/>
      <c r="AH29" s="6"/>
      <c r="AI29" s="6"/>
      <c r="AJ29" s="6"/>
      <c r="AK29" s="6"/>
      <c r="AL29" s="6"/>
      <c r="AM29" s="6"/>
      <c r="AN29" s="6"/>
      <c r="AO29" s="6"/>
      <c r="AP29" s="6"/>
    </row>
    <row r="30" ht="11.25" customHeight="1">
      <c r="A30" s="23">
        <v>44503.0</v>
      </c>
      <c r="B30" s="39">
        <f t="shared" si="4"/>
        <v>25</v>
      </c>
      <c r="C30" s="40">
        <v>197066.0</v>
      </c>
      <c r="D30" s="26">
        <f t="shared" si="5"/>
        <v>1199659.778</v>
      </c>
      <c r="E30" s="41">
        <v>10923.0</v>
      </c>
      <c r="F30" s="26">
        <f t="shared" si="6"/>
        <v>321229</v>
      </c>
      <c r="G30" s="26">
        <f>IFERROR(__xludf.DUMMYFUNCTION("""COMPUTED_VALUE"""),12409.239397585254)</f>
        <v>12409.2394</v>
      </c>
      <c r="H30" s="26">
        <f>IFERROR(__xludf.DUMMYFUNCTION("""COMPUTED_VALUE"""),1072054.449425236)</f>
        <v>1072054.449</v>
      </c>
      <c r="I30" s="26">
        <f>IFERROR(__xludf.DUMMYFUNCTION("""COMPUTED_VALUE"""),7623.57296364086)</f>
        <v>7623.572964</v>
      </c>
      <c r="J30" s="42">
        <f>IFERROR(__xludf.DUMMYFUNCTION("""COMPUTED_VALUE"""),402930.13400388765)</f>
        <v>402930.134</v>
      </c>
      <c r="K30" s="26"/>
      <c r="L30" s="42"/>
      <c r="M30" s="30"/>
      <c r="N30" s="43">
        <v>18500.0</v>
      </c>
      <c r="O30" s="60">
        <v>104323.0</v>
      </c>
      <c r="P30" s="60">
        <f>IFERROR(__xludf.DUMMYFUNCTION("IMPORTRANGE(""https://docs.google.com/spreadsheets/d/1zU5eOdaH_7rO9eLngzy67eBz2J7GwA5lXQh_ru8EIwc"",""Crypto Mining!M143"")"),0.0)</f>
        <v>0</v>
      </c>
      <c r="Q30" s="60">
        <f>IFERROR(__xludf.DUMMYFUNCTION("IMPORTRANGE(""https://docs.google.com/spreadsheets/d/1zU5eOdaH_7rO9eLngzy67eBz2J7GwA5lXQh_ru8EIwc"",""Splinterlands!L92"")+IMPORTRANGE(""https://docs.google.com/spreadsheets/d/1zU5eOdaH_7rO9eLngzy67eBz2J7GwA5lXQh_ru8EIwc"",""CryptoMines - Done!P14"")+IMPO"&amp;"RTRANGE(""https://docs.google.com/spreadsheets/d/1zU5eOdaH_7rO9eLngzy67eBz2J7GwA5lXQh_ru8EIwc"",""Bombcrypto - Done!P5"")"),115375.0)</f>
        <v>115375</v>
      </c>
      <c r="R30" s="60">
        <v>14215.0</v>
      </c>
      <c r="S30" s="26">
        <f>IFERROR(__xludf.DUMMYFUNCTION("""COMPUTED_VALUE"""),2667.2393975852756)</f>
        <v>2667.239398</v>
      </c>
      <c r="T30" s="26">
        <f>IFERROR(__xludf.DUMMYFUNCTION("""COMPUTED_VALUE"""),-200.4270363591495)</f>
        <v>-200.4270364</v>
      </c>
      <c r="U30" s="41">
        <v>0.0</v>
      </c>
      <c r="V30" s="61">
        <f t="shared" si="1"/>
        <v>254879.8124</v>
      </c>
      <c r="W30" s="42">
        <f t="shared" si="7"/>
        <v>1554780.144</v>
      </c>
      <c r="X30" s="62">
        <f t="shared" si="2"/>
        <v>8.507696476</v>
      </c>
      <c r="Y30" s="44">
        <f t="shared" si="3"/>
        <v>3250753.173</v>
      </c>
      <c r="Z30" s="30"/>
      <c r="AA30" s="45">
        <f t="shared" si="8"/>
        <v>52457.3534</v>
      </c>
      <c r="AB30" s="26">
        <f t="shared" si="9"/>
        <v>910067.2523</v>
      </c>
      <c r="AC30" s="26">
        <f t="shared" si="12"/>
        <v>54125.61671</v>
      </c>
      <c r="AD30" s="42">
        <f t="shared" si="10"/>
        <v>914667.869</v>
      </c>
      <c r="AE30" s="34">
        <v>2.0</v>
      </c>
      <c r="AF30" s="44">
        <f t="shared" si="11"/>
        <v>2760406.452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</row>
    <row r="31" ht="11.25" customHeight="1">
      <c r="A31" s="54"/>
      <c r="B31" s="39">
        <f t="shared" si="4"/>
        <v>26</v>
      </c>
      <c r="C31" s="40">
        <v>331072.0</v>
      </c>
      <c r="D31" s="26">
        <f t="shared" si="5"/>
        <v>1530731.778</v>
      </c>
      <c r="E31" s="41">
        <v>10923.0</v>
      </c>
      <c r="F31" s="26">
        <f t="shared" si="6"/>
        <v>332152</v>
      </c>
      <c r="G31" s="26">
        <f>IFERROR(__xludf.DUMMYFUNCTION("""COMPUTED_VALUE"""),12447.501219061141)</f>
        <v>12447.50122</v>
      </c>
      <c r="H31" s="26">
        <f>IFERROR(__xludf.DUMMYFUNCTION("""COMPUTED_VALUE"""),1084501.9506442973)</f>
        <v>1084501.951</v>
      </c>
      <c r="I31" s="26">
        <f>IFERROR(__xludf.DUMMYFUNCTION("""COMPUTED_VALUE"""),7650.255469013602)</f>
        <v>7650.255469</v>
      </c>
      <c r="J31" s="42">
        <f>IFERROR(__xludf.DUMMYFUNCTION("""COMPUTED_VALUE"""),410580.38947290124)</f>
        <v>410580.3895</v>
      </c>
      <c r="K31" s="26"/>
      <c r="L31" s="42"/>
      <c r="M31" s="30"/>
      <c r="N31" s="43">
        <v>1250.0</v>
      </c>
      <c r="O31" s="41">
        <v>8598.0</v>
      </c>
      <c r="P31" s="41">
        <f>IFERROR(__xludf.DUMMYFUNCTION("IMPORTRANGE(""https://docs.google.com/spreadsheets/d/1zU5eOdaH_7rO9eLngzy67eBz2J7GwA5lXQh_ru8EIwc"",""Crypto Mining!M178"")"),0.0)</f>
        <v>0</v>
      </c>
      <c r="Q31" s="55">
        <f>IFERROR(__xludf.DUMMYFUNCTION("IMPORTRANGE(""https://docs.google.com/spreadsheets/d/1zU5eOdaH_7rO9eLngzy67eBz2J7GwA5lXQh_ru8EIwc"",""Splinterlands!L135"")+IMPORTRANGE(""https://docs.google.com/spreadsheets/d/1zU5eOdaH_7rO9eLngzy67eBz2J7GwA5lXQh_ru8EIwc"",""Bombcrypto - Done!P17"")+6275"),73625.0)</f>
        <v>73625</v>
      </c>
      <c r="R31" s="55">
        <v>4315.0</v>
      </c>
      <c r="S31" s="26">
        <f>IFERROR(__xludf.DUMMYFUNCTION("""COMPUTED_VALUE"""),2705.501219061145)</f>
        <v>2705.501219</v>
      </c>
      <c r="T31" s="26">
        <f>IFERROR(__xludf.DUMMYFUNCTION("""COMPUTED_VALUE"""),-173.74453098641243)</f>
        <v>-173.744531</v>
      </c>
      <c r="U31" s="41">
        <v>0.0</v>
      </c>
      <c r="V31" s="26">
        <f t="shared" si="1"/>
        <v>90319.75669</v>
      </c>
      <c r="W31" s="42">
        <f t="shared" si="7"/>
        <v>1645099.901</v>
      </c>
      <c r="X31" s="34">
        <f t="shared" si="2"/>
        <v>2.689716141</v>
      </c>
      <c r="Y31" s="44">
        <f t="shared" si="3"/>
        <v>3448285.874</v>
      </c>
      <c r="Z31" s="30"/>
      <c r="AA31" s="45">
        <f t="shared" si="8"/>
        <v>54125.61671</v>
      </c>
      <c r="AB31" s="26">
        <f t="shared" si="9"/>
        <v>964192.869</v>
      </c>
      <c r="AC31" s="26">
        <f t="shared" si="12"/>
        <v>55828.54418</v>
      </c>
      <c r="AD31" s="42">
        <f t="shared" si="10"/>
        <v>970496.4132</v>
      </c>
      <c r="AE31" s="34">
        <v>2.0</v>
      </c>
      <c r="AF31" s="44">
        <f t="shared" si="11"/>
        <v>2847255.753</v>
      </c>
      <c r="AG31" s="6"/>
      <c r="AH31" s="6"/>
      <c r="AI31" s="6"/>
      <c r="AJ31" s="6"/>
      <c r="AK31" s="6"/>
      <c r="AL31" s="6"/>
      <c r="AM31" s="6"/>
      <c r="AN31" s="6"/>
      <c r="AO31" s="6"/>
      <c r="AP31" s="6"/>
    </row>
    <row r="32" ht="11.25" customHeight="1">
      <c r="A32" s="46">
        <v>44562.0</v>
      </c>
      <c r="B32" s="63">
        <f t="shared" si="4"/>
        <v>27</v>
      </c>
      <c r="C32" s="40">
        <v>-262511.0</v>
      </c>
      <c r="D32" s="26">
        <f t="shared" si="5"/>
        <v>1268220.778</v>
      </c>
      <c r="E32" s="41">
        <v>10923.0</v>
      </c>
      <c r="F32" s="26">
        <f t="shared" si="6"/>
        <v>343075</v>
      </c>
      <c r="G32" s="26">
        <f>IFERROR(__xludf.DUMMYFUNCTION("""COMPUTED_VALUE"""),12485.881014486582)</f>
        <v>12485.88101</v>
      </c>
      <c r="H32" s="26">
        <f>IFERROR(__xludf.DUMMYFUNCTION("""COMPUTED_VALUE"""),1096987.8316587838)</f>
        <v>1096987.832</v>
      </c>
      <c r="I32" s="26">
        <f>IFERROR(__xludf.DUMMYFUNCTION("""COMPUTED_VALUE"""),7677.031363155149)</f>
        <v>7677.031363</v>
      </c>
      <c r="J32" s="42">
        <f>IFERROR(__xludf.DUMMYFUNCTION("""COMPUTED_VALUE"""),418257.4208360564)</f>
        <v>418257.4208</v>
      </c>
      <c r="K32" s="26"/>
      <c r="L32" s="42"/>
      <c r="M32" s="30"/>
      <c r="N32" s="43">
        <v>0.0</v>
      </c>
      <c r="O32" s="41">
        <v>17035.0</v>
      </c>
      <c r="P32" s="41">
        <f>IFERROR(__xludf.DUMMYFUNCTION("IMPORTRANGE(""https://docs.google.com/spreadsheets/d/1zU5eOdaH_7rO9eLngzy67eBz2J7GwA5lXQh_ru8EIwc"",""Crypto Mining!M219"")"),0.0)</f>
        <v>0</v>
      </c>
      <c r="Q32" s="55">
        <f>IFERROR(__xludf.DUMMYFUNCTION("IMPORTRANGE(""https://docs.google.com/spreadsheets/d/1zU5eOdaH_7rO9eLngzy67eBz2J7GwA5lXQh_ru8EIwc"",""Splinterlands!L185"")+IMPORTRANGE(""https://docs.google.com/spreadsheets/d/1zU5eOdaH_7rO9eLngzy67eBz2J7GwA5lXQh_ru8EIwc"",""Bombcrypto - Done!P31"")+825"),37300.0)</f>
        <v>37300</v>
      </c>
      <c r="R32" s="55">
        <v>2000.0</v>
      </c>
      <c r="S32" s="26">
        <f>IFERROR(__xludf.DUMMYFUNCTION("""COMPUTED_VALUE"""),2743.8810144866)</f>
        <v>2743.881014</v>
      </c>
      <c r="T32" s="26">
        <f>IFERROR(__xludf.DUMMYFUNCTION("""COMPUTED_VALUE"""),-146.96863684483105)</f>
        <v>-146.9686368</v>
      </c>
      <c r="U32" s="41">
        <v>0.0</v>
      </c>
      <c r="V32" s="26">
        <f t="shared" si="1"/>
        <v>58931.91238</v>
      </c>
      <c r="W32" s="42">
        <f t="shared" si="7"/>
        <v>1704031.813</v>
      </c>
      <c r="X32" s="34">
        <f t="shared" si="2"/>
        <v>1.8848917</v>
      </c>
      <c r="Y32" s="44">
        <f t="shared" si="3"/>
        <v>3185472.942</v>
      </c>
      <c r="Z32" s="30"/>
      <c r="AA32" s="45">
        <f t="shared" si="8"/>
        <v>55828.54418</v>
      </c>
      <c r="AB32" s="26">
        <f t="shared" si="9"/>
        <v>1020021.413</v>
      </c>
      <c r="AC32" s="26">
        <f t="shared" si="12"/>
        <v>57566.83331</v>
      </c>
      <c r="AD32" s="42">
        <f t="shared" si="10"/>
        <v>1028063.246</v>
      </c>
      <c r="AE32" s="34">
        <v>2.0</v>
      </c>
      <c r="AF32" s="44">
        <f t="shared" si="11"/>
        <v>2935908.499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</row>
    <row r="33" ht="11.25" customHeight="1">
      <c r="A33" s="38"/>
      <c r="B33" s="39">
        <f t="shared" si="4"/>
        <v>28</v>
      </c>
      <c r="C33" s="40">
        <v>0.0</v>
      </c>
      <c r="D33" s="26">
        <f t="shared" si="5"/>
        <v>1268220.778</v>
      </c>
      <c r="E33" s="41">
        <v>10923.0</v>
      </c>
      <c r="F33" s="26">
        <f t="shared" si="6"/>
        <v>353998</v>
      </c>
      <c r="G33" s="26">
        <f>IFERROR(__xludf.DUMMYFUNCTION("""COMPUTED_VALUE"""),12524.379147614582)</f>
        <v>12524.37915</v>
      </c>
      <c r="H33" s="26">
        <f>IFERROR(__xludf.DUMMYFUNCTION("""COMPUTED_VALUE"""),1109512.2108063984)</f>
        <v>1109512.211</v>
      </c>
      <c r="I33" s="26">
        <f>IFERROR(__xludf.DUMMYFUNCTION("""COMPUTED_VALUE"""),7703.9009729261925)</f>
        <v>7703.900973</v>
      </c>
      <c r="J33" s="42">
        <f>IFERROR(__xludf.DUMMYFUNCTION("""COMPUTED_VALUE"""),425961.3218089826)</f>
        <v>425961.3218</v>
      </c>
      <c r="K33" s="26"/>
      <c r="L33" s="42"/>
      <c r="M33" s="30"/>
      <c r="N33" s="43">
        <v>0.0</v>
      </c>
      <c r="O33" s="41">
        <v>1231.0</v>
      </c>
      <c r="P33" s="41" t="str">
        <f>IFERROR(__xludf.DUMMYFUNCTION("IMPORTRANGE(""https://docs.google.com/spreadsheets/d/1zU5eOdaH_7rO9eLngzy67eBz2J7GwA5lXQh_ru8EIwc"",""Crypto Mining!M249"")"),"")</f>
        <v/>
      </c>
      <c r="Q33" s="55">
        <f>IFERROR(__xludf.DUMMYFUNCTION("IMPORTRANGE(""https://docs.google.com/spreadsheets/d/1zU5eOdaH_7rO9eLngzy67eBz2J7GwA5lXQh_ru8EIwc"",""Splinterlands!L197"")+IMPORTRANGE(""https://docs.google.com/spreadsheets/d/1zU5eOdaH_7rO9eLngzy67eBz2J7GwA5lXQh_ru8EIwc"",""Bombcrypto - Done!P42"")"),25675.0)</f>
        <v>25675</v>
      </c>
      <c r="R33" s="55">
        <v>0.0</v>
      </c>
      <c r="S33" s="26">
        <f>IFERROR(__xludf.DUMMYFUNCTION("""COMPUTED_VALUE"""),2782.3791476145852)</f>
        <v>2782.379148</v>
      </c>
      <c r="T33" s="26">
        <f>IFERROR(__xludf.DUMMYFUNCTION("""COMPUTED_VALUE"""),-120.09902707382571)</f>
        <v>-120.0990271</v>
      </c>
      <c r="U33" s="41">
        <v>0.0</v>
      </c>
      <c r="V33" s="26">
        <f t="shared" si="1"/>
        <v>29568.28012</v>
      </c>
      <c r="W33" s="42">
        <f t="shared" si="7"/>
        <v>1733600.093</v>
      </c>
      <c r="X33" s="34">
        <f t="shared" si="2"/>
        <v>0.9363888947</v>
      </c>
      <c r="Y33" s="44">
        <f t="shared" si="3"/>
        <v>3187260.59</v>
      </c>
      <c r="Z33" s="30"/>
      <c r="AA33" s="45">
        <f t="shared" si="8"/>
        <v>57566.83331</v>
      </c>
      <c r="AB33" s="26">
        <f t="shared" si="9"/>
        <v>1077588.246</v>
      </c>
      <c r="AC33" s="26">
        <f t="shared" si="12"/>
        <v>59341.19558</v>
      </c>
      <c r="AD33" s="42">
        <f t="shared" si="10"/>
        <v>1087404.442</v>
      </c>
      <c r="AE33" s="34">
        <v>2.0</v>
      </c>
      <c r="AF33" s="44">
        <f t="shared" si="11"/>
        <v>3026400.975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</row>
    <row r="34" ht="11.25" customHeight="1">
      <c r="A34" s="38"/>
      <c r="B34" s="39">
        <f t="shared" si="4"/>
        <v>29</v>
      </c>
      <c r="C34" s="40">
        <v>0.0</v>
      </c>
      <c r="D34" s="26">
        <f t="shared" si="5"/>
        <v>1268220.778</v>
      </c>
      <c r="E34" s="41">
        <v>10923.0</v>
      </c>
      <c r="F34" s="26">
        <f t="shared" si="6"/>
        <v>364921</v>
      </c>
      <c r="G34" s="26">
        <f>IFERROR(__xludf.DUMMYFUNCTION("""COMPUTED_VALUE"""),12562.995983319726)</f>
        <v>12562.99598</v>
      </c>
      <c r="H34" s="26">
        <f>IFERROR(__xludf.DUMMYFUNCTION("""COMPUTED_VALUE"""),1122075.2067897182)</f>
        <v>1122075.207</v>
      </c>
      <c r="I34" s="26">
        <f>IFERROR(__xludf.DUMMYFUNCTION("""COMPUTED_VALUE"""),7730.864626331435)</f>
        <v>7730.864626</v>
      </c>
      <c r="J34" s="42">
        <f>IFERROR(__xludf.DUMMYFUNCTION("""COMPUTED_VALUE"""),433692.186435314)</f>
        <v>433692.1864</v>
      </c>
      <c r="K34" s="26"/>
      <c r="L34" s="42"/>
      <c r="M34" s="30"/>
      <c r="N34" s="43">
        <v>0.0</v>
      </c>
      <c r="O34" s="41">
        <v>977.0</v>
      </c>
      <c r="P34" s="41" t="str">
        <f>IFERROR(__xludf.DUMMYFUNCTION("IMPORTRANGE(""https://docs.google.com/spreadsheets/d/1zU5eOdaH_7rO9eLngzy67eBz2J7GwA5lXQh_ru8EIwc"",""Crypto Mining!M268"")"),"")</f>
        <v/>
      </c>
      <c r="Q34" s="55">
        <f>IFERROR(__xludf.DUMMYFUNCTION("IMPORTRANGE(""https://docs.google.com/spreadsheets/d/1zU5eOdaH_7rO9eLngzy67eBz2J7GwA5lXQh_ru8EIwc"",""Splinterlands!L238"")"),6850.0)</f>
        <v>6850</v>
      </c>
      <c r="R34" s="55">
        <v>0.0</v>
      </c>
      <c r="S34" s="26">
        <f>IFERROR(__xludf.DUMMYFUNCTION("""COMPUTED_VALUE"""),2820.9959833197063)</f>
        <v>2820.995983</v>
      </c>
      <c r="T34" s="26">
        <f>IFERROR(__xludf.DUMMYFUNCTION("""COMPUTED_VALUE"""),-93.13537366857054)</f>
        <v>-93.13537367</v>
      </c>
      <c r="U34" s="41">
        <v>0.0</v>
      </c>
      <c r="V34" s="26">
        <f t="shared" si="1"/>
        <v>10554.86061</v>
      </c>
      <c r="W34" s="42">
        <f t="shared" si="7"/>
        <v>1744154.954</v>
      </c>
      <c r="X34" s="34">
        <f t="shared" si="2"/>
        <v>0.3309865551</v>
      </c>
      <c r="Y34" s="44">
        <f t="shared" si="3"/>
        <v>3199464.031</v>
      </c>
      <c r="Z34" s="30"/>
      <c r="AA34" s="45">
        <f t="shared" si="8"/>
        <v>59341.19558</v>
      </c>
      <c r="AB34" s="26">
        <f t="shared" si="9"/>
        <v>1136929.442</v>
      </c>
      <c r="AC34" s="26">
        <f t="shared" si="12"/>
        <v>61152.35671</v>
      </c>
      <c r="AD34" s="42">
        <f t="shared" si="10"/>
        <v>1148556.799</v>
      </c>
      <c r="AE34" s="34">
        <v>2.0</v>
      </c>
      <c r="AF34" s="44">
        <f t="shared" si="11"/>
        <v>3118770.192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</row>
    <row r="35" ht="11.25" customHeight="1">
      <c r="A35" s="38"/>
      <c r="B35" s="39">
        <f t="shared" si="4"/>
        <v>30</v>
      </c>
      <c r="C35" s="40">
        <v>-132067.0</v>
      </c>
      <c r="D35" s="26">
        <f t="shared" si="5"/>
        <v>1136153.778</v>
      </c>
      <c r="E35" s="41">
        <v>10923.0</v>
      </c>
      <c r="F35" s="26">
        <f t="shared" si="6"/>
        <v>375844</v>
      </c>
      <c r="G35" s="26">
        <f>IFERROR(__xludf.DUMMYFUNCTION("""COMPUTED_VALUE"""),12601.731887601629)</f>
        <v>12601.73189</v>
      </c>
      <c r="H35" s="26">
        <f>IFERROR(__xludf.DUMMYFUNCTION("""COMPUTED_VALUE"""),1134676.9386773198)</f>
        <v>1134676.939</v>
      </c>
      <c r="I35" s="26">
        <f>IFERROR(__xludf.DUMMYFUNCTION("""COMPUTED_VALUE"""),7757.922652523594)</f>
        <v>7757.922653</v>
      </c>
      <c r="J35" s="42">
        <f>IFERROR(__xludf.DUMMYFUNCTION("""COMPUTED_VALUE"""),441450.1090878376)</f>
        <v>441450.1091</v>
      </c>
      <c r="K35" s="26"/>
      <c r="L35" s="42"/>
      <c r="M35" s="30"/>
      <c r="N35" s="43">
        <v>0.0</v>
      </c>
      <c r="O35" s="41">
        <v>0.0</v>
      </c>
      <c r="P35" s="41">
        <v>16725.0</v>
      </c>
      <c r="Q35" s="55">
        <v>0.0</v>
      </c>
      <c r="R35" s="55">
        <v>0.0</v>
      </c>
      <c r="S35" s="26">
        <f>IFERROR(__xludf.DUMMYFUNCTION("""COMPUTED_VALUE"""),2859.731887601607)</f>
        <v>2859.731888</v>
      </c>
      <c r="T35" s="26">
        <f>IFERROR(__xludf.DUMMYFUNCTION("""COMPUTED_VALUE"""),-66.0773474763846)</f>
        <v>-66.07734748</v>
      </c>
      <c r="U35" s="41">
        <v>0.0</v>
      </c>
      <c r="V35" s="26">
        <f t="shared" si="1"/>
        <v>19518.65454</v>
      </c>
      <c r="W35" s="42">
        <f t="shared" si="7"/>
        <v>1763673.608</v>
      </c>
      <c r="X35" s="34">
        <f t="shared" si="2"/>
        <v>0.6320552324</v>
      </c>
      <c r="Y35" s="44">
        <f t="shared" si="3"/>
        <v>3107643.48</v>
      </c>
      <c r="Z35" s="30"/>
      <c r="AA35" s="45">
        <f t="shared" si="8"/>
        <v>61152.35671</v>
      </c>
      <c r="AB35" s="26">
        <f t="shared" si="9"/>
        <v>1198081.799</v>
      </c>
      <c r="AC35" s="26">
        <f t="shared" si="12"/>
        <v>63001.05693</v>
      </c>
      <c r="AD35" s="42">
        <f t="shared" si="10"/>
        <v>1211557.856</v>
      </c>
      <c r="AE35" s="34">
        <v>2.0</v>
      </c>
      <c r="AF35" s="44">
        <f t="shared" si="11"/>
        <v>3213053.903</v>
      </c>
      <c r="AG35" s="6"/>
      <c r="AH35" s="6"/>
      <c r="AI35" s="6"/>
      <c r="AJ35" s="6"/>
      <c r="AK35" s="6"/>
      <c r="AL35" s="6"/>
      <c r="AM35" s="6"/>
      <c r="AN35" s="6"/>
      <c r="AO35" s="6"/>
      <c r="AP35" s="6"/>
    </row>
    <row r="36" ht="11.25" customHeight="1">
      <c r="B36" s="63">
        <f t="shared" si="4"/>
        <v>31</v>
      </c>
      <c r="C36" s="40">
        <v>0.0</v>
      </c>
      <c r="D36" s="26">
        <f t="shared" si="5"/>
        <v>1136153.778</v>
      </c>
      <c r="E36" s="41">
        <v>10923.0</v>
      </c>
      <c r="F36" s="26">
        <f t="shared" si="6"/>
        <v>386767</v>
      </c>
      <c r="G36" s="26">
        <f>IFERROR(__xludf.DUMMYFUNCTION("""COMPUTED_VALUE"""),12640.5872275884)</f>
        <v>12640.58723</v>
      </c>
      <c r="H36" s="26">
        <f>IFERROR(__xludf.DUMMYFUNCTION("""COMPUTED_VALUE"""),1147317.525904908)</f>
        <v>1147317.526</v>
      </c>
      <c r="I36" s="26">
        <f>IFERROR(__xludf.DUMMYFUNCTION("""COMPUTED_VALUE"""),7785.0753818074245)</f>
        <v>7785.075382</v>
      </c>
      <c r="J36" s="42">
        <f>IFERROR(__xludf.DUMMYFUNCTION("""COMPUTED_VALUE"""),449235.184469645)</f>
        <v>449235.1845</v>
      </c>
      <c r="K36" s="26"/>
      <c r="L36" s="42"/>
      <c r="M36" s="30"/>
      <c r="N36" s="43">
        <v>0.0</v>
      </c>
      <c r="O36" s="41">
        <v>1713.0</v>
      </c>
      <c r="P36" s="41">
        <v>3250.0</v>
      </c>
      <c r="Q36" s="55">
        <v>0.0</v>
      </c>
      <c r="R36" s="55">
        <v>0.0</v>
      </c>
      <c r="S36" s="26">
        <f>IFERROR(__xludf.DUMMYFUNCTION("""COMPUTED_VALUE"""),2898.587227588403)</f>
        <v>2898.587228</v>
      </c>
      <c r="T36" s="26">
        <f>IFERROR(__xludf.DUMMYFUNCTION("""COMPUTED_VALUE"""),-38.924618192599155)</f>
        <v>-38.92461819</v>
      </c>
      <c r="U36" s="41">
        <v>0.0</v>
      </c>
      <c r="V36" s="26">
        <f t="shared" si="1"/>
        <v>7822.662609</v>
      </c>
      <c r="W36" s="42">
        <f t="shared" si="7"/>
        <v>1771496.271</v>
      </c>
      <c r="X36" s="34">
        <f t="shared" si="2"/>
        <v>0.2507686839</v>
      </c>
      <c r="Y36" s="44">
        <f t="shared" si="3"/>
        <v>3127296.151</v>
      </c>
      <c r="Z36" s="30"/>
      <c r="AA36" s="45">
        <f t="shared" si="8"/>
        <v>63001.05693</v>
      </c>
      <c r="AB36" s="26">
        <f t="shared" si="9"/>
        <v>1261082.856</v>
      </c>
      <c r="AC36" s="26">
        <f t="shared" si="12"/>
        <v>64888.05132</v>
      </c>
      <c r="AD36" s="42">
        <f t="shared" si="10"/>
        <v>1276445.907</v>
      </c>
      <c r="AE36" s="34">
        <v>2.0</v>
      </c>
      <c r="AF36" s="44">
        <f t="shared" si="11"/>
        <v>3309290.617</v>
      </c>
      <c r="AG36" s="6"/>
      <c r="AH36" s="6"/>
      <c r="AI36" s="6"/>
      <c r="AJ36" s="6"/>
      <c r="AK36" s="6"/>
      <c r="AL36" s="6"/>
      <c r="AM36" s="6"/>
      <c r="AN36" s="6"/>
      <c r="AO36" s="6"/>
      <c r="AP36" s="6"/>
    </row>
    <row r="37" ht="11.25" customHeight="1">
      <c r="A37" s="38"/>
      <c r="B37" s="39">
        <f t="shared" si="4"/>
        <v>32</v>
      </c>
      <c r="C37" s="40">
        <v>0.0</v>
      </c>
      <c r="D37" s="26">
        <f t="shared" si="5"/>
        <v>1136153.778</v>
      </c>
      <c r="E37" s="41">
        <v>10923.0</v>
      </c>
      <c r="F37" s="26">
        <f t="shared" si="6"/>
        <v>397690</v>
      </c>
      <c r="G37" s="26">
        <f>IFERROR(__xludf.DUMMYFUNCTION("""COMPUTED_VALUE"""),12679.56237154013)</f>
        <v>12679.56237</v>
      </c>
      <c r="H37" s="26">
        <f>IFERROR(__xludf.DUMMYFUNCTION("""COMPUTED_VALUE"""),1159997.0882764482)</f>
        <v>1159997.088</v>
      </c>
      <c r="I37" s="26">
        <f>IFERROR(__xludf.DUMMYFUNCTION("""COMPUTED_VALUE"""),7812.323145643752)</f>
        <v>7812.323146</v>
      </c>
      <c r="J37" s="42">
        <f>IFERROR(__xludf.DUMMYFUNCTION("""COMPUTED_VALUE"""),457047.5076152888)</f>
        <v>457047.5076</v>
      </c>
      <c r="K37" s="26"/>
      <c r="L37" s="42"/>
      <c r="M37" s="30"/>
      <c r="N37" s="43">
        <v>0.0</v>
      </c>
      <c r="O37" s="41">
        <v>5275.0</v>
      </c>
      <c r="P37" s="41">
        <v>-13250.0</v>
      </c>
      <c r="Q37" s="55">
        <v>0.0</v>
      </c>
      <c r="R37" s="55">
        <v>0.0</v>
      </c>
      <c r="S37" s="26">
        <f>IFERROR(__xludf.DUMMYFUNCTION("""COMPUTED_VALUE"""),4437.562371540116)</f>
        <v>4437.562372</v>
      </c>
      <c r="T37" s="26">
        <f>IFERROR(__xludf.DUMMYFUNCTION("""COMPUTED_VALUE"""),-11.676854356192052)</f>
        <v>-11.67685436</v>
      </c>
      <c r="U37" s="41">
        <v>0.0</v>
      </c>
      <c r="V37" s="26">
        <f t="shared" si="1"/>
        <v>-3549.114483</v>
      </c>
      <c r="W37" s="42">
        <f t="shared" si="7"/>
        <v>1767947.156</v>
      </c>
      <c r="X37" s="34">
        <f t="shared" si="2"/>
        <v>-0.1126385343</v>
      </c>
      <c r="Y37" s="44">
        <f t="shared" si="3"/>
        <v>3147339.259</v>
      </c>
      <c r="Z37" s="30"/>
      <c r="AA37" s="45">
        <f t="shared" si="8"/>
        <v>64888.05132</v>
      </c>
      <c r="AB37" s="26">
        <f t="shared" si="9"/>
        <v>1325970.907</v>
      </c>
      <c r="AC37" s="26">
        <f t="shared" si="12"/>
        <v>66814.11006</v>
      </c>
      <c r="AD37" s="42">
        <f t="shared" si="10"/>
        <v>1343260.017</v>
      </c>
      <c r="AE37" s="34">
        <v>2.0</v>
      </c>
      <c r="AF37" s="44">
        <f t="shared" si="11"/>
        <v>3407519.613</v>
      </c>
      <c r="AG37" s="6"/>
      <c r="AH37" s="6"/>
      <c r="AI37" s="6"/>
      <c r="AJ37" s="6"/>
      <c r="AK37" s="6"/>
      <c r="AL37" s="6"/>
      <c r="AM37" s="6"/>
      <c r="AN37" s="6"/>
      <c r="AO37" s="6"/>
      <c r="AP37" s="6"/>
    </row>
    <row r="38" ht="11.25" customHeight="1">
      <c r="A38" s="38"/>
      <c r="B38" s="39">
        <f t="shared" si="4"/>
        <v>33</v>
      </c>
      <c r="C38" s="40">
        <v>-537933.0</v>
      </c>
      <c r="D38" s="26">
        <f t="shared" si="5"/>
        <v>598220.7776</v>
      </c>
      <c r="E38" s="41">
        <v>10923.0</v>
      </c>
      <c r="F38" s="26">
        <f t="shared" si="6"/>
        <v>408613</v>
      </c>
      <c r="G38" s="26">
        <f>IFERROR(__xludf.DUMMYFUNCTION("""COMPUTED_VALUE"""),12718.65768885238)</f>
        <v>12718.65769</v>
      </c>
      <c r="H38" s="26">
        <f>IFERROR(__xludf.DUMMYFUNCTION("""COMPUTED_VALUE"""),1172715.7459653006)</f>
        <v>1172715.746</v>
      </c>
      <c r="I38" s="26">
        <f>IFERROR(__xludf.DUMMYFUNCTION("""COMPUTED_VALUE"""),7839.666276653505)</f>
        <v>7839.666277</v>
      </c>
      <c r="J38" s="42">
        <f>IFERROR(__xludf.DUMMYFUNCTION("""COMPUTED_VALUE"""),464887.1738919423)</f>
        <v>464887.1739</v>
      </c>
      <c r="K38" s="26"/>
      <c r="L38" s="42"/>
      <c r="M38" s="30"/>
      <c r="N38" s="43">
        <v>0.0</v>
      </c>
      <c r="O38" s="41">
        <v>168.0</v>
      </c>
      <c r="P38" s="41">
        <v>-1250.0</v>
      </c>
      <c r="Q38" s="55">
        <v>0.0</v>
      </c>
      <c r="R38" s="55">
        <v>0.0</v>
      </c>
      <c r="S38" s="26">
        <f>IFERROR(__xludf.DUMMYFUNCTION("""COMPUTED_VALUE"""),4476.6576888524)</f>
        <v>4476.657689</v>
      </c>
      <c r="T38" s="26">
        <f>IFERROR(__xludf.DUMMYFUNCTION("""COMPUTED_VALUE"""),15.666276653530076)</f>
        <v>15.66627665</v>
      </c>
      <c r="U38" s="41">
        <v>0.0</v>
      </c>
      <c r="V38" s="26">
        <f t="shared" si="1"/>
        <v>3410.323966</v>
      </c>
      <c r="W38" s="42">
        <f t="shared" si="7"/>
        <v>1771357.48</v>
      </c>
      <c r="X38" s="34">
        <f t="shared" si="2"/>
        <v>0.1289622084</v>
      </c>
      <c r="Y38" s="44">
        <f t="shared" si="3"/>
        <v>2647847.021</v>
      </c>
      <c r="Z38" s="30"/>
      <c r="AA38" s="45">
        <f t="shared" si="8"/>
        <v>66814.11006</v>
      </c>
      <c r="AB38" s="26">
        <f t="shared" si="9"/>
        <v>1392785.017</v>
      </c>
      <c r="AC38" s="26">
        <f t="shared" si="12"/>
        <v>68780.01874</v>
      </c>
      <c r="AD38" s="42">
        <f t="shared" si="10"/>
        <v>1412040.036</v>
      </c>
      <c r="AE38" s="34">
        <v>2.0</v>
      </c>
      <c r="AF38" s="44">
        <f t="shared" si="11"/>
        <v>3507780.956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</row>
    <row r="39" ht="11.25" customHeight="1">
      <c r="A39" s="38"/>
      <c r="B39" s="39">
        <f t="shared" si="4"/>
        <v>34</v>
      </c>
      <c r="C39" s="40">
        <v>0.0</v>
      </c>
      <c r="D39" s="26">
        <f t="shared" si="5"/>
        <v>598220.7776</v>
      </c>
      <c r="E39" s="41">
        <v>10923.0</v>
      </c>
      <c r="F39" s="26">
        <f t="shared" si="6"/>
        <v>419536</v>
      </c>
      <c r="G39" s="26">
        <f>IFERROR(__xludf.DUMMYFUNCTION("""COMPUTED_VALUE"""),12757.873550059674)</f>
        <v>12757.87355</v>
      </c>
      <c r="H39" s="26">
        <f>IFERROR(__xludf.DUMMYFUNCTION("""COMPUTED_VALUE"""),1185473.6195153603)</f>
        <v>1185473.62</v>
      </c>
      <c r="I39" s="26">
        <f>IFERROR(__xludf.DUMMYFUNCTION("""COMPUTED_VALUE"""),7867.105108621792)</f>
        <v>7867.105109</v>
      </c>
      <c r="J39" s="42">
        <f>IFERROR(__xludf.DUMMYFUNCTION("""COMPUTED_VALUE"""),472754.2790005641)</f>
        <v>472754.279</v>
      </c>
      <c r="K39" s="26"/>
      <c r="L39" s="42"/>
      <c r="M39" s="30"/>
      <c r="N39" s="43">
        <v>0.0</v>
      </c>
      <c r="O39" s="41">
        <v>3856.0</v>
      </c>
      <c r="P39" s="41">
        <v>5125.0</v>
      </c>
      <c r="Q39" s="55">
        <v>0.0</v>
      </c>
      <c r="R39" s="55">
        <v>0.0</v>
      </c>
      <c r="S39" s="26">
        <f>IFERROR(__xludf.DUMMYFUNCTION("""COMPUTED_VALUE"""),4515.873550059681)</f>
        <v>4515.87355</v>
      </c>
      <c r="T39" s="26">
        <f>IFERROR(__xludf.DUMMYFUNCTION("""COMPUTED_VALUE"""),43.105108621763065)</f>
        <v>43.10510862</v>
      </c>
      <c r="U39" s="41">
        <v>0.0</v>
      </c>
      <c r="V39" s="26">
        <f t="shared" si="1"/>
        <v>13539.97866</v>
      </c>
      <c r="W39" s="42">
        <f t="shared" si="7"/>
        <v>1784897.459</v>
      </c>
      <c r="X39" s="34">
        <f t="shared" si="2"/>
        <v>0.5059811732</v>
      </c>
      <c r="Y39" s="44">
        <f t="shared" si="3"/>
        <v>2689524.655</v>
      </c>
      <c r="Z39" s="30"/>
      <c r="AA39" s="45">
        <f t="shared" si="8"/>
        <v>68780.01874</v>
      </c>
      <c r="AB39" s="26">
        <f t="shared" si="9"/>
        <v>1461565.036</v>
      </c>
      <c r="AC39" s="26">
        <f t="shared" si="12"/>
        <v>70786.57869</v>
      </c>
      <c r="AD39" s="42">
        <f t="shared" si="10"/>
        <v>1482826.615</v>
      </c>
      <c r="AE39" s="34">
        <v>2.0</v>
      </c>
      <c r="AF39" s="44">
        <f t="shared" si="11"/>
        <v>3610115.513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</row>
    <row r="40" ht="11.25" customHeight="1">
      <c r="A40" s="64"/>
      <c r="B40" s="39">
        <f t="shared" si="4"/>
        <v>35</v>
      </c>
      <c r="C40" s="40">
        <v>300000.0</v>
      </c>
      <c r="D40" s="26">
        <f t="shared" si="5"/>
        <v>898220.7776</v>
      </c>
      <c r="E40" s="41">
        <v>10923.0</v>
      </c>
      <c r="F40" s="26">
        <f t="shared" si="6"/>
        <v>430459</v>
      </c>
      <c r="G40" s="41">
        <v>0.0</v>
      </c>
      <c r="H40" s="41">
        <f t="shared" ref="H40:H41" si="13">2808000-1621713</f>
        <v>1186287</v>
      </c>
      <c r="I40" s="26">
        <f>IFERROR(__xludf.DUMMYFUNCTION("""COMPUTED_VALUE"""),7894.639976501969)</f>
        <v>7894.639977</v>
      </c>
      <c r="J40" s="42">
        <f>IFERROR(__xludf.DUMMYFUNCTION("""COMPUTED_VALUE"""),480648.9189770661)</f>
        <v>480648.919</v>
      </c>
      <c r="K40" s="26"/>
      <c r="L40" s="42"/>
      <c r="M40" s="30"/>
      <c r="N40" s="43">
        <v>0.0</v>
      </c>
      <c r="O40" s="41">
        <v>0.0</v>
      </c>
      <c r="P40" s="41">
        <v>1900.0</v>
      </c>
      <c r="Q40" s="55">
        <v>0.0</v>
      </c>
      <c r="R40" s="55">
        <v>0.0</v>
      </c>
      <c r="S40" s="26">
        <f>IFERROR(__xludf.DUMMYFUNCTION("""COMPUTED_VALUE"""),4555.210326839006)</f>
        <v>4555.210327</v>
      </c>
      <c r="T40" s="26">
        <f>IFERROR(__xludf.DUMMYFUNCTION("""COMPUTED_VALUE"""),70.6399765019305)</f>
        <v>70.6399765</v>
      </c>
      <c r="U40" s="41">
        <v>0.0</v>
      </c>
      <c r="V40" s="26">
        <f t="shared" si="1"/>
        <v>6525.850303</v>
      </c>
      <c r="W40" s="42">
        <f t="shared" si="7"/>
        <v>1791423.309</v>
      </c>
      <c r="X40" s="34">
        <f t="shared" si="2"/>
        <v>0.2178467121</v>
      </c>
      <c r="Y40" s="44">
        <f t="shared" si="3"/>
        <v>3002141.547</v>
      </c>
      <c r="Z40" s="30"/>
      <c r="AA40" s="45">
        <f t="shared" si="8"/>
        <v>70786.57869</v>
      </c>
      <c r="AB40" s="26">
        <f t="shared" si="9"/>
        <v>1532351.615</v>
      </c>
      <c r="AC40" s="26">
        <f t="shared" si="12"/>
        <v>72594.93067</v>
      </c>
      <c r="AD40" s="42">
        <f t="shared" si="10"/>
        <v>1555421.545</v>
      </c>
      <c r="AE40" s="34">
        <v>2.0</v>
      </c>
      <c r="AF40" s="44">
        <f t="shared" si="11"/>
        <v>3702341.464</v>
      </c>
      <c r="AG40" s="6"/>
      <c r="AH40" s="6"/>
      <c r="AI40" s="6"/>
      <c r="AJ40" s="6"/>
      <c r="AK40" s="6"/>
      <c r="AL40" s="6"/>
      <c r="AM40" s="6"/>
      <c r="AN40" s="6"/>
      <c r="AO40" s="6"/>
      <c r="AP40" s="6"/>
    </row>
    <row r="41" ht="11.25" customHeight="1">
      <c r="A41" s="57"/>
      <c r="B41" s="48">
        <f t="shared" si="4"/>
        <v>36</v>
      </c>
      <c r="C41" s="40">
        <v>50000.0</v>
      </c>
      <c r="D41" s="49">
        <f t="shared" si="5"/>
        <v>948220.7776</v>
      </c>
      <c r="E41" s="50">
        <v>40000.0</v>
      </c>
      <c r="F41" s="49">
        <f t="shared" si="6"/>
        <v>470459</v>
      </c>
      <c r="G41" s="50">
        <v>0.0</v>
      </c>
      <c r="H41" s="50">
        <f t="shared" si="13"/>
        <v>1186287</v>
      </c>
      <c r="I41" s="49">
        <f>IFERROR(__xludf.DUMMYFUNCTION("""COMPUTED_VALUE"""),7922.2712164197255)</f>
        <v>7922.271216</v>
      </c>
      <c r="J41" s="51">
        <f>IFERROR(__xludf.DUMMYFUNCTION("""COMPUTED_VALUE"""),488571.1901934858)</f>
        <v>488571.1902</v>
      </c>
      <c r="K41" s="49"/>
      <c r="L41" s="51"/>
      <c r="M41" s="30"/>
      <c r="N41" s="52">
        <v>0.0</v>
      </c>
      <c r="O41" s="50">
        <v>10000.0</v>
      </c>
      <c r="P41" s="50">
        <v>0.0</v>
      </c>
      <c r="Q41" s="50">
        <v>0.0</v>
      </c>
      <c r="R41" s="50">
        <v>0.0</v>
      </c>
      <c r="S41" s="50">
        <v>9558.0</v>
      </c>
      <c r="T41" s="49">
        <f>IFERROR(__xludf.DUMMYFUNCTION("""COMPUTED_VALUE"""),98.27121641975828)</f>
        <v>98.27121642</v>
      </c>
      <c r="U41" s="50">
        <v>0.0</v>
      </c>
      <c r="V41" s="49">
        <f t="shared" si="1"/>
        <v>19656.27122</v>
      </c>
      <c r="W41" s="51">
        <f t="shared" si="7"/>
        <v>1811079.58</v>
      </c>
      <c r="X41" s="34">
        <f t="shared" si="2"/>
        <v>0.6353977685</v>
      </c>
      <c r="Y41" s="44">
        <f t="shared" si="3"/>
        <v>3113194.239</v>
      </c>
      <c r="Z41" s="30"/>
      <c r="AA41" s="45">
        <f t="shared" si="8"/>
        <v>72594.93067</v>
      </c>
      <c r="AB41" s="49">
        <f t="shared" si="9"/>
        <v>1604946.545</v>
      </c>
      <c r="AC41" s="49">
        <f t="shared" si="12"/>
        <v>75005.27471</v>
      </c>
      <c r="AD41" s="51">
        <f t="shared" si="10"/>
        <v>1630426.82</v>
      </c>
      <c r="AE41" s="34">
        <v>2.0</v>
      </c>
      <c r="AF41" s="44">
        <f t="shared" si="11"/>
        <v>3825269.01</v>
      </c>
      <c r="AG41" s="6"/>
      <c r="AH41" s="6"/>
      <c r="AI41" s="6"/>
      <c r="AJ41" s="6"/>
      <c r="AK41" s="6"/>
      <c r="AL41" s="6"/>
      <c r="AM41" s="6"/>
      <c r="AN41" s="6"/>
      <c r="AO41" s="6"/>
      <c r="AP41" s="6"/>
    </row>
    <row r="42" ht="11.25" customHeight="1">
      <c r="A42" s="23">
        <v>44869.0</v>
      </c>
      <c r="B42" s="39">
        <f t="shared" si="4"/>
        <v>37</v>
      </c>
      <c r="C42" s="40">
        <v>-200000.0</v>
      </c>
      <c r="D42" s="26">
        <f t="shared" si="5"/>
        <v>748220.7776</v>
      </c>
      <c r="E42" s="41">
        <v>40000.0</v>
      </c>
      <c r="F42" s="26">
        <f t="shared" si="6"/>
        <v>510459</v>
      </c>
      <c r="G42" s="26">
        <f>IFERROR(__xludf.DUMMYFUNCTION("IMPORTRANGE(""https://docs.google.com/spreadsheets/d/1zU5eOdaH_7rO9eLngzy67eBz2J7GwA5lXQh_ru8EIwc"",""RHYTHM Asoke (Thai Credit)!E6:E220"")"),10600.0)</f>
        <v>10600</v>
      </c>
      <c r="H42" s="26">
        <f>IFERROR(__xludf.DUMMYFUNCTION("IMPORTRANGE(""https://docs.google.com/spreadsheets/d/1zU5eOdaH_7rO9eLngzy67eBz2J7GwA5lXQh_ru8EIwc"",""RHYTHM Asoke (Thai Credit)!F6:F220"")"),10600.0)</f>
        <v>10600</v>
      </c>
      <c r="I42" s="26">
        <f>IFERROR(__xludf.DUMMYFUNCTION("""COMPUTED_VALUE"""),7949.9991656771945)</f>
        <v>7949.999166</v>
      </c>
      <c r="J42" s="42">
        <f>IFERROR(__xludf.DUMMYFUNCTION("""COMPUTED_VALUE"""),496521.189359163)</f>
        <v>496521.1894</v>
      </c>
      <c r="K42" s="26"/>
      <c r="L42" s="42"/>
      <c r="M42" s="30"/>
      <c r="N42" s="43">
        <v>0.0</v>
      </c>
      <c r="O42" s="41">
        <v>0.0</v>
      </c>
      <c r="P42" s="41">
        <v>0.0</v>
      </c>
      <c r="Q42" s="41">
        <v>0.0</v>
      </c>
      <c r="R42" s="41">
        <v>0.0</v>
      </c>
      <c r="S42" s="26">
        <f>IFERROR(__xludf.DUMMYFUNCTION("IMPORTRANGE(""https://docs.google.com/spreadsheets/d/1zU5eOdaH_7rO9eLngzy67eBz2J7GwA5lXQh_ru8EIwc"",""RHYTHM Asoke (Thai Credit)!Q6:Q293"")"),9558.0)</f>
        <v>9558</v>
      </c>
      <c r="T42" s="26">
        <f>IFERROR(__xludf.DUMMYFUNCTION("""COMPUTED_VALUE"""),125.99916567723267)</f>
        <v>125.9991657</v>
      </c>
      <c r="U42" s="41">
        <v>0.0</v>
      </c>
      <c r="V42" s="26">
        <f t="shared" si="1"/>
        <v>9683.999166</v>
      </c>
      <c r="W42" s="42">
        <f t="shared" si="7"/>
        <v>1820763.58</v>
      </c>
      <c r="X42" s="34">
        <f t="shared" si="2"/>
        <v>0.5484196321</v>
      </c>
      <c r="Y42" s="44">
        <f t="shared" ref="Y42:Y69" si="14">1186287+D42+F42+H42+J42+V42</f>
        <v>2961771.966</v>
      </c>
      <c r="Z42" s="30"/>
      <c r="AA42" s="45">
        <f t="shared" si="8"/>
        <v>75005.27471</v>
      </c>
      <c r="AB42" s="26">
        <f t="shared" si="9"/>
        <v>1679951.82</v>
      </c>
      <c r="AC42" s="26">
        <f t="shared" si="12"/>
        <v>26975.32009</v>
      </c>
      <c r="AD42" s="42">
        <f t="shared" si="10"/>
        <v>1657402.14</v>
      </c>
      <c r="AE42" s="34">
        <v>1.0</v>
      </c>
      <c r="AF42" s="44">
        <f t="shared" si="11"/>
        <v>2724507.329</v>
      </c>
      <c r="AG42" s="6"/>
      <c r="AH42" s="6"/>
      <c r="AI42" s="6"/>
      <c r="AJ42" s="6"/>
      <c r="AK42" s="6"/>
      <c r="AL42" s="6"/>
      <c r="AM42" s="6"/>
      <c r="AN42" s="6"/>
      <c r="AO42" s="6"/>
      <c r="AP42" s="6"/>
    </row>
    <row r="43" ht="11.25" customHeight="1">
      <c r="A43" s="54"/>
      <c r="B43" s="39">
        <f t="shared" si="4"/>
        <v>38</v>
      </c>
      <c r="C43" s="40">
        <v>-50000.0</v>
      </c>
      <c r="D43" s="26">
        <f t="shared" si="5"/>
        <v>698220.7776</v>
      </c>
      <c r="E43" s="41">
        <v>40000.0</v>
      </c>
      <c r="F43" s="26">
        <f t="shared" si="6"/>
        <v>550459</v>
      </c>
      <c r="G43" s="26">
        <f>IFERROR(__xludf.DUMMYFUNCTION("""COMPUTED_VALUE"""),10600.0)</f>
        <v>10600</v>
      </c>
      <c r="H43" s="26">
        <f>IFERROR(__xludf.DUMMYFUNCTION("""COMPUTED_VALUE"""),21200.0)</f>
        <v>21200</v>
      </c>
      <c r="I43" s="26">
        <f>IFERROR(__xludf.DUMMYFUNCTION("""COMPUTED_VALUE"""),7977.824162757062)</f>
        <v>7977.824163</v>
      </c>
      <c r="J43" s="42">
        <f>IFERROR(__xludf.DUMMYFUNCTION("""COMPUTED_VALUE"""),504499.0135219201)</f>
        <v>504499.0135</v>
      </c>
      <c r="K43" s="26"/>
      <c r="L43" s="42"/>
      <c r="M43" s="30"/>
      <c r="N43" s="43">
        <v>0.0</v>
      </c>
      <c r="O43" s="41">
        <v>620.0</v>
      </c>
      <c r="P43" s="41">
        <v>0.0</v>
      </c>
      <c r="Q43" s="41">
        <v>0.0</v>
      </c>
      <c r="R43" s="55">
        <v>0.0</v>
      </c>
      <c r="S43" s="26">
        <f>IFERROR(__xludf.DUMMYFUNCTION("""COMPUTED_VALUE"""),9558.0)</f>
        <v>9558</v>
      </c>
      <c r="T43" s="26">
        <f>IFERROR(__xludf.DUMMYFUNCTION("""COMPUTED_VALUE"""),153.82416275702417)</f>
        <v>153.8241628</v>
      </c>
      <c r="U43" s="41">
        <v>102722.0</v>
      </c>
      <c r="V43" s="26">
        <f t="shared" ref="V43:V365" si="15">SUM(N43:U43)</f>
        <v>113053.8242</v>
      </c>
      <c r="W43" s="42">
        <f t="shared" si="7"/>
        <v>1933817.404</v>
      </c>
      <c r="X43" s="34">
        <f t="shared" si="2"/>
        <v>6.371459394</v>
      </c>
      <c r="Y43" s="44">
        <f t="shared" si="14"/>
        <v>3073719.615</v>
      </c>
      <c r="Z43" s="30"/>
      <c r="AA43" s="45">
        <f t="shared" si="8"/>
        <v>26975.32009</v>
      </c>
      <c r="AB43" s="26">
        <f t="shared" si="9"/>
        <v>1706927.14</v>
      </c>
      <c r="AC43" s="26">
        <f t="shared" si="12"/>
        <v>27830.85153</v>
      </c>
      <c r="AD43" s="42">
        <f t="shared" si="10"/>
        <v>1685232.992</v>
      </c>
      <c r="AE43" s="34">
        <v>1.0</v>
      </c>
      <c r="AF43" s="44">
        <f t="shared" si="11"/>
        <v>2810916.005</v>
      </c>
      <c r="AG43" s="6"/>
      <c r="AH43" s="6"/>
      <c r="AI43" s="6"/>
      <c r="AJ43" s="6"/>
      <c r="AK43" s="6"/>
      <c r="AL43" s="6"/>
      <c r="AM43" s="6"/>
      <c r="AN43" s="6"/>
      <c r="AO43" s="6"/>
      <c r="AP43" s="6"/>
    </row>
    <row r="44" ht="11.25" customHeight="1">
      <c r="A44" s="46">
        <v>44927.0</v>
      </c>
      <c r="B44" s="63">
        <f t="shared" si="4"/>
        <v>39</v>
      </c>
      <c r="C44" s="40">
        <v>100000.0</v>
      </c>
      <c r="D44" s="26">
        <f t="shared" si="5"/>
        <v>798220.7776</v>
      </c>
      <c r="E44" s="41">
        <v>0.0</v>
      </c>
      <c r="F44" s="26">
        <f t="shared" si="6"/>
        <v>550459</v>
      </c>
      <c r="G44" s="26">
        <f>IFERROR(__xludf.DUMMYFUNCTION("""COMPUTED_VALUE"""),10600.0)</f>
        <v>10600</v>
      </c>
      <c r="H44" s="26">
        <f>IFERROR(__xludf.DUMMYFUNCTION("""COMPUTED_VALUE"""),31800.0)</f>
        <v>31800</v>
      </c>
      <c r="I44" s="26">
        <f>IFERROR(__xludf.DUMMYFUNCTION("""COMPUTED_VALUE"""),8005.746547326713)</f>
        <v>8005.746547</v>
      </c>
      <c r="J44" s="42">
        <f>IFERROR(__xludf.DUMMYFUNCTION("""COMPUTED_VALUE"""),512504.7600692468)</f>
        <v>512504.7601</v>
      </c>
      <c r="K44" s="26"/>
      <c r="L44" s="42"/>
      <c r="M44" s="30"/>
      <c r="N44" s="43">
        <v>0.0</v>
      </c>
      <c r="O44" s="41">
        <v>0.0</v>
      </c>
      <c r="P44" s="41">
        <v>0.0</v>
      </c>
      <c r="Q44" s="41">
        <v>5412.5</v>
      </c>
      <c r="R44" s="55">
        <v>0.0</v>
      </c>
      <c r="S44" s="26">
        <f>IFERROR(__xludf.DUMMYFUNCTION("""COMPUTED_VALUE"""),9558.0)</f>
        <v>9558</v>
      </c>
      <c r="T44" s="26">
        <f>IFERROR(__xludf.DUMMYFUNCTION("""COMPUTED_VALUE"""),181.7465473266784)</f>
        <v>181.7465473</v>
      </c>
      <c r="U44" s="41">
        <v>0.0</v>
      </c>
      <c r="V44" s="26">
        <f t="shared" si="15"/>
        <v>15152.24655</v>
      </c>
      <c r="W44" s="42">
        <f t="shared" si="7"/>
        <v>1948969.65</v>
      </c>
      <c r="X44" s="34">
        <f t="shared" si="2"/>
        <v>0.8004421719</v>
      </c>
      <c r="Y44" s="44">
        <f t="shared" si="14"/>
        <v>3094423.784</v>
      </c>
      <c r="Z44" s="30"/>
      <c r="AA44" s="45">
        <f t="shared" si="8"/>
        <v>27830.85153</v>
      </c>
      <c r="AB44" s="26">
        <f t="shared" si="9"/>
        <v>1734757.992</v>
      </c>
      <c r="AC44" s="26">
        <f t="shared" si="12"/>
        <v>28295.21752</v>
      </c>
      <c r="AD44" s="42">
        <f t="shared" si="10"/>
        <v>1713528.209</v>
      </c>
      <c r="AE44" s="34">
        <v>1.0</v>
      </c>
      <c r="AF44" s="44">
        <f t="shared" si="11"/>
        <v>2857816.969</v>
      </c>
      <c r="AG44" s="6"/>
      <c r="AH44" s="6"/>
      <c r="AI44" s="6"/>
      <c r="AJ44" s="6"/>
      <c r="AK44" s="6"/>
      <c r="AL44" s="6"/>
      <c r="AM44" s="6"/>
      <c r="AN44" s="6"/>
      <c r="AO44" s="6"/>
      <c r="AP44" s="6"/>
    </row>
    <row r="45" ht="11.25" customHeight="1">
      <c r="A45" s="38"/>
      <c r="B45" s="39">
        <f t="shared" si="4"/>
        <v>40</v>
      </c>
      <c r="C45" s="40">
        <v>125000.0</v>
      </c>
      <c r="D45" s="26">
        <f t="shared" si="5"/>
        <v>923220.7776</v>
      </c>
      <c r="E45" s="41"/>
      <c r="F45" s="26"/>
      <c r="G45" s="26">
        <f>IFERROR(__xludf.DUMMYFUNCTION("""COMPUTED_VALUE"""),10600.0)</f>
        <v>10600</v>
      </c>
      <c r="H45" s="26">
        <f>IFERROR(__xludf.DUMMYFUNCTION("""COMPUTED_VALUE"""),42400.0)</f>
        <v>42400</v>
      </c>
      <c r="I45" s="26">
        <f>IFERROR(__xludf.DUMMYFUNCTION("""COMPUTED_VALUE"""),8033.766660242358)</f>
        <v>8033.76666</v>
      </c>
      <c r="J45" s="42">
        <f>IFERROR(__xludf.DUMMYFUNCTION("""COMPUTED_VALUE"""),520538.52672948915)</f>
        <v>520538.5267</v>
      </c>
      <c r="K45" s="26"/>
      <c r="L45" s="42"/>
      <c r="M45" s="30"/>
      <c r="N45" s="43">
        <v>0.0</v>
      </c>
      <c r="O45" s="41">
        <v>0.0</v>
      </c>
      <c r="P45" s="41">
        <v>0.0</v>
      </c>
      <c r="Q45" s="41">
        <v>16569.75</v>
      </c>
      <c r="R45" s="55">
        <v>0.0</v>
      </c>
      <c r="S45" s="26">
        <f>IFERROR(__xludf.DUMMYFUNCTION("""COMPUTED_VALUE"""),9558.0)</f>
        <v>9558</v>
      </c>
      <c r="T45" s="26">
        <f>IFERROR(__xludf.DUMMYFUNCTION("""COMPUTED_VALUE"""),209.76666024234146)</f>
        <v>209.7666602</v>
      </c>
      <c r="U45" s="41">
        <v>0.0</v>
      </c>
      <c r="V45" s="26">
        <f t="shared" si="15"/>
        <v>26337.51666</v>
      </c>
      <c r="W45" s="42">
        <f t="shared" si="7"/>
        <v>1975307.167</v>
      </c>
      <c r="X45" s="34">
        <f t="shared" si="2"/>
        <v>1.772186641</v>
      </c>
      <c r="Y45" s="44">
        <f t="shared" si="14"/>
        <v>2698783.821</v>
      </c>
      <c r="Z45" s="30"/>
      <c r="AA45" s="45">
        <f t="shared" si="8"/>
        <v>28295.21752</v>
      </c>
      <c r="AB45" s="26">
        <f t="shared" si="9"/>
        <v>1763053.209</v>
      </c>
      <c r="AC45" s="26">
        <f t="shared" si="12"/>
        <v>23259.91736</v>
      </c>
      <c r="AD45" s="42">
        <f t="shared" si="10"/>
        <v>1736788.126</v>
      </c>
      <c r="AE45" s="34">
        <v>1.0</v>
      </c>
      <c r="AF45" s="44">
        <f t="shared" si="11"/>
        <v>2349251.653</v>
      </c>
      <c r="AG45" s="6"/>
      <c r="AH45" s="6"/>
      <c r="AI45" s="6"/>
      <c r="AJ45" s="6"/>
      <c r="AK45" s="6"/>
      <c r="AL45" s="6"/>
      <c r="AM45" s="6"/>
      <c r="AN45" s="6"/>
      <c r="AO45" s="6"/>
      <c r="AP45" s="6"/>
    </row>
    <row r="46" ht="11.25" customHeight="1">
      <c r="A46" s="56"/>
      <c r="B46" s="39">
        <f t="shared" si="4"/>
        <v>41</v>
      </c>
      <c r="C46" s="40">
        <v>157500.0</v>
      </c>
      <c r="D46" s="26">
        <f t="shared" si="5"/>
        <v>1080720.778</v>
      </c>
      <c r="E46" s="41"/>
      <c r="F46" s="26"/>
      <c r="G46" s="26">
        <f>IFERROR(__xludf.DUMMYFUNCTION("""COMPUTED_VALUE"""),10600.0)</f>
        <v>10600</v>
      </c>
      <c r="H46" s="26">
        <f>IFERROR(__xludf.DUMMYFUNCTION("""COMPUTED_VALUE"""),53000.0)</f>
        <v>53000</v>
      </c>
      <c r="I46" s="26">
        <f>IFERROR(__xludf.DUMMYFUNCTION("""COMPUTED_VALUE"""),8061.884843553205)</f>
        <v>8061.884844</v>
      </c>
      <c r="J46" s="42">
        <f>IFERROR(__xludf.DUMMYFUNCTION("""COMPUTED_VALUE"""),528600.4115730424)</f>
        <v>528600.4116</v>
      </c>
      <c r="K46" s="26"/>
      <c r="L46" s="42"/>
      <c r="M46" s="30"/>
      <c r="N46" s="43">
        <v>0.0</v>
      </c>
      <c r="O46" s="41">
        <v>0.0</v>
      </c>
      <c r="P46" s="41">
        <v>0.0</v>
      </c>
      <c r="Q46" s="41">
        <v>-13794.61</v>
      </c>
      <c r="R46" s="55">
        <v>0.0</v>
      </c>
      <c r="S46" s="26">
        <f>IFERROR(__xludf.DUMMYFUNCTION("""COMPUTED_VALUE"""),9558.0)</f>
        <v>9558</v>
      </c>
      <c r="T46" s="26">
        <f>IFERROR(__xludf.DUMMYFUNCTION("""COMPUTED_VALUE"""),237.8848435531836)</f>
        <v>237.8848436</v>
      </c>
      <c r="U46" s="41">
        <v>0.0</v>
      </c>
      <c r="V46" s="26">
        <f t="shared" si="15"/>
        <v>-3998.725156</v>
      </c>
      <c r="W46" s="42">
        <f t="shared" si="7"/>
        <v>1971308.442</v>
      </c>
      <c r="X46" s="34">
        <f t="shared" si="2"/>
        <v>-0.240550694</v>
      </c>
      <c r="Y46" s="44">
        <f t="shared" si="14"/>
        <v>2844609.464</v>
      </c>
      <c r="Z46" s="30"/>
      <c r="AA46" s="45">
        <f t="shared" si="8"/>
        <v>23259.91736</v>
      </c>
      <c r="AB46" s="26">
        <f t="shared" si="9"/>
        <v>1786313.126</v>
      </c>
      <c r="AC46" s="26">
        <f t="shared" si="12"/>
        <v>23679.13538</v>
      </c>
      <c r="AD46" s="42">
        <f t="shared" si="10"/>
        <v>1760467.262</v>
      </c>
      <c r="AE46" s="34">
        <v>1.0</v>
      </c>
      <c r="AF46" s="44">
        <f t="shared" si="11"/>
        <v>2391592.673</v>
      </c>
      <c r="AG46" s="6"/>
      <c r="AH46" s="6"/>
      <c r="AI46" s="6"/>
      <c r="AJ46" s="6"/>
      <c r="AK46" s="6"/>
      <c r="AL46" s="6"/>
      <c r="AM46" s="6"/>
      <c r="AN46" s="6"/>
      <c r="AO46" s="6"/>
      <c r="AP46" s="6"/>
    </row>
    <row r="47" ht="11.25" customHeight="1">
      <c r="A47" s="38"/>
      <c r="B47" s="39">
        <f t="shared" si="4"/>
        <v>42</v>
      </c>
      <c r="C47" s="40">
        <v>27500.0</v>
      </c>
      <c r="D47" s="26">
        <f t="shared" si="5"/>
        <v>1108220.778</v>
      </c>
      <c r="E47" s="41"/>
      <c r="F47" s="26"/>
      <c r="G47" s="26">
        <f>IFERROR(__xludf.DUMMYFUNCTION("""COMPUTED_VALUE"""),10600.0)</f>
        <v>10600</v>
      </c>
      <c r="H47" s="26">
        <f>IFERROR(__xludf.DUMMYFUNCTION("""COMPUTED_VALUE"""),63600.0)</f>
        <v>63600</v>
      </c>
      <c r="I47" s="26">
        <f>IFERROR(__xludf.DUMMYFUNCTION("""COMPUTED_VALUE"""),8090.101440505643)</f>
        <v>8090.101441</v>
      </c>
      <c r="J47" s="42">
        <f>IFERROR(__xludf.DUMMYFUNCTION("""COMPUTED_VALUE"""),536690.513013548)</f>
        <v>536690.513</v>
      </c>
      <c r="K47" s="26"/>
      <c r="L47" s="42"/>
      <c r="M47" s="30"/>
      <c r="N47" s="43">
        <v>0.0</v>
      </c>
      <c r="O47" s="41">
        <v>0.0</v>
      </c>
      <c r="P47" s="41">
        <v>0.0</v>
      </c>
      <c r="Q47" s="41">
        <v>3650.0</v>
      </c>
      <c r="R47" s="55">
        <v>0.0</v>
      </c>
      <c r="S47" s="26">
        <f>IFERROR(__xludf.DUMMYFUNCTION("""COMPUTED_VALUE"""),9558.0)</f>
        <v>9558</v>
      </c>
      <c r="T47" s="26">
        <f>IFERROR(__xludf.DUMMYFUNCTION("""COMPUTED_VALUE"""),266.1014405055903)</f>
        <v>266.1014405</v>
      </c>
      <c r="U47" s="41">
        <v>0.0</v>
      </c>
      <c r="V47" s="26">
        <f t="shared" si="15"/>
        <v>13474.10144</v>
      </c>
      <c r="W47" s="42">
        <f t="shared" si="7"/>
        <v>1984782.543</v>
      </c>
      <c r="X47" s="34">
        <f t="shared" si="2"/>
        <v>0.7886457359</v>
      </c>
      <c r="Y47" s="44">
        <f t="shared" si="14"/>
        <v>2908272.392</v>
      </c>
      <c r="Z47" s="30"/>
      <c r="AA47" s="45">
        <f t="shared" si="8"/>
        <v>23679.13538</v>
      </c>
      <c r="AB47" s="26">
        <f t="shared" si="9"/>
        <v>1809992.262</v>
      </c>
      <c r="AC47" s="26">
        <f t="shared" si="12"/>
        <v>24102.82775</v>
      </c>
      <c r="AD47" s="42">
        <f t="shared" si="10"/>
        <v>1784570.09</v>
      </c>
      <c r="AE47" s="34">
        <v>1.0</v>
      </c>
      <c r="AF47" s="44">
        <f t="shared" si="11"/>
        <v>2434385.603</v>
      </c>
      <c r="AG47" s="6"/>
      <c r="AH47" s="6"/>
      <c r="AI47" s="6"/>
      <c r="AJ47" s="6"/>
      <c r="AK47" s="6"/>
      <c r="AL47" s="6"/>
      <c r="AM47" s="6"/>
      <c r="AN47" s="6"/>
      <c r="AO47" s="6"/>
      <c r="AP47" s="6"/>
    </row>
    <row r="48" ht="11.25" customHeight="1">
      <c r="A48" s="38"/>
      <c r="B48" s="39">
        <f t="shared" si="4"/>
        <v>43</v>
      </c>
      <c r="C48" s="40">
        <v>67500.0</v>
      </c>
      <c r="D48" s="26">
        <f t="shared" si="5"/>
        <v>1175720.778</v>
      </c>
      <c r="E48" s="41"/>
      <c r="F48" s="26"/>
      <c r="G48" s="26">
        <f>IFERROR(__xludf.DUMMYFUNCTION("""COMPUTED_VALUE"""),10600.0)</f>
        <v>10600</v>
      </c>
      <c r="H48" s="26">
        <f>IFERROR(__xludf.DUMMYFUNCTION("""COMPUTED_VALUE"""),74200.0)</f>
        <v>74200</v>
      </c>
      <c r="I48" s="26">
        <f>IFERROR(__xludf.DUMMYFUNCTION("""COMPUTED_VALUE"""),8118.416795547411)</f>
        <v>8118.416796</v>
      </c>
      <c r="J48" s="42">
        <f>IFERROR(__xludf.DUMMYFUNCTION("""COMPUTED_VALUE"""),544808.9298090953)</f>
        <v>544808.9298</v>
      </c>
      <c r="K48" s="26"/>
      <c r="L48" s="42"/>
      <c r="M48" s="30"/>
      <c r="N48" s="43">
        <v>0.0</v>
      </c>
      <c r="O48" s="41">
        <v>4472.0</v>
      </c>
      <c r="P48" s="41">
        <v>0.0</v>
      </c>
      <c r="Q48" s="41">
        <v>-3792.88</v>
      </c>
      <c r="R48" s="55">
        <v>0.0</v>
      </c>
      <c r="S48" s="26">
        <f>IFERROR(__xludf.DUMMYFUNCTION("""COMPUTED_VALUE"""),9558.0)</f>
        <v>9558</v>
      </c>
      <c r="T48" s="26">
        <f>IFERROR(__xludf.DUMMYFUNCTION("""COMPUTED_VALUE"""),294.4167955473531)</f>
        <v>294.4167955</v>
      </c>
      <c r="U48" s="41">
        <v>0.0</v>
      </c>
      <c r="V48" s="26">
        <f t="shared" si="15"/>
        <v>10531.5368</v>
      </c>
      <c r="W48" s="42">
        <f t="shared" si="7"/>
        <v>1995314.08</v>
      </c>
      <c r="X48" s="34">
        <f t="shared" si="2"/>
        <v>0.5868035032</v>
      </c>
      <c r="Y48" s="44">
        <f t="shared" si="14"/>
        <v>2991548.244</v>
      </c>
      <c r="Z48" s="30"/>
      <c r="AA48" s="45">
        <f t="shared" si="8"/>
        <v>24102.82775</v>
      </c>
      <c r="AB48" s="26">
        <f t="shared" si="9"/>
        <v>1834095.09</v>
      </c>
      <c r="AC48" s="26">
        <f t="shared" si="12"/>
        <v>24531.04019</v>
      </c>
      <c r="AD48" s="42">
        <f t="shared" si="10"/>
        <v>1809101.13</v>
      </c>
      <c r="AE48" s="34">
        <v>1.0</v>
      </c>
      <c r="AF48" s="44">
        <f t="shared" si="11"/>
        <v>2477635.06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</row>
    <row r="49" ht="11.25" customHeight="1">
      <c r="A49" s="38"/>
      <c r="B49" s="39">
        <f t="shared" si="4"/>
        <v>44</v>
      </c>
      <c r="C49" s="40">
        <v>-3500.0</v>
      </c>
      <c r="D49" s="26">
        <f t="shared" si="5"/>
        <v>1172220.778</v>
      </c>
      <c r="E49" s="41"/>
      <c r="F49" s="26"/>
      <c r="G49" s="26">
        <f>IFERROR(__xludf.DUMMYFUNCTION("""COMPUTED_VALUE"""),4925.785666666667)</f>
        <v>4925.785667</v>
      </c>
      <c r="H49" s="26">
        <f>IFERROR(__xludf.DUMMYFUNCTION("""COMPUTED_VALUE"""),79125.78566666666)</f>
        <v>79125.78567</v>
      </c>
      <c r="I49" s="26">
        <f>IFERROR(__xludf.DUMMYFUNCTION("""COMPUTED_VALUE"""),8146.831254331828)</f>
        <v>8146.831254</v>
      </c>
      <c r="J49" s="42">
        <f>IFERROR(__xludf.DUMMYFUNCTION("""COMPUTED_VALUE"""),552955.7610634272)</f>
        <v>552955.7611</v>
      </c>
      <c r="K49" s="26"/>
      <c r="L49" s="42"/>
      <c r="M49" s="30"/>
      <c r="N49" s="43">
        <v>0.0</v>
      </c>
      <c r="O49" s="41">
        <v>11843.0</v>
      </c>
      <c r="P49" s="41">
        <v>0.0</v>
      </c>
      <c r="Q49" s="41">
        <v>-2427.1</v>
      </c>
      <c r="R49" s="55">
        <v>0.0</v>
      </c>
      <c r="S49" s="26">
        <f>IFERROR(__xludf.DUMMYFUNCTION("""COMPUTED_VALUE"""),3883.785666666663)</f>
        <v>3883.785667</v>
      </c>
      <c r="T49" s="26">
        <f>IFERROR(__xludf.DUMMYFUNCTION("""COMPUTED_VALUE"""),322.8312543318607)</f>
        <v>322.8312543</v>
      </c>
      <c r="U49" s="41">
        <v>0.0</v>
      </c>
      <c r="V49" s="26">
        <f t="shared" si="15"/>
        <v>13622.51692</v>
      </c>
      <c r="W49" s="42">
        <f t="shared" si="7"/>
        <v>2008936.597</v>
      </c>
      <c r="X49" s="34">
        <f t="shared" si="2"/>
        <v>0.755001905</v>
      </c>
      <c r="Y49" s="44">
        <f t="shared" si="14"/>
        <v>3004211.841</v>
      </c>
      <c r="Z49" s="30"/>
      <c r="AA49" s="45">
        <f t="shared" si="8"/>
        <v>24531.04019</v>
      </c>
      <c r="AB49" s="26">
        <f t="shared" si="9"/>
        <v>1858626.13</v>
      </c>
      <c r="AC49" s="26">
        <f t="shared" si="12"/>
        <v>24907.07676</v>
      </c>
      <c r="AD49" s="42">
        <f t="shared" si="10"/>
        <v>1834008.206</v>
      </c>
      <c r="AE49" s="34">
        <v>1.0</v>
      </c>
      <c r="AF49" s="44">
        <f t="shared" si="11"/>
        <v>2515614.753</v>
      </c>
      <c r="AG49" s="6"/>
      <c r="AH49" s="6"/>
      <c r="AI49" s="6"/>
      <c r="AJ49" s="6"/>
      <c r="AK49" s="6"/>
      <c r="AL49" s="6"/>
      <c r="AM49" s="6"/>
      <c r="AN49" s="6"/>
      <c r="AO49" s="6"/>
      <c r="AP49" s="6"/>
    </row>
    <row r="50" ht="11.25" customHeight="1">
      <c r="A50" s="56"/>
      <c r="B50" s="39">
        <f t="shared" si="4"/>
        <v>45</v>
      </c>
      <c r="C50" s="40">
        <v>-89000.0</v>
      </c>
      <c r="D50" s="26">
        <f t="shared" si="5"/>
        <v>1083220.778</v>
      </c>
      <c r="E50" s="41"/>
      <c r="F50" s="26"/>
      <c r="G50" s="26">
        <f>IFERROR(__xludf.DUMMYFUNCTION("""COMPUTED_VALUE"""),4943.846880777778)</f>
        <v>4943.846881</v>
      </c>
      <c r="H50" s="26">
        <f>IFERROR(__xludf.DUMMYFUNCTION("""COMPUTED_VALUE"""),84069.63254744445)</f>
        <v>84069.63255</v>
      </c>
      <c r="I50" s="26">
        <f>IFERROR(__xludf.DUMMYFUNCTION("""COMPUTED_VALUE"""),8175.34516372199)</f>
        <v>8175.345164</v>
      </c>
      <c r="J50" s="42">
        <f>IFERROR(__xludf.DUMMYFUNCTION("""COMPUTED_VALUE"""),561131.1062271491)</f>
        <v>561131.1062</v>
      </c>
      <c r="K50" s="26"/>
      <c r="L50" s="42"/>
      <c r="M50" s="30"/>
      <c r="N50" s="43">
        <v>0.0</v>
      </c>
      <c r="O50" s="41">
        <v>19161.0</v>
      </c>
      <c r="P50" s="41">
        <v>0.0</v>
      </c>
      <c r="Q50" s="41">
        <v>0.0</v>
      </c>
      <c r="R50" s="55">
        <v>0.0</v>
      </c>
      <c r="S50" s="26">
        <f>IFERROR(__xludf.DUMMYFUNCTION("""COMPUTED_VALUE"""),3901.8468807777826)</f>
        <v>3901.846881</v>
      </c>
      <c r="T50" s="26">
        <f>IFERROR(__xludf.DUMMYFUNCTION("""COMPUTED_VALUE"""),351.3451637219405)</f>
        <v>351.3451637</v>
      </c>
      <c r="U50" s="41">
        <v>0.0</v>
      </c>
      <c r="V50" s="26">
        <f t="shared" si="15"/>
        <v>23414.19204</v>
      </c>
      <c r="W50" s="42">
        <f t="shared" si="7"/>
        <v>2032350.789</v>
      </c>
      <c r="X50" s="34">
        <f t="shared" si="2"/>
        <v>1.35465752</v>
      </c>
      <c r="Y50" s="44">
        <f t="shared" si="14"/>
        <v>2938122.708</v>
      </c>
      <c r="Z50" s="30"/>
      <c r="AA50" s="45">
        <f t="shared" si="8"/>
        <v>24907.07676</v>
      </c>
      <c r="AB50" s="26">
        <f t="shared" si="9"/>
        <v>1883533.206</v>
      </c>
      <c r="AC50" s="26">
        <f t="shared" si="12"/>
        <v>25287.33945</v>
      </c>
      <c r="AD50" s="42">
        <f t="shared" si="10"/>
        <v>1859295.546</v>
      </c>
      <c r="AE50" s="34">
        <v>1.0</v>
      </c>
      <c r="AF50" s="44">
        <f t="shared" si="11"/>
        <v>2554021.285</v>
      </c>
      <c r="AG50" s="6"/>
      <c r="AH50" s="6"/>
      <c r="AI50" s="6"/>
      <c r="AJ50" s="6"/>
      <c r="AK50" s="6"/>
      <c r="AL50" s="6"/>
      <c r="AM50" s="6"/>
      <c r="AN50" s="6"/>
      <c r="AO50" s="6"/>
      <c r="AP50" s="6"/>
    </row>
    <row r="51" ht="11.25" customHeight="1">
      <c r="A51" s="38"/>
      <c r="B51" s="39">
        <f t="shared" si="4"/>
        <v>46</v>
      </c>
      <c r="C51" s="40">
        <v>94000.0</v>
      </c>
      <c r="D51" s="26">
        <f t="shared" si="5"/>
        <v>1177220.778</v>
      </c>
      <c r="E51" s="41"/>
      <c r="F51" s="26"/>
      <c r="G51" s="26">
        <f>IFERROR(__xludf.DUMMYFUNCTION("""COMPUTED_VALUE"""),4961.974319340628)</f>
        <v>4961.974319</v>
      </c>
      <c r="H51" s="26">
        <f>IFERROR(__xludf.DUMMYFUNCTION("""COMPUTED_VALUE"""),89031.60686678508)</f>
        <v>89031.60687</v>
      </c>
      <c r="I51" s="26">
        <f>IFERROR(__xludf.DUMMYFUNCTION("""COMPUTED_VALUE"""),8203.958871795017)</f>
        <v>8203.958872</v>
      </c>
      <c r="J51" s="42">
        <f>IFERROR(__xludf.DUMMYFUNCTION("""COMPUTED_VALUE"""),569335.0650989441)</f>
        <v>569335.0651</v>
      </c>
      <c r="K51" s="26"/>
      <c r="L51" s="42"/>
      <c r="M51" s="30"/>
      <c r="N51" s="43">
        <v>0.0</v>
      </c>
      <c r="O51" s="41">
        <v>3160.0</v>
      </c>
      <c r="P51" s="41">
        <v>0.0</v>
      </c>
      <c r="Q51" s="41">
        <v>0.0</v>
      </c>
      <c r="R51" s="55">
        <v>0.0</v>
      </c>
      <c r="S51" s="26">
        <f>IFERROR(__xludf.DUMMYFUNCTION("""COMPUTED_VALUE"""),3919.974319340632)</f>
        <v>3919.974319</v>
      </c>
      <c r="T51" s="26">
        <f>IFERROR(__xludf.DUMMYFUNCTION("""COMPUTED_VALUE"""),379.95887179498095)</f>
        <v>379.9588718</v>
      </c>
      <c r="U51" s="41">
        <v>0.0</v>
      </c>
      <c r="V51" s="26">
        <f t="shared" si="15"/>
        <v>7459.933191</v>
      </c>
      <c r="W51" s="42">
        <f t="shared" si="7"/>
        <v>2039810.722</v>
      </c>
      <c r="X51" s="34">
        <f t="shared" si="2"/>
        <v>0.4064057636</v>
      </c>
      <c r="Y51" s="44">
        <f t="shared" si="14"/>
        <v>3029334.383</v>
      </c>
      <c r="Z51" s="30"/>
      <c r="AA51" s="45">
        <f t="shared" si="8"/>
        <v>25287.33945</v>
      </c>
      <c r="AB51" s="26">
        <f t="shared" si="9"/>
        <v>1908820.546</v>
      </c>
      <c r="AC51" s="26">
        <f t="shared" si="12"/>
        <v>25671.87218</v>
      </c>
      <c r="AD51" s="42">
        <f t="shared" si="10"/>
        <v>1884967.418</v>
      </c>
      <c r="AE51" s="34">
        <v>1.0</v>
      </c>
      <c r="AF51" s="44">
        <f t="shared" si="11"/>
        <v>2592859.09</v>
      </c>
      <c r="AG51" s="6"/>
      <c r="AH51" s="6"/>
      <c r="AI51" s="6"/>
      <c r="AJ51" s="6"/>
      <c r="AK51" s="6"/>
      <c r="AL51" s="6"/>
      <c r="AM51" s="6"/>
      <c r="AN51" s="6"/>
      <c r="AO51" s="6"/>
      <c r="AP51" s="6"/>
    </row>
    <row r="52" ht="11.25" customHeight="1">
      <c r="A52" s="38"/>
      <c r="B52" s="39">
        <f t="shared" si="4"/>
        <v>47</v>
      </c>
      <c r="C52" s="40">
        <v>98000.0</v>
      </c>
      <c r="D52" s="26">
        <f t="shared" si="5"/>
        <v>1275220.778</v>
      </c>
      <c r="E52" s="41"/>
      <c r="F52" s="26"/>
      <c r="G52" s="26">
        <f>IFERROR(__xludf.DUMMYFUNCTION("""COMPUTED_VALUE"""),4980.168225178211)</f>
        <v>4980.168225</v>
      </c>
      <c r="H52" s="26">
        <f>IFERROR(__xludf.DUMMYFUNCTION("""COMPUTED_VALUE"""),94011.7750919633)</f>
        <v>94011.77509</v>
      </c>
      <c r="I52" s="26">
        <f>IFERROR(__xludf.DUMMYFUNCTION("""COMPUTED_VALUE"""),8232.672727846299)</f>
        <v>8232.672728</v>
      </c>
      <c r="J52" s="42">
        <f>IFERROR(__xludf.DUMMYFUNCTION("""COMPUTED_VALUE"""),577567.7378267904)</f>
        <v>577567.7378</v>
      </c>
      <c r="K52" s="26"/>
      <c r="L52" s="42"/>
      <c r="M52" s="30"/>
      <c r="N52" s="43">
        <v>0.0</v>
      </c>
      <c r="O52" s="41">
        <v>1200.0</v>
      </c>
      <c r="P52" s="41">
        <v>0.0</v>
      </c>
      <c r="Q52" s="41">
        <v>0.0</v>
      </c>
      <c r="R52" s="55">
        <v>0.0</v>
      </c>
      <c r="S52" s="26">
        <f>IFERROR(__xludf.DUMMYFUNCTION("""COMPUTED_VALUE"""),3938.168225178204)</f>
        <v>3938.168225</v>
      </c>
      <c r="T52" s="26">
        <f>IFERROR(__xludf.DUMMYFUNCTION("""COMPUTED_VALUE"""),408.6727278463077)</f>
        <v>408.6727278</v>
      </c>
      <c r="U52" s="41">
        <v>0.0</v>
      </c>
      <c r="V52" s="26">
        <f t="shared" si="15"/>
        <v>5546.840953</v>
      </c>
      <c r="W52" s="42">
        <f t="shared" si="7"/>
        <v>2045357.563</v>
      </c>
      <c r="X52" s="34">
        <f t="shared" si="2"/>
        <v>0.2849209023</v>
      </c>
      <c r="Y52" s="44">
        <f t="shared" si="14"/>
        <v>3138634.131</v>
      </c>
      <c r="Z52" s="30"/>
      <c r="AA52" s="45">
        <f t="shared" si="8"/>
        <v>25671.87218</v>
      </c>
      <c r="AB52" s="26">
        <f t="shared" si="9"/>
        <v>1934492.418</v>
      </c>
      <c r="AC52" s="26">
        <f t="shared" si="12"/>
        <v>26060.71931</v>
      </c>
      <c r="AD52" s="42">
        <f t="shared" si="10"/>
        <v>1911028.137</v>
      </c>
      <c r="AE52" s="34">
        <v>1.0</v>
      </c>
      <c r="AF52" s="44">
        <f t="shared" si="11"/>
        <v>2632132.65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</row>
    <row r="53" ht="11.25" customHeight="1">
      <c r="A53" s="57"/>
      <c r="B53" s="48">
        <f t="shared" si="4"/>
        <v>48</v>
      </c>
      <c r="C53" s="40">
        <v>14000.0</v>
      </c>
      <c r="D53" s="49">
        <f t="shared" si="5"/>
        <v>1289220.778</v>
      </c>
      <c r="E53" s="50"/>
      <c r="F53" s="49"/>
      <c r="G53" s="49">
        <f>IFERROR(__xludf.DUMMYFUNCTION("""COMPUTED_VALUE"""),4998.428842003865)</f>
        <v>4998.428842</v>
      </c>
      <c r="H53" s="49">
        <f>IFERROR(__xludf.DUMMYFUNCTION("""COMPUTED_VALUE"""),99010.20393396716)</f>
        <v>99010.20393</v>
      </c>
      <c r="I53" s="49">
        <f>IFERROR(__xludf.DUMMYFUNCTION("""COMPUTED_VALUE"""),8261.48708239376)</f>
        <v>8261.487082</v>
      </c>
      <c r="J53" s="51">
        <f>IFERROR(__xludf.DUMMYFUNCTION("""COMPUTED_VALUE"""),585829.2249091842)</f>
        <v>585829.2249</v>
      </c>
      <c r="K53" s="49"/>
      <c r="L53" s="51"/>
      <c r="M53" s="30"/>
      <c r="N53" s="52">
        <v>0.0</v>
      </c>
      <c r="O53" s="50">
        <v>-12873.0</v>
      </c>
      <c r="P53" s="50">
        <v>0.0</v>
      </c>
      <c r="Q53" s="50">
        <v>0.0</v>
      </c>
      <c r="R53" s="50">
        <v>0.0</v>
      </c>
      <c r="S53" s="49">
        <f>IFERROR(__xludf.DUMMYFUNCTION("""COMPUTED_VALUE"""),3956.4288420038647)</f>
        <v>3956.428842</v>
      </c>
      <c r="T53" s="49">
        <f>IFERROR(__xludf.DUMMYFUNCTION("""COMPUTED_VALUE"""),437.48708239372354)</f>
        <v>437.4870824</v>
      </c>
      <c r="U53" s="50">
        <v>0.0</v>
      </c>
      <c r="V53" s="49">
        <f t="shared" si="15"/>
        <v>-8479.084076</v>
      </c>
      <c r="W53" s="51">
        <f t="shared" si="7"/>
        <v>2036878.479</v>
      </c>
      <c r="X53" s="34">
        <f t="shared" si="2"/>
        <v>-0.4295251</v>
      </c>
      <c r="Y53" s="44">
        <f t="shared" si="14"/>
        <v>3151868.122</v>
      </c>
      <c r="Z53" s="30"/>
      <c r="AA53" s="45">
        <f t="shared" si="8"/>
        <v>26060.71931</v>
      </c>
      <c r="AB53" s="49">
        <f t="shared" si="9"/>
        <v>1960553.137</v>
      </c>
      <c r="AC53" s="49">
        <f t="shared" si="12"/>
        <v>26453.92566</v>
      </c>
      <c r="AD53" s="51">
        <f t="shared" si="10"/>
        <v>1937482.063</v>
      </c>
      <c r="AE53" s="34">
        <v>1.0</v>
      </c>
      <c r="AF53" s="44">
        <f t="shared" si="11"/>
        <v>2671846.492</v>
      </c>
      <c r="AG53" s="6"/>
      <c r="AH53" s="6"/>
      <c r="AI53" s="6"/>
      <c r="AJ53" s="6"/>
      <c r="AK53" s="6"/>
      <c r="AL53" s="6"/>
      <c r="AM53" s="6"/>
      <c r="AN53" s="6"/>
      <c r="AO53" s="6"/>
      <c r="AP53" s="6"/>
    </row>
    <row r="54" ht="11.25" customHeight="1">
      <c r="A54" s="65">
        <v>45235.0</v>
      </c>
      <c r="B54" s="66">
        <f t="shared" ref="B54:B365" si="16">B53+1</f>
        <v>49</v>
      </c>
      <c r="C54" s="40">
        <v>-24970.0</v>
      </c>
      <c r="D54" s="26">
        <f t="shared" si="5"/>
        <v>1264250.778</v>
      </c>
      <c r="E54" s="41"/>
      <c r="F54" s="26"/>
      <c r="G54" s="26">
        <f>IFERROR(__xludf.DUMMYFUNCTION("""COMPUTED_VALUE"""),5016.756414424545)</f>
        <v>5016.756414</v>
      </c>
      <c r="H54" s="26">
        <f>IFERROR(__xludf.DUMMYFUNCTION("""COMPUTED_VALUE"""),104026.9603483917)</f>
        <v>104026.9603</v>
      </c>
      <c r="I54" s="26">
        <f>IFERROR(__xludf.DUMMYFUNCTION("""COMPUTED_VALUE"""),8290.402287182138)</f>
        <v>8290.402287</v>
      </c>
      <c r="J54" s="42">
        <f>IFERROR(__xludf.DUMMYFUNCTION("""COMPUTED_VALUE"""),594119.6271963663)</f>
        <v>594119.6272</v>
      </c>
      <c r="K54" s="26"/>
      <c r="L54" s="42"/>
      <c r="M54" s="30"/>
      <c r="N54" s="43">
        <v>0.0</v>
      </c>
      <c r="O54" s="41">
        <v>1757.0</v>
      </c>
      <c r="P54" s="41">
        <v>0.0</v>
      </c>
      <c r="Q54" s="41">
        <v>0.0</v>
      </c>
      <c r="R54" s="41"/>
      <c r="S54" s="30">
        <f>IFERROR(__xludf.DUMMYFUNCTION("""COMPUTED_VALUE"""),3974.7564144245553)</f>
        <v>3974.756414</v>
      </c>
      <c r="T54" s="30">
        <f>IFERROR(__xludf.DUMMYFUNCTION("""COMPUTED_VALUE"""),466.4022871821653)</f>
        <v>466.4022872</v>
      </c>
      <c r="U54" s="41">
        <v>0.0</v>
      </c>
      <c r="V54" s="26">
        <f t="shared" si="15"/>
        <v>6198.158702</v>
      </c>
      <c r="W54" s="42">
        <f t="shared" si="7"/>
        <v>2043076.638</v>
      </c>
      <c r="X54" s="34">
        <f t="shared" si="2"/>
        <v>0.3158462609</v>
      </c>
      <c r="Y54" s="44">
        <f t="shared" si="14"/>
        <v>3154882.524</v>
      </c>
      <c r="Z54" s="30"/>
      <c r="AA54" s="45">
        <f t="shared" si="8"/>
        <v>26453.92566</v>
      </c>
      <c r="AB54" s="26">
        <f t="shared" si="9"/>
        <v>1987007.063</v>
      </c>
      <c r="AC54" s="26">
        <f t="shared" si="12"/>
        <v>6712.884127</v>
      </c>
      <c r="AD54" s="67">
        <f t="shared" si="10"/>
        <v>1944194.947</v>
      </c>
      <c r="AE54" s="34">
        <v>0.25</v>
      </c>
      <c r="AF54" s="44">
        <f t="shared" si="11"/>
        <v>2691866.535</v>
      </c>
      <c r="AG54" s="6"/>
      <c r="AH54" s="6"/>
      <c r="AI54" s="6"/>
      <c r="AJ54" s="6"/>
      <c r="AK54" s="6"/>
      <c r="AL54" s="6"/>
      <c r="AM54" s="6"/>
      <c r="AN54" s="6"/>
      <c r="AO54" s="6"/>
      <c r="AP54" s="6"/>
    </row>
    <row r="55" ht="11.25" customHeight="1">
      <c r="A55" s="54"/>
      <c r="B55" s="68">
        <f t="shared" si="16"/>
        <v>50</v>
      </c>
      <c r="C55" s="40">
        <v>-99250.78</v>
      </c>
      <c r="D55" s="26">
        <f t="shared" si="5"/>
        <v>1164999.998</v>
      </c>
      <c r="E55" s="41"/>
      <c r="F55" s="26"/>
      <c r="G55" s="26">
        <f>IFERROR(__xludf.DUMMYFUNCTION("""COMPUTED_VALUE"""),5035.151187944103)</f>
        <v>5035.151188</v>
      </c>
      <c r="H55" s="26">
        <f>IFERROR(__xludf.DUMMYFUNCTION("""COMPUTED_VALUE"""),109062.11153633581)</f>
        <v>109062.1115</v>
      </c>
      <c r="I55" s="26">
        <f>IFERROR(__xludf.DUMMYFUNCTION("""COMPUTED_VALUE"""),8319.418695187274)</f>
        <v>8319.418695</v>
      </c>
      <c r="J55" s="42">
        <f>IFERROR(__xludf.DUMMYFUNCTION("""COMPUTED_VALUE"""),602439.0458915536)</f>
        <v>602439.0459</v>
      </c>
      <c r="K55" s="26"/>
      <c r="L55" s="42"/>
      <c r="M55" s="30"/>
      <c r="N55" s="43">
        <v>0.0</v>
      </c>
      <c r="O55" s="41">
        <v>-7483.0</v>
      </c>
      <c r="P55" s="41">
        <v>0.0</v>
      </c>
      <c r="Q55" s="41">
        <v>0.0</v>
      </c>
      <c r="R55" s="41"/>
      <c r="S55" s="30">
        <f>IFERROR(__xludf.DUMMYFUNCTION("""COMPUTED_VALUE"""),3993.151187944095)</f>
        <v>3993.151188</v>
      </c>
      <c r="T55" s="30">
        <f>IFERROR(__xludf.DUMMYFUNCTION("""COMPUTED_VALUE"""),495.41869518731255)</f>
        <v>495.4186952</v>
      </c>
      <c r="U55" s="41">
        <v>0.0</v>
      </c>
      <c r="V55" s="26">
        <f t="shared" si="15"/>
        <v>-2994.430117</v>
      </c>
      <c r="W55" s="42">
        <f t="shared" si="7"/>
        <v>2040082.208</v>
      </c>
      <c r="X55" s="34">
        <f t="shared" si="2"/>
        <v>-0.1595751811</v>
      </c>
      <c r="Y55" s="44">
        <f t="shared" si="14"/>
        <v>3059793.725</v>
      </c>
      <c r="Z55" s="30"/>
      <c r="AA55" s="45">
        <f t="shared" si="8"/>
        <v>6712.884127</v>
      </c>
      <c r="AB55" s="26">
        <f t="shared" si="9"/>
        <v>1993719.947</v>
      </c>
      <c r="AC55" s="26">
        <f t="shared" si="12"/>
        <v>6763.052762</v>
      </c>
      <c r="AD55" s="69">
        <f t="shared" si="10"/>
        <v>1950958</v>
      </c>
      <c r="AE55" s="34">
        <v>0.25</v>
      </c>
      <c r="AF55" s="44">
        <f t="shared" si="11"/>
        <v>2711984.157</v>
      </c>
      <c r="AG55" s="6"/>
      <c r="AH55" s="6"/>
      <c r="AI55" s="6"/>
      <c r="AJ55" s="6"/>
      <c r="AK55" s="6"/>
      <c r="AL55" s="6"/>
      <c r="AM55" s="6"/>
      <c r="AN55" s="6"/>
      <c r="AO55" s="6"/>
      <c r="AP55" s="6"/>
    </row>
    <row r="56" ht="11.25" customHeight="1">
      <c r="A56" s="70">
        <v>45292.0</v>
      </c>
      <c r="B56" s="68">
        <f t="shared" si="16"/>
        <v>51</v>
      </c>
      <c r="C56" s="40">
        <v>-77500.0</v>
      </c>
      <c r="D56" s="26">
        <f t="shared" si="5"/>
        <v>1087499.998</v>
      </c>
      <c r="E56" s="41"/>
      <c r="F56" s="26"/>
      <c r="G56" s="26">
        <f>IFERROR(__xludf.DUMMYFUNCTION("""COMPUTED_VALUE"""),5053.613408966565)</f>
        <v>5053.613409</v>
      </c>
      <c r="H56" s="26">
        <f>IFERROR(__xludf.DUMMYFUNCTION("""COMPUTED_VALUE"""),114115.72494530238)</f>
        <v>114115.7249</v>
      </c>
      <c r="I56" s="26">
        <f>IFERROR(__xludf.DUMMYFUNCTION("""COMPUTED_VALUE"""),8348.536660620432)</f>
        <v>8348.536661</v>
      </c>
      <c r="J56" s="42">
        <f>IFERROR(__xludf.DUMMYFUNCTION("""COMPUTED_VALUE"""),610787.5825521741)</f>
        <v>610787.5826</v>
      </c>
      <c r="K56" s="26"/>
      <c r="L56" s="42"/>
      <c r="M56" s="30"/>
      <c r="N56" s="43">
        <v>0.0</v>
      </c>
      <c r="O56" s="41">
        <v>1500.0</v>
      </c>
      <c r="P56" s="41">
        <v>0.0</v>
      </c>
      <c r="Q56" s="41">
        <v>0.0</v>
      </c>
      <c r="R56" s="41"/>
      <c r="S56" s="30">
        <f>IFERROR(__xludf.DUMMYFUNCTION("""COMPUTED_VALUE"""),4011.6134089665575)</f>
        <v>4011.613409</v>
      </c>
      <c r="T56" s="30">
        <f>IFERROR(__xludf.DUMMYFUNCTION("""COMPUTED_VALUE"""),524.536660620477)</f>
        <v>524.5366606</v>
      </c>
      <c r="U56" s="41">
        <v>0.0</v>
      </c>
      <c r="V56" s="26">
        <f t="shared" si="15"/>
        <v>6036.15007</v>
      </c>
      <c r="W56" s="42">
        <f t="shared" si="7"/>
        <v>2046118.358</v>
      </c>
      <c r="X56" s="34">
        <f t="shared" si="2"/>
        <v>0.333046737</v>
      </c>
      <c r="Y56" s="44">
        <f t="shared" si="14"/>
        <v>3004726.455</v>
      </c>
      <c r="Z56" s="30"/>
      <c r="AA56" s="45">
        <f t="shared" si="8"/>
        <v>6763.052762</v>
      </c>
      <c r="AB56" s="26">
        <f t="shared" si="9"/>
        <v>2000483</v>
      </c>
      <c r="AC56" s="26">
        <f t="shared" si="12"/>
        <v>6813.465769</v>
      </c>
      <c r="AD56" s="69">
        <f t="shared" si="10"/>
        <v>1957771.466</v>
      </c>
      <c r="AE56" s="34">
        <v>0.25</v>
      </c>
      <c r="AF56" s="44">
        <f t="shared" si="11"/>
        <v>2732199.773</v>
      </c>
      <c r="AG56" s="6"/>
      <c r="AH56" s="6"/>
      <c r="AI56" s="6"/>
      <c r="AJ56" s="6"/>
      <c r="AK56" s="6"/>
      <c r="AL56" s="6"/>
      <c r="AM56" s="6"/>
      <c r="AN56" s="6"/>
      <c r="AO56" s="6"/>
      <c r="AP56" s="6"/>
    </row>
    <row r="57" ht="11.25" customHeight="1">
      <c r="A57" s="7"/>
      <c r="B57" s="68">
        <f t="shared" si="16"/>
        <v>52</v>
      </c>
      <c r="C57" s="40">
        <v>84500.0</v>
      </c>
      <c r="D57" s="26">
        <f t="shared" si="5"/>
        <v>1171999.998</v>
      </c>
      <c r="E57" s="41"/>
      <c r="F57" s="26"/>
      <c r="G57" s="26">
        <f>IFERROR(__xludf.DUMMYFUNCTION("""COMPUTED_VALUE"""),5072.143324799442)</f>
        <v>5072.143325</v>
      </c>
      <c r="H57" s="26">
        <f>IFERROR(__xludf.DUMMYFUNCTION("""COMPUTED_VALUE"""),119187.86827010183)</f>
        <v>119187.8683</v>
      </c>
      <c r="I57" s="26">
        <f>IFERROR(__xludf.DUMMYFUNCTION("""COMPUTED_VALUE"""),8377.756538932603)</f>
        <v>8377.756539</v>
      </c>
      <c r="J57" s="42">
        <f>IFERROR(__xludf.DUMMYFUNCTION("""COMPUTED_VALUE"""),619165.3390911067)</f>
        <v>619165.3391</v>
      </c>
      <c r="K57" s="26"/>
      <c r="L57" s="42"/>
      <c r="M57" s="30"/>
      <c r="N57" s="43">
        <v>0.0</v>
      </c>
      <c r="O57" s="41">
        <v>750.0</v>
      </c>
      <c r="P57" s="41">
        <v>0.0</v>
      </c>
      <c r="Q57" s="41">
        <v>0.0</v>
      </c>
      <c r="R57" s="41"/>
      <c r="S57" s="30">
        <f>IFERROR(__xludf.DUMMYFUNCTION("""COMPUTED_VALUE"""),4030.1433247994573)</f>
        <v>4030.143325</v>
      </c>
      <c r="T57" s="30">
        <f>IFERROR(__xludf.DUMMYFUNCTION("""COMPUTED_VALUE"""),553.7565389325609)</f>
        <v>553.7565389</v>
      </c>
      <c r="U57" s="41">
        <v>0.0</v>
      </c>
      <c r="V57" s="26">
        <f t="shared" si="15"/>
        <v>5333.899864</v>
      </c>
      <c r="W57" s="42">
        <f t="shared" si="7"/>
        <v>2051452.258</v>
      </c>
      <c r="X57" s="34">
        <f t="shared" si="2"/>
        <v>0.2792101403</v>
      </c>
      <c r="Y57" s="44">
        <f t="shared" si="14"/>
        <v>3101974.105</v>
      </c>
      <c r="Z57" s="30"/>
      <c r="AA57" s="45">
        <f t="shared" si="8"/>
        <v>6813.465769</v>
      </c>
      <c r="AB57" s="26">
        <f t="shared" si="9"/>
        <v>2007296.466</v>
      </c>
      <c r="AC57" s="26">
        <f t="shared" si="12"/>
        <v>6864.124183</v>
      </c>
      <c r="AD57" s="69">
        <f t="shared" si="10"/>
        <v>1964635.59</v>
      </c>
      <c r="AE57" s="34">
        <v>0.25</v>
      </c>
      <c r="AF57" s="44">
        <f t="shared" si="11"/>
        <v>2752513.797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</row>
    <row r="58" ht="11.25" customHeight="1">
      <c r="A58" s="7"/>
      <c r="B58" s="68">
        <f t="shared" si="16"/>
        <v>53</v>
      </c>
      <c r="C58" s="40">
        <v>61500.0</v>
      </c>
      <c r="D58" s="26">
        <f t="shared" si="5"/>
        <v>1233499.998</v>
      </c>
      <c r="E58" s="41"/>
      <c r="F58" s="26"/>
      <c r="G58" s="26">
        <f>IFERROR(__xludf.DUMMYFUNCTION("""COMPUTED_VALUE"""),5090.741183657039)</f>
        <v>5090.741184</v>
      </c>
      <c r="H58" s="26">
        <f>IFERROR(__xludf.DUMMYFUNCTION("""COMPUTED_VALUE"""),124278.60945375887)</f>
        <v>124278.6095</v>
      </c>
      <c r="I58" s="26">
        <f>IFERROR(__xludf.DUMMYFUNCTION("""COMPUTED_VALUE"""),8407.078686818866)</f>
        <v>8407.078687</v>
      </c>
      <c r="J58" s="42">
        <f>IFERROR(__xludf.DUMMYFUNCTION("""COMPUTED_VALUE"""),627572.4177779255)</f>
        <v>627572.4178</v>
      </c>
      <c r="K58" s="26"/>
      <c r="L58" s="42"/>
      <c r="M58" s="30"/>
      <c r="N58" s="43">
        <v>0.0</v>
      </c>
      <c r="O58" s="41">
        <v>0.0</v>
      </c>
      <c r="P58" s="41">
        <v>0.0</v>
      </c>
      <c r="Q58" s="41">
        <v>0.0</v>
      </c>
      <c r="R58" s="41"/>
      <c r="S58" s="30">
        <f>IFERROR(__xludf.DUMMYFUNCTION("""COMPUTED_VALUE"""),4048.7411836570245)</f>
        <v>4048.741184</v>
      </c>
      <c r="T58" s="30">
        <f>IFERROR(__xludf.DUMMYFUNCTION("""COMPUTED_VALUE"""),583.0786868188297)</f>
        <v>583.0786868</v>
      </c>
      <c r="U58" s="41">
        <v>0.0</v>
      </c>
      <c r="V58" s="26">
        <f t="shared" si="15"/>
        <v>4631.81987</v>
      </c>
      <c r="W58" s="42">
        <f t="shared" si="7"/>
        <v>2056084.077</v>
      </c>
      <c r="X58" s="34">
        <f t="shared" si="2"/>
        <v>0.233299795</v>
      </c>
      <c r="Y58" s="44">
        <f t="shared" si="14"/>
        <v>3176269.845</v>
      </c>
      <c r="Z58" s="30"/>
      <c r="AA58" s="45">
        <f t="shared" si="8"/>
        <v>6864.124183</v>
      </c>
      <c r="AB58" s="26">
        <f t="shared" si="9"/>
        <v>2014160.59</v>
      </c>
      <c r="AC58" s="26">
        <f t="shared" si="12"/>
        <v>6915.029043</v>
      </c>
      <c r="AD58" s="69">
        <f t="shared" si="10"/>
        <v>1971550.619</v>
      </c>
      <c r="AE58" s="34">
        <v>0.25</v>
      </c>
      <c r="AF58" s="44">
        <f t="shared" si="11"/>
        <v>2772926.646</v>
      </c>
      <c r="AG58" s="6"/>
      <c r="AH58" s="6"/>
      <c r="AI58" s="6"/>
      <c r="AJ58" s="6"/>
      <c r="AK58" s="6"/>
      <c r="AL58" s="6"/>
      <c r="AM58" s="6"/>
      <c r="AN58" s="6"/>
      <c r="AO58" s="6"/>
      <c r="AP58" s="6"/>
    </row>
    <row r="59" ht="11.25" customHeight="1">
      <c r="A59" s="7"/>
      <c r="B59" s="68">
        <f t="shared" si="16"/>
        <v>54</v>
      </c>
      <c r="C59" s="40">
        <v>19250.0</v>
      </c>
      <c r="D59" s="26">
        <f t="shared" si="5"/>
        <v>1252749.998</v>
      </c>
      <c r="E59" s="41"/>
      <c r="F59" s="26"/>
      <c r="G59" s="26">
        <f>IFERROR(__xludf.DUMMYFUNCTION("""COMPUTED_VALUE"""),5109.407234663781)</f>
        <v>5109.407235</v>
      </c>
      <c r="H59" s="26">
        <f>IFERROR(__xludf.DUMMYFUNCTION("""COMPUTED_VALUE"""),129388.01668842265)</f>
        <v>129388.0167</v>
      </c>
      <c r="I59" s="26">
        <f>IFERROR(__xludf.DUMMYFUNCTION("""COMPUTED_VALUE"""),8436.503462222734)</f>
        <v>8436.503462</v>
      </c>
      <c r="J59" s="42">
        <f>IFERROR(__xludf.DUMMYFUNCTION("""COMPUTED_VALUE"""),636008.9212401483)</f>
        <v>636008.9212</v>
      </c>
      <c r="K59" s="26"/>
      <c r="L59" s="42"/>
      <c r="M59" s="30"/>
      <c r="N59" s="43">
        <v>0.0</v>
      </c>
      <c r="O59" s="41">
        <v>0.0</v>
      </c>
      <c r="P59" s="41">
        <v>0.0</v>
      </c>
      <c r="Q59" s="41">
        <v>0.0</v>
      </c>
      <c r="R59" s="41"/>
      <c r="S59" s="30">
        <f>IFERROR(__xludf.DUMMYFUNCTION("""COMPUTED_VALUE"""),4067.407234663784)</f>
        <v>4067.407235</v>
      </c>
      <c r="T59" s="30">
        <f>IFERROR(__xludf.DUMMYFUNCTION("""COMPUTED_VALUE"""),612.503462222754)</f>
        <v>612.5034622</v>
      </c>
      <c r="U59" s="41">
        <v>0.0</v>
      </c>
      <c r="V59" s="26">
        <f t="shared" si="15"/>
        <v>4679.910697</v>
      </c>
      <c r="W59" s="42">
        <f t="shared" si="7"/>
        <v>2060763.988</v>
      </c>
      <c r="X59" s="34">
        <f t="shared" si="2"/>
        <v>0.231891475</v>
      </c>
      <c r="Y59" s="44">
        <f t="shared" si="14"/>
        <v>3209113.846</v>
      </c>
      <c r="Z59" s="30"/>
      <c r="AA59" s="45">
        <f t="shared" si="8"/>
        <v>6915.029043</v>
      </c>
      <c r="AB59" s="26">
        <f t="shared" si="9"/>
        <v>2021075.619</v>
      </c>
      <c r="AC59" s="26">
        <f t="shared" si="12"/>
        <v>6966.181392</v>
      </c>
      <c r="AD59" s="69">
        <f t="shared" si="10"/>
        <v>1978516.8</v>
      </c>
      <c r="AE59" s="34">
        <v>0.25</v>
      </c>
      <c r="AF59" s="44">
        <f t="shared" si="11"/>
        <v>2793438.738</v>
      </c>
      <c r="AG59" s="6"/>
      <c r="AH59" s="6"/>
      <c r="AI59" s="6"/>
      <c r="AJ59" s="6"/>
      <c r="AK59" s="6"/>
      <c r="AL59" s="6"/>
      <c r="AM59" s="6"/>
      <c r="AN59" s="6"/>
      <c r="AO59" s="6"/>
      <c r="AP59" s="6"/>
    </row>
    <row r="60" ht="11.25" customHeight="1">
      <c r="A60" s="7"/>
      <c r="B60" s="68">
        <f t="shared" si="16"/>
        <v>55</v>
      </c>
      <c r="C60" s="40">
        <v>-117250.0</v>
      </c>
      <c r="D60" s="26">
        <f t="shared" si="5"/>
        <v>1135499.998</v>
      </c>
      <c r="E60" s="41"/>
      <c r="F60" s="26"/>
      <c r="G60" s="26">
        <f>IFERROR(__xludf.DUMMYFUNCTION("""COMPUTED_VALUE"""),5128.141727857549)</f>
        <v>5128.141728</v>
      </c>
      <c r="H60" s="26">
        <f>IFERROR(__xludf.DUMMYFUNCTION("""COMPUTED_VALUE"""),134516.1584162802)</f>
        <v>134516.1584</v>
      </c>
      <c r="I60" s="26">
        <f>IFERROR(__xludf.DUMMYFUNCTION("""COMPUTED_VALUE"""),8466.031224340513)</f>
        <v>8466.031224</v>
      </c>
      <c r="J60" s="42">
        <f>IFERROR(__xludf.DUMMYFUNCTION("""COMPUTED_VALUE"""),644474.9524644888)</f>
        <v>644474.9525</v>
      </c>
      <c r="K60" s="26"/>
      <c r="L60" s="42"/>
      <c r="M60" s="30"/>
      <c r="N60" s="43">
        <v>0.0</v>
      </c>
      <c r="O60" s="41">
        <v>0.0</v>
      </c>
      <c r="P60" s="41">
        <v>0.0</v>
      </c>
      <c r="Q60" s="41">
        <v>0.0</v>
      </c>
      <c r="R60" s="41"/>
      <c r="S60" s="30">
        <f>IFERROR(__xludf.DUMMYFUNCTION("""COMPUTED_VALUE"""),4086.1417278575536)</f>
        <v>4086.141728</v>
      </c>
      <c r="T60" s="30">
        <f>IFERROR(__xludf.DUMMYFUNCTION("""COMPUTED_VALUE"""),642.0312243405497)</f>
        <v>642.0312243</v>
      </c>
      <c r="U60" s="41">
        <v>0.0</v>
      </c>
      <c r="V60" s="26">
        <f t="shared" si="15"/>
        <v>4728.172952</v>
      </c>
      <c r="W60" s="42">
        <f t="shared" si="7"/>
        <v>2065492.161</v>
      </c>
      <c r="X60" s="34">
        <f t="shared" si="2"/>
        <v>0.2469676109</v>
      </c>
      <c r="Y60" s="44">
        <f t="shared" si="14"/>
        <v>3105506.281</v>
      </c>
      <c r="Z60" s="30"/>
      <c r="AA60" s="45">
        <f t="shared" si="8"/>
        <v>6966.181392</v>
      </c>
      <c r="AB60" s="26">
        <f t="shared" si="9"/>
        <v>2028041.8</v>
      </c>
      <c r="AC60" s="26">
        <f t="shared" si="12"/>
        <v>7017.582278</v>
      </c>
      <c r="AD60" s="69">
        <f t="shared" si="10"/>
        <v>1985534.383</v>
      </c>
      <c r="AE60" s="34">
        <v>0.25</v>
      </c>
      <c r="AF60" s="44">
        <f t="shared" si="11"/>
        <v>2814050.494</v>
      </c>
      <c r="AG60" s="6"/>
      <c r="AH60" s="6"/>
      <c r="AI60" s="6"/>
      <c r="AJ60" s="6"/>
      <c r="AK60" s="6"/>
      <c r="AL60" s="6"/>
      <c r="AM60" s="6"/>
      <c r="AN60" s="6"/>
      <c r="AO60" s="6"/>
      <c r="AP60" s="6"/>
    </row>
    <row r="61" ht="11.25" customHeight="1">
      <c r="A61" s="7"/>
      <c r="B61" s="68">
        <f t="shared" si="16"/>
        <v>56</v>
      </c>
      <c r="C61" s="40">
        <v>-485500.0</v>
      </c>
      <c r="D61" s="26">
        <f t="shared" si="5"/>
        <v>649999.9976</v>
      </c>
      <c r="E61" s="41"/>
      <c r="F61" s="26"/>
      <c r="G61" s="26">
        <f>IFERROR(__xludf.DUMMYFUNCTION("""COMPUTED_VALUE"""),5146.944914193026)</f>
        <v>5146.944914</v>
      </c>
      <c r="H61" s="26">
        <f>IFERROR(__xludf.DUMMYFUNCTION("""COMPUTED_VALUE"""),139663.10333047324)</f>
        <v>139663.1033</v>
      </c>
      <c r="I61" s="26">
        <f>IFERROR(__xludf.DUMMYFUNCTION("""COMPUTED_VALUE"""),8495.662333625705)</f>
        <v>8495.662334</v>
      </c>
      <c r="J61" s="42">
        <f>IFERROR(__xludf.DUMMYFUNCTION("""COMPUTED_VALUE"""),652970.6147981145)</f>
        <v>652970.6148</v>
      </c>
      <c r="K61" s="26"/>
      <c r="L61" s="42"/>
      <c r="M61" s="30"/>
      <c r="N61" s="43">
        <v>0.0</v>
      </c>
      <c r="O61" s="41">
        <v>0.0</v>
      </c>
      <c r="P61" s="41">
        <v>0.0</v>
      </c>
      <c r="Q61" s="41">
        <v>0.0</v>
      </c>
      <c r="R61" s="41"/>
      <c r="S61" s="30">
        <f>IFERROR(__xludf.DUMMYFUNCTION("""COMPUTED_VALUE"""),6104.944914193009)</f>
        <v>6104.944914</v>
      </c>
      <c r="T61" s="30">
        <f>IFERROR(__xludf.DUMMYFUNCTION("""COMPUTED_VALUE"""),671.662333625718)</f>
        <v>671.6623336</v>
      </c>
      <c r="U61" s="41">
        <v>0.0</v>
      </c>
      <c r="V61" s="26">
        <f t="shared" si="15"/>
        <v>6776.607248</v>
      </c>
      <c r="W61" s="42">
        <f t="shared" si="7"/>
        <v>2072268.768</v>
      </c>
      <c r="X61" s="34">
        <f t="shared" si="2"/>
        <v>0.4697385881</v>
      </c>
      <c r="Y61" s="44">
        <f t="shared" si="14"/>
        <v>2635697.323</v>
      </c>
      <c r="Z61" s="30"/>
      <c r="AA61" s="45">
        <f t="shared" si="8"/>
        <v>7017.582278</v>
      </c>
      <c r="AB61" s="26">
        <f t="shared" si="9"/>
        <v>2035059.383</v>
      </c>
      <c r="AC61" s="26">
        <f t="shared" si="12"/>
        <v>7069.232752</v>
      </c>
      <c r="AD61" s="69">
        <f t="shared" si="10"/>
        <v>1992603.615</v>
      </c>
      <c r="AE61" s="34">
        <v>0.25</v>
      </c>
      <c r="AF61" s="44">
        <f t="shared" si="11"/>
        <v>2834762.334</v>
      </c>
      <c r="AG61" s="6"/>
      <c r="AH61" s="6"/>
      <c r="AI61" s="6"/>
      <c r="AJ61" s="6"/>
      <c r="AK61" s="6"/>
      <c r="AL61" s="6"/>
      <c r="AM61" s="6"/>
      <c r="AN61" s="6"/>
      <c r="AO61" s="6"/>
      <c r="AP61" s="6"/>
    </row>
    <row r="62" ht="11.25" customHeight="1">
      <c r="A62" s="7"/>
      <c r="B62" s="68">
        <f t="shared" si="16"/>
        <v>57</v>
      </c>
      <c r="C62" s="40">
        <v>-100000.0</v>
      </c>
      <c r="D62" s="26">
        <f t="shared" si="5"/>
        <v>549999.9976</v>
      </c>
      <c r="E62" s="41"/>
      <c r="F62" s="26"/>
      <c r="G62" s="26">
        <f>IFERROR(__xludf.DUMMYFUNCTION("""COMPUTED_VALUE"""),5165.817045545068)</f>
        <v>5165.817046</v>
      </c>
      <c r="H62" s="26">
        <f>IFERROR(__xludf.DUMMYFUNCTION("""COMPUTED_VALUE"""),144828.9203760183)</f>
        <v>144828.9204</v>
      </c>
      <c r="I62" s="26">
        <f>IFERROR(__xludf.DUMMYFUNCTION("""COMPUTED_VALUE"""),8525.397151793395)</f>
        <v>8525.397152</v>
      </c>
      <c r="J62" s="42">
        <f>IFERROR(__xludf.DUMMYFUNCTION("""COMPUTED_VALUE"""),661496.0119499079)</f>
        <v>661496.0119</v>
      </c>
      <c r="K62" s="26"/>
      <c r="L62" s="42"/>
      <c r="M62" s="30"/>
      <c r="N62" s="43">
        <v>0.0</v>
      </c>
      <c r="O62" s="41">
        <v>0.0</v>
      </c>
      <c r="P62" s="41">
        <v>0.0</v>
      </c>
      <c r="Q62" s="41">
        <v>0.0</v>
      </c>
      <c r="R62" s="41"/>
      <c r="S62" s="30">
        <f>IFERROR(__xludf.DUMMYFUNCTION("""COMPUTED_VALUE"""),6123.817045545089)</f>
        <v>6123.817046</v>
      </c>
      <c r="T62" s="30">
        <f>IFERROR(__xludf.DUMMYFUNCTION("""COMPUTED_VALUE"""),701.3971517933533)</f>
        <v>701.3971518</v>
      </c>
      <c r="U62" s="41">
        <v>0.0</v>
      </c>
      <c r="V62" s="26">
        <f t="shared" si="15"/>
        <v>6825.214197</v>
      </c>
      <c r="W62" s="42">
        <f t="shared" si="7"/>
        <v>2079093.983</v>
      </c>
      <c r="X62" s="34">
        <f t="shared" si="2"/>
        <v>0.5032137983</v>
      </c>
      <c r="Y62" s="44">
        <f t="shared" si="14"/>
        <v>2549437.144</v>
      </c>
      <c r="Z62" s="30"/>
      <c r="AA62" s="45">
        <f t="shared" si="8"/>
        <v>7069.232752</v>
      </c>
      <c r="AB62" s="26">
        <f t="shared" si="9"/>
        <v>2042128.615</v>
      </c>
      <c r="AC62" s="26">
        <f t="shared" si="12"/>
        <v>7121.133869</v>
      </c>
      <c r="AD62" s="69">
        <f t="shared" si="10"/>
        <v>1999724.749</v>
      </c>
      <c r="AE62" s="34">
        <v>0.25</v>
      </c>
      <c r="AF62" s="44">
        <f t="shared" si="11"/>
        <v>2855574.682</v>
      </c>
      <c r="AG62" s="6"/>
      <c r="AH62" s="6"/>
      <c r="AI62" s="6"/>
      <c r="AJ62" s="6"/>
      <c r="AK62" s="6"/>
      <c r="AL62" s="6"/>
      <c r="AM62" s="6"/>
      <c r="AN62" s="6"/>
      <c r="AO62" s="6"/>
      <c r="AP62" s="6"/>
    </row>
    <row r="63" ht="11.25" customHeight="1">
      <c r="A63" s="7"/>
      <c r="B63" s="68">
        <f t="shared" si="16"/>
        <v>58</v>
      </c>
      <c r="C63" s="40">
        <v>0.0</v>
      </c>
      <c r="D63" s="26">
        <f t="shared" si="5"/>
        <v>549999.9976</v>
      </c>
      <c r="E63" s="41"/>
      <c r="F63" s="26"/>
      <c r="G63" s="26">
        <f>IFERROR(__xludf.DUMMYFUNCTION("""COMPUTED_VALUE"""),5184.758374712066)</f>
        <v>5184.758375</v>
      </c>
      <c r="H63" s="26">
        <f>IFERROR(__xludf.DUMMYFUNCTION("""COMPUTED_VALUE"""),150013.67875073035)</f>
        <v>150013.6788</v>
      </c>
      <c r="I63" s="26">
        <f>IFERROR(__xludf.DUMMYFUNCTION("""COMPUTED_VALUE"""),8555.236041824674)</f>
        <v>8555.236042</v>
      </c>
      <c r="J63" s="42">
        <f>IFERROR(__xludf.DUMMYFUNCTION("""COMPUTED_VALUE"""),670051.2479917326)</f>
        <v>670051.248</v>
      </c>
      <c r="K63" s="26"/>
      <c r="L63" s="42"/>
      <c r="M63" s="30"/>
      <c r="N63" s="43">
        <v>0.0</v>
      </c>
      <c r="O63" s="41">
        <v>0.0</v>
      </c>
      <c r="P63" s="41">
        <v>0.0</v>
      </c>
      <c r="Q63" s="41">
        <v>0.0</v>
      </c>
      <c r="R63" s="41"/>
      <c r="S63" s="30">
        <f>IFERROR(__xludf.DUMMYFUNCTION("""COMPUTED_VALUE"""),6142.758374712081)</f>
        <v>6142.758375</v>
      </c>
      <c r="T63" s="30">
        <f>IFERROR(__xludf.DUMMYFUNCTION("""COMPUTED_VALUE"""),731.2360418246826)</f>
        <v>731.2360418</v>
      </c>
      <c r="U63" s="41">
        <v>0.0</v>
      </c>
      <c r="V63" s="26">
        <f t="shared" si="15"/>
        <v>6873.994417</v>
      </c>
      <c r="W63" s="42">
        <f t="shared" si="7"/>
        <v>2085967.977</v>
      </c>
      <c r="X63" s="34">
        <f t="shared" si="2"/>
        <v>0.5017276404</v>
      </c>
      <c r="Y63" s="44">
        <f t="shared" si="14"/>
        <v>2563225.919</v>
      </c>
      <c r="Z63" s="30"/>
      <c r="AA63" s="45">
        <f t="shared" si="8"/>
        <v>7121.133869</v>
      </c>
      <c r="AB63" s="26">
        <f t="shared" si="9"/>
        <v>2049249.749</v>
      </c>
      <c r="AC63" s="26">
        <f t="shared" si="12"/>
        <v>7173.28669</v>
      </c>
      <c r="AD63" s="69">
        <f t="shared" si="10"/>
        <v>2006898.036</v>
      </c>
      <c r="AE63" s="34">
        <v>0.25</v>
      </c>
      <c r="AF63" s="44">
        <f t="shared" si="11"/>
        <v>2876487.963</v>
      </c>
      <c r="AG63" s="6"/>
      <c r="AH63" s="6"/>
      <c r="AI63" s="6"/>
      <c r="AJ63" s="6"/>
      <c r="AK63" s="6"/>
      <c r="AL63" s="6"/>
      <c r="AM63" s="6"/>
      <c r="AN63" s="6"/>
      <c r="AO63" s="6"/>
      <c r="AP63" s="6"/>
    </row>
    <row r="64" ht="11.25" customHeight="1">
      <c r="A64" s="7"/>
      <c r="B64" s="68">
        <f t="shared" si="16"/>
        <v>59</v>
      </c>
      <c r="C64" s="40">
        <v>0.0</v>
      </c>
      <c r="D64" s="26">
        <f t="shared" si="5"/>
        <v>549999.9976</v>
      </c>
      <c r="E64" s="41"/>
      <c r="F64" s="26"/>
      <c r="G64" s="26">
        <f>IFERROR(__xludf.DUMMYFUNCTION("""COMPUTED_VALUE"""),5203.769155419343)</f>
        <v>5203.769155</v>
      </c>
      <c r="H64" s="26">
        <f>IFERROR(__xludf.DUMMYFUNCTION("""COMPUTED_VALUE"""),155217.4479061497)</f>
        <v>155217.4479</v>
      </c>
      <c r="I64" s="26">
        <f>IFERROR(__xludf.DUMMYFUNCTION("""COMPUTED_VALUE"""),8585.179367971059)</f>
        <v>8585.179368</v>
      </c>
      <c r="J64" s="42">
        <f>IFERROR(__xludf.DUMMYFUNCTION("""COMPUTED_VALUE"""),678636.4273597036)</f>
        <v>678636.4274</v>
      </c>
      <c r="K64" s="26"/>
      <c r="L64" s="42"/>
      <c r="M64" s="30"/>
      <c r="N64" s="43">
        <v>0.0</v>
      </c>
      <c r="O64" s="41">
        <v>0.0</v>
      </c>
      <c r="P64" s="41">
        <v>0.0</v>
      </c>
      <c r="Q64" s="41">
        <v>0.0</v>
      </c>
      <c r="R64" s="41"/>
      <c r="S64" s="30">
        <f>IFERROR(__xludf.DUMMYFUNCTION("""COMPUTED_VALUE"""),6161.769155419315)</f>
        <v>6161.769155</v>
      </c>
      <c r="T64" s="30">
        <f>IFERROR(__xludf.DUMMYFUNCTION("""COMPUTED_VALUE"""),761.1793679710245)</f>
        <v>761.179368</v>
      </c>
      <c r="U64" s="41">
        <v>0.0</v>
      </c>
      <c r="V64" s="26">
        <f t="shared" si="15"/>
        <v>6922.948523</v>
      </c>
      <c r="W64" s="42">
        <f t="shared" si="7"/>
        <v>2092890.926</v>
      </c>
      <c r="X64" s="34">
        <f t="shared" si="2"/>
        <v>0.5002658633</v>
      </c>
      <c r="Y64" s="44">
        <f t="shared" si="14"/>
        <v>2577063.821</v>
      </c>
      <c r="Z64" s="30"/>
      <c r="AA64" s="45">
        <f t="shared" si="8"/>
        <v>7173.28669</v>
      </c>
      <c r="AB64" s="26">
        <f t="shared" si="9"/>
        <v>2056423.036</v>
      </c>
      <c r="AC64" s="26">
        <f t="shared" si="12"/>
        <v>7225.692278</v>
      </c>
      <c r="AD64" s="69">
        <f t="shared" si="10"/>
        <v>2014123.728</v>
      </c>
      <c r="AE64" s="34">
        <v>0.25</v>
      </c>
      <c r="AF64" s="44">
        <f t="shared" si="11"/>
        <v>2897502.603</v>
      </c>
      <c r="AG64" s="6"/>
      <c r="AH64" s="6"/>
      <c r="AI64" s="6"/>
      <c r="AJ64" s="6"/>
      <c r="AK64" s="6"/>
      <c r="AL64" s="6"/>
      <c r="AM64" s="6"/>
      <c r="AN64" s="6"/>
      <c r="AO64" s="6"/>
      <c r="AP64" s="6"/>
    </row>
    <row r="65" ht="11.25" customHeight="1">
      <c r="A65" s="71"/>
      <c r="B65" s="72">
        <f t="shared" si="16"/>
        <v>60</v>
      </c>
      <c r="C65" s="40">
        <v>0.0</v>
      </c>
      <c r="D65" s="49">
        <f t="shared" si="5"/>
        <v>549999.9976</v>
      </c>
      <c r="E65" s="50"/>
      <c r="F65" s="49"/>
      <c r="G65" s="49">
        <f>IFERROR(__xludf.DUMMYFUNCTION("""COMPUTED_VALUE"""),5222.849642322548)</f>
        <v>5222.849642</v>
      </c>
      <c r="H65" s="49">
        <f>IFERROR(__xludf.DUMMYFUNCTION("""COMPUTED_VALUE"""),160440.29754847224)</f>
        <v>160440.2975</v>
      </c>
      <c r="I65" s="49">
        <f>IFERROR(__xludf.DUMMYFUNCTION("""COMPUTED_VALUE"""),8615.227495758958)</f>
        <v>8615.227496</v>
      </c>
      <c r="J65" s="51">
        <f>IFERROR(__xludf.DUMMYFUNCTION("""COMPUTED_VALUE"""),687251.6548554625)</f>
        <v>687251.6549</v>
      </c>
      <c r="K65" s="49"/>
      <c r="L65" s="51"/>
      <c r="M65" s="30"/>
      <c r="N65" s="52">
        <v>0.0</v>
      </c>
      <c r="O65" s="50">
        <v>0.0</v>
      </c>
      <c r="P65" s="50">
        <v>0.0</v>
      </c>
      <c r="Q65" s="50">
        <v>0.0</v>
      </c>
      <c r="R65" s="50"/>
      <c r="S65" s="73">
        <f>IFERROR(__xludf.DUMMYFUNCTION("""COMPUTED_VALUE"""),6180.849642322573)</f>
        <v>6180.849642</v>
      </c>
      <c r="T65" s="73">
        <f>IFERROR(__xludf.DUMMYFUNCTION("""COMPUTED_VALUE"""),1291.2274957589107)</f>
        <v>1291.227496</v>
      </c>
      <c r="U65" s="50">
        <v>0.0</v>
      </c>
      <c r="V65" s="49">
        <f t="shared" si="15"/>
        <v>7472.077138</v>
      </c>
      <c r="W65" s="51">
        <f t="shared" si="7"/>
        <v>2100363.003</v>
      </c>
      <c r="X65" s="34">
        <f t="shared" si="2"/>
        <v>0.5346011428</v>
      </c>
      <c r="Y65" s="44">
        <f t="shared" si="14"/>
        <v>2591451.027</v>
      </c>
      <c r="Z65" s="30"/>
      <c r="AA65" s="45">
        <f t="shared" si="8"/>
        <v>7225.692278</v>
      </c>
      <c r="AB65" s="49">
        <f t="shared" si="9"/>
        <v>2063648.728</v>
      </c>
      <c r="AC65" s="49">
        <f t="shared" si="12"/>
        <v>7278.351702</v>
      </c>
      <c r="AD65" s="74">
        <f t="shared" si="10"/>
        <v>2021402.08</v>
      </c>
      <c r="AE65" s="34">
        <v>0.25</v>
      </c>
      <c r="AF65" s="44">
        <f t="shared" si="11"/>
        <v>2918619.032</v>
      </c>
      <c r="AG65" s="6"/>
      <c r="AH65" s="6"/>
      <c r="AI65" s="6"/>
      <c r="AJ65" s="6"/>
      <c r="AK65" s="6"/>
      <c r="AL65" s="6"/>
      <c r="AM65" s="6"/>
      <c r="AN65" s="6"/>
      <c r="AO65" s="6"/>
      <c r="AP65" s="6"/>
    </row>
    <row r="66" ht="11.25" customHeight="1">
      <c r="A66" s="65">
        <v>45602.0</v>
      </c>
      <c r="B66" s="66">
        <f t="shared" si="16"/>
        <v>61</v>
      </c>
      <c r="C66" s="40">
        <v>250000.0</v>
      </c>
      <c r="D66" s="26">
        <f t="shared" si="5"/>
        <v>799999.9976</v>
      </c>
      <c r="E66" s="26"/>
      <c r="F66" s="26"/>
      <c r="G66" s="26">
        <f>IFERROR(__xludf.DUMMYFUNCTION("""COMPUTED_VALUE"""),5242.000091011064)</f>
        <v>5242.000091</v>
      </c>
      <c r="H66" s="26">
        <f>IFERROR(__xludf.DUMMYFUNCTION("""COMPUTED_VALUE"""),165682.2976394833)</f>
        <v>165682.2976</v>
      </c>
      <c r="I66" s="26">
        <f>IFERROR(__xludf.DUMMYFUNCTION("""COMPUTED_VALUE"""),8645.380791994114)</f>
        <v>8645.380792</v>
      </c>
      <c r="J66" s="42">
        <f>IFERROR(__xludf.DUMMYFUNCTION("""COMPUTED_VALUE"""),695897.0356474567)</f>
        <v>695897.0356</v>
      </c>
      <c r="K66" s="26"/>
      <c r="L66" s="42"/>
      <c r="M66" s="30"/>
      <c r="N66" s="43">
        <v>0.0</v>
      </c>
      <c r="O66" s="41">
        <v>0.0</v>
      </c>
      <c r="P66" s="41">
        <v>0.0</v>
      </c>
      <c r="Q66" s="41">
        <v>0.0</v>
      </c>
      <c r="R66" s="41"/>
      <c r="S66" s="75">
        <f>IFERROR(__xludf.DUMMYFUNCTION("""COMPUTED_VALUE"""),6200.000091011054)</f>
        <v>6200.000091</v>
      </c>
      <c r="T66" s="30">
        <f>IFERROR(__xludf.DUMMYFUNCTION("""COMPUTED_VALUE"""),1321.380791994161)</f>
        <v>1321.380792</v>
      </c>
      <c r="U66" s="41">
        <v>0.0</v>
      </c>
      <c r="V66" s="26">
        <f t="shared" si="15"/>
        <v>7521.380883</v>
      </c>
      <c r="W66" s="42">
        <f t="shared" si="7"/>
        <v>2107884.384</v>
      </c>
      <c r="X66" s="34">
        <f t="shared" si="2"/>
        <v>0.452664567</v>
      </c>
      <c r="Y66" s="44">
        <f t="shared" si="14"/>
        <v>2855387.712</v>
      </c>
      <c r="Z66" s="30"/>
      <c r="AA66" s="45">
        <f t="shared" si="8"/>
        <v>7278.351702</v>
      </c>
      <c r="AB66" s="26">
        <f t="shared" si="9"/>
        <v>2070927.08</v>
      </c>
      <c r="AC66" s="26">
        <f t="shared" si="12"/>
        <v>7331.266033</v>
      </c>
      <c r="AD66" s="67">
        <f t="shared" si="10"/>
        <v>2028733.346</v>
      </c>
      <c r="AE66" s="34">
        <v>0.25</v>
      </c>
      <c r="AF66" s="44">
        <f t="shared" si="11"/>
        <v>2939837.679</v>
      </c>
      <c r="AG66" s="6"/>
      <c r="AH66" s="6"/>
      <c r="AI66" s="6"/>
      <c r="AJ66" s="6"/>
      <c r="AK66" s="6"/>
      <c r="AL66" s="6"/>
      <c r="AM66" s="6"/>
      <c r="AN66" s="6"/>
      <c r="AO66" s="6"/>
      <c r="AP66" s="6"/>
    </row>
    <row r="67" ht="11.25" customHeight="1">
      <c r="A67" s="54"/>
      <c r="B67" s="68">
        <f t="shared" si="16"/>
        <v>62</v>
      </c>
      <c r="C67" s="40">
        <v>0.0</v>
      </c>
      <c r="D67" s="26">
        <f t="shared" si="5"/>
        <v>799999.9976</v>
      </c>
      <c r="E67" s="26"/>
      <c r="F67" s="26"/>
      <c r="G67" s="26">
        <f>IFERROR(__xludf.DUMMYFUNCTION("""COMPUTED_VALUE"""),5261.220758011438)</f>
        <v>5261.220758</v>
      </c>
      <c r="H67" s="26">
        <f>IFERROR(__xludf.DUMMYFUNCTION("""COMPUTED_VALUE"""),170943.51839749474)</f>
        <v>170943.5184</v>
      </c>
      <c r="I67" s="26">
        <f>IFERROR(__xludf.DUMMYFUNCTION("""COMPUTED_VALUE"""),8675.639624766094)</f>
        <v>8675.639625</v>
      </c>
      <c r="J67" s="42">
        <f>IFERROR(__xludf.DUMMYFUNCTION("""COMPUTED_VALUE"""),704572.6752722227)</f>
        <v>704572.6753</v>
      </c>
      <c r="K67" s="26"/>
      <c r="L67" s="42"/>
      <c r="M67" s="30"/>
      <c r="N67" s="43">
        <v>0.0</v>
      </c>
      <c r="O67" s="41">
        <v>0.0</v>
      </c>
      <c r="P67" s="41">
        <v>0.0</v>
      </c>
      <c r="Q67" s="41">
        <v>0.0</v>
      </c>
      <c r="R67" s="41"/>
      <c r="S67" s="75">
        <f>IFERROR(__xludf.DUMMYFUNCTION("""COMPUTED_VALUE"""),6219.220758011448)</f>
        <v>6219.220758</v>
      </c>
      <c r="T67" s="30">
        <f>IFERROR(__xludf.DUMMYFUNCTION("""COMPUTED_VALUE"""),1351.6396247660741)</f>
        <v>1351.639625</v>
      </c>
      <c r="U67" s="41">
        <v>0.0</v>
      </c>
      <c r="V67" s="26">
        <f t="shared" si="15"/>
        <v>7570.860383</v>
      </c>
      <c r="W67" s="42">
        <f t="shared" si="7"/>
        <v>2115455.244</v>
      </c>
      <c r="X67" s="34">
        <f t="shared" si="2"/>
        <v>0.4518524155</v>
      </c>
      <c r="Y67" s="44">
        <f t="shared" si="14"/>
        <v>2869374.052</v>
      </c>
      <c r="Z67" s="30"/>
      <c r="AA67" s="45">
        <f t="shared" si="8"/>
        <v>7331.266033</v>
      </c>
      <c r="AB67" s="26">
        <f t="shared" si="9"/>
        <v>2078258.346</v>
      </c>
      <c r="AC67" s="26">
        <f t="shared" si="12"/>
        <v>7384.436349</v>
      </c>
      <c r="AD67" s="69">
        <f t="shared" si="10"/>
        <v>2036117.782</v>
      </c>
      <c r="AE67" s="34">
        <v>0.25</v>
      </c>
      <c r="AF67" s="44">
        <f t="shared" si="11"/>
        <v>2961158.976</v>
      </c>
      <c r="AG67" s="6"/>
      <c r="AH67" s="6"/>
      <c r="AI67" s="6"/>
      <c r="AJ67" s="6"/>
      <c r="AK67" s="6"/>
      <c r="AL67" s="6"/>
      <c r="AM67" s="6"/>
      <c r="AN67" s="6"/>
      <c r="AO67" s="6"/>
      <c r="AP67" s="6"/>
    </row>
    <row r="68" ht="11.25" customHeight="1">
      <c r="A68" s="7"/>
      <c r="B68" s="68">
        <f t="shared" si="16"/>
        <v>63</v>
      </c>
      <c r="C68" s="40">
        <v>-10000.0</v>
      </c>
      <c r="D68" s="26">
        <f t="shared" si="5"/>
        <v>789999.9976</v>
      </c>
      <c r="E68" s="41"/>
      <c r="F68" s="26"/>
      <c r="G68" s="41">
        <f>IFERROR(__xludf.DUMMYFUNCTION("""COMPUTED_VALUE"""),5280.511900790813)</f>
        <v>5280.511901</v>
      </c>
      <c r="H68" s="26">
        <f>IFERROR(__xludf.DUMMYFUNCTION("""COMPUTED_VALUE"""),176224.03029828556)</f>
        <v>176224.0303</v>
      </c>
      <c r="I68" s="26">
        <f>IFERROR(__xludf.DUMMYFUNCTION("""COMPUTED_VALUE"""),8706.004363452776)</f>
        <v>8706.004363</v>
      </c>
      <c r="J68" s="42">
        <f>IFERROR(__xludf.DUMMYFUNCTION("""COMPUTED_VALUE"""),713278.6796356755)</f>
        <v>713278.6796</v>
      </c>
      <c r="K68" s="26"/>
      <c r="L68" s="42"/>
      <c r="M68" s="30"/>
      <c r="N68" s="43">
        <v>0.0</v>
      </c>
      <c r="O68" s="41">
        <v>0.0</v>
      </c>
      <c r="P68" s="41">
        <v>0.0</v>
      </c>
      <c r="Q68" s="41">
        <v>0.0</v>
      </c>
      <c r="R68" s="41"/>
      <c r="S68" s="75">
        <f>IFERROR(__xludf.DUMMYFUNCTION("""COMPUTED_VALUE"""),6238.511900790792)</f>
        <v>6238.511901</v>
      </c>
      <c r="T68" s="30">
        <f>IFERROR(__xludf.DUMMYFUNCTION("""COMPUTED_VALUE"""),1382.0043634527829)</f>
        <v>1382.004363</v>
      </c>
      <c r="U68" s="41">
        <v>0.0</v>
      </c>
      <c r="V68" s="26">
        <f t="shared" si="15"/>
        <v>7620.516264</v>
      </c>
      <c r="W68" s="42">
        <f t="shared" si="7"/>
        <v>2123075.76</v>
      </c>
      <c r="X68" s="34">
        <f t="shared" si="2"/>
        <v>0.453736468</v>
      </c>
      <c r="Y68" s="44">
        <f t="shared" si="14"/>
        <v>2873410.224</v>
      </c>
      <c r="Z68" s="30"/>
      <c r="AA68" s="45">
        <f t="shared" si="8"/>
        <v>7384.436349</v>
      </c>
      <c r="AB68" s="26">
        <f t="shared" si="9"/>
        <v>2085642.782</v>
      </c>
      <c r="AC68" s="26">
        <f t="shared" si="12"/>
        <v>7437.863731</v>
      </c>
      <c r="AD68" s="69">
        <f t="shared" si="10"/>
        <v>2043555.646</v>
      </c>
      <c r="AE68" s="34">
        <v>0.25</v>
      </c>
      <c r="AF68" s="44">
        <f t="shared" si="11"/>
        <v>2982583.356</v>
      </c>
      <c r="AG68" s="6"/>
      <c r="AH68" s="6"/>
      <c r="AI68" s="6"/>
      <c r="AJ68" s="6"/>
      <c r="AK68" s="6"/>
      <c r="AL68" s="6"/>
      <c r="AM68" s="6"/>
      <c r="AN68" s="6"/>
      <c r="AO68" s="6"/>
      <c r="AP68" s="6"/>
    </row>
    <row r="69" ht="11.25" customHeight="1">
      <c r="A69" s="7"/>
      <c r="B69" s="68">
        <f t="shared" si="16"/>
        <v>64</v>
      </c>
      <c r="C69" s="40">
        <v>5000.0</v>
      </c>
      <c r="D69" s="26">
        <f t="shared" si="5"/>
        <v>794999.9976</v>
      </c>
      <c r="E69" s="41"/>
      <c r="F69" s="26"/>
      <c r="G69" s="41">
        <f>IFERROR(__xludf.DUMMYFUNCTION("""COMPUTED_VALUE"""),5299.873777760379)</f>
        <v>5299.873778</v>
      </c>
      <c r="H69" s="26">
        <f>IFERROR(__xludf.DUMMYFUNCTION("""COMPUTED_VALUE"""),181523.90407604593)</f>
        <v>181523.9041</v>
      </c>
      <c r="I69" s="26">
        <f>IFERROR(__xludf.DUMMYFUNCTION("""COMPUTED_VALUE"""),9755.942595543329)</f>
        <v>9755.942596</v>
      </c>
      <c r="J69" s="42">
        <f>IFERROR(__xludf.DUMMYFUNCTION("""COMPUTED_VALUE"""),723034.6222312188)</f>
        <v>723034.6222</v>
      </c>
      <c r="K69" s="41">
        <v>100000.0</v>
      </c>
      <c r="L69" s="42">
        <f>K69</f>
        <v>100000</v>
      </c>
      <c r="M69" s="30"/>
      <c r="N69" s="43">
        <v>0.0</v>
      </c>
      <c r="O69" s="41">
        <v>0.0</v>
      </c>
      <c r="P69" s="41">
        <v>0.0</v>
      </c>
      <c r="Q69" s="41">
        <v>0.0</v>
      </c>
      <c r="R69" s="41"/>
      <c r="S69" s="75">
        <f>IFERROR(__xludf.DUMMYFUNCTION("""COMPUTED_VALUE"""),6257.873777760367)</f>
        <v>6257.873778</v>
      </c>
      <c r="T69" s="30">
        <f>IFERROR(__xludf.DUMMYFUNCTION("""COMPUTED_VALUE"""),2431.94259554334)</f>
        <v>2431.942596</v>
      </c>
      <c r="U69" s="41">
        <v>0.0</v>
      </c>
      <c r="V69" s="26">
        <f t="shared" si="15"/>
        <v>8689.816373</v>
      </c>
      <c r="W69" s="42">
        <f t="shared" si="7"/>
        <v>2131765.577</v>
      </c>
      <c r="X69" s="34">
        <f t="shared" si="2"/>
        <v>0.5112984491</v>
      </c>
      <c r="Y69" s="44">
        <f t="shared" si="14"/>
        <v>2894535.34</v>
      </c>
      <c r="Z69" s="30"/>
      <c r="AA69" s="45">
        <f t="shared" si="8"/>
        <v>7437.863731</v>
      </c>
      <c r="AB69" s="26">
        <f t="shared" si="9"/>
        <v>2093080.646</v>
      </c>
      <c r="AC69" s="26">
        <f t="shared" si="12"/>
        <v>7494.097931</v>
      </c>
      <c r="AD69" s="69">
        <f t="shared" si="10"/>
        <v>2051049.744</v>
      </c>
      <c r="AE69" s="34">
        <v>0.25</v>
      </c>
      <c r="AF69" s="44">
        <f t="shared" ref="AF69:AF365" si="17">AB69+F69+H69+J69+L69+AC69</f>
        <v>3105133.27</v>
      </c>
      <c r="AG69" s="6"/>
      <c r="AH69" s="6"/>
      <c r="AI69" s="6"/>
      <c r="AJ69" s="6"/>
      <c r="AK69" s="6"/>
      <c r="AL69" s="6"/>
      <c r="AM69" s="6"/>
      <c r="AN69" s="6"/>
      <c r="AO69" s="6"/>
      <c r="AP69" s="6"/>
    </row>
    <row r="70" ht="11.25" customHeight="1">
      <c r="A70" s="7"/>
      <c r="B70" s="68">
        <f t="shared" si="16"/>
        <v>65</v>
      </c>
      <c r="C70" s="40">
        <v>1000.0</v>
      </c>
      <c r="D70" s="26">
        <f t="shared" si="5"/>
        <v>795999.9976</v>
      </c>
      <c r="E70" s="41"/>
      <c r="F70" s="26"/>
      <c r="G70" s="41">
        <f>IFERROR(__xludf.DUMMYFUNCTION("""COMPUTED_VALUE"""),5319.3066482788345)</f>
        <v>5319.306648</v>
      </c>
      <c r="H70" s="26">
        <f>IFERROR(__xludf.DUMMYFUNCTION("""COMPUTED_VALUE"""),186843.21072432477)</f>
        <v>186843.2107</v>
      </c>
      <c r="I70" s="26">
        <f>IFERROR(__xludf.DUMMYFUNCTION("""COMPUTED_VALUE"""),9786.023418546254)</f>
        <v>9786.023419</v>
      </c>
      <c r="J70" s="42">
        <f>IFERROR(__xludf.DUMMYFUNCTION("""COMPUTED_VALUE"""),732820.6456497652)</f>
        <v>732820.6456</v>
      </c>
      <c r="K70" s="41">
        <v>0.0</v>
      </c>
      <c r="L70" s="42">
        <f t="shared" ref="L70:L86" si="18">L69+K70</f>
        <v>100000</v>
      </c>
      <c r="M70" s="30"/>
      <c r="N70" s="43">
        <v>0.0</v>
      </c>
      <c r="O70" s="41">
        <v>0.0</v>
      </c>
      <c r="P70" s="41">
        <v>0.0</v>
      </c>
      <c r="Q70" s="41">
        <v>0.0</v>
      </c>
      <c r="R70" s="41"/>
      <c r="S70" s="75">
        <f>IFERROR(__xludf.DUMMYFUNCTION("""COMPUTED_VALUE"""),6277.306648278842)</f>
        <v>6277.306648</v>
      </c>
      <c r="T70" s="30">
        <f>IFERROR(__xludf.DUMMYFUNCTION("""COMPUTED_VALUE"""),2462.023418546305)</f>
        <v>2462.023419</v>
      </c>
      <c r="U70" s="41">
        <v>0.0</v>
      </c>
      <c r="V70" s="26">
        <f t="shared" si="15"/>
        <v>8739.330067</v>
      </c>
      <c r="W70" s="42">
        <f t="shared" si="7"/>
        <v>2140504.907</v>
      </c>
      <c r="X70" s="34">
        <f t="shared" si="2"/>
        <v>0.509384752</v>
      </c>
      <c r="Y70" s="44">
        <f t="shared" ref="Y70:Y365" si="19">1186287+D70+F70+H70+J70+V70+L70</f>
        <v>3010690.184</v>
      </c>
      <c r="Z70" s="30"/>
      <c r="AA70" s="45">
        <f t="shared" si="8"/>
        <v>7494.097931</v>
      </c>
      <c r="AB70" s="26">
        <f t="shared" si="9"/>
        <v>2100574.744</v>
      </c>
      <c r="AC70" s="26">
        <f t="shared" si="12"/>
        <v>7550.596501</v>
      </c>
      <c r="AD70" s="69">
        <f t="shared" si="10"/>
        <v>2058600.34</v>
      </c>
      <c r="AE70" s="34">
        <v>0.25</v>
      </c>
      <c r="AF70" s="44">
        <f t="shared" si="17"/>
        <v>3127789.197</v>
      </c>
      <c r="AG70" s="6"/>
      <c r="AH70" s="6"/>
      <c r="AI70" s="6"/>
      <c r="AJ70" s="6"/>
      <c r="AK70" s="6"/>
      <c r="AL70" s="6"/>
      <c r="AM70" s="6"/>
      <c r="AN70" s="6"/>
      <c r="AO70" s="6"/>
      <c r="AP70" s="6"/>
    </row>
    <row r="71" ht="11.25" customHeight="1">
      <c r="A71" s="7"/>
      <c r="B71" s="68">
        <f t="shared" si="16"/>
        <v>66</v>
      </c>
      <c r="C71" s="40">
        <v>4500.0</v>
      </c>
      <c r="D71" s="26">
        <f t="shared" si="5"/>
        <v>800499.9976</v>
      </c>
      <c r="E71" s="41"/>
      <c r="F71" s="26"/>
      <c r="G71" s="41">
        <f>IFERROR(__xludf.DUMMYFUNCTION("""COMPUTED_VALUE"""),5338.810772655856)</f>
        <v>5338.810773</v>
      </c>
      <c r="H71" s="26">
        <f>IFERROR(__xludf.DUMMYFUNCTION("""COMPUTED_VALUE"""),192182.02149698063)</f>
        <v>192182.0215</v>
      </c>
      <c r="I71" s="26">
        <f>IFERROR(__xludf.DUMMYFUNCTION("""COMPUTED_VALUE"""),9816.196990753437)</f>
        <v>9816.196991</v>
      </c>
      <c r="J71" s="42">
        <f>IFERROR(__xludf.DUMMYFUNCTION("""COMPUTED_VALUE"""),742636.8426405186)</f>
        <v>742636.8426</v>
      </c>
      <c r="K71" s="41">
        <v>14000.0</v>
      </c>
      <c r="L71" s="42">
        <f t="shared" si="18"/>
        <v>114000</v>
      </c>
      <c r="M71" s="30"/>
      <c r="N71" s="43">
        <v>0.0</v>
      </c>
      <c r="O71" s="41">
        <v>0.0</v>
      </c>
      <c r="P71" s="41">
        <v>0.0</v>
      </c>
      <c r="Q71" s="41">
        <v>0.0</v>
      </c>
      <c r="R71" s="41"/>
      <c r="S71" s="75">
        <f>IFERROR(__xludf.DUMMYFUNCTION("""COMPUTED_VALUE"""),6296.810772655852)</f>
        <v>6296.810773</v>
      </c>
      <c r="T71" s="30">
        <f>IFERROR(__xludf.DUMMYFUNCTION("""COMPUTED_VALUE"""),2492.1969907534076)</f>
        <v>2492.196991</v>
      </c>
      <c r="U71" s="41">
        <v>0.0</v>
      </c>
      <c r="V71" s="26">
        <f t="shared" si="15"/>
        <v>8789.007763</v>
      </c>
      <c r="W71" s="42">
        <f t="shared" si="7"/>
        <v>2149293.914</v>
      </c>
      <c r="X71" s="34">
        <f t="shared" si="2"/>
        <v>0.5064779711</v>
      </c>
      <c r="Y71" s="44">
        <f t="shared" si="19"/>
        <v>3044394.869</v>
      </c>
      <c r="Z71" s="30"/>
      <c r="AA71" s="45">
        <f t="shared" si="8"/>
        <v>7550.596501</v>
      </c>
      <c r="AB71" s="26">
        <f t="shared" si="9"/>
        <v>2108125.34</v>
      </c>
      <c r="AC71" s="26">
        <f t="shared" si="12"/>
        <v>7607.360511</v>
      </c>
      <c r="AD71" s="69">
        <f t="shared" si="10"/>
        <v>2066207.701</v>
      </c>
      <c r="AE71" s="34">
        <v>0.25</v>
      </c>
      <c r="AF71" s="44">
        <f t="shared" si="17"/>
        <v>3164551.565</v>
      </c>
      <c r="AG71" s="6"/>
      <c r="AH71" s="6"/>
      <c r="AI71" s="6"/>
      <c r="AJ71" s="6"/>
      <c r="AK71" s="6"/>
      <c r="AL71" s="6"/>
      <c r="AM71" s="6"/>
      <c r="AN71" s="6"/>
      <c r="AO71" s="6"/>
      <c r="AP71" s="6"/>
    </row>
    <row r="72" ht="11.25" customHeight="1">
      <c r="A72" s="7"/>
      <c r="B72" s="68">
        <f t="shared" si="16"/>
        <v>67</v>
      </c>
      <c r="C72" s="40">
        <v>0.0</v>
      </c>
      <c r="D72" s="26">
        <f t="shared" si="5"/>
        <v>800499.9976</v>
      </c>
      <c r="E72" s="41"/>
      <c r="F72" s="26"/>
      <c r="G72" s="41">
        <f>IFERROR(__xludf.DUMMYFUNCTION("""COMPUTED_VALUE"""),5358.386412155594)</f>
        <v>5358.386412</v>
      </c>
      <c r="H72" s="26">
        <f>IFERROR(__xludf.DUMMYFUNCTION("""COMPUTED_VALUE"""),197540.4079091362)</f>
        <v>197540.4079</v>
      </c>
      <c r="I72" s="26">
        <f>IFERROR(__xludf.DUMMYFUNCTION("""COMPUTED_VALUE"""),9846.463598141592)</f>
        <v>9846.463598</v>
      </c>
      <c r="J72" s="42">
        <f>IFERROR(__xludf.DUMMYFUNCTION("""COMPUTED_VALUE"""),752483.3062386601)</f>
        <v>752483.3062</v>
      </c>
      <c r="K72" s="41">
        <v>14000.0</v>
      </c>
      <c r="L72" s="42">
        <f t="shared" si="18"/>
        <v>128000</v>
      </c>
      <c r="M72" s="30"/>
      <c r="N72" s="43">
        <v>0.0</v>
      </c>
      <c r="O72" s="41">
        <v>0.0</v>
      </c>
      <c r="P72" s="41">
        <v>0.0</v>
      </c>
      <c r="Q72" s="41">
        <v>0.0</v>
      </c>
      <c r="R72" s="41"/>
      <c r="S72" s="75">
        <f>IFERROR(__xludf.DUMMYFUNCTION("""COMPUTED_VALUE"""),6316.386412155611)</f>
        <v>6316.386412</v>
      </c>
      <c r="T72" s="30">
        <f>IFERROR(__xludf.DUMMYFUNCTION("""COMPUTED_VALUE"""),2522.463598141563)</f>
        <v>2522.463598</v>
      </c>
      <c r="U72" s="41">
        <v>0.0</v>
      </c>
      <c r="V72" s="26">
        <f t="shared" si="15"/>
        <v>8838.85001</v>
      </c>
      <c r="W72" s="42">
        <f t="shared" si="7"/>
        <v>2158132.764</v>
      </c>
      <c r="X72" s="34">
        <f t="shared" si="2"/>
        <v>0.5049260373</v>
      </c>
      <c r="Y72" s="44">
        <f t="shared" si="19"/>
        <v>3073649.562</v>
      </c>
      <c r="Z72" s="30"/>
      <c r="AA72" s="45">
        <f t="shared" si="8"/>
        <v>7607.360511</v>
      </c>
      <c r="AB72" s="26">
        <f t="shared" si="9"/>
        <v>2115732.701</v>
      </c>
      <c r="AC72" s="26">
        <f t="shared" si="12"/>
        <v>7664.391038</v>
      </c>
      <c r="AD72" s="69">
        <f t="shared" si="10"/>
        <v>2073872.092</v>
      </c>
      <c r="AE72" s="34">
        <v>0.25</v>
      </c>
      <c r="AF72" s="44">
        <f t="shared" si="17"/>
        <v>3201420.806</v>
      </c>
      <c r="AG72" s="6"/>
      <c r="AH72" s="6"/>
      <c r="AI72" s="6"/>
      <c r="AJ72" s="6"/>
      <c r="AK72" s="6"/>
      <c r="AL72" s="6"/>
      <c r="AM72" s="6"/>
      <c r="AN72" s="6"/>
      <c r="AO72" s="6"/>
      <c r="AP72" s="6"/>
    </row>
    <row r="73" ht="11.25" customHeight="1">
      <c r="A73" s="7"/>
      <c r="B73" s="68">
        <f t="shared" si="16"/>
        <v>68</v>
      </c>
      <c r="C73" s="40">
        <v>-1250.0</v>
      </c>
      <c r="D73" s="26">
        <f t="shared" si="5"/>
        <v>799249.9976</v>
      </c>
      <c r="E73" s="41"/>
      <c r="F73" s="26"/>
      <c r="G73" s="41">
        <f>IFERROR(__xludf.DUMMYFUNCTION("""COMPUTED_VALUE"""),5378.033829000165)</f>
        <v>5378.033829</v>
      </c>
      <c r="H73" s="26">
        <f>IFERROR(__xludf.DUMMYFUNCTION("""COMPUTED_VALUE"""),202918.44173813637)</f>
        <v>202918.4417</v>
      </c>
      <c r="I73" s="26">
        <f>IFERROR(__xludf.DUMMYFUNCTION("""COMPUTED_VALUE"""),9876.823527569195)</f>
        <v>9876.823528</v>
      </c>
      <c r="J73" s="42">
        <f>IFERROR(__xludf.DUMMYFUNCTION("""COMPUTED_VALUE"""),762360.1297662293)</f>
        <v>762360.1298</v>
      </c>
      <c r="K73" s="41">
        <v>14000.0</v>
      </c>
      <c r="L73" s="42">
        <f t="shared" si="18"/>
        <v>142000</v>
      </c>
      <c r="M73" s="30"/>
      <c r="N73" s="43">
        <v>0.0</v>
      </c>
      <c r="O73" s="41">
        <v>0.0</v>
      </c>
      <c r="P73" s="41">
        <v>0.0</v>
      </c>
      <c r="Q73" s="41">
        <v>0.0</v>
      </c>
      <c r="R73" s="41"/>
      <c r="S73" s="75">
        <f>IFERROR(__xludf.DUMMYFUNCTION("""COMPUTED_VALUE"""),6336.033829000138)</f>
        <v>6336.033829</v>
      </c>
      <c r="T73" s="30">
        <f>IFERROR(__xludf.DUMMYFUNCTION("""COMPUTED_VALUE"""),2552.823527569184)</f>
        <v>2552.823528</v>
      </c>
      <c r="U73" s="41">
        <v>0.0</v>
      </c>
      <c r="V73" s="26">
        <f t="shared" si="15"/>
        <v>8888.857357</v>
      </c>
      <c r="W73" s="42">
        <f t="shared" si="7"/>
        <v>2167021.622</v>
      </c>
      <c r="X73" s="34">
        <f t="shared" si="2"/>
        <v>0.5037525327</v>
      </c>
      <c r="Y73" s="44">
        <f t="shared" si="19"/>
        <v>3101704.426</v>
      </c>
      <c r="Z73" s="30"/>
      <c r="AA73" s="45">
        <f t="shared" si="8"/>
        <v>7664.391038</v>
      </c>
      <c r="AB73" s="26">
        <f t="shared" si="9"/>
        <v>2123397.092</v>
      </c>
      <c r="AC73" s="26">
        <f t="shared" si="12"/>
        <v>7721.689159</v>
      </c>
      <c r="AD73" s="69">
        <f t="shared" si="10"/>
        <v>2081593.781</v>
      </c>
      <c r="AE73" s="34">
        <v>0.25</v>
      </c>
      <c r="AF73" s="44">
        <f t="shared" si="17"/>
        <v>3238397.353</v>
      </c>
      <c r="AG73" s="6"/>
      <c r="AH73" s="6"/>
      <c r="AI73" s="6"/>
      <c r="AJ73" s="6"/>
      <c r="AK73" s="6"/>
      <c r="AL73" s="6"/>
      <c r="AM73" s="6"/>
      <c r="AN73" s="6"/>
      <c r="AO73" s="6"/>
      <c r="AP73" s="6"/>
    </row>
    <row r="74" ht="11.25" customHeight="1">
      <c r="A74" s="7"/>
      <c r="B74" s="68">
        <f t="shared" si="16"/>
        <v>69</v>
      </c>
      <c r="C74" s="40">
        <v>-12250.0</v>
      </c>
      <c r="D74" s="26">
        <f t="shared" si="5"/>
        <v>786999.9976</v>
      </c>
      <c r="E74" s="41"/>
      <c r="F74" s="26"/>
      <c r="G74" s="41">
        <f>IFERROR(__xludf.DUMMYFUNCTION("""COMPUTED_VALUE"""),5397.753286373166)</f>
        <v>5397.753286</v>
      </c>
      <c r="H74" s="26">
        <f>IFERROR(__xludf.DUMMYFUNCTION("""COMPUTED_VALUE"""),208316.19502450954)</f>
        <v>208316.195</v>
      </c>
      <c r="I74" s="26">
        <f>IFERROR(__xludf.DUMMYFUNCTION("""COMPUTED_VALUE"""),9907.277066779203)</f>
        <v>9907.277067</v>
      </c>
      <c r="J74" s="42">
        <f>IFERROR(__xludf.DUMMYFUNCTION("""COMPUTED_VALUE"""),772267.4068330085)</f>
        <v>772267.4068</v>
      </c>
      <c r="K74" s="41">
        <v>14000.0</v>
      </c>
      <c r="L74" s="42">
        <f t="shared" si="18"/>
        <v>156000</v>
      </c>
      <c r="M74" s="30"/>
      <c r="N74" s="43">
        <v>0.0</v>
      </c>
      <c r="O74" s="41">
        <v>0.0</v>
      </c>
      <c r="P74" s="41">
        <v>0.0</v>
      </c>
      <c r="Q74" s="41">
        <v>0.0</v>
      </c>
      <c r="R74" s="41"/>
      <c r="S74" s="75">
        <f>IFERROR(__xludf.DUMMYFUNCTION("""COMPUTED_VALUE"""),6355.753286373161)</f>
        <v>6355.753286</v>
      </c>
      <c r="T74" s="30">
        <f>IFERROR(__xludf.DUMMYFUNCTION("""COMPUTED_VALUE"""),2583.2770667792065)</f>
        <v>2583.277067</v>
      </c>
      <c r="U74" s="41">
        <v>0.0</v>
      </c>
      <c r="V74" s="26">
        <f t="shared" si="15"/>
        <v>8939.030353</v>
      </c>
      <c r="W74" s="42">
        <f t="shared" si="7"/>
        <v>2175960.652</v>
      </c>
      <c r="X74" s="34">
        <f t="shared" si="2"/>
        <v>0.5057203719</v>
      </c>
      <c r="Y74" s="44">
        <f t="shared" si="19"/>
        <v>3118809.63</v>
      </c>
      <c r="Z74" s="30"/>
      <c r="AA74" s="45">
        <f t="shared" si="8"/>
        <v>7721.689159</v>
      </c>
      <c r="AB74" s="26">
        <f t="shared" si="9"/>
        <v>2131118.781</v>
      </c>
      <c r="AC74" s="26">
        <f t="shared" si="12"/>
        <v>7779.255958</v>
      </c>
      <c r="AD74" s="69">
        <f t="shared" si="10"/>
        <v>2089373.037</v>
      </c>
      <c r="AE74" s="34">
        <v>0.25</v>
      </c>
      <c r="AF74" s="44">
        <f t="shared" si="17"/>
        <v>3275481.639</v>
      </c>
      <c r="AG74" s="6"/>
      <c r="AH74" s="6"/>
      <c r="AI74" s="6"/>
      <c r="AJ74" s="6"/>
      <c r="AK74" s="6"/>
      <c r="AL74" s="6"/>
      <c r="AM74" s="6"/>
      <c r="AN74" s="6"/>
      <c r="AO74" s="6"/>
      <c r="AP74" s="6"/>
    </row>
    <row r="75" ht="11.25" customHeight="1">
      <c r="A75" s="7"/>
      <c r="B75" s="68">
        <f t="shared" si="16"/>
        <v>70</v>
      </c>
      <c r="C75" s="40">
        <v>-21000.0</v>
      </c>
      <c r="D75" s="26">
        <f t="shared" si="5"/>
        <v>765999.9976</v>
      </c>
      <c r="E75" s="41"/>
      <c r="F75" s="26"/>
      <c r="G75" s="41">
        <f>IFERROR(__xludf.DUMMYFUNCTION("""COMPUTED_VALUE"""),5417.5450484232)</f>
        <v>5417.545048</v>
      </c>
      <c r="H75" s="26">
        <f>IFERROR(__xludf.DUMMYFUNCTION("""COMPUTED_VALUE"""),213733.74007293273)</f>
        <v>213733.7401</v>
      </c>
      <c r="I75" s="26">
        <f>IFERROR(__xludf.DUMMYFUNCTION("""COMPUTED_VALUE"""),9937.824504401771)</f>
        <v>9937.824504</v>
      </c>
      <c r="J75" s="42">
        <f>IFERROR(__xludf.DUMMYFUNCTION("""COMPUTED_VALUE"""),782205.2313374103)</f>
        <v>782205.2313</v>
      </c>
      <c r="K75" s="41">
        <v>14000.0</v>
      </c>
      <c r="L75" s="42">
        <f t="shared" si="18"/>
        <v>170000</v>
      </c>
      <c r="M75" s="30"/>
      <c r="N75" s="43">
        <v>0.0</v>
      </c>
      <c r="O75" s="41">
        <v>0.0</v>
      </c>
      <c r="P75" s="41">
        <v>0.0</v>
      </c>
      <c r="Q75" s="41">
        <v>0.0</v>
      </c>
      <c r="R75" s="41"/>
      <c r="S75" s="75">
        <f>IFERROR(__xludf.DUMMYFUNCTION("""COMPUTED_VALUE"""),6375.54504842317)</f>
        <v>6375.545048</v>
      </c>
      <c r="T75" s="30">
        <f>IFERROR(__xludf.DUMMYFUNCTION("""COMPUTED_VALUE"""),2613.8245044017676)</f>
        <v>2613.824504</v>
      </c>
      <c r="U75" s="41">
        <v>0.0</v>
      </c>
      <c r="V75" s="26">
        <f t="shared" si="15"/>
        <v>8989.369553</v>
      </c>
      <c r="W75" s="42">
        <f t="shared" si="7"/>
        <v>2184950.022</v>
      </c>
      <c r="X75" s="34">
        <f t="shared" si="2"/>
        <v>0.5101975557</v>
      </c>
      <c r="Y75" s="44">
        <f t="shared" si="19"/>
        <v>3127215.339</v>
      </c>
      <c r="Z75" s="30"/>
      <c r="AA75" s="45">
        <f t="shared" si="8"/>
        <v>7779.255958</v>
      </c>
      <c r="AB75" s="26">
        <f t="shared" si="9"/>
        <v>2138898.037</v>
      </c>
      <c r="AC75" s="26">
        <f t="shared" si="12"/>
        <v>7837.092521</v>
      </c>
      <c r="AD75" s="69">
        <f t="shared" si="10"/>
        <v>2097210.13</v>
      </c>
      <c r="AE75" s="34">
        <v>0.25</v>
      </c>
      <c r="AF75" s="44">
        <f t="shared" si="17"/>
        <v>3312674.101</v>
      </c>
      <c r="AG75" s="6"/>
      <c r="AH75" s="6"/>
      <c r="AI75" s="6"/>
      <c r="AJ75" s="6"/>
      <c r="AK75" s="6"/>
      <c r="AL75" s="6"/>
      <c r="AM75" s="6"/>
      <c r="AN75" s="6"/>
      <c r="AO75" s="6"/>
      <c r="AP75" s="6"/>
    </row>
    <row r="76" ht="11.25" customHeight="1">
      <c r="A76" s="7"/>
      <c r="B76" s="68">
        <f t="shared" si="16"/>
        <v>71</v>
      </c>
      <c r="C76" s="40">
        <v>60750.0</v>
      </c>
      <c r="D76" s="26">
        <f t="shared" si="5"/>
        <v>826749.9976</v>
      </c>
      <c r="E76" s="41"/>
      <c r="F76" s="26"/>
      <c r="G76" s="41">
        <f>IFERROR(__xludf.DUMMYFUNCTION("""COMPUTED_VALUE"""),5437.409380267418)</f>
        <v>5437.40938</v>
      </c>
      <c r="H76" s="26">
        <f>IFERROR(__xludf.DUMMYFUNCTION("""COMPUTED_VALUE"""),219171.14945320017)</f>
        <v>219171.1495</v>
      </c>
      <c r="I76" s="26">
        <f>IFERROR(__xludf.DUMMYFUNCTION("""COMPUTED_VALUE"""),9968.46612995701)</f>
        <v>9968.46613</v>
      </c>
      <c r="J76" s="42">
        <f>IFERROR(__xludf.DUMMYFUNCTION("""COMPUTED_VALUE"""),792173.6974673673)</f>
        <v>792173.6975</v>
      </c>
      <c r="K76" s="41">
        <v>14000.0</v>
      </c>
      <c r="L76" s="42">
        <f t="shared" si="18"/>
        <v>184000</v>
      </c>
      <c r="M76" s="30"/>
      <c r="N76" s="43">
        <v>0.0</v>
      </c>
      <c r="O76" s="41">
        <v>0.0</v>
      </c>
      <c r="P76" s="41">
        <v>0.0</v>
      </c>
      <c r="Q76" s="41">
        <v>0.0</v>
      </c>
      <c r="R76" s="41"/>
      <c r="S76" s="75">
        <f>IFERROR(__xludf.DUMMYFUNCTION("""COMPUTED_VALUE"""),-7604.590619732568)</f>
        <v>-7604.59062</v>
      </c>
      <c r="T76" s="30">
        <f>IFERROR(__xludf.DUMMYFUNCTION("""COMPUTED_VALUE"""),-10355.533870043)</f>
        <v>-10355.53387</v>
      </c>
      <c r="U76" s="41">
        <v>0.0</v>
      </c>
      <c r="V76" s="26">
        <f t="shared" si="15"/>
        <v>-17960.12449</v>
      </c>
      <c r="W76" s="42">
        <f t="shared" si="7"/>
        <v>2166989.897</v>
      </c>
      <c r="X76" s="34">
        <f t="shared" si="2"/>
        <v>-0.9771054276</v>
      </c>
      <c r="Y76" s="44">
        <f t="shared" si="19"/>
        <v>3190421.72</v>
      </c>
      <c r="Z76" s="30"/>
      <c r="AA76" s="45">
        <f t="shared" si="8"/>
        <v>7837.092521</v>
      </c>
      <c r="AB76" s="26">
        <f t="shared" si="9"/>
        <v>2146735.13</v>
      </c>
      <c r="AC76" s="26">
        <f t="shared" si="12"/>
        <v>7895.199941</v>
      </c>
      <c r="AD76" s="69">
        <f t="shared" si="10"/>
        <v>2105105.33</v>
      </c>
      <c r="AE76" s="34">
        <v>0.25</v>
      </c>
      <c r="AF76" s="44">
        <f t="shared" si="17"/>
        <v>3349975.177</v>
      </c>
      <c r="AG76" s="6"/>
      <c r="AH76" s="6"/>
      <c r="AI76" s="6"/>
      <c r="AJ76" s="6"/>
      <c r="AK76" s="6"/>
      <c r="AL76" s="6"/>
      <c r="AM76" s="6"/>
      <c r="AN76" s="6"/>
      <c r="AO76" s="6"/>
      <c r="AP76" s="6"/>
    </row>
    <row r="77" ht="11.25" customHeight="1">
      <c r="A77" s="71"/>
      <c r="B77" s="72">
        <f t="shared" si="16"/>
        <v>72</v>
      </c>
      <c r="C77" s="40">
        <v>10000.0</v>
      </c>
      <c r="D77" s="49">
        <f t="shared" si="5"/>
        <v>836749.9976</v>
      </c>
      <c r="E77" s="50"/>
      <c r="F77" s="49"/>
      <c r="G77" s="50">
        <f>IFERROR(__xludf.DUMMYFUNCTION("""COMPUTED_VALUE"""),5457.3465479950655)</f>
        <v>5457.346548</v>
      </c>
      <c r="H77" s="49">
        <f>IFERROR(__xludf.DUMMYFUNCTION("""COMPUTED_VALUE"""),224628.49600119522)</f>
        <v>224628.496</v>
      </c>
      <c r="I77" s="49">
        <f>IFERROR(__xludf.DUMMYFUNCTION("""COMPUTED_VALUE"""),9999.202233857712)</f>
        <v>9999.202234</v>
      </c>
      <c r="J77" s="51">
        <f>IFERROR(__xludf.DUMMYFUNCTION("""COMPUTED_VALUE"""),802172.899701225)</f>
        <v>802172.8997</v>
      </c>
      <c r="K77" s="50">
        <v>14000.0</v>
      </c>
      <c r="L77" s="51">
        <f t="shared" si="18"/>
        <v>198000</v>
      </c>
      <c r="M77" s="30"/>
      <c r="N77" s="52">
        <v>0.0</v>
      </c>
      <c r="O77" s="50">
        <v>5681.0</v>
      </c>
      <c r="P77" s="50">
        <v>0.0</v>
      </c>
      <c r="Q77" s="50">
        <v>0.0</v>
      </c>
      <c r="R77" s="50"/>
      <c r="S77" s="76">
        <f>IFERROR(__xludf.DUMMYFUNCTION("""COMPUTED_VALUE"""),-7584.653452004946)</f>
        <v>-7584.653452</v>
      </c>
      <c r="T77" s="73">
        <f>IFERROR(__xludf.DUMMYFUNCTION("""COMPUTED_VALUE"""),-10324.797766142292)</f>
        <v>-10324.79777</v>
      </c>
      <c r="U77" s="50">
        <v>0.0</v>
      </c>
      <c r="V77" s="49">
        <f t="shared" si="15"/>
        <v>-12228.45122</v>
      </c>
      <c r="W77" s="51">
        <f t="shared" si="7"/>
        <v>2154761.446</v>
      </c>
      <c r="X77" s="34">
        <f t="shared" si="2"/>
        <v>-0.6561907153</v>
      </c>
      <c r="Y77" s="44">
        <f t="shared" si="19"/>
        <v>3235609.942</v>
      </c>
      <c r="Z77" s="30"/>
      <c r="AA77" s="45">
        <f t="shared" si="8"/>
        <v>7895.199941</v>
      </c>
      <c r="AB77" s="49">
        <f t="shared" si="9"/>
        <v>2154630.33</v>
      </c>
      <c r="AC77" s="49">
        <f t="shared" si="12"/>
        <v>7953.579313</v>
      </c>
      <c r="AD77" s="74">
        <f t="shared" si="10"/>
        <v>2113058.909</v>
      </c>
      <c r="AE77" s="34">
        <v>0.25</v>
      </c>
      <c r="AF77" s="44">
        <f t="shared" si="17"/>
        <v>3387385.305</v>
      </c>
      <c r="AG77" s="6"/>
      <c r="AH77" s="6"/>
      <c r="AI77" s="6"/>
      <c r="AJ77" s="6"/>
      <c r="AK77" s="6"/>
      <c r="AL77" s="6"/>
      <c r="AM77" s="6"/>
      <c r="AN77" s="6"/>
      <c r="AO77" s="6"/>
      <c r="AP77" s="6"/>
    </row>
    <row r="78" ht="11.25" customHeight="1">
      <c r="A78" s="65">
        <v>45968.0</v>
      </c>
      <c r="B78" s="66">
        <f t="shared" si="16"/>
        <v>73</v>
      </c>
      <c r="C78" s="40">
        <v>89000.0</v>
      </c>
      <c r="D78" s="26">
        <f t="shared" si="5"/>
        <v>925749.9976</v>
      </c>
      <c r="E78" s="41"/>
      <c r="F78" s="26"/>
      <c r="G78" s="41">
        <f>IFERROR(__xludf.DUMMYFUNCTION("""COMPUTED_VALUE"""),3323.5182083395557)</f>
        <v>3323.518208</v>
      </c>
      <c r="H78" s="26">
        <f>IFERROR(__xludf.DUMMYFUNCTION("""COMPUTED_VALUE"""),227952.01420953477)</f>
        <v>227952.0142</v>
      </c>
      <c r="I78" s="26">
        <f>IFERROR(__xludf.DUMMYFUNCTION("""COMPUTED_VALUE"""),10030.03310741211)</f>
        <v>10030.03311</v>
      </c>
      <c r="J78" s="42">
        <f>IFERROR(__xludf.DUMMYFUNCTION("""COMPUTED_VALUE"""),812202.9328086372)</f>
        <v>812202.9328</v>
      </c>
      <c r="K78" s="41">
        <v>14000.0</v>
      </c>
      <c r="L78" s="42">
        <f t="shared" si="18"/>
        <v>212000</v>
      </c>
      <c r="M78" s="30"/>
      <c r="N78" s="43">
        <v>0.0</v>
      </c>
      <c r="O78" s="41">
        <v>9491.0</v>
      </c>
      <c r="P78" s="41">
        <v>0.0</v>
      </c>
      <c r="Q78" s="41">
        <v>0.0</v>
      </c>
      <c r="R78" s="41"/>
      <c r="S78" s="75">
        <f>IFERROR(__xludf.DUMMYFUNCTION("""COMPUTED_VALUE"""),-9718.481791660422)</f>
        <v>-9718.481792</v>
      </c>
      <c r="T78" s="30">
        <f>IFERROR(__xludf.DUMMYFUNCTION("""COMPUTED_VALUE"""),-10293.966892587836)</f>
        <v>-10293.96689</v>
      </c>
      <c r="U78" s="41">
        <v>0.0</v>
      </c>
      <c r="V78" s="26">
        <f t="shared" si="15"/>
        <v>-10521.44868</v>
      </c>
      <c r="W78" s="42">
        <f t="shared" si="7"/>
        <v>2144239.997</v>
      </c>
      <c r="X78" s="34">
        <f t="shared" si="2"/>
        <v>-0.5351962064</v>
      </c>
      <c r="Y78" s="44">
        <f t="shared" si="19"/>
        <v>3353670.496</v>
      </c>
      <c r="Z78" s="30"/>
      <c r="AA78" s="45">
        <f t="shared" si="8"/>
        <v>7953.579313</v>
      </c>
      <c r="AB78" s="26">
        <f t="shared" si="9"/>
        <v>2162583.909</v>
      </c>
      <c r="AC78" s="26">
        <f t="shared" si="12"/>
        <v>8006.84714</v>
      </c>
      <c r="AD78" s="67">
        <f t="shared" si="10"/>
        <v>2121065.756</v>
      </c>
      <c r="AE78" s="34">
        <v>0.25</v>
      </c>
      <c r="AF78" s="44">
        <f t="shared" si="17"/>
        <v>3422745.703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</row>
    <row r="79" ht="11.25" customHeight="1">
      <c r="A79" s="54"/>
      <c r="B79" s="68">
        <f t="shared" si="16"/>
        <v>74</v>
      </c>
      <c r="C79" s="40">
        <v>0.0</v>
      </c>
      <c r="D79" s="26">
        <f t="shared" si="5"/>
        <v>925749.9976</v>
      </c>
      <c r="E79" s="41"/>
      <c r="F79" s="26"/>
      <c r="G79" s="41">
        <f>IFERROR(__xludf.DUMMYFUNCTION("""COMPUTED_VALUE"""),3340.8281990079913)</f>
        <v>3340.828199</v>
      </c>
      <c r="H79" s="26">
        <f>IFERROR(__xludf.DUMMYFUNCTION("""COMPUTED_VALUE"""),231292.84240854275)</f>
        <v>231292.8424</v>
      </c>
      <c r="I79" s="26">
        <f>IFERROR(__xludf.DUMMYFUNCTION("""COMPUTED_VALUE"""),10060.959042826627)</f>
        <v>10060.95904</v>
      </c>
      <c r="J79" s="42">
        <f>IFERROR(__xludf.DUMMYFUNCTION("""COMPUTED_VALUE"""),822263.8918514638)</f>
        <v>822263.8919</v>
      </c>
      <c r="K79" s="41">
        <v>14000.0</v>
      </c>
      <c r="L79" s="42">
        <f t="shared" si="18"/>
        <v>226000</v>
      </c>
      <c r="M79" s="30"/>
      <c r="N79" s="43">
        <v>0.0</v>
      </c>
      <c r="O79" s="41">
        <v>27811.0</v>
      </c>
      <c r="P79" s="41">
        <v>0.0</v>
      </c>
      <c r="Q79" s="41">
        <v>0.0</v>
      </c>
      <c r="R79" s="41"/>
      <c r="S79" s="75">
        <f>IFERROR(__xludf.DUMMYFUNCTION("""COMPUTED_VALUE"""),2298.828199007956)</f>
        <v>2298.828199</v>
      </c>
      <c r="T79" s="30">
        <f>IFERROR(__xludf.DUMMYFUNCTION("""COMPUTED_VALUE"""),-10263.040957173333)</f>
        <v>-10263.04096</v>
      </c>
      <c r="U79" s="41">
        <v>0.0</v>
      </c>
      <c r="V79" s="26">
        <f t="shared" si="15"/>
        <v>19846.78724</v>
      </c>
      <c r="W79" s="42">
        <f t="shared" si="7"/>
        <v>2164086.785</v>
      </c>
      <c r="X79" s="34">
        <f t="shared" si="2"/>
        <v>1.002714078</v>
      </c>
      <c r="Y79" s="44">
        <f t="shared" si="19"/>
        <v>3411440.519</v>
      </c>
      <c r="Z79" s="30"/>
      <c r="AA79" s="45">
        <f t="shared" si="8"/>
        <v>8006.84714</v>
      </c>
      <c r="AB79" s="26">
        <f t="shared" si="9"/>
        <v>2170590.756</v>
      </c>
      <c r="AC79" s="26">
        <f t="shared" si="12"/>
        <v>8060.368726</v>
      </c>
      <c r="AD79" s="69">
        <f t="shared" si="10"/>
        <v>2129126.125</v>
      </c>
      <c r="AE79" s="34">
        <v>0.25</v>
      </c>
      <c r="AF79" s="44">
        <f t="shared" si="17"/>
        <v>3458207.859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</row>
    <row r="80" ht="11.25" customHeight="1">
      <c r="A80" s="7"/>
      <c r="B80" s="68">
        <f t="shared" si="16"/>
        <v>75</v>
      </c>
      <c r="C80" s="40">
        <v>234000.0</v>
      </c>
      <c r="D80" s="26">
        <f t="shared" si="5"/>
        <v>1159749.998</v>
      </c>
      <c r="E80" s="41"/>
      <c r="F80" s="26"/>
      <c r="G80" s="41">
        <f>IFERROR(__xludf.DUMMYFUNCTION("""COMPUTED_VALUE"""),3358.2283458778247)</f>
        <v>3358.228346</v>
      </c>
      <c r="H80" s="26">
        <f>IFERROR(__xludf.DUMMYFUNCTION("""COMPUTED_VALUE"""),234651.07075442057)</f>
        <v>234651.0708</v>
      </c>
      <c r="I80" s="26">
        <f>IFERROR(__xludf.DUMMYFUNCTION("""COMPUTED_VALUE"""),10348.892016666665)</f>
        <v>10348.89202</v>
      </c>
      <c r="J80" s="42">
        <f>IFERROR(__xludf.DUMMYFUNCTION("""COMPUTED_VALUE"""),832612.7838681305)</f>
        <v>832612.7839</v>
      </c>
      <c r="K80" s="41">
        <v>14000.0</v>
      </c>
      <c r="L80" s="42">
        <f t="shared" si="18"/>
        <v>240000</v>
      </c>
      <c r="M80" s="30"/>
      <c r="N80" s="43">
        <v>0.0</v>
      </c>
      <c r="O80" s="41">
        <v>70390.0</v>
      </c>
      <c r="P80" s="41">
        <v>0.0</v>
      </c>
      <c r="Q80" s="41">
        <v>0.0</v>
      </c>
      <c r="R80" s="41"/>
      <c r="S80" s="75">
        <f>IFERROR(__xludf.DUMMYFUNCTION("""COMPUTED_VALUE"""),2316.228345877782)</f>
        <v>2316.228346</v>
      </c>
      <c r="T80" s="30">
        <f>IFERROR(__xludf.DUMMYFUNCTION("""COMPUTED_VALUE"""),3024.8920166667085)</f>
        <v>3024.892017</v>
      </c>
      <c r="U80" s="41">
        <v>0.0</v>
      </c>
      <c r="V80" s="26">
        <f t="shared" si="15"/>
        <v>75731.12036</v>
      </c>
      <c r="W80" s="42">
        <f t="shared" si="7"/>
        <v>2239817.905</v>
      </c>
      <c r="X80" s="34">
        <f t="shared" si="2"/>
        <v>3.400567998</v>
      </c>
      <c r="Y80" s="44">
        <f t="shared" si="19"/>
        <v>3729031.973</v>
      </c>
      <c r="Z80" s="30"/>
      <c r="AA80" s="45">
        <f t="shared" si="8"/>
        <v>8060.368726</v>
      </c>
      <c r="AB80" s="26">
        <f t="shared" si="9"/>
        <v>2178651.125</v>
      </c>
      <c r="AC80" s="26">
        <f t="shared" si="12"/>
        <v>8114.787448</v>
      </c>
      <c r="AD80" s="69">
        <f t="shared" si="10"/>
        <v>2137240.912</v>
      </c>
      <c r="AE80" s="34">
        <v>0.25</v>
      </c>
      <c r="AF80" s="44">
        <f t="shared" si="17"/>
        <v>3494029.767</v>
      </c>
      <c r="AG80" s="6"/>
      <c r="AH80" s="6"/>
      <c r="AI80" s="6"/>
      <c r="AJ80" s="6"/>
      <c r="AK80" s="6"/>
      <c r="AL80" s="6"/>
      <c r="AM80" s="6"/>
      <c r="AN80" s="6"/>
      <c r="AO80" s="6"/>
      <c r="AP80" s="6"/>
    </row>
    <row r="81" ht="11.25" customHeight="1">
      <c r="A81" s="7"/>
      <c r="B81" s="68">
        <f t="shared" si="16"/>
        <v>76</v>
      </c>
      <c r="C81" s="40">
        <v>187750.0</v>
      </c>
      <c r="D81" s="26">
        <f t="shared" si="5"/>
        <v>1347499.998</v>
      </c>
      <c r="E81" s="41"/>
      <c r="F81" s="26"/>
      <c r="G81" s="41">
        <f>IFERROR(__xludf.DUMMYFUNCTION("""COMPUTED_VALUE"""),3375.719118512604)</f>
        <v>3375.719119</v>
      </c>
      <c r="H81" s="26">
        <f>IFERROR(__xludf.DUMMYFUNCTION("""COMPUTED_VALUE"""),238026.78987293318)</f>
        <v>238026.7899</v>
      </c>
      <c r="I81" s="26">
        <f>IFERROR(__xludf.DUMMYFUNCTION("""COMPUTED_VALUE"""),10380.80110038472)</f>
        <v>10380.8011</v>
      </c>
      <c r="J81" s="42">
        <f>IFERROR(__xludf.DUMMYFUNCTION("""COMPUTED_VALUE"""),842993.5849685152)</f>
        <v>842993.585</v>
      </c>
      <c r="K81" s="41">
        <v>14000.0</v>
      </c>
      <c r="L81" s="42">
        <f t="shared" si="18"/>
        <v>254000</v>
      </c>
      <c r="M81" s="30"/>
      <c r="N81" s="43">
        <v>0.0</v>
      </c>
      <c r="O81" s="41">
        <v>121721.0</v>
      </c>
      <c r="P81" s="41">
        <v>0.0</v>
      </c>
      <c r="Q81" s="41">
        <v>0.0</v>
      </c>
      <c r="R81" s="41"/>
      <c r="S81" s="75">
        <f>IFERROR(__xludf.DUMMYFUNCTION("""COMPUTED_VALUE"""),2333.719118512643)</f>
        <v>2333.719119</v>
      </c>
      <c r="T81" s="30">
        <f>IFERROR(__xludf.DUMMYFUNCTION("""COMPUTED_VALUE"""),3056.801100384677)</f>
        <v>3056.8011</v>
      </c>
      <c r="U81" s="41">
        <v>0.0</v>
      </c>
      <c r="V81" s="26">
        <f t="shared" si="15"/>
        <v>127111.5202</v>
      </c>
      <c r="W81" s="42">
        <f t="shared" si="7"/>
        <v>2366929.425</v>
      </c>
      <c r="X81" s="34">
        <f t="shared" si="2"/>
        <v>5.234113811</v>
      </c>
      <c r="Y81" s="44">
        <f t="shared" si="19"/>
        <v>3995918.893</v>
      </c>
      <c r="Z81" s="30"/>
      <c r="AA81" s="45">
        <f t="shared" si="8"/>
        <v>8114.787448</v>
      </c>
      <c r="AB81" s="26">
        <f t="shared" si="9"/>
        <v>2186765.912</v>
      </c>
      <c r="AC81" s="26">
        <f t="shared" si="12"/>
        <v>8169.465718</v>
      </c>
      <c r="AD81" s="69">
        <f t="shared" si="10"/>
        <v>2145410.378</v>
      </c>
      <c r="AE81" s="34">
        <v>0.25</v>
      </c>
      <c r="AF81" s="44">
        <f t="shared" si="17"/>
        <v>3529955.753</v>
      </c>
      <c r="AG81" s="6"/>
      <c r="AH81" s="6"/>
      <c r="AI81" s="6"/>
      <c r="AJ81" s="6"/>
      <c r="AK81" s="6"/>
      <c r="AL81" s="6"/>
      <c r="AM81" s="6"/>
      <c r="AN81" s="6"/>
      <c r="AO81" s="6"/>
      <c r="AP81" s="6"/>
    </row>
    <row r="82" ht="11.25" customHeight="1">
      <c r="A82" s="7"/>
      <c r="B82" s="68">
        <f t="shared" si="16"/>
        <v>77</v>
      </c>
      <c r="C82" s="40">
        <v>148825.0</v>
      </c>
      <c r="D82" s="26">
        <f t="shared" si="5"/>
        <v>1496324.998</v>
      </c>
      <c r="E82" s="41"/>
      <c r="F82" s="26"/>
      <c r="G82" s="41">
        <f>IFERROR(__xludf.DUMMYFUNCTION("""COMPUTED_VALUE"""),3393.3009889215245)</f>
        <v>3393.300989</v>
      </c>
      <c r="H82" s="26">
        <f>IFERROR(__xludf.DUMMYFUNCTION("""COMPUTED_VALUE"""),241420.0908618547)</f>
        <v>241420.0909</v>
      </c>
      <c r="I82" s="26">
        <f>IFERROR(__xludf.DUMMYFUNCTION("""COMPUTED_VALUE"""),10412.808570444242)</f>
        <v>10412.80857</v>
      </c>
      <c r="J82" s="42">
        <f>IFERROR(__xludf.DUMMYFUNCTION("""COMPUTED_VALUE"""),853406.3935389594)</f>
        <v>853406.3935</v>
      </c>
      <c r="K82" s="41">
        <v>14000.0</v>
      </c>
      <c r="L82" s="42">
        <f t="shared" si="18"/>
        <v>268000</v>
      </c>
      <c r="M82" s="30"/>
      <c r="N82" s="43">
        <v>0.0</v>
      </c>
      <c r="O82" s="41">
        <v>62794.0</v>
      </c>
      <c r="P82" s="41">
        <v>0.0</v>
      </c>
      <c r="Q82" s="41">
        <v>0.0</v>
      </c>
      <c r="R82" s="41"/>
      <c r="S82" s="75">
        <f>IFERROR(__xludf.DUMMYFUNCTION("""COMPUTED_VALUE"""),2351.300988921488)</f>
        <v>2351.300989</v>
      </c>
      <c r="T82" s="30">
        <f>IFERROR(__xludf.DUMMYFUNCTION("""COMPUTED_VALUE"""),3088.8085704442346)</f>
        <v>3088.80857</v>
      </c>
      <c r="U82" s="41">
        <v>0.0</v>
      </c>
      <c r="V82" s="26">
        <f t="shared" si="15"/>
        <v>68234.10956</v>
      </c>
      <c r="W82" s="42">
        <f t="shared" si="7"/>
        <v>2435163.535</v>
      </c>
      <c r="X82" s="34">
        <f t="shared" si="2"/>
        <v>2.633350849</v>
      </c>
      <c r="Y82" s="44">
        <f t="shared" si="19"/>
        <v>4113672.592</v>
      </c>
      <c r="Z82" s="30"/>
      <c r="AA82" s="45">
        <f t="shared" si="8"/>
        <v>8169.465718</v>
      </c>
      <c r="AB82" s="26">
        <f t="shared" si="9"/>
        <v>2194935.378</v>
      </c>
      <c r="AC82" s="26">
        <f t="shared" si="12"/>
        <v>8224.404656</v>
      </c>
      <c r="AD82" s="69">
        <f t="shared" si="10"/>
        <v>2153634.783</v>
      </c>
      <c r="AE82" s="34">
        <v>0.25</v>
      </c>
      <c r="AF82" s="44">
        <f t="shared" si="17"/>
        <v>3565986.267</v>
      </c>
      <c r="AG82" s="6"/>
      <c r="AH82" s="6"/>
      <c r="AI82" s="6"/>
      <c r="AJ82" s="6"/>
      <c r="AK82" s="6"/>
      <c r="AL82" s="6"/>
      <c r="AM82" s="6"/>
      <c r="AN82" s="6"/>
      <c r="AO82" s="6"/>
      <c r="AP82" s="6"/>
    </row>
    <row r="83" ht="11.25" customHeight="1">
      <c r="A83" s="7"/>
      <c r="B83" s="68">
        <f t="shared" si="16"/>
        <v>78</v>
      </c>
      <c r="C83" s="40">
        <v>355925.0</v>
      </c>
      <c r="D83" s="26">
        <f t="shared" si="5"/>
        <v>1852249.998</v>
      </c>
      <c r="E83" s="41"/>
      <c r="F83" s="26"/>
      <c r="G83" s="41">
        <f>IFERROR(__xludf.DUMMYFUNCTION("""COMPUTED_VALUE"""),3410.9744315721573)</f>
        <v>3410.974432</v>
      </c>
      <c r="H83" s="26">
        <f>IFERROR(__xludf.DUMMYFUNCTION("""COMPUTED_VALUE"""),244831.06529342686)</f>
        <v>244831.0653</v>
      </c>
      <c r="I83" s="26">
        <f>IFERROR(__xludf.DUMMYFUNCTION("""COMPUTED_VALUE"""),10444.914730203109)</f>
        <v>10444.91473</v>
      </c>
      <c r="J83" s="42">
        <f>IFERROR(__xludf.DUMMYFUNCTION("""COMPUTED_VALUE"""),863851.3082691625)</f>
        <v>863851.3083</v>
      </c>
      <c r="K83" s="41">
        <v>14000.0</v>
      </c>
      <c r="L83" s="42">
        <f t="shared" si="18"/>
        <v>282000</v>
      </c>
      <c r="M83" s="30"/>
      <c r="N83" s="43">
        <v>0.0</v>
      </c>
      <c r="O83" s="41">
        <v>53716.0</v>
      </c>
      <c r="P83" s="41">
        <v>0.0</v>
      </c>
      <c r="Q83" s="41">
        <v>0.0</v>
      </c>
      <c r="R83" s="41"/>
      <c r="S83" s="75">
        <f>IFERROR(__xludf.DUMMYFUNCTION("""COMPUTED_VALUE"""),2368.974431572191)</f>
        <v>2368.974432</v>
      </c>
      <c r="T83" s="30">
        <f>IFERROR(__xludf.DUMMYFUNCTION("""COMPUTED_VALUE"""),3120.914730203105)</f>
        <v>3120.91473</v>
      </c>
      <c r="U83" s="41">
        <v>0.0</v>
      </c>
      <c r="V83" s="26">
        <f t="shared" si="15"/>
        <v>59205.88916</v>
      </c>
      <c r="W83" s="42">
        <f t="shared" si="7"/>
        <v>2494369.424</v>
      </c>
      <c r="X83" s="34">
        <f t="shared" si="2"/>
        <v>1.999569113</v>
      </c>
      <c r="Y83" s="44">
        <f t="shared" si="19"/>
        <v>4488425.26</v>
      </c>
      <c r="Z83" s="30"/>
      <c r="AA83" s="45">
        <f t="shared" si="8"/>
        <v>8224.404656</v>
      </c>
      <c r="AB83" s="26">
        <f t="shared" si="9"/>
        <v>2203159.783</v>
      </c>
      <c r="AC83" s="26">
        <f t="shared" si="12"/>
        <v>8279.60539</v>
      </c>
      <c r="AD83" s="69">
        <f t="shared" si="10"/>
        <v>2161914.388</v>
      </c>
      <c r="AE83" s="34">
        <v>0.25</v>
      </c>
      <c r="AF83" s="44">
        <f t="shared" si="17"/>
        <v>3602121.762</v>
      </c>
      <c r="AG83" s="6"/>
      <c r="AH83" s="6"/>
      <c r="AI83" s="6"/>
      <c r="AJ83" s="6"/>
      <c r="AK83" s="6"/>
      <c r="AL83" s="6"/>
      <c r="AM83" s="6"/>
      <c r="AN83" s="6"/>
      <c r="AO83" s="6"/>
      <c r="AP83" s="6"/>
    </row>
    <row r="84" ht="11.25" customHeight="1">
      <c r="A84" s="7"/>
      <c r="B84" s="68">
        <f t="shared" si="16"/>
        <v>79</v>
      </c>
      <c r="C84" s="40">
        <v>-186000.0</v>
      </c>
      <c r="D84" s="26">
        <f t="shared" si="5"/>
        <v>1666249.998</v>
      </c>
      <c r="E84" s="41"/>
      <c r="F84" s="26"/>
      <c r="G84" s="41">
        <f>IFERROR(__xludf.DUMMYFUNCTION("""COMPUTED_VALUE"""),3428.7399234032628)</f>
        <v>3428.739923</v>
      </c>
      <c r="H84" s="26">
        <f>IFERROR(__xludf.DUMMYFUNCTION("""COMPUTED_VALUE"""),248259.8052168301)</f>
        <v>248259.8052</v>
      </c>
      <c r="I84" s="26">
        <f>IFERROR(__xludf.DUMMYFUNCTION("""COMPUTED_VALUE"""),10477.119883954572)</f>
        <v>10477.11988</v>
      </c>
      <c r="J84" s="42">
        <f>IFERROR(__xludf.DUMMYFUNCTION("""COMPUTED_VALUE"""),874328.4281531171)</f>
        <v>874328.4282</v>
      </c>
      <c r="K84" s="41">
        <v>14000.0</v>
      </c>
      <c r="L84" s="42">
        <f t="shared" si="18"/>
        <v>296000</v>
      </c>
      <c r="M84" s="30"/>
      <c r="N84" s="77">
        <v>0.0</v>
      </c>
      <c r="O84" s="78">
        <v>0.0</v>
      </c>
      <c r="P84" s="78">
        <v>0.0</v>
      </c>
      <c r="Q84" s="78">
        <v>0.0</v>
      </c>
      <c r="R84" s="78"/>
      <c r="S84" s="9">
        <f>IFERROR(__xludf.DUMMYFUNCTION("""COMPUTED_VALUE"""),2386.739923403249)</f>
        <v>2386.739923</v>
      </c>
      <c r="T84" s="6">
        <f>IFERROR(__xludf.DUMMYFUNCTION("""COMPUTED_VALUE"""),3153.119883954525)</f>
        <v>3153.119884</v>
      </c>
      <c r="U84" s="78">
        <v>0.0</v>
      </c>
      <c r="V84" s="79">
        <f t="shared" si="15"/>
        <v>5539.859807</v>
      </c>
      <c r="W84" s="80">
        <f t="shared" si="7"/>
        <v>2499909.284</v>
      </c>
      <c r="X84" s="81">
        <f t="shared" si="2"/>
        <v>0.1986439997</v>
      </c>
      <c r="Y84" s="82">
        <f t="shared" si="19"/>
        <v>4276665.091</v>
      </c>
      <c r="Z84" s="6"/>
      <c r="AA84" s="83">
        <f t="shared" si="8"/>
        <v>8279.60539</v>
      </c>
      <c r="AB84" s="84">
        <f t="shared" si="9"/>
        <v>2211439.388</v>
      </c>
      <c r="AC84" s="79">
        <f t="shared" si="12"/>
        <v>8335.069053</v>
      </c>
      <c r="AD84" s="85">
        <f t="shared" si="10"/>
        <v>2170249.457</v>
      </c>
      <c r="AE84" s="81">
        <v>0.25</v>
      </c>
      <c r="AF84" s="82">
        <f t="shared" si="17"/>
        <v>3638362.69</v>
      </c>
      <c r="AG84" s="6"/>
      <c r="AH84" s="6"/>
      <c r="AI84" s="6"/>
      <c r="AJ84" s="6"/>
      <c r="AK84" s="6"/>
      <c r="AL84" s="6"/>
      <c r="AM84" s="6"/>
      <c r="AN84" s="6"/>
      <c r="AO84" s="6"/>
      <c r="AP84" s="6"/>
    </row>
    <row r="85" ht="11.25" customHeight="1">
      <c r="A85" s="7"/>
      <c r="B85" s="68">
        <f t="shared" si="16"/>
        <v>80</v>
      </c>
      <c r="C85" s="86">
        <f t="shared" ref="C85:C365" si="20">V84</f>
        <v>5539.859807</v>
      </c>
      <c r="D85" s="84">
        <f t="shared" si="5"/>
        <v>1671789.857</v>
      </c>
      <c r="E85" s="78"/>
      <c r="F85" s="79"/>
      <c r="G85" s="78">
        <f>IFERROR(__xludf.DUMMYFUNCTION("""COMPUTED_VALUE"""),3446.5979438376553)</f>
        <v>3446.597944</v>
      </c>
      <c r="H85" s="84">
        <f>IFERROR(__xludf.DUMMYFUNCTION("""COMPUTED_VALUE"""),251706.40316066777)</f>
        <v>251706.4032</v>
      </c>
      <c r="I85" s="79">
        <f>IFERROR(__xludf.DUMMYFUNCTION("""COMPUTED_VALUE"""),10509.424336930097)</f>
        <v>10509.42434</v>
      </c>
      <c r="J85" s="80">
        <f>IFERROR(__xludf.DUMMYFUNCTION("""COMPUTED_VALUE"""),884837.8524900472)</f>
        <v>884837.8525</v>
      </c>
      <c r="K85" s="78">
        <v>14000.0</v>
      </c>
      <c r="L85" s="80">
        <f t="shared" si="18"/>
        <v>310000</v>
      </c>
      <c r="M85" s="6"/>
      <c r="N85" s="77">
        <v>0.0</v>
      </c>
      <c r="O85" s="78">
        <v>0.0</v>
      </c>
      <c r="P85" s="78">
        <v>0.0</v>
      </c>
      <c r="Q85" s="78">
        <v>0.0</v>
      </c>
      <c r="R85" s="78"/>
      <c r="S85" s="9">
        <f>IFERROR(__xludf.DUMMYFUNCTION("""COMPUTED_VALUE"""),2404.597943837696)</f>
        <v>2404.597944</v>
      </c>
      <c r="T85" s="6">
        <f>IFERROR(__xludf.DUMMYFUNCTION("""COMPUTED_VALUE"""),3185.424336930155)</f>
        <v>3185.424337</v>
      </c>
      <c r="U85" s="78">
        <v>0.0</v>
      </c>
      <c r="V85" s="79">
        <f t="shared" si="15"/>
        <v>5590.022281</v>
      </c>
      <c r="W85" s="80">
        <f t="shared" si="7"/>
        <v>2505499.306</v>
      </c>
      <c r="X85" s="81">
        <f t="shared" si="2"/>
        <v>0.1990511832</v>
      </c>
      <c r="Y85" s="82">
        <f t="shared" si="19"/>
        <v>4310211.135</v>
      </c>
      <c r="Z85" s="6"/>
      <c r="AA85" s="83">
        <f t="shared" si="8"/>
        <v>8335.069053</v>
      </c>
      <c r="AB85" s="84">
        <f t="shared" si="9"/>
        <v>2219774.457</v>
      </c>
      <c r="AC85" s="79">
        <f t="shared" si="12"/>
        <v>8390.796782</v>
      </c>
      <c r="AD85" s="85">
        <f t="shared" si="10"/>
        <v>2178640.254</v>
      </c>
      <c r="AE85" s="81">
        <v>0.25</v>
      </c>
      <c r="AF85" s="82">
        <f t="shared" si="17"/>
        <v>3674709.509</v>
      </c>
      <c r="AG85" s="6"/>
      <c r="AH85" s="6"/>
      <c r="AI85" s="6"/>
      <c r="AJ85" s="6"/>
      <c r="AK85" s="6"/>
      <c r="AL85" s="6"/>
      <c r="AM85" s="6"/>
      <c r="AN85" s="6"/>
      <c r="AO85" s="6"/>
      <c r="AP85" s="6"/>
    </row>
    <row r="86" ht="11.25" customHeight="1">
      <c r="A86" s="7"/>
      <c r="B86" s="68">
        <f t="shared" si="16"/>
        <v>81</v>
      </c>
      <c r="C86" s="86">
        <f t="shared" si="20"/>
        <v>5590.022281</v>
      </c>
      <c r="D86" s="84">
        <f t="shared" si="5"/>
        <v>1677379.88</v>
      </c>
      <c r="E86" s="78"/>
      <c r="F86" s="79"/>
      <c r="G86" s="78">
        <f>IFERROR(__xludf.DUMMYFUNCTION("""COMPUTED_VALUE"""),3464.5489747951433)</f>
        <v>3464.548975</v>
      </c>
      <c r="H86" s="84">
        <f>IFERROR(__xludf.DUMMYFUNCTION("""COMPUTED_VALUE"""),255170.95213546293)</f>
        <v>255170.9521</v>
      </c>
      <c r="I86" s="79">
        <f>IFERROR(__xludf.DUMMYFUNCTION("""COMPUTED_VALUE"""),10541.828395302298)</f>
        <v>10541.8284</v>
      </c>
      <c r="J86" s="80">
        <f>IFERROR(__xludf.DUMMYFUNCTION("""COMPUTED_VALUE"""),895379.6808853495)</f>
        <v>895379.6809</v>
      </c>
      <c r="K86" s="78">
        <v>14000.0</v>
      </c>
      <c r="L86" s="80">
        <f t="shared" si="18"/>
        <v>324000</v>
      </c>
      <c r="M86" s="6"/>
      <c r="N86" s="77">
        <v>0.0</v>
      </c>
      <c r="O86" s="78">
        <v>0.0</v>
      </c>
      <c r="P86" s="78">
        <v>0.0</v>
      </c>
      <c r="Q86" s="78">
        <v>0.0</v>
      </c>
      <c r="R86" s="78"/>
      <c r="S86" s="9">
        <f>IFERROR(__xludf.DUMMYFUNCTION("""COMPUTED_VALUE"""),2422.5489747951506)</f>
        <v>2422.548975</v>
      </c>
      <c r="T86" s="6">
        <f>IFERROR(__xludf.DUMMYFUNCTION("""COMPUTED_VALUE"""),3217.828395302291)</f>
        <v>3217.828395</v>
      </c>
      <c r="U86" s="78">
        <v>0.0</v>
      </c>
      <c r="V86" s="79">
        <f t="shared" si="15"/>
        <v>5640.37737</v>
      </c>
      <c r="W86" s="80">
        <f t="shared" si="7"/>
        <v>2511139.683</v>
      </c>
      <c r="X86" s="81">
        <f t="shared" si="2"/>
        <v>0.199452474</v>
      </c>
      <c r="Y86" s="82">
        <f t="shared" si="19"/>
        <v>4343857.89</v>
      </c>
      <c r="Z86" s="6"/>
      <c r="AA86" s="83">
        <f t="shared" si="8"/>
        <v>8390.796782</v>
      </c>
      <c r="AB86" s="84">
        <f t="shared" si="9"/>
        <v>2228165.254</v>
      </c>
      <c r="AC86" s="79">
        <f t="shared" si="12"/>
        <v>8446.789717</v>
      </c>
      <c r="AD86" s="85">
        <f t="shared" si="10"/>
        <v>2187087.044</v>
      </c>
      <c r="AE86" s="81">
        <v>0.25</v>
      </c>
      <c r="AF86" s="82">
        <f t="shared" si="17"/>
        <v>3711162.677</v>
      </c>
      <c r="AG86" s="6"/>
      <c r="AH86" s="6"/>
      <c r="AI86" s="6"/>
      <c r="AJ86" s="6"/>
      <c r="AK86" s="6"/>
      <c r="AL86" s="6"/>
      <c r="AM86" s="6"/>
      <c r="AN86" s="6"/>
      <c r="AO86" s="6"/>
      <c r="AP86" s="6"/>
    </row>
    <row r="87" ht="11.25" customHeight="1">
      <c r="A87" s="87"/>
      <c r="B87" s="68">
        <f t="shared" si="16"/>
        <v>82</v>
      </c>
      <c r="C87" s="86">
        <f t="shared" si="20"/>
        <v>5640.37737</v>
      </c>
      <c r="D87" s="84">
        <f t="shared" si="5"/>
        <v>1683020.257</v>
      </c>
      <c r="E87" s="78"/>
      <c r="F87" s="79"/>
      <c r="G87" s="78">
        <f>IFERROR(__xludf.DUMMYFUNCTION("""COMPUTED_VALUE"""),3482.593500705534)</f>
        <v>3482.593501</v>
      </c>
      <c r="H87" s="84">
        <f>IFERROR(__xludf.DUMMYFUNCTION("""COMPUTED_VALUE"""),258653.54563616845)</f>
        <v>258653.5456</v>
      </c>
      <c r="I87" s="79">
        <f>IFERROR(__xludf.DUMMYFUNCTION("""COMPUTED_VALUE"""),10574.332366187813)</f>
        <v>10574.33237</v>
      </c>
      <c r="J87" s="80">
        <f>IFERROR(__xludf.DUMMYFUNCTION("""COMPUTED_VALUE"""),905954.0132515373)</f>
        <v>905954.0133</v>
      </c>
      <c r="K87" s="79"/>
      <c r="L87" s="80"/>
      <c r="M87" s="6"/>
      <c r="N87" s="77">
        <v>0.0</v>
      </c>
      <c r="O87" s="78">
        <v>0.0</v>
      </c>
      <c r="P87" s="78">
        <v>0.0</v>
      </c>
      <c r="Q87" s="78">
        <v>0.0</v>
      </c>
      <c r="R87" s="78"/>
      <c r="S87" s="9">
        <f>IFERROR(__xludf.DUMMYFUNCTION("""COMPUTED_VALUE"""),2440.593500705494)</f>
        <v>2440.593501</v>
      </c>
      <c r="T87" s="6">
        <f>IFERROR(__xludf.DUMMYFUNCTION("""COMPUTED_VALUE"""),3250.332366187824)</f>
        <v>3250.332366</v>
      </c>
      <c r="U87" s="78">
        <v>0.0</v>
      </c>
      <c r="V87" s="79">
        <f t="shared" si="15"/>
        <v>5690.925867</v>
      </c>
      <c r="W87" s="80">
        <f t="shared" si="7"/>
        <v>2516830.609</v>
      </c>
      <c r="X87" s="81">
        <f t="shared" si="2"/>
        <v>0.1998479519</v>
      </c>
      <c r="Y87" s="82">
        <f t="shared" si="19"/>
        <v>4039605.742</v>
      </c>
      <c r="Z87" s="6"/>
      <c r="AA87" s="83">
        <f t="shared" si="8"/>
        <v>8446.789717</v>
      </c>
      <c r="AB87" s="84">
        <f t="shared" si="9"/>
        <v>2236612.044</v>
      </c>
      <c r="AC87" s="79">
        <f t="shared" si="12"/>
        <v>8503.049006</v>
      </c>
      <c r="AD87" s="85">
        <f t="shared" si="10"/>
        <v>2195590.093</v>
      </c>
      <c r="AE87" s="81">
        <v>0.25</v>
      </c>
      <c r="AF87" s="82">
        <f t="shared" si="17"/>
        <v>3409722.651</v>
      </c>
      <c r="AG87" s="6"/>
      <c r="AH87" s="6"/>
      <c r="AI87" s="6"/>
      <c r="AJ87" s="6"/>
      <c r="AK87" s="6"/>
      <c r="AL87" s="6"/>
      <c r="AM87" s="6"/>
      <c r="AN87" s="6"/>
      <c r="AO87" s="6"/>
      <c r="AP87" s="6"/>
    </row>
    <row r="88" ht="11.25" customHeight="1">
      <c r="A88" s="7"/>
      <c r="B88" s="68">
        <f t="shared" si="16"/>
        <v>83</v>
      </c>
      <c r="C88" s="86">
        <f t="shared" si="20"/>
        <v>5690.925867</v>
      </c>
      <c r="D88" s="84">
        <f t="shared" si="5"/>
        <v>1688711.183</v>
      </c>
      <c r="E88" s="78"/>
      <c r="F88" s="79"/>
      <c r="G88" s="78">
        <f>IFERROR(__xludf.DUMMYFUNCTION("""COMPUTED_VALUE"""),3500.732008521708)</f>
        <v>3500.732009</v>
      </c>
      <c r="H88" s="84">
        <f>IFERROR(__xludf.DUMMYFUNCTION("""COMPUTED_VALUE"""),262154.2776446902)</f>
        <v>262154.2776</v>
      </c>
      <c r="I88" s="79">
        <f>IFERROR(__xludf.DUMMYFUNCTION("""COMPUTED_VALUE"""),10606.936557650228)</f>
        <v>10606.93656</v>
      </c>
      <c r="J88" s="80">
        <f>IFERROR(__xludf.DUMMYFUNCTION("""COMPUTED_VALUE"""),916560.9498091876)</f>
        <v>916560.9498</v>
      </c>
      <c r="K88" s="79"/>
      <c r="L88" s="80"/>
      <c r="M88" s="6"/>
      <c r="N88" s="77">
        <v>0.0</v>
      </c>
      <c r="O88" s="78">
        <v>0.0</v>
      </c>
      <c r="P88" s="78">
        <v>0.0</v>
      </c>
      <c r="Q88" s="78">
        <v>0.0</v>
      </c>
      <c r="R88" s="78"/>
      <c r="S88" s="9">
        <f>IFERROR(__xludf.DUMMYFUNCTION("""COMPUTED_VALUE"""),2458.732008521736)</f>
        <v>2458.732009</v>
      </c>
      <c r="T88" s="6">
        <f>IFERROR(__xludf.DUMMYFUNCTION("""COMPUTED_VALUE"""),3282.936557650217)</f>
        <v>3282.936558</v>
      </c>
      <c r="U88" s="78">
        <v>0.0</v>
      </c>
      <c r="V88" s="79">
        <f t="shared" si="15"/>
        <v>5741.668566</v>
      </c>
      <c r="W88" s="80">
        <f t="shared" si="7"/>
        <v>2522572.278</v>
      </c>
      <c r="X88" s="81">
        <f t="shared" si="2"/>
        <v>0.2002376956</v>
      </c>
      <c r="Y88" s="82">
        <f t="shared" si="19"/>
        <v>4059455.079</v>
      </c>
      <c r="Z88" s="6"/>
      <c r="AA88" s="83">
        <f t="shared" si="8"/>
        <v>8503.049006</v>
      </c>
      <c r="AB88" s="84">
        <f t="shared" si="9"/>
        <v>2245115.093</v>
      </c>
      <c r="AC88" s="79">
        <f t="shared" si="12"/>
        <v>8559.5758</v>
      </c>
      <c r="AD88" s="85">
        <f t="shared" si="10"/>
        <v>2204149.668</v>
      </c>
      <c r="AE88" s="81">
        <v>0.25</v>
      </c>
      <c r="AF88" s="82">
        <f t="shared" si="17"/>
        <v>3432389.896</v>
      </c>
      <c r="AG88" s="6"/>
      <c r="AH88" s="6"/>
      <c r="AI88" s="6"/>
      <c r="AJ88" s="6"/>
      <c r="AK88" s="6"/>
      <c r="AL88" s="6"/>
      <c r="AM88" s="6"/>
      <c r="AN88" s="6"/>
      <c r="AO88" s="6"/>
      <c r="AP88" s="6"/>
    </row>
    <row r="89" ht="11.25" customHeight="1">
      <c r="A89" s="71"/>
      <c r="B89" s="72">
        <f t="shared" si="16"/>
        <v>84</v>
      </c>
      <c r="C89" s="86">
        <f t="shared" si="20"/>
        <v>5741.668566</v>
      </c>
      <c r="D89" s="88">
        <f t="shared" si="5"/>
        <v>1694452.851</v>
      </c>
      <c r="E89" s="89"/>
      <c r="F89" s="90"/>
      <c r="G89" s="89">
        <f>IFERROR(__xludf.DUMMYFUNCTION("""COMPUTED_VALUE"""),3518.9649877327583)</f>
        <v>3518.964988</v>
      </c>
      <c r="H89" s="88">
        <f>IFERROR(__xludf.DUMMYFUNCTION("""COMPUTED_VALUE"""),265673.24263242295)</f>
        <v>265673.2426</v>
      </c>
      <c r="I89" s="90">
        <f>IFERROR(__xludf.DUMMYFUNCTION("""COMPUTED_VALUE"""),10639.64127870298)</f>
        <v>10639.64128</v>
      </c>
      <c r="J89" s="91">
        <f>IFERROR(__xludf.DUMMYFUNCTION("""COMPUTED_VALUE"""),927200.5910878906)</f>
        <v>927200.5911</v>
      </c>
      <c r="K89" s="90"/>
      <c r="L89" s="91"/>
      <c r="M89" s="6"/>
      <c r="N89" s="92">
        <v>0.0</v>
      </c>
      <c r="O89" s="89">
        <v>0.0</v>
      </c>
      <c r="P89" s="89">
        <v>0.0</v>
      </c>
      <c r="Q89" s="89">
        <v>0.0</v>
      </c>
      <c r="R89" s="89"/>
      <c r="S89" s="93">
        <f>IFERROR(__xludf.DUMMYFUNCTION("""COMPUTED_VALUE"""),2476.964987732703)</f>
        <v>2476.964988</v>
      </c>
      <c r="T89" s="10">
        <f>IFERROR(__xludf.DUMMYFUNCTION("""COMPUTED_VALUE"""),3315.6412787029985)</f>
        <v>3315.641279</v>
      </c>
      <c r="U89" s="89">
        <v>0.0</v>
      </c>
      <c r="V89" s="90">
        <f t="shared" si="15"/>
        <v>5792.606266</v>
      </c>
      <c r="W89" s="91">
        <f t="shared" si="7"/>
        <v>2528364.884</v>
      </c>
      <c r="X89" s="81">
        <f t="shared" si="2"/>
        <v>0.2006217826</v>
      </c>
      <c r="Y89" s="82">
        <f t="shared" si="19"/>
        <v>4079406.291</v>
      </c>
      <c r="Z89" s="6"/>
      <c r="AA89" s="83">
        <f t="shared" si="8"/>
        <v>8559.5758</v>
      </c>
      <c r="AB89" s="88">
        <f t="shared" si="9"/>
        <v>2253674.668</v>
      </c>
      <c r="AC89" s="90">
        <f t="shared" si="12"/>
        <v>8616.371255</v>
      </c>
      <c r="AD89" s="94">
        <f t="shared" si="10"/>
        <v>2212766.04</v>
      </c>
      <c r="AE89" s="81">
        <v>0.25</v>
      </c>
      <c r="AF89" s="82">
        <f t="shared" si="17"/>
        <v>3455164.873</v>
      </c>
      <c r="AG89" s="6"/>
      <c r="AH89" s="6"/>
      <c r="AI89" s="6"/>
      <c r="AJ89" s="6"/>
      <c r="AK89" s="6"/>
      <c r="AL89" s="6"/>
      <c r="AM89" s="6"/>
      <c r="AN89" s="6"/>
      <c r="AO89" s="6"/>
      <c r="AP89" s="6"/>
    </row>
    <row r="90" ht="11.25" customHeight="1">
      <c r="A90" s="65">
        <v>46334.0</v>
      </c>
      <c r="B90" s="66">
        <f t="shared" si="16"/>
        <v>85</v>
      </c>
      <c r="C90" s="86">
        <f t="shared" si="20"/>
        <v>5792.606266</v>
      </c>
      <c r="D90" s="84">
        <f t="shared" si="5"/>
        <v>1700245.458</v>
      </c>
      <c r="E90" s="78"/>
      <c r="F90" s="79"/>
      <c r="G90" s="78">
        <f>IFERROR(__xludf.DUMMYFUNCTION("""COMPUTED_VALUE"""),3537.2929303772)</f>
        <v>3537.29293</v>
      </c>
      <c r="H90" s="84">
        <f>IFERROR(__xludf.DUMMYFUNCTION("""COMPUTED_VALUE"""),269210.5355628001)</f>
        <v>269210.5356</v>
      </c>
      <c r="I90" s="79">
        <f>IFERROR(__xludf.DUMMYFUNCTION("""COMPUTED_VALUE"""),10672.446839312313)</f>
        <v>10672.44684</v>
      </c>
      <c r="J90" s="80">
        <f>IFERROR(__xludf.DUMMYFUNCTION("""COMPUTED_VALUE"""),937873.0379272029)</f>
        <v>937873.0379</v>
      </c>
      <c r="K90" s="79"/>
      <c r="L90" s="80"/>
      <c r="M90" s="6"/>
      <c r="N90" s="77">
        <v>0.0</v>
      </c>
      <c r="O90" s="78">
        <v>0.0</v>
      </c>
      <c r="P90" s="78">
        <v>0.0</v>
      </c>
      <c r="Q90" s="78">
        <v>0.0</v>
      </c>
      <c r="R90" s="78"/>
      <c r="S90" s="9">
        <f>IFERROR(__xludf.DUMMYFUNCTION("""COMPUTED_VALUE"""),2495.29293037724)</f>
        <v>2495.29293</v>
      </c>
      <c r="T90" s="6">
        <f>IFERROR(__xludf.DUMMYFUNCTION("""COMPUTED_VALUE"""),3348.4468393123243)</f>
        <v>3348.446839</v>
      </c>
      <c r="U90" s="78">
        <v>0.0</v>
      </c>
      <c r="V90" s="79">
        <f t="shared" si="15"/>
        <v>5843.73977</v>
      </c>
      <c r="W90" s="80">
        <f t="shared" si="7"/>
        <v>2534208.624</v>
      </c>
      <c r="X90" s="81">
        <f t="shared" si="2"/>
        <v>0.2010002895</v>
      </c>
      <c r="Y90" s="82">
        <f t="shared" si="19"/>
        <v>4099459.771</v>
      </c>
      <c r="Z90" s="6"/>
      <c r="AA90" s="83">
        <f t="shared" si="8"/>
        <v>8616.371255</v>
      </c>
      <c r="AB90" s="84">
        <f t="shared" si="9"/>
        <v>2262291.04</v>
      </c>
      <c r="AC90" s="79">
        <f t="shared" si="12"/>
        <v>8673.436533</v>
      </c>
      <c r="AD90" s="95">
        <f t="shared" si="10"/>
        <v>2221439.476</v>
      </c>
      <c r="AE90" s="81">
        <v>0.25</v>
      </c>
      <c r="AF90" s="82">
        <f t="shared" si="17"/>
        <v>3478048.05</v>
      </c>
      <c r="AG90" s="6"/>
      <c r="AH90" s="6"/>
      <c r="AI90" s="6"/>
      <c r="AJ90" s="6"/>
      <c r="AK90" s="6"/>
      <c r="AL90" s="6"/>
      <c r="AM90" s="6"/>
      <c r="AN90" s="6"/>
      <c r="AO90" s="6"/>
      <c r="AP90" s="6"/>
    </row>
    <row r="91" ht="11.25" customHeight="1">
      <c r="A91" s="70"/>
      <c r="B91" s="68">
        <f t="shared" si="16"/>
        <v>86</v>
      </c>
      <c r="C91" s="86">
        <f t="shared" si="20"/>
        <v>5843.73977</v>
      </c>
      <c r="D91" s="84">
        <f t="shared" si="5"/>
        <v>1706089.198</v>
      </c>
      <c r="E91" s="78"/>
      <c r="F91" s="79"/>
      <c r="G91" s="78">
        <f>IFERROR(__xludf.DUMMYFUNCTION("""COMPUTED_VALUE"""),3555.7163310562473)</f>
        <v>3555.716331</v>
      </c>
      <c r="H91" s="84">
        <f>IFERROR(__xludf.DUMMYFUNCTION("""COMPUTED_VALUE"""),272766.2518938564)</f>
        <v>272766.2519</v>
      </c>
      <c r="I91" s="79">
        <f>IFERROR(__xludf.DUMMYFUNCTION("""COMPUTED_VALUE"""),10705.353550400192)</f>
        <v>10705.35355</v>
      </c>
      <c r="J91" s="80">
        <f>IFERROR(__xludf.DUMMYFUNCTION("""COMPUTED_VALUE"""),948578.3914776031)</f>
        <v>948578.3915</v>
      </c>
      <c r="K91" s="79"/>
      <c r="L91" s="80"/>
      <c r="M91" s="6"/>
      <c r="N91" s="77">
        <v>0.0</v>
      </c>
      <c r="O91" s="78">
        <v>0.0</v>
      </c>
      <c r="P91" s="78">
        <v>0.0</v>
      </c>
      <c r="Q91" s="78">
        <v>0.0</v>
      </c>
      <c r="R91" s="78"/>
      <c r="S91" s="9">
        <f>IFERROR(__xludf.DUMMYFUNCTION("""COMPUTED_VALUE"""),2513.716331056261)</f>
        <v>2513.716331</v>
      </c>
      <c r="T91" s="6">
        <f>IFERROR(__xludf.DUMMYFUNCTION("""COMPUTED_VALUE"""),3381.3535504002357)</f>
        <v>3381.35355</v>
      </c>
      <c r="U91" s="78">
        <v>0.0</v>
      </c>
      <c r="V91" s="79">
        <f t="shared" si="15"/>
        <v>5895.069881</v>
      </c>
      <c r="W91" s="80">
        <f t="shared" si="7"/>
        <v>2540103.694</v>
      </c>
      <c r="X91" s="81">
        <f t="shared" si="2"/>
        <v>0.2013732915</v>
      </c>
      <c r="Y91" s="82">
        <f t="shared" si="19"/>
        <v>4119615.911</v>
      </c>
      <c r="Z91" s="6"/>
      <c r="AA91" s="83">
        <f t="shared" si="8"/>
        <v>8673.436533</v>
      </c>
      <c r="AB91" s="84">
        <f t="shared" si="9"/>
        <v>2270964.476</v>
      </c>
      <c r="AC91" s="79">
        <f t="shared" si="12"/>
        <v>8730.772799</v>
      </c>
      <c r="AD91" s="85">
        <f t="shared" si="10"/>
        <v>2230170.249</v>
      </c>
      <c r="AE91" s="81">
        <v>0.25</v>
      </c>
      <c r="AF91" s="82">
        <f t="shared" si="17"/>
        <v>3501039.892</v>
      </c>
      <c r="AG91" s="6"/>
      <c r="AH91" s="6"/>
      <c r="AI91" s="6"/>
      <c r="AJ91" s="6"/>
      <c r="AK91" s="6"/>
      <c r="AL91" s="6"/>
      <c r="AM91" s="6"/>
      <c r="AN91" s="6"/>
      <c r="AO91" s="6"/>
      <c r="AP91" s="6"/>
    </row>
    <row r="92" ht="11.25" customHeight="1">
      <c r="A92" s="7"/>
      <c r="B92" s="68">
        <f t="shared" si="16"/>
        <v>87</v>
      </c>
      <c r="C92" s="86">
        <f t="shared" si="20"/>
        <v>5895.069881</v>
      </c>
      <c r="D92" s="84">
        <f t="shared" si="5"/>
        <v>1711984.267</v>
      </c>
      <c r="E92" s="78"/>
      <c r="F92" s="79"/>
      <c r="G92" s="78">
        <f>IFERROR(__xludf.DUMMYFUNCTION("""COMPUTED_VALUE"""),3574.235686947166)</f>
        <v>3574.235687</v>
      </c>
      <c r="H92" s="84">
        <f>IFERROR(__xludf.DUMMYFUNCTION("""COMPUTED_VALUE"""),276340.4875808036)</f>
        <v>276340.4876</v>
      </c>
      <c r="I92" s="79">
        <f>IFERROR(__xludf.DUMMYFUNCTION("""COMPUTED_VALUE"""),10738.361723847262)</f>
        <v>10738.36172</v>
      </c>
      <c r="J92" s="80">
        <f>IFERROR(__xludf.DUMMYFUNCTION("""COMPUTED_VALUE"""),959316.7532014503)</f>
        <v>959316.7532</v>
      </c>
      <c r="K92" s="79"/>
      <c r="L92" s="80"/>
      <c r="M92" s="6"/>
      <c r="N92" s="77">
        <v>0.0</v>
      </c>
      <c r="O92" s="78">
        <v>0.0</v>
      </c>
      <c r="P92" s="78">
        <v>0.0</v>
      </c>
      <c r="Q92" s="78">
        <v>0.0</v>
      </c>
      <c r="R92" s="78"/>
      <c r="S92" s="9">
        <f>IFERROR(__xludf.DUMMYFUNCTION("""COMPUTED_VALUE"""),2532.235686947184)</f>
        <v>2532.235687</v>
      </c>
      <c r="T92" s="6">
        <f>IFERROR(__xludf.DUMMYFUNCTION("""COMPUTED_VALUE"""),3414.3617238472216)</f>
        <v>3414.361724</v>
      </c>
      <c r="U92" s="78">
        <v>0.0</v>
      </c>
      <c r="V92" s="79">
        <f t="shared" si="15"/>
        <v>5946.597411</v>
      </c>
      <c r="W92" s="80">
        <f t="shared" si="7"/>
        <v>2546050.291</v>
      </c>
      <c r="X92" s="81">
        <f t="shared" si="2"/>
        <v>0.2017408628</v>
      </c>
      <c r="Y92" s="82">
        <f t="shared" si="19"/>
        <v>4139875.106</v>
      </c>
      <c r="Z92" s="6"/>
      <c r="AA92" s="83">
        <f t="shared" si="8"/>
        <v>8730.772799</v>
      </c>
      <c r="AB92" s="84">
        <f t="shared" si="9"/>
        <v>2279695.249</v>
      </c>
      <c r="AC92" s="79">
        <f t="shared" si="12"/>
        <v>8788.381224</v>
      </c>
      <c r="AD92" s="85">
        <f t="shared" si="10"/>
        <v>2238958.63</v>
      </c>
      <c r="AE92" s="81">
        <v>0.25</v>
      </c>
      <c r="AF92" s="82">
        <f t="shared" si="17"/>
        <v>3524140.871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</row>
    <row r="93" ht="11.25" customHeight="1">
      <c r="A93" s="7"/>
      <c r="B93" s="68">
        <f t="shared" si="16"/>
        <v>88</v>
      </c>
      <c r="C93" s="86">
        <f t="shared" si="20"/>
        <v>5946.597411</v>
      </c>
      <c r="D93" s="84">
        <f t="shared" si="5"/>
        <v>1717930.865</v>
      </c>
      <c r="E93" s="78"/>
      <c r="F93" s="79"/>
      <c r="G93" s="78">
        <f>IFERROR(__xludf.DUMMYFUNCTION("""COMPUTED_VALUE"""),3592.8514978166822)</f>
        <v>3592.851498</v>
      </c>
      <c r="H93" s="84">
        <f>IFERROR(__xludf.DUMMYFUNCTION("""COMPUTED_VALUE"""),279933.33907862025)</f>
        <v>279933.3391</v>
      </c>
      <c r="I93" s="79">
        <f>IFERROR(__xludf.DUMMYFUNCTION("""COMPUTED_VALUE"""),10992.030061938498)</f>
        <v>10992.03006</v>
      </c>
      <c r="J93" s="80">
        <f>IFERROR(__xludf.DUMMYFUNCTION("""COMPUTED_VALUE"""),970308.7832633888)</f>
        <v>970308.7833</v>
      </c>
      <c r="K93" s="79"/>
      <c r="L93" s="80"/>
      <c r="M93" s="6"/>
      <c r="N93" s="77">
        <v>0.0</v>
      </c>
      <c r="O93" s="78">
        <v>0.0</v>
      </c>
      <c r="P93" s="78">
        <v>0.0</v>
      </c>
      <c r="Q93" s="78">
        <v>0.0</v>
      </c>
      <c r="R93" s="78"/>
      <c r="S93" s="9">
        <f>IFERROR(__xludf.DUMMYFUNCTION("""COMPUTED_VALUE"""),2550.8514978166786)</f>
        <v>2550.851498</v>
      </c>
      <c r="T93" s="6">
        <f>IFERROR(__xludf.DUMMYFUNCTION("""COMPUTED_VALUE"""),3668.0300619384507)</f>
        <v>3668.030062</v>
      </c>
      <c r="U93" s="78">
        <v>0.0</v>
      </c>
      <c r="V93" s="79">
        <f t="shared" si="15"/>
        <v>6218.88156</v>
      </c>
      <c r="W93" s="80">
        <f t="shared" si="7"/>
        <v>2552269.173</v>
      </c>
      <c r="X93" s="81">
        <f t="shared" si="2"/>
        <v>0.2095188382</v>
      </c>
      <c r="Y93" s="82">
        <f t="shared" si="19"/>
        <v>4160678.869</v>
      </c>
      <c r="Z93" s="6"/>
      <c r="AA93" s="83">
        <f t="shared" si="8"/>
        <v>8788.381224</v>
      </c>
      <c r="AB93" s="84">
        <f t="shared" si="9"/>
        <v>2288483.63</v>
      </c>
      <c r="AC93" s="79">
        <f t="shared" si="12"/>
        <v>8846.814381</v>
      </c>
      <c r="AD93" s="85">
        <f t="shared" si="10"/>
        <v>2247805.445</v>
      </c>
      <c r="AE93" s="81">
        <v>0.25</v>
      </c>
      <c r="AF93" s="82">
        <f t="shared" si="17"/>
        <v>3547572.567</v>
      </c>
      <c r="AG93" s="6"/>
      <c r="AH93" s="6"/>
      <c r="AI93" s="6"/>
      <c r="AJ93" s="6"/>
      <c r="AK93" s="6"/>
      <c r="AL93" s="6"/>
      <c r="AM93" s="6"/>
      <c r="AN93" s="6"/>
      <c r="AO93" s="6"/>
      <c r="AP93" s="6"/>
    </row>
    <row r="94" ht="11.25" customHeight="1">
      <c r="A94" s="7"/>
      <c r="B94" s="68">
        <f t="shared" si="16"/>
        <v>89</v>
      </c>
      <c r="C94" s="86">
        <f t="shared" si="20"/>
        <v>6218.88156</v>
      </c>
      <c r="D94" s="84">
        <f t="shared" si="5"/>
        <v>1724149.746</v>
      </c>
      <c r="E94" s="78"/>
      <c r="F94" s="79"/>
      <c r="G94" s="78">
        <f>IFERROR(__xludf.DUMMYFUNCTION("""COMPUTED_VALUE"""),3611.5642660344774)</f>
        <v>3611.564266</v>
      </c>
      <c r="H94" s="84">
        <f>IFERROR(__xludf.DUMMYFUNCTION("""COMPUTED_VALUE"""),283544.9033446547)</f>
        <v>283544.9033</v>
      </c>
      <c r="I94" s="79">
        <f>IFERROR(__xludf.DUMMYFUNCTION("""COMPUTED_VALUE"""),11024.777151498023)</f>
        <v>11024.77715</v>
      </c>
      <c r="J94" s="80">
        <f>IFERROR(__xludf.DUMMYFUNCTION("""COMPUTED_VALUE"""),981333.5604148868)</f>
        <v>981333.5604</v>
      </c>
      <c r="K94" s="79"/>
      <c r="L94" s="80"/>
      <c r="M94" s="6"/>
      <c r="N94" s="77">
        <v>0.0</v>
      </c>
      <c r="O94" s="78">
        <v>0.0</v>
      </c>
      <c r="P94" s="78">
        <v>0.0</v>
      </c>
      <c r="Q94" s="78">
        <v>0.0</v>
      </c>
      <c r="R94" s="78"/>
      <c r="S94" s="9">
        <f>IFERROR(__xludf.DUMMYFUNCTION("""COMPUTED_VALUE"""),2569.56426603446)</f>
        <v>2569.564266</v>
      </c>
      <c r="T94" s="6">
        <f>IFERROR(__xludf.DUMMYFUNCTION("""COMPUTED_VALUE"""),3700.7771514980122)</f>
        <v>3700.777151</v>
      </c>
      <c r="U94" s="78">
        <v>0.0</v>
      </c>
      <c r="V94" s="79">
        <f t="shared" si="15"/>
        <v>6270.341418</v>
      </c>
      <c r="W94" s="80">
        <f t="shared" si="7"/>
        <v>2558539.514</v>
      </c>
      <c r="X94" s="81">
        <f t="shared" si="2"/>
        <v>0.2097785961</v>
      </c>
      <c r="Y94" s="82">
        <f t="shared" si="19"/>
        <v>4181585.552</v>
      </c>
      <c r="Z94" s="6"/>
      <c r="AA94" s="83">
        <f t="shared" si="8"/>
        <v>8846.814381</v>
      </c>
      <c r="AB94" s="84">
        <f t="shared" si="9"/>
        <v>2297330.445</v>
      </c>
      <c r="AC94" s="79">
        <f t="shared" si="12"/>
        <v>8905.522271</v>
      </c>
      <c r="AD94" s="85">
        <f t="shared" si="10"/>
        <v>2256710.967</v>
      </c>
      <c r="AE94" s="81">
        <v>0.25</v>
      </c>
      <c r="AF94" s="82">
        <f t="shared" si="17"/>
        <v>3571114.431</v>
      </c>
      <c r="AG94" s="6"/>
      <c r="AH94" s="6"/>
      <c r="AI94" s="6"/>
      <c r="AJ94" s="6"/>
      <c r="AK94" s="6"/>
      <c r="AL94" s="6"/>
      <c r="AM94" s="6"/>
      <c r="AN94" s="6"/>
      <c r="AO94" s="6"/>
      <c r="AP94" s="6"/>
    </row>
    <row r="95" ht="11.25" customHeight="1">
      <c r="A95" s="7"/>
      <c r="B95" s="68">
        <f t="shared" si="16"/>
        <v>90</v>
      </c>
      <c r="C95" s="86">
        <f t="shared" si="20"/>
        <v>6270.341418</v>
      </c>
      <c r="D95" s="84">
        <f t="shared" si="5"/>
        <v>1730420.088</v>
      </c>
      <c r="E95" s="78"/>
      <c r="F95" s="79"/>
      <c r="G95" s="78">
        <f>IFERROR(__xludf.DUMMYFUNCTION("""COMPUTED_VALUE"""),3630.37449658674)</f>
        <v>3630.374497</v>
      </c>
      <c r="H95" s="84">
        <f>IFERROR(__xludf.DUMMYFUNCTION("""COMPUTED_VALUE"""),287175.27784124145)</f>
        <v>287175.2778</v>
      </c>
      <c r="I95" s="79">
        <f>IFERROR(__xludf.DUMMYFUNCTION("""COMPUTED_VALUE"""),11057.621800095196)</f>
        <v>11057.6218</v>
      </c>
      <c r="J95" s="80">
        <f>IFERROR(__xludf.DUMMYFUNCTION("""COMPUTED_VALUE"""),992391.182214982)</f>
        <v>992391.1822</v>
      </c>
      <c r="K95" s="79"/>
      <c r="L95" s="80"/>
      <c r="M95" s="6"/>
      <c r="N95" s="77">
        <v>0.0</v>
      </c>
      <c r="O95" s="78">
        <v>0.0</v>
      </c>
      <c r="P95" s="78">
        <v>0.0</v>
      </c>
      <c r="Q95" s="78">
        <v>0.0</v>
      </c>
      <c r="R95" s="78"/>
      <c r="S95" s="9">
        <f>IFERROR(__xludf.DUMMYFUNCTION("""COMPUTED_VALUE"""),2588.374496586737)</f>
        <v>2588.374497</v>
      </c>
      <c r="T95" s="6">
        <f>IFERROR(__xludf.DUMMYFUNCTION("""COMPUTED_VALUE"""),3733.621800095192)</f>
        <v>3733.6218</v>
      </c>
      <c r="U95" s="78">
        <v>0.0</v>
      </c>
      <c r="V95" s="79">
        <f t="shared" si="15"/>
        <v>6321.996297</v>
      </c>
      <c r="W95" s="80">
        <f t="shared" si="7"/>
        <v>2564861.51</v>
      </c>
      <c r="X95" s="81">
        <f t="shared" si="2"/>
        <v>0.2100340382</v>
      </c>
      <c r="Y95" s="82">
        <f t="shared" si="19"/>
        <v>4202595.544</v>
      </c>
      <c r="Z95" s="6"/>
      <c r="AA95" s="83">
        <f t="shared" si="8"/>
        <v>8905.522271</v>
      </c>
      <c r="AB95" s="84">
        <f t="shared" si="9"/>
        <v>2306235.967</v>
      </c>
      <c r="AC95" s="79">
        <f t="shared" si="12"/>
        <v>8964.506067</v>
      </c>
      <c r="AD95" s="85">
        <f t="shared" si="10"/>
        <v>2265675.473</v>
      </c>
      <c r="AE95" s="81">
        <v>0.25</v>
      </c>
      <c r="AF95" s="82">
        <f t="shared" si="17"/>
        <v>3594766.933</v>
      </c>
      <c r="AG95" s="6"/>
      <c r="AH95" s="6"/>
      <c r="AI95" s="6"/>
      <c r="AJ95" s="6"/>
      <c r="AK95" s="6"/>
      <c r="AL95" s="6"/>
      <c r="AM95" s="6"/>
      <c r="AN95" s="6"/>
      <c r="AO95" s="6"/>
      <c r="AP95" s="6"/>
    </row>
    <row r="96" ht="11.25" customHeight="1">
      <c r="A96" s="7"/>
      <c r="B96" s="68">
        <f t="shared" si="16"/>
        <v>91</v>
      </c>
      <c r="C96" s="86">
        <f t="shared" si="20"/>
        <v>6321.996297</v>
      </c>
      <c r="D96" s="84">
        <f t="shared" si="5"/>
        <v>1736742.084</v>
      </c>
      <c r="E96" s="78"/>
      <c r="F96" s="79"/>
      <c r="G96" s="78">
        <f>IFERROR(__xludf.DUMMYFUNCTION("""COMPUTED_VALUE"""),3649.282697089796)</f>
        <v>3649.282697</v>
      </c>
      <c r="H96" s="84">
        <f>IFERROR(__xludf.DUMMYFUNCTION("""COMPUTED_VALUE"""),290824.5605383312)</f>
        <v>290824.5605</v>
      </c>
      <c r="I96" s="79">
        <f>IFERROR(__xludf.DUMMYFUNCTION("""COMPUTED_VALUE"""),11090.564298374647)</f>
        <v>11090.5643</v>
      </c>
      <c r="J96" s="80">
        <f>IFERROR(__xludf.DUMMYFUNCTION("""COMPUTED_VALUE"""),1003481.7465133567)</f>
        <v>1003481.747</v>
      </c>
      <c r="K96" s="79"/>
      <c r="L96" s="80"/>
      <c r="M96" s="6"/>
      <c r="N96" s="77">
        <v>0.0</v>
      </c>
      <c r="O96" s="78">
        <v>0.0</v>
      </c>
      <c r="P96" s="78">
        <v>0.0</v>
      </c>
      <c r="Q96" s="78">
        <v>0.0</v>
      </c>
      <c r="R96" s="78"/>
      <c r="S96" s="9">
        <f>IFERROR(__xludf.DUMMYFUNCTION("""COMPUTED_VALUE"""),2607.282697089773)</f>
        <v>2607.282697</v>
      </c>
      <c r="T96" s="6">
        <f>IFERROR(__xludf.DUMMYFUNCTION("""COMPUTED_VALUE"""),3766.5642983746948)</f>
        <v>3766.564298</v>
      </c>
      <c r="U96" s="78">
        <v>0.0</v>
      </c>
      <c r="V96" s="79">
        <f t="shared" si="15"/>
        <v>6373.846995</v>
      </c>
      <c r="W96" s="80">
        <f t="shared" si="7"/>
        <v>2571235.357</v>
      </c>
      <c r="X96" s="81">
        <f t="shared" si="2"/>
        <v>0.2102852272</v>
      </c>
      <c r="Y96" s="82">
        <f t="shared" si="19"/>
        <v>4223709.238</v>
      </c>
      <c r="Z96" s="6"/>
      <c r="AA96" s="83">
        <f t="shared" si="8"/>
        <v>8964.506067</v>
      </c>
      <c r="AB96" s="84">
        <f t="shared" si="9"/>
        <v>2315200.473</v>
      </c>
      <c r="AC96" s="79">
        <f t="shared" si="12"/>
        <v>9023.76695</v>
      </c>
      <c r="AD96" s="85">
        <f t="shared" si="10"/>
        <v>2274699.24</v>
      </c>
      <c r="AE96" s="81">
        <v>0.25</v>
      </c>
      <c r="AF96" s="82">
        <f t="shared" si="17"/>
        <v>3618530.547</v>
      </c>
      <c r="AG96" s="6"/>
      <c r="AH96" s="6"/>
      <c r="AI96" s="6"/>
      <c r="AJ96" s="6"/>
      <c r="AK96" s="6"/>
      <c r="AL96" s="6"/>
      <c r="AM96" s="6"/>
      <c r="AN96" s="6"/>
      <c r="AO96" s="6"/>
      <c r="AP96" s="6"/>
    </row>
    <row r="97" ht="11.25" customHeight="1">
      <c r="A97" s="7"/>
      <c r="B97" s="68">
        <f t="shared" si="16"/>
        <v>92</v>
      </c>
      <c r="C97" s="86">
        <f t="shared" si="20"/>
        <v>6373.846995</v>
      </c>
      <c r="D97" s="84">
        <f t="shared" si="5"/>
        <v>1743115.931</v>
      </c>
      <c r="E97" s="78"/>
      <c r="F97" s="79"/>
      <c r="G97" s="78">
        <f>IFERROR(__xludf.DUMMYFUNCTION("""COMPUTED_VALUE"""),3668.289377803805)</f>
        <v>3668.289378</v>
      </c>
      <c r="H97" s="84">
        <f>IFERROR(__xludf.DUMMYFUNCTION("""COMPUTED_VALUE"""),294492.849916135)</f>
        <v>294492.8499</v>
      </c>
      <c r="I97" s="79">
        <f>IFERROR(__xludf.DUMMYFUNCTION("""COMPUTED_VALUE"""),11123.604937846885)</f>
        <v>11123.60494</v>
      </c>
      <c r="J97" s="80">
        <f>IFERROR(__xludf.DUMMYFUNCTION("""COMPUTED_VALUE"""),1014605.3514512036)</f>
        <v>1014605.351</v>
      </c>
      <c r="K97" s="79"/>
      <c r="L97" s="80"/>
      <c r="M97" s="6"/>
      <c r="N97" s="77">
        <v>0.0</v>
      </c>
      <c r="O97" s="78">
        <v>0.0</v>
      </c>
      <c r="P97" s="78">
        <v>0.0</v>
      </c>
      <c r="Q97" s="78">
        <v>0.0</v>
      </c>
      <c r="R97" s="78"/>
      <c r="S97" s="9">
        <f>IFERROR(__xludf.DUMMYFUNCTION("""COMPUTED_VALUE"""),2626.289377803798)</f>
        <v>2626.289378</v>
      </c>
      <c r="T97" s="6">
        <f>IFERROR(__xludf.DUMMYFUNCTION("""COMPUTED_VALUE"""),3799.604937846889)</f>
        <v>3799.604938</v>
      </c>
      <c r="U97" s="78">
        <v>0.0</v>
      </c>
      <c r="V97" s="79">
        <f t="shared" si="15"/>
        <v>6425.894316</v>
      </c>
      <c r="W97" s="80">
        <f t="shared" si="7"/>
        <v>2577661.252</v>
      </c>
      <c r="X97" s="81">
        <f t="shared" si="2"/>
        <v>0.2105322247</v>
      </c>
      <c r="Y97" s="82">
        <f t="shared" si="19"/>
        <v>4244927.027</v>
      </c>
      <c r="Z97" s="6"/>
      <c r="AA97" s="83">
        <f t="shared" si="8"/>
        <v>9023.76695</v>
      </c>
      <c r="AB97" s="84">
        <f t="shared" si="9"/>
        <v>2324224.24</v>
      </c>
      <c r="AC97" s="79">
        <f t="shared" si="12"/>
        <v>9083.306103</v>
      </c>
      <c r="AD97" s="85">
        <f t="shared" si="10"/>
        <v>2283782.546</v>
      </c>
      <c r="AE97" s="81">
        <v>0.25</v>
      </c>
      <c r="AF97" s="82">
        <f t="shared" si="17"/>
        <v>3642405.747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</row>
    <row r="98" ht="11.25" customHeight="1">
      <c r="A98" s="7"/>
      <c r="B98" s="68">
        <f t="shared" si="16"/>
        <v>93</v>
      </c>
      <c r="C98" s="86">
        <f t="shared" si="20"/>
        <v>6425.894316</v>
      </c>
      <c r="D98" s="84">
        <f t="shared" si="5"/>
        <v>1749541.825</v>
      </c>
      <c r="E98" s="78"/>
      <c r="F98" s="79"/>
      <c r="G98" s="78">
        <f>IFERROR(__xludf.DUMMYFUNCTION("""COMPUTED_VALUE"""),3687.395051646534)</f>
        <v>3687.395052</v>
      </c>
      <c r="H98" s="84">
        <f>IFERROR(__xludf.DUMMYFUNCTION("""COMPUTED_VALUE"""),298180.24496778153)</f>
        <v>298180.245</v>
      </c>
      <c r="I98" s="79">
        <f>IFERROR(__xludf.DUMMYFUNCTION("""COMPUTED_VALUE"""),11156.744010890889)</f>
        <v>11156.74401</v>
      </c>
      <c r="J98" s="80">
        <f>IFERROR(__xludf.DUMMYFUNCTION("""COMPUTED_VALUE"""),1025762.0954620944)</f>
        <v>1025762.095</v>
      </c>
      <c r="K98" s="79"/>
      <c r="L98" s="80"/>
      <c r="M98" s="6"/>
      <c r="N98" s="77">
        <v>0.0</v>
      </c>
      <c r="O98" s="78">
        <v>0.0</v>
      </c>
      <c r="P98" s="78">
        <v>0.0</v>
      </c>
      <c r="Q98" s="78">
        <v>0.0</v>
      </c>
      <c r="R98" s="78"/>
      <c r="S98" s="9">
        <f>IFERROR(__xludf.DUMMYFUNCTION("""COMPUTED_VALUE"""),2645.395051646512)</f>
        <v>2645.395052</v>
      </c>
      <c r="T98" s="6">
        <f>IFERROR(__xludf.DUMMYFUNCTION("""COMPUTED_VALUE"""),3832.744010890834)</f>
        <v>3832.744011</v>
      </c>
      <c r="U98" s="78">
        <v>0.0</v>
      </c>
      <c r="V98" s="79">
        <f t="shared" si="15"/>
        <v>6478.139063</v>
      </c>
      <c r="W98" s="80">
        <f t="shared" si="7"/>
        <v>2584139.391</v>
      </c>
      <c r="X98" s="81">
        <f t="shared" si="2"/>
        <v>0.2107750915</v>
      </c>
      <c r="Y98" s="82">
        <f t="shared" si="19"/>
        <v>4266249.305</v>
      </c>
      <c r="Z98" s="6"/>
      <c r="AA98" s="83">
        <f t="shared" si="8"/>
        <v>9083.306103</v>
      </c>
      <c r="AB98" s="84">
        <f t="shared" si="9"/>
        <v>2333307.546</v>
      </c>
      <c r="AC98" s="79">
        <f t="shared" si="12"/>
        <v>9143.124716</v>
      </c>
      <c r="AD98" s="85">
        <f t="shared" si="10"/>
        <v>2292925.671</v>
      </c>
      <c r="AE98" s="81">
        <v>0.25</v>
      </c>
      <c r="AF98" s="82">
        <f t="shared" si="17"/>
        <v>3666393.011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</row>
    <row r="99" ht="11.25" customHeight="1">
      <c r="A99" s="7"/>
      <c r="B99" s="68">
        <f t="shared" si="16"/>
        <v>94</v>
      </c>
      <c r="C99" s="86">
        <f t="shared" si="20"/>
        <v>6478.139063</v>
      </c>
      <c r="D99" s="84">
        <f t="shared" si="5"/>
        <v>1756019.964</v>
      </c>
      <c r="E99" s="78"/>
      <c r="F99" s="79"/>
      <c r="G99" s="78">
        <f>IFERROR(__xludf.DUMMYFUNCTION("""COMPUTED_VALUE"""),3706.6002342071924)</f>
        <v>3706.600234</v>
      </c>
      <c r="H99" s="84">
        <f>IFERROR(__xludf.DUMMYFUNCTION("""COMPUTED_VALUE"""),301886.8452019887)</f>
        <v>301886.8452</v>
      </c>
      <c r="I99" s="79">
        <f>IFERROR(__xludf.DUMMYFUNCTION("""COMPUTED_VALUE"""),11189.981810756668)</f>
        <v>11189.98181</v>
      </c>
      <c r="J99" s="80">
        <f>IFERROR(__xludf.DUMMYFUNCTION("""COMPUTED_VALUE"""),1036952.077272851)</f>
        <v>1036952.077</v>
      </c>
      <c r="K99" s="79"/>
      <c r="L99" s="80"/>
      <c r="M99" s="6"/>
      <c r="N99" s="77">
        <v>0.0</v>
      </c>
      <c r="O99" s="78">
        <v>0.0</v>
      </c>
      <c r="P99" s="78">
        <v>0.0</v>
      </c>
      <c r="Q99" s="78">
        <v>0.0</v>
      </c>
      <c r="R99" s="78"/>
      <c r="S99" s="9">
        <f>IFERROR(__xludf.DUMMYFUNCTION("""COMPUTED_VALUE"""),2664.6002342071733)</f>
        <v>2664.600234</v>
      </c>
      <c r="T99" s="6">
        <f>IFERROR(__xludf.DUMMYFUNCTION("""COMPUTED_VALUE"""),3865.98181075661)</f>
        <v>3865.981811</v>
      </c>
      <c r="U99" s="78">
        <v>0.0</v>
      </c>
      <c r="V99" s="79">
        <f t="shared" si="15"/>
        <v>6530.582045</v>
      </c>
      <c r="W99" s="80">
        <f t="shared" si="7"/>
        <v>2590669.973</v>
      </c>
      <c r="X99" s="81">
        <f t="shared" si="2"/>
        <v>0.2110138873</v>
      </c>
      <c r="Y99" s="82">
        <f t="shared" si="19"/>
        <v>4287676.469</v>
      </c>
      <c r="Z99" s="6"/>
      <c r="AA99" s="83">
        <f t="shared" si="8"/>
        <v>9143.124716</v>
      </c>
      <c r="AB99" s="84">
        <f t="shared" si="9"/>
        <v>2342450.671</v>
      </c>
      <c r="AC99" s="79">
        <f t="shared" si="12"/>
        <v>9203.223983</v>
      </c>
      <c r="AD99" s="85">
        <f t="shared" si="10"/>
        <v>2302128.895</v>
      </c>
      <c r="AE99" s="81">
        <v>0.25</v>
      </c>
      <c r="AF99" s="82">
        <f t="shared" si="17"/>
        <v>3690492.817</v>
      </c>
      <c r="AG99" s="6"/>
      <c r="AH99" s="6"/>
      <c r="AI99" s="6"/>
      <c r="AJ99" s="6"/>
      <c r="AK99" s="6"/>
      <c r="AL99" s="6"/>
      <c r="AM99" s="6"/>
      <c r="AN99" s="6"/>
      <c r="AO99" s="6"/>
      <c r="AP99" s="6"/>
    </row>
    <row r="100" ht="11.25" customHeight="1">
      <c r="A100" s="7"/>
      <c r="B100" s="68">
        <f t="shared" si="16"/>
        <v>95</v>
      </c>
      <c r="C100" s="86">
        <f t="shared" si="20"/>
        <v>6530.582045</v>
      </c>
      <c r="D100" s="84">
        <f t="shared" si="5"/>
        <v>1762550.546</v>
      </c>
      <c r="E100" s="78"/>
      <c r="F100" s="79"/>
      <c r="G100" s="78">
        <f>IFERROR(__xludf.DUMMYFUNCTION("""COMPUTED_VALUE"""),3725.9054437603554)</f>
        <v>3725.905444</v>
      </c>
      <c r="H100" s="84">
        <f>IFERROR(__xludf.DUMMYFUNCTION("""COMPUTED_VALUE"""),305612.75064574904)</f>
        <v>305612.7506</v>
      </c>
      <c r="I100" s="79">
        <f>IFERROR(__xludf.DUMMYFUNCTION("""COMPUTED_VALUE"""),11223.31863156788)</f>
        <v>11223.31863</v>
      </c>
      <c r="J100" s="80">
        <f>IFERROR(__xludf.DUMMYFUNCTION("""COMPUTED_VALUE"""),1048175.3959044189)</f>
        <v>1048175.396</v>
      </c>
      <c r="K100" s="79"/>
      <c r="L100" s="80"/>
      <c r="M100" s="6"/>
      <c r="N100" s="77">
        <v>0.0</v>
      </c>
      <c r="O100" s="78">
        <v>0.0</v>
      </c>
      <c r="P100" s="78">
        <v>0.0</v>
      </c>
      <c r="Q100" s="78">
        <v>0.0</v>
      </c>
      <c r="R100" s="78"/>
      <c r="S100" s="9">
        <f>IFERROR(__xludf.DUMMYFUNCTION("""COMPUTED_VALUE"""),2683.9054437603336)</f>
        <v>2683.905444</v>
      </c>
      <c r="T100" s="6">
        <f>IFERROR(__xludf.DUMMYFUNCTION("""COMPUTED_VALUE"""),3899.318631567876)</f>
        <v>3899.318632</v>
      </c>
      <c r="U100" s="78">
        <v>0.0</v>
      </c>
      <c r="V100" s="79">
        <f t="shared" si="15"/>
        <v>6583.224075</v>
      </c>
      <c r="W100" s="80">
        <f t="shared" si="7"/>
        <v>2597253.197</v>
      </c>
      <c r="X100" s="81">
        <f t="shared" si="2"/>
        <v>0.2112486711</v>
      </c>
      <c r="Y100" s="82">
        <f t="shared" si="19"/>
        <v>4309208.917</v>
      </c>
      <c r="Z100" s="6"/>
      <c r="AA100" s="83">
        <f t="shared" si="8"/>
        <v>9203.223983</v>
      </c>
      <c r="AB100" s="84">
        <f t="shared" si="9"/>
        <v>2351653.895</v>
      </c>
      <c r="AC100" s="79">
        <f t="shared" si="12"/>
        <v>9263.605103</v>
      </c>
      <c r="AD100" s="85">
        <f t="shared" si="10"/>
        <v>2311392.5</v>
      </c>
      <c r="AE100" s="81">
        <v>0.25</v>
      </c>
      <c r="AF100" s="82">
        <f t="shared" si="17"/>
        <v>3714705.646</v>
      </c>
      <c r="AG100" s="6"/>
      <c r="AH100" s="6"/>
      <c r="AI100" s="6"/>
      <c r="AJ100" s="6"/>
      <c r="AK100" s="6"/>
      <c r="AL100" s="6"/>
      <c r="AM100" s="6"/>
      <c r="AN100" s="6"/>
      <c r="AO100" s="6"/>
      <c r="AP100" s="6"/>
    </row>
    <row r="101" ht="11.25" customHeight="1">
      <c r="A101" s="71"/>
      <c r="B101" s="72">
        <f t="shared" si="16"/>
        <v>96</v>
      </c>
      <c r="C101" s="86">
        <f t="shared" si="20"/>
        <v>6583.224075</v>
      </c>
      <c r="D101" s="88">
        <f t="shared" si="5"/>
        <v>1769133.771</v>
      </c>
      <c r="E101" s="89"/>
      <c r="F101" s="90"/>
      <c r="G101" s="89">
        <f>IFERROR(__xludf.DUMMYFUNCTION("""COMPUTED_VALUE"""),3745.31120127994)</f>
        <v>3745.311201</v>
      </c>
      <c r="H101" s="88">
        <f>IFERROR(__xludf.DUMMYFUNCTION("""COMPUTED_VALUE"""),309358.06184702896)</f>
        <v>309358.0618</v>
      </c>
      <c r="I101" s="90">
        <f>IFERROR(__xludf.DUMMYFUNCTION("""COMPUTED_VALUE"""),11256.754768324427)</f>
        <v>11256.75477</v>
      </c>
      <c r="J101" s="91">
        <f>IFERROR(__xludf.DUMMYFUNCTION("""COMPUTED_VALUE"""),1059432.1506727433)</f>
        <v>1059432.151</v>
      </c>
      <c r="K101" s="90"/>
      <c r="L101" s="91"/>
      <c r="M101" s="6"/>
      <c r="N101" s="92">
        <v>0.0</v>
      </c>
      <c r="O101" s="89">
        <v>0.0</v>
      </c>
      <c r="P101" s="89">
        <v>0.0</v>
      </c>
      <c r="Q101" s="89">
        <v>0.0</v>
      </c>
      <c r="R101" s="89"/>
      <c r="S101" s="93">
        <f>IFERROR(__xludf.DUMMYFUNCTION("""COMPUTED_VALUE"""),2703.3112012799247)</f>
        <v>2703.311201</v>
      </c>
      <c r="T101" s="10">
        <f>IFERROR(__xludf.DUMMYFUNCTION("""COMPUTED_VALUE"""),3932.754768324434)</f>
        <v>3932.754768</v>
      </c>
      <c r="U101" s="89">
        <v>0.0</v>
      </c>
      <c r="V101" s="90">
        <f t="shared" si="15"/>
        <v>6636.06597</v>
      </c>
      <c r="W101" s="91">
        <f t="shared" si="7"/>
        <v>2603889.263</v>
      </c>
      <c r="X101" s="81">
        <f t="shared" si="2"/>
        <v>0.2114795006</v>
      </c>
      <c r="Y101" s="82">
        <f t="shared" si="19"/>
        <v>4330847.049</v>
      </c>
      <c r="Z101" s="6"/>
      <c r="AA101" s="83">
        <f t="shared" si="8"/>
        <v>9263.605103</v>
      </c>
      <c r="AB101" s="88">
        <f t="shared" si="9"/>
        <v>2360917.5</v>
      </c>
      <c r="AC101" s="90">
        <f t="shared" si="12"/>
        <v>9324.269281</v>
      </c>
      <c r="AD101" s="94">
        <f t="shared" si="10"/>
        <v>2320716.769</v>
      </c>
      <c r="AE101" s="81">
        <v>0.25</v>
      </c>
      <c r="AF101" s="82">
        <f t="shared" si="17"/>
        <v>3739031.982</v>
      </c>
      <c r="AG101" s="6"/>
      <c r="AH101" s="6"/>
      <c r="AI101" s="6"/>
      <c r="AJ101" s="6"/>
      <c r="AK101" s="6"/>
      <c r="AL101" s="6"/>
      <c r="AM101" s="6"/>
      <c r="AN101" s="6"/>
      <c r="AO101" s="6"/>
      <c r="AP101" s="6"/>
    </row>
    <row r="102" ht="11.25" customHeight="1">
      <c r="A102" s="65">
        <v>46700.0</v>
      </c>
      <c r="B102" s="66">
        <f t="shared" si="16"/>
        <v>97</v>
      </c>
      <c r="C102" s="86">
        <f t="shared" si="20"/>
        <v>6636.06597</v>
      </c>
      <c r="D102" s="84">
        <f t="shared" si="5"/>
        <v>1775769.837</v>
      </c>
      <c r="E102" s="78"/>
      <c r="F102" s="79"/>
      <c r="G102" s="78">
        <f>IFERROR(__xludf.DUMMYFUNCTION("""COMPUTED_VALUE"""),3764.8180304532734)</f>
        <v>3764.81803</v>
      </c>
      <c r="H102" s="84">
        <f>IFERROR(__xludf.DUMMYFUNCTION("""COMPUTED_VALUE"""),313122.87987748225)</f>
        <v>313122.8799</v>
      </c>
      <c r="I102" s="79">
        <f>IFERROR(__xludf.DUMMYFUNCTION("""COMPUTED_VALUE"""),11290.290516905061)</f>
        <v>11290.29052</v>
      </c>
      <c r="J102" s="80">
        <f>IFERROR(__xludf.DUMMYFUNCTION("""COMPUTED_VALUE"""),1070722.4411896484)</f>
        <v>1070722.441</v>
      </c>
      <c r="K102" s="79"/>
      <c r="L102" s="80"/>
      <c r="M102" s="6"/>
      <c r="N102" s="77">
        <v>0.0</v>
      </c>
      <c r="O102" s="78">
        <v>0.0</v>
      </c>
      <c r="P102" s="78">
        <v>0.0</v>
      </c>
      <c r="Q102" s="78">
        <v>0.0</v>
      </c>
      <c r="R102" s="78"/>
      <c r="S102" s="9">
        <f>IFERROR(__xludf.DUMMYFUNCTION("""COMPUTED_VALUE"""),2722.818030453287)</f>
        <v>2722.81803</v>
      </c>
      <c r="T102" s="6">
        <f>IFERROR(__xludf.DUMMYFUNCTION("""COMPUTED_VALUE"""),3966.290516905021)</f>
        <v>3966.290517</v>
      </c>
      <c r="U102" s="78">
        <v>0.0</v>
      </c>
      <c r="V102" s="79">
        <f t="shared" si="15"/>
        <v>6689.108547</v>
      </c>
      <c r="W102" s="80">
        <f t="shared" si="7"/>
        <v>2610578.371</v>
      </c>
      <c r="X102" s="81">
        <f t="shared" si="2"/>
        <v>0.211706433</v>
      </c>
      <c r="Y102" s="82">
        <f t="shared" si="19"/>
        <v>4352591.266</v>
      </c>
      <c r="Z102" s="6"/>
      <c r="AA102" s="83">
        <f t="shared" si="8"/>
        <v>9324.269281</v>
      </c>
      <c r="AB102" s="84">
        <f t="shared" si="9"/>
        <v>2370241.769</v>
      </c>
      <c r="AC102" s="79">
        <f t="shared" si="12"/>
        <v>9385.217725</v>
      </c>
      <c r="AD102" s="95">
        <f t="shared" si="10"/>
        <v>2330101.987</v>
      </c>
      <c r="AE102" s="81">
        <v>0.25</v>
      </c>
      <c r="AF102" s="82">
        <f t="shared" si="17"/>
        <v>3763472.308</v>
      </c>
      <c r="AG102" s="6"/>
      <c r="AH102" s="6"/>
      <c r="AI102" s="6"/>
      <c r="AJ102" s="6"/>
      <c r="AK102" s="6"/>
      <c r="AL102" s="6"/>
      <c r="AM102" s="6"/>
      <c r="AN102" s="6"/>
      <c r="AO102" s="6"/>
      <c r="AP102" s="6"/>
    </row>
    <row r="103" ht="11.25" customHeight="1">
      <c r="A103" s="7"/>
      <c r="B103" s="68">
        <f t="shared" si="16"/>
        <v>98</v>
      </c>
      <c r="C103" s="86">
        <f t="shared" si="20"/>
        <v>6689.108547</v>
      </c>
      <c r="D103" s="84">
        <f t="shared" si="5"/>
        <v>1782458.945</v>
      </c>
      <c r="E103" s="78"/>
      <c r="F103" s="79"/>
      <c r="G103" s="78">
        <f>IFERROR(__xludf.DUMMYFUNCTION("""COMPUTED_VALUE"""),3784.4264576952182)</f>
        <v>3784.426458</v>
      </c>
      <c r="H103" s="84">
        <f>IFERROR(__xludf.DUMMYFUNCTION("""COMPUTED_VALUE"""),316907.30633517745)</f>
        <v>316907.3063</v>
      </c>
      <c r="I103" s="79">
        <f>IFERROR(__xludf.DUMMYFUNCTION("""COMPUTED_VALUE"""),11323.926174070006)</f>
        <v>11323.92617</v>
      </c>
      <c r="J103" s="80">
        <f>IFERROR(__xludf.DUMMYFUNCTION("""COMPUTED_VALUE"""),1082046.3673637183)</f>
        <v>1082046.367</v>
      </c>
      <c r="K103" s="79"/>
      <c r="L103" s="80"/>
      <c r="M103" s="6"/>
      <c r="N103" s="77">
        <v>0.0</v>
      </c>
      <c r="O103" s="78">
        <v>0.0</v>
      </c>
      <c r="P103" s="78">
        <v>0.0</v>
      </c>
      <c r="Q103" s="78">
        <v>0.0</v>
      </c>
      <c r="R103" s="78"/>
      <c r="S103" s="9">
        <f>IFERROR(__xludf.DUMMYFUNCTION("""COMPUTED_VALUE"""),2742.4264576951973)</f>
        <v>2742.426458</v>
      </c>
      <c r="T103" s="6">
        <f>IFERROR(__xludf.DUMMYFUNCTION("""COMPUTED_VALUE"""),3999.9261740699876)</f>
        <v>3999.926174</v>
      </c>
      <c r="U103" s="78">
        <v>0.0</v>
      </c>
      <c r="V103" s="79">
        <f t="shared" si="15"/>
        <v>6742.352632</v>
      </c>
      <c r="W103" s="80">
        <f t="shared" si="7"/>
        <v>2617320.724</v>
      </c>
      <c r="X103" s="81">
        <f t="shared" si="2"/>
        <v>0.2119295244</v>
      </c>
      <c r="Y103" s="82">
        <f t="shared" si="19"/>
        <v>4374441.971</v>
      </c>
      <c r="Z103" s="6"/>
      <c r="AA103" s="83">
        <f t="shared" si="8"/>
        <v>9385.217725</v>
      </c>
      <c r="AB103" s="84">
        <f t="shared" si="9"/>
        <v>2379626.987</v>
      </c>
      <c r="AC103" s="79">
        <f t="shared" si="12"/>
        <v>9446.451651</v>
      </c>
      <c r="AD103" s="85">
        <f t="shared" si="10"/>
        <v>2339548.438</v>
      </c>
      <c r="AE103" s="81">
        <v>0.25</v>
      </c>
      <c r="AF103" s="82">
        <f t="shared" si="17"/>
        <v>3788027.112</v>
      </c>
      <c r="AG103" s="6"/>
      <c r="AH103" s="6"/>
      <c r="AI103" s="6"/>
      <c r="AJ103" s="6"/>
      <c r="AK103" s="6"/>
      <c r="AL103" s="6"/>
      <c r="AM103" s="6"/>
      <c r="AN103" s="6"/>
      <c r="AO103" s="6"/>
      <c r="AP103" s="6"/>
    </row>
    <row r="104" ht="11.25" customHeight="1">
      <c r="A104" s="7"/>
      <c r="B104" s="68">
        <f t="shared" si="16"/>
        <v>99</v>
      </c>
      <c r="C104" s="86">
        <f t="shared" si="20"/>
        <v>6742.352632</v>
      </c>
      <c r="D104" s="84">
        <f t="shared" si="5"/>
        <v>1789201.298</v>
      </c>
      <c r="E104" s="78"/>
      <c r="F104" s="79"/>
      <c r="G104" s="78">
        <f>IFERROR(__xludf.DUMMYFUNCTION("""COMPUTED_VALUE"""),3804.1370121623804)</f>
        <v>3804.137012</v>
      </c>
      <c r="H104" s="84">
        <f>IFERROR(__xludf.DUMMYFUNCTION("""COMPUTED_VALUE"""),320711.4433473398)</f>
        <v>320711.4433</v>
      </c>
      <c r="I104" s="79">
        <f>IFERROR(__xludf.DUMMYFUNCTION("""COMPUTED_VALUE"""),11357.66203746359)</f>
        <v>11357.66204</v>
      </c>
      <c r="J104" s="80">
        <f>IFERROR(__xludf.DUMMYFUNCTION("""COMPUTED_VALUE"""),1093404.029401182)</f>
        <v>1093404.029</v>
      </c>
      <c r="K104" s="79"/>
      <c r="L104" s="80"/>
      <c r="M104" s="6"/>
      <c r="N104" s="77">
        <v>0.0</v>
      </c>
      <c r="O104" s="78">
        <v>0.0</v>
      </c>
      <c r="P104" s="78">
        <v>0.0</v>
      </c>
      <c r="Q104" s="78">
        <v>0.0</v>
      </c>
      <c r="R104" s="78"/>
      <c r="S104" s="9">
        <f>IFERROR(__xludf.DUMMYFUNCTION("""COMPUTED_VALUE"""),2762.137012162362)</f>
        <v>2762.137012</v>
      </c>
      <c r="T104" s="6">
        <f>IFERROR(__xludf.DUMMYFUNCTION("""COMPUTED_VALUE"""),4033.662037463626)</f>
        <v>4033.662037</v>
      </c>
      <c r="U104" s="78">
        <v>0.0</v>
      </c>
      <c r="V104" s="79">
        <f t="shared" si="15"/>
        <v>6795.79905</v>
      </c>
      <c r="W104" s="80">
        <f t="shared" si="7"/>
        <v>2624116.523</v>
      </c>
      <c r="X104" s="81">
        <f t="shared" si="2"/>
        <v>0.21214883</v>
      </c>
      <c r="Y104" s="82">
        <f t="shared" si="19"/>
        <v>4396399.57</v>
      </c>
      <c r="Z104" s="6"/>
      <c r="AA104" s="83">
        <f t="shared" si="8"/>
        <v>9446.451651</v>
      </c>
      <c r="AB104" s="84">
        <f t="shared" si="9"/>
        <v>2389073.438</v>
      </c>
      <c r="AC104" s="79">
        <f t="shared" si="12"/>
        <v>9507.972278</v>
      </c>
      <c r="AD104" s="85">
        <f t="shared" si="10"/>
        <v>2349056.411</v>
      </c>
      <c r="AE104" s="81">
        <v>0.25</v>
      </c>
      <c r="AF104" s="82">
        <f t="shared" si="17"/>
        <v>3812696.883</v>
      </c>
      <c r="AG104" s="6"/>
      <c r="AH104" s="6"/>
      <c r="AI104" s="6"/>
      <c r="AJ104" s="6"/>
      <c r="AK104" s="6"/>
      <c r="AL104" s="6"/>
      <c r="AM104" s="6"/>
      <c r="AN104" s="6"/>
      <c r="AO104" s="6"/>
      <c r="AP104" s="6"/>
    </row>
    <row r="105" ht="11.25" customHeight="1">
      <c r="A105" s="7"/>
      <c r="B105" s="68">
        <f t="shared" si="16"/>
        <v>100</v>
      </c>
      <c r="C105" s="86">
        <f t="shared" si="20"/>
        <v>6795.79905</v>
      </c>
      <c r="D105" s="84">
        <f t="shared" si="5"/>
        <v>1795997.097</v>
      </c>
      <c r="E105" s="78"/>
      <c r="F105" s="79"/>
      <c r="G105" s="78">
        <f>IFERROR(__xludf.DUMMYFUNCTION("""COMPUTED_VALUE"""),3823.950225767393)</f>
        <v>3823.950226</v>
      </c>
      <c r="H105" s="84">
        <f>IFERROR(__xludf.DUMMYFUNCTION("""COMPUTED_VALUE"""),324535.3935731072)</f>
        <v>324535.3936</v>
      </c>
      <c r="I105" s="79">
        <f>IFERROR(__xludf.DUMMYFUNCTION("""COMPUTED_VALUE"""),10565.134546262583)</f>
        <v>10565.13455</v>
      </c>
      <c r="J105" s="80">
        <f>IFERROR(__xludf.DUMMYFUNCTION("""COMPUTED_VALUE"""),1103969.1639474446)</f>
        <v>1103969.164</v>
      </c>
      <c r="K105" s="79"/>
      <c r="L105" s="80"/>
      <c r="M105" s="6"/>
      <c r="N105" s="77">
        <v>0.0</v>
      </c>
      <c r="O105" s="78">
        <v>0.0</v>
      </c>
      <c r="P105" s="78">
        <v>0.0</v>
      </c>
      <c r="Q105" s="78">
        <v>0.0</v>
      </c>
      <c r="R105" s="78"/>
      <c r="S105" s="9">
        <f>IFERROR(__xludf.DUMMYFUNCTION("""COMPUTED_VALUE"""),2781.9502257673885)</f>
        <v>2781.950226</v>
      </c>
      <c r="T105" s="6">
        <f>IFERROR(__xludf.DUMMYFUNCTION("""COMPUTED_VALUE"""),3241.1345462626778)</f>
        <v>3241.134546</v>
      </c>
      <c r="U105" s="78">
        <v>0.0</v>
      </c>
      <c r="V105" s="79">
        <f t="shared" si="15"/>
        <v>6023.084772</v>
      </c>
      <c r="W105" s="80">
        <f t="shared" si="7"/>
        <v>2630139.608</v>
      </c>
      <c r="X105" s="81">
        <f t="shared" si="2"/>
        <v>0.1867911826</v>
      </c>
      <c r="Y105" s="82">
        <f t="shared" si="19"/>
        <v>4416811.739</v>
      </c>
      <c r="Z105" s="6"/>
      <c r="AA105" s="83">
        <f t="shared" si="8"/>
        <v>9507.972278</v>
      </c>
      <c r="AB105" s="84">
        <f t="shared" si="9"/>
        <v>2398581.411</v>
      </c>
      <c r="AC105" s="79">
        <f t="shared" si="12"/>
        <v>9567.71492</v>
      </c>
      <c r="AD105" s="85">
        <f t="shared" si="10"/>
        <v>2358624.126</v>
      </c>
      <c r="AE105" s="81">
        <v>0.25</v>
      </c>
      <c r="AF105" s="82">
        <f t="shared" si="17"/>
        <v>3836653.683</v>
      </c>
      <c r="AG105" s="6"/>
      <c r="AH105" s="6"/>
      <c r="AI105" s="6"/>
      <c r="AJ105" s="6"/>
      <c r="AK105" s="6"/>
      <c r="AL105" s="6"/>
      <c r="AM105" s="6"/>
      <c r="AN105" s="6"/>
      <c r="AO105" s="6"/>
      <c r="AP105" s="6"/>
    </row>
    <row r="106" ht="11.25" customHeight="1">
      <c r="A106" s="7"/>
      <c r="B106" s="68">
        <f t="shared" si="16"/>
        <v>101</v>
      </c>
      <c r="C106" s="86">
        <f t="shared" si="20"/>
        <v>6023.084772</v>
      </c>
      <c r="D106" s="84">
        <f t="shared" si="5"/>
        <v>1802020.182</v>
      </c>
      <c r="E106" s="78"/>
      <c r="F106" s="79"/>
      <c r="G106" s="78">
        <f>IFERROR(__xludf.DUMMYFUNCTION("""COMPUTED_VALUE"""),3843.8666331932654)</f>
        <v>3843.866633</v>
      </c>
      <c r="H106" s="84">
        <f>IFERROR(__xludf.DUMMYFUNCTION("""COMPUTED_VALUE"""),328379.2602063005)</f>
        <v>328379.2602</v>
      </c>
      <c r="I106" s="79">
        <f>IFERROR(__xludf.DUMMYFUNCTION("""COMPUTED_VALUE"""),10395.52155233593)</f>
        <v>10395.52155</v>
      </c>
      <c r="J106" s="80">
        <f>IFERROR(__xludf.DUMMYFUNCTION("""COMPUTED_VALUE"""),1114364.6854997806)</f>
        <v>1114364.685</v>
      </c>
      <c r="K106" s="79"/>
      <c r="L106" s="80"/>
      <c r="M106" s="6"/>
      <c r="N106" s="77">
        <v>0.0</v>
      </c>
      <c r="O106" s="78">
        <v>0.0</v>
      </c>
      <c r="P106" s="78">
        <v>0.0</v>
      </c>
      <c r="Q106" s="78">
        <v>0.0</v>
      </c>
      <c r="R106" s="78"/>
      <c r="S106" s="9">
        <f>IFERROR(__xludf.DUMMYFUNCTION("""COMPUTED_VALUE"""),2801.8666331932764)</f>
        <v>2801.866633</v>
      </c>
      <c r="T106" s="6">
        <f>IFERROR(__xludf.DUMMYFUNCTION("""COMPUTED_VALUE"""),3071.5215523359366)</f>
        <v>3071.521552</v>
      </c>
      <c r="U106" s="78">
        <v>0.0</v>
      </c>
      <c r="V106" s="79">
        <f t="shared" si="15"/>
        <v>5873.388186</v>
      </c>
      <c r="W106" s="80">
        <f t="shared" si="7"/>
        <v>2636012.996</v>
      </c>
      <c r="X106" s="81">
        <f t="shared" si="2"/>
        <v>0.1810112524</v>
      </c>
      <c r="Y106" s="82">
        <f t="shared" si="19"/>
        <v>4436924.515</v>
      </c>
      <c r="Z106" s="6"/>
      <c r="AA106" s="83">
        <f t="shared" si="8"/>
        <v>9567.71492</v>
      </c>
      <c r="AB106" s="84">
        <f t="shared" si="9"/>
        <v>2408149.126</v>
      </c>
      <c r="AC106" s="79">
        <f t="shared" si="12"/>
        <v>9627.232678</v>
      </c>
      <c r="AD106" s="85">
        <f t="shared" si="10"/>
        <v>2368251.358</v>
      </c>
      <c r="AE106" s="81">
        <v>0.25</v>
      </c>
      <c r="AF106" s="82">
        <f t="shared" si="17"/>
        <v>3860520.304</v>
      </c>
      <c r="AG106" s="6"/>
      <c r="AH106" s="6"/>
      <c r="AI106" s="6"/>
      <c r="AJ106" s="6"/>
      <c r="AK106" s="6"/>
      <c r="AL106" s="6"/>
      <c r="AM106" s="6"/>
      <c r="AN106" s="6"/>
      <c r="AO106" s="6"/>
      <c r="AP106" s="6"/>
    </row>
    <row r="107" ht="11.25" customHeight="1">
      <c r="A107" s="7"/>
      <c r="B107" s="68">
        <f t="shared" si="16"/>
        <v>102</v>
      </c>
      <c r="C107" s="86">
        <f t="shared" si="20"/>
        <v>5873.388186</v>
      </c>
      <c r="D107" s="84">
        <f t="shared" si="5"/>
        <v>1807893.57</v>
      </c>
      <c r="E107" s="78"/>
      <c r="F107" s="79"/>
      <c r="G107" s="78">
        <f>IFERROR(__xludf.DUMMYFUNCTION("""COMPUTED_VALUE"""),3863.8867719078144)</f>
        <v>3863.886772</v>
      </c>
      <c r="H107" s="84">
        <f>IFERROR(__xludf.DUMMYFUNCTION("""COMPUTED_VALUE"""),332243.1469782083)</f>
        <v>332243.147</v>
      </c>
      <c r="I107" s="79">
        <f>IFERROR(__xludf.DUMMYFUNCTION("""COMPUTED_VALUE"""),10431.905877769106)</f>
        <v>10431.90588</v>
      </c>
      <c r="J107" s="80">
        <f>IFERROR(__xludf.DUMMYFUNCTION("""COMPUTED_VALUE"""),1124796.5913775496)</f>
        <v>1124796.591</v>
      </c>
      <c r="K107" s="79"/>
      <c r="L107" s="80"/>
      <c r="M107" s="6"/>
      <c r="N107" s="77">
        <v>0.0</v>
      </c>
      <c r="O107" s="78">
        <v>0.0</v>
      </c>
      <c r="P107" s="78">
        <v>0.0</v>
      </c>
      <c r="Q107" s="78">
        <v>0.0</v>
      </c>
      <c r="R107" s="78"/>
      <c r="S107" s="9">
        <f>IFERROR(__xludf.DUMMYFUNCTION("""COMPUTED_VALUE"""),2821.886771907797)</f>
        <v>2821.886772</v>
      </c>
      <c r="T107" s="6">
        <f>IFERROR(__xludf.DUMMYFUNCTION("""COMPUTED_VALUE"""),3107.9058777689934)</f>
        <v>3107.905878</v>
      </c>
      <c r="U107" s="78">
        <v>0.0</v>
      </c>
      <c r="V107" s="79">
        <f t="shared" si="15"/>
        <v>5929.79265</v>
      </c>
      <c r="W107" s="80">
        <f t="shared" si="7"/>
        <v>2641942.789</v>
      </c>
      <c r="X107" s="81">
        <f t="shared" si="2"/>
        <v>0.1816206363</v>
      </c>
      <c r="Y107" s="82">
        <f t="shared" si="19"/>
        <v>4457150.101</v>
      </c>
      <c r="Z107" s="6"/>
      <c r="AA107" s="83">
        <f t="shared" si="8"/>
        <v>9627.232678</v>
      </c>
      <c r="AB107" s="84">
        <f t="shared" si="9"/>
        <v>2417776.358</v>
      </c>
      <c r="AC107" s="79">
        <f t="shared" si="12"/>
        <v>9687.040242</v>
      </c>
      <c r="AD107" s="85">
        <f t="shared" si="10"/>
        <v>2377938.398</v>
      </c>
      <c r="AE107" s="81">
        <v>0.25</v>
      </c>
      <c r="AF107" s="82">
        <f t="shared" si="17"/>
        <v>3884503.137</v>
      </c>
      <c r="AG107" s="6"/>
      <c r="AH107" s="6"/>
      <c r="AI107" s="6"/>
      <c r="AJ107" s="6"/>
      <c r="AK107" s="6"/>
      <c r="AL107" s="6"/>
      <c r="AM107" s="6"/>
      <c r="AN107" s="6"/>
      <c r="AO107" s="6"/>
      <c r="AP107" s="6"/>
    </row>
    <row r="108" ht="11.25" customHeight="1">
      <c r="A108" s="7"/>
      <c r="B108" s="68">
        <f t="shared" si="16"/>
        <v>103</v>
      </c>
      <c r="C108" s="86">
        <f t="shared" si="20"/>
        <v>5929.79265</v>
      </c>
      <c r="D108" s="84">
        <f t="shared" si="5"/>
        <v>1813823.362</v>
      </c>
      <c r="E108" s="78"/>
      <c r="F108" s="79"/>
      <c r="G108" s="78">
        <f>IFERROR(__xludf.DUMMYFUNCTION("""COMPUTED_VALUE"""),3884.0111821781675)</f>
        <v>3884.011182</v>
      </c>
      <c r="H108" s="84">
        <f>IFERROR(__xludf.DUMMYFUNCTION("""COMPUTED_VALUE"""),336127.15816038643)</f>
        <v>336127.1582</v>
      </c>
      <c r="I108" s="79">
        <f>IFERROR(__xludf.DUMMYFUNCTION("""COMPUTED_VALUE"""),10468.417548341298)</f>
        <v>10468.41755</v>
      </c>
      <c r="J108" s="80">
        <f>IFERROR(__xludf.DUMMYFUNCTION("""COMPUTED_VALUE"""),1135265.0089258908)</f>
        <v>1135265.009</v>
      </c>
      <c r="K108" s="79"/>
      <c r="L108" s="80"/>
      <c r="M108" s="6"/>
      <c r="N108" s="77">
        <v>0.0</v>
      </c>
      <c r="O108" s="78">
        <v>0.0</v>
      </c>
      <c r="P108" s="78">
        <v>0.0</v>
      </c>
      <c r="Q108" s="78">
        <v>0.0</v>
      </c>
      <c r="R108" s="78"/>
      <c r="S108" s="9">
        <f>IFERROR(__xludf.DUMMYFUNCTION("""COMPUTED_VALUE"""),2842.011182178161)</f>
        <v>2842.011182</v>
      </c>
      <c r="T108" s="6">
        <f>IFERROR(__xludf.DUMMYFUNCTION("""COMPUTED_VALUE"""),3144.417548341211)</f>
        <v>3144.417548</v>
      </c>
      <c r="U108" s="78">
        <v>0.0</v>
      </c>
      <c r="V108" s="79">
        <f t="shared" si="15"/>
        <v>5986.428731</v>
      </c>
      <c r="W108" s="80">
        <f t="shared" si="7"/>
        <v>2647929.217</v>
      </c>
      <c r="X108" s="81">
        <f t="shared" si="2"/>
        <v>0.1822233177</v>
      </c>
      <c r="Y108" s="82">
        <f t="shared" si="19"/>
        <v>4477488.958</v>
      </c>
      <c r="Z108" s="6"/>
      <c r="AA108" s="83">
        <f t="shared" si="8"/>
        <v>9687.040242</v>
      </c>
      <c r="AB108" s="84">
        <f t="shared" si="9"/>
        <v>2427463.398</v>
      </c>
      <c r="AC108" s="79">
        <f t="shared" si="12"/>
        <v>9747.138914</v>
      </c>
      <c r="AD108" s="85">
        <f t="shared" si="10"/>
        <v>2387685.537</v>
      </c>
      <c r="AE108" s="81">
        <v>0.25</v>
      </c>
      <c r="AF108" s="82">
        <f t="shared" si="17"/>
        <v>3908602.704</v>
      </c>
      <c r="AG108" s="6"/>
      <c r="AH108" s="6"/>
      <c r="AI108" s="6"/>
      <c r="AJ108" s="6"/>
      <c r="AK108" s="6"/>
      <c r="AL108" s="6"/>
      <c r="AM108" s="6"/>
      <c r="AN108" s="6"/>
      <c r="AO108" s="6"/>
      <c r="AP108" s="6"/>
    </row>
    <row r="109" ht="11.25" customHeight="1">
      <c r="A109" s="7"/>
      <c r="B109" s="68">
        <f t="shared" si="16"/>
        <v>104</v>
      </c>
      <c r="C109" s="86">
        <f t="shared" si="20"/>
        <v>5986.428731</v>
      </c>
      <c r="D109" s="84">
        <f t="shared" si="5"/>
        <v>1819809.791</v>
      </c>
      <c r="E109" s="78"/>
      <c r="F109" s="79"/>
      <c r="G109" s="78">
        <f>IFERROR(__xludf.DUMMYFUNCTION("""COMPUTED_VALUE"""),3904.2404070853454)</f>
        <v>3904.240407</v>
      </c>
      <c r="H109" s="84">
        <f>IFERROR(__xludf.DUMMYFUNCTION("""COMPUTED_VALUE"""),340031.39856747177)</f>
        <v>340031.3986</v>
      </c>
      <c r="I109" s="79">
        <f>IFERROR(__xludf.DUMMYFUNCTION("""COMPUTED_VALUE"""),10505.05700976049)</f>
        <v>10505.05701</v>
      </c>
      <c r="J109" s="80">
        <f>IFERROR(__xludf.DUMMYFUNCTION("""COMPUTED_VALUE"""),1145770.0659356513)</f>
        <v>1145770.066</v>
      </c>
      <c r="K109" s="79"/>
      <c r="L109" s="80"/>
      <c r="M109" s="6"/>
      <c r="N109" s="77">
        <v>0.0</v>
      </c>
      <c r="O109" s="78">
        <v>0.0</v>
      </c>
      <c r="P109" s="78">
        <v>0.0</v>
      </c>
      <c r="Q109" s="78">
        <v>0.0</v>
      </c>
      <c r="R109" s="78"/>
      <c r="S109" s="9">
        <f>IFERROR(__xludf.DUMMYFUNCTION("""COMPUTED_VALUE"""),2862.240407085337)</f>
        <v>2862.240407</v>
      </c>
      <c r="T109" s="6">
        <f>IFERROR(__xludf.DUMMYFUNCTION("""COMPUTED_VALUE"""),3181.057009760523)</f>
        <v>3181.05701</v>
      </c>
      <c r="U109" s="78">
        <v>0.0</v>
      </c>
      <c r="V109" s="79">
        <f t="shared" si="15"/>
        <v>6043.297417</v>
      </c>
      <c r="W109" s="80">
        <f t="shared" si="7"/>
        <v>2653972.515</v>
      </c>
      <c r="X109" s="81">
        <f t="shared" si="2"/>
        <v>0.1828193623</v>
      </c>
      <c r="Y109" s="82">
        <f t="shared" si="19"/>
        <v>4497941.553</v>
      </c>
      <c r="Z109" s="6"/>
      <c r="AA109" s="83">
        <f t="shared" si="8"/>
        <v>9747.138914</v>
      </c>
      <c r="AB109" s="84">
        <f t="shared" si="9"/>
        <v>2437210.537</v>
      </c>
      <c r="AC109" s="79">
        <f t="shared" si="12"/>
        <v>9807.530005</v>
      </c>
      <c r="AD109" s="85">
        <f t="shared" si="10"/>
        <v>2397493.067</v>
      </c>
      <c r="AE109" s="81">
        <v>0.25</v>
      </c>
      <c r="AF109" s="82">
        <f t="shared" si="17"/>
        <v>3932819.532</v>
      </c>
      <c r="AG109" s="6"/>
      <c r="AH109" s="6"/>
      <c r="AI109" s="6"/>
      <c r="AJ109" s="6"/>
      <c r="AK109" s="6"/>
      <c r="AL109" s="6"/>
      <c r="AM109" s="6"/>
      <c r="AN109" s="6"/>
      <c r="AO109" s="6"/>
      <c r="AP109" s="6"/>
    </row>
    <row r="110" ht="11.25" customHeight="1">
      <c r="A110" s="7"/>
      <c r="B110" s="68">
        <f t="shared" si="16"/>
        <v>105</v>
      </c>
      <c r="C110" s="86">
        <f t="shared" si="20"/>
        <v>6043.297417</v>
      </c>
      <c r="D110" s="84">
        <f t="shared" si="5"/>
        <v>1825853.089</v>
      </c>
      <c r="E110" s="78"/>
      <c r="F110" s="79"/>
      <c r="G110" s="78">
        <f>IFERROR(__xludf.DUMMYFUNCTION("""COMPUTED_VALUE"""),3924.5749925389146)</f>
        <v>3924.574993</v>
      </c>
      <c r="H110" s="84">
        <f>IFERROR(__xludf.DUMMYFUNCTION("""COMPUTED_VALUE"""),343955.97356001067)</f>
        <v>343955.9736</v>
      </c>
      <c r="I110" s="79">
        <f>IFERROR(__xludf.DUMMYFUNCTION("""COMPUTED_VALUE"""),10541.824709294655)</f>
        <v>10541.82471</v>
      </c>
      <c r="J110" s="80">
        <f>IFERROR(__xludf.DUMMYFUNCTION("""COMPUTED_VALUE"""),1156311.890644946)</f>
        <v>1156311.891</v>
      </c>
      <c r="K110" s="79"/>
      <c r="L110" s="80"/>
      <c r="M110" s="6"/>
      <c r="N110" s="77">
        <v>0.0</v>
      </c>
      <c r="O110" s="78">
        <v>0.0</v>
      </c>
      <c r="P110" s="78">
        <v>0.0</v>
      </c>
      <c r="Q110" s="78">
        <v>0.0</v>
      </c>
      <c r="R110" s="78"/>
      <c r="S110" s="9">
        <f>IFERROR(__xludf.DUMMYFUNCTION("""COMPUTED_VALUE"""),2882.5749925388955)</f>
        <v>2882.574993</v>
      </c>
      <c r="T110" s="9">
        <f>IFERROR(__xludf.DUMMYFUNCTION("""COMPUTED_VALUE"""),3217.8247092945967)</f>
        <v>3217.824709</v>
      </c>
      <c r="U110" s="78">
        <v>0.0</v>
      </c>
      <c r="V110" s="79">
        <f t="shared" si="15"/>
        <v>6100.399702</v>
      </c>
      <c r="W110" s="80">
        <f t="shared" si="7"/>
        <v>2660072.914</v>
      </c>
      <c r="X110" s="81">
        <f t="shared" si="2"/>
        <v>0.1834088354</v>
      </c>
      <c r="Y110" s="82">
        <f t="shared" si="19"/>
        <v>4518508.352</v>
      </c>
      <c r="Z110" s="6"/>
      <c r="AA110" s="83">
        <f t="shared" si="8"/>
        <v>9807.530005</v>
      </c>
      <c r="AB110" s="84">
        <f t="shared" si="9"/>
        <v>2447018.067</v>
      </c>
      <c r="AC110" s="79">
        <f t="shared" si="12"/>
        <v>9868.214829</v>
      </c>
      <c r="AD110" s="85">
        <f t="shared" si="10"/>
        <v>2407361.282</v>
      </c>
      <c r="AE110" s="81">
        <v>0.25</v>
      </c>
      <c r="AF110" s="82">
        <f t="shared" si="17"/>
        <v>3957154.146</v>
      </c>
      <c r="AG110" s="6"/>
      <c r="AH110" s="6"/>
      <c r="AI110" s="6"/>
      <c r="AJ110" s="6"/>
      <c r="AK110" s="6"/>
      <c r="AL110" s="6"/>
      <c r="AM110" s="6"/>
      <c r="AN110" s="6"/>
      <c r="AO110" s="6"/>
      <c r="AP110" s="6"/>
    </row>
    <row r="111" ht="11.25" customHeight="1">
      <c r="A111" s="7"/>
      <c r="B111" s="68">
        <f t="shared" si="16"/>
        <v>106</v>
      </c>
      <c r="C111" s="86">
        <f t="shared" si="20"/>
        <v>6100.399702</v>
      </c>
      <c r="D111" s="84">
        <f t="shared" si="5"/>
        <v>1831953.488</v>
      </c>
      <c r="E111" s="78"/>
      <c r="F111" s="79"/>
      <c r="G111" s="78">
        <f>IFERROR(__xludf.DUMMYFUNCTION("""COMPUTED_VALUE"""),3945.015487291722)</f>
        <v>3945.015487</v>
      </c>
      <c r="H111" s="84">
        <f>IFERROR(__xludf.DUMMYFUNCTION("""COMPUTED_VALUE"""),347900.9890473024)</f>
        <v>347900.989</v>
      </c>
      <c r="I111" s="79">
        <f>IFERROR(__xludf.DUMMYFUNCTION("""COMPUTED_VALUE"""),10578.721095777186)</f>
        <v>10578.7211</v>
      </c>
      <c r="J111" s="80">
        <f>IFERROR(__xludf.DUMMYFUNCTION("""COMPUTED_VALUE"""),1166890.611740723)</f>
        <v>1166890.612</v>
      </c>
      <c r="K111" s="79"/>
      <c r="L111" s="80"/>
      <c r="M111" s="6"/>
      <c r="N111" s="77">
        <v>0.0</v>
      </c>
      <c r="O111" s="78">
        <v>0.0</v>
      </c>
      <c r="P111" s="78">
        <v>0.0</v>
      </c>
      <c r="Q111" s="78">
        <v>0.0</v>
      </c>
      <c r="R111" s="78"/>
      <c r="S111" s="9">
        <f>IFERROR(__xludf.DUMMYFUNCTION("""COMPUTED_VALUE"""),2903.0154872917337)</f>
        <v>2903.015487</v>
      </c>
      <c r="T111" s="9">
        <f>IFERROR(__xludf.DUMMYFUNCTION("""COMPUTED_VALUE"""),3254.7210957771167)</f>
        <v>3254.721096</v>
      </c>
      <c r="U111" s="78">
        <v>0.0</v>
      </c>
      <c r="V111" s="79">
        <f t="shared" si="15"/>
        <v>6157.736583</v>
      </c>
      <c r="W111" s="80">
        <f t="shared" si="7"/>
        <v>2666230.651</v>
      </c>
      <c r="X111" s="81">
        <f t="shared" si="2"/>
        <v>0.1839918016</v>
      </c>
      <c r="Y111" s="82">
        <f t="shared" si="19"/>
        <v>4539189.826</v>
      </c>
      <c r="Z111" s="6"/>
      <c r="AA111" s="83">
        <f t="shared" si="8"/>
        <v>9868.214829</v>
      </c>
      <c r="AB111" s="84">
        <f t="shared" si="9"/>
        <v>2456886.282</v>
      </c>
      <c r="AC111" s="79">
        <f t="shared" si="12"/>
        <v>9929.194708</v>
      </c>
      <c r="AD111" s="85">
        <f t="shared" si="10"/>
        <v>2417290.477</v>
      </c>
      <c r="AE111" s="81">
        <v>0.25</v>
      </c>
      <c r="AF111" s="82">
        <f t="shared" si="17"/>
        <v>3981607.078</v>
      </c>
      <c r="AG111" s="6"/>
      <c r="AH111" s="6"/>
      <c r="AI111" s="6"/>
      <c r="AJ111" s="6"/>
      <c r="AK111" s="6"/>
      <c r="AL111" s="6"/>
      <c r="AM111" s="6"/>
      <c r="AN111" s="6"/>
      <c r="AO111" s="6"/>
      <c r="AP111" s="6"/>
    </row>
    <row r="112" ht="11.25" customHeight="1">
      <c r="A112" s="7"/>
      <c r="B112" s="68">
        <f t="shared" si="16"/>
        <v>107</v>
      </c>
      <c r="C112" s="86">
        <f t="shared" si="20"/>
        <v>6157.736583</v>
      </c>
      <c r="D112" s="84">
        <f t="shared" si="5"/>
        <v>1838111.225</v>
      </c>
      <c r="E112" s="78"/>
      <c r="F112" s="79"/>
      <c r="G112" s="78">
        <f>IFERROR(__xludf.DUMMYFUNCTION("""COMPUTED_VALUE"""),3965.562442954699)</f>
        <v>3965.562443</v>
      </c>
      <c r="H112" s="84">
        <f>IFERROR(__xludf.DUMMYFUNCTION("""COMPUTED_VALUE"""),351866.5514902571)</f>
        <v>351866.5515</v>
      </c>
      <c r="I112" s="78">
        <f>IFERROR(__xludf.DUMMYFUNCTION("""COMPUTED_VALUE"""),10814.68273212394)</f>
        <v>10814.68273</v>
      </c>
      <c r="J112" s="80">
        <f>IFERROR(__xludf.DUMMYFUNCTION("""COMPUTED_VALUE"""),1177705.294472847)</f>
        <v>1177705.294</v>
      </c>
      <c r="K112" s="78"/>
      <c r="L112" s="80"/>
      <c r="M112" s="6"/>
      <c r="N112" s="77">
        <v>0.0</v>
      </c>
      <c r="O112" s="78">
        <v>0.0</v>
      </c>
      <c r="P112" s="78">
        <v>0.0</v>
      </c>
      <c r="Q112" s="78">
        <v>0.0</v>
      </c>
      <c r="R112" s="78"/>
      <c r="S112" s="9">
        <f>IFERROR(__xludf.DUMMYFUNCTION("""COMPUTED_VALUE"""),2923.562442954688)</f>
        <v>2923.562443</v>
      </c>
      <c r="T112" s="9">
        <f>IFERROR(__xludf.DUMMYFUNCTION("""COMPUTED_VALUE"""),3490.6827321238816)</f>
        <v>3490.682732</v>
      </c>
      <c r="U112" s="78">
        <v>0.0</v>
      </c>
      <c r="V112" s="79">
        <f t="shared" si="15"/>
        <v>6414.245175</v>
      </c>
      <c r="W112" s="80">
        <f t="shared" si="7"/>
        <v>2672644.896</v>
      </c>
      <c r="X112" s="81">
        <f t="shared" si="2"/>
        <v>0.1904646322</v>
      </c>
      <c r="Y112" s="82">
        <f t="shared" si="19"/>
        <v>4560384.316</v>
      </c>
      <c r="Z112" s="6"/>
      <c r="AA112" s="83">
        <f t="shared" si="8"/>
        <v>9929.194708</v>
      </c>
      <c r="AB112" s="84">
        <f t="shared" si="9"/>
        <v>2466815.477</v>
      </c>
      <c r="AC112" s="79">
        <f t="shared" si="12"/>
        <v>9990.968307</v>
      </c>
      <c r="AD112" s="85">
        <f t="shared" si="10"/>
        <v>2427281.445</v>
      </c>
      <c r="AE112" s="81">
        <v>0.25</v>
      </c>
      <c r="AF112" s="82">
        <f t="shared" si="17"/>
        <v>4006378.291</v>
      </c>
      <c r="AG112" s="6"/>
      <c r="AH112" s="6"/>
      <c r="AI112" s="6"/>
      <c r="AJ112" s="6"/>
      <c r="AK112" s="6"/>
      <c r="AL112" s="6"/>
      <c r="AM112" s="6"/>
      <c r="AN112" s="6"/>
      <c r="AO112" s="6"/>
      <c r="AP112" s="6"/>
    </row>
    <row r="113" ht="11.25" customHeight="1">
      <c r="A113" s="71"/>
      <c r="B113" s="72">
        <f t="shared" si="16"/>
        <v>108</v>
      </c>
      <c r="C113" s="86">
        <f t="shared" si="20"/>
        <v>6414.245175</v>
      </c>
      <c r="D113" s="88">
        <f t="shared" si="5"/>
        <v>1844525.47</v>
      </c>
      <c r="E113" s="89"/>
      <c r="F113" s="90"/>
      <c r="G113" s="89">
        <f>IFERROR(__xludf.DUMMYFUNCTION("""COMPUTED_VALUE"""),3986.216414011754)</f>
        <v>3986.216414</v>
      </c>
      <c r="H113" s="88">
        <f>IFERROR(__xludf.DUMMYFUNCTION("""COMPUTED_VALUE"""),355852.76790426887)</f>
        <v>355852.7679</v>
      </c>
      <c r="I113" s="89">
        <f>IFERROR(__xludf.DUMMYFUNCTION("""COMPUTED_VALUE"""),10851.407592235111)</f>
        <v>10851.40759</v>
      </c>
      <c r="J113" s="91">
        <f>IFERROR(__xludf.DUMMYFUNCTION("""COMPUTED_VALUE"""),1188556.702065082)</f>
        <v>1188556.702</v>
      </c>
      <c r="K113" s="89"/>
      <c r="L113" s="91"/>
      <c r="M113" s="6"/>
      <c r="N113" s="92">
        <v>0.0</v>
      </c>
      <c r="O113" s="89">
        <v>0.0</v>
      </c>
      <c r="P113" s="89">
        <v>0.0</v>
      </c>
      <c r="Q113" s="89">
        <v>0.0</v>
      </c>
      <c r="R113" s="89"/>
      <c r="S113" s="93">
        <f>IFERROR(__xludf.DUMMYFUNCTION("""COMPUTED_VALUE"""),2944.216414011782)</f>
        <v>2944.216414</v>
      </c>
      <c r="T113" s="93">
        <f>IFERROR(__xludf.DUMMYFUNCTION("""COMPUTED_VALUE"""),3527.407592235133)</f>
        <v>3527.407592</v>
      </c>
      <c r="U113" s="89">
        <v>0.0</v>
      </c>
      <c r="V113" s="90">
        <f t="shared" si="15"/>
        <v>6471.624006</v>
      </c>
      <c r="W113" s="91">
        <f t="shared" si="7"/>
        <v>2679116.52</v>
      </c>
      <c r="X113" s="81">
        <f t="shared" si="2"/>
        <v>0.1909633593</v>
      </c>
      <c r="Y113" s="82">
        <f t="shared" si="19"/>
        <v>4581693.564</v>
      </c>
      <c r="Z113" s="6"/>
      <c r="AA113" s="83">
        <f t="shared" si="8"/>
        <v>9990.968307</v>
      </c>
      <c r="AB113" s="88">
        <f t="shared" si="9"/>
        <v>2476806.445</v>
      </c>
      <c r="AC113" s="90">
        <f t="shared" si="12"/>
        <v>10053.03979</v>
      </c>
      <c r="AD113" s="94">
        <f t="shared" si="10"/>
        <v>2437334.485</v>
      </c>
      <c r="AE113" s="81">
        <v>0.25</v>
      </c>
      <c r="AF113" s="82">
        <f t="shared" si="17"/>
        <v>4031268.955</v>
      </c>
      <c r="AG113" s="6"/>
      <c r="AH113" s="6"/>
      <c r="AI113" s="6"/>
      <c r="AJ113" s="6"/>
      <c r="AK113" s="6"/>
      <c r="AL113" s="6"/>
      <c r="AM113" s="6"/>
      <c r="AN113" s="6"/>
      <c r="AO113" s="6"/>
      <c r="AP113" s="6"/>
    </row>
    <row r="114" ht="11.25" customHeight="1">
      <c r="A114" s="65">
        <v>47067.0</v>
      </c>
      <c r="B114" s="66">
        <f t="shared" si="16"/>
        <v>109</v>
      </c>
      <c r="C114" s="86">
        <f t="shared" si="20"/>
        <v>6471.624006</v>
      </c>
      <c r="D114" s="84">
        <f t="shared" si="5"/>
        <v>1850997.094</v>
      </c>
      <c r="E114" s="79"/>
      <c r="F114" s="79"/>
      <c r="G114" s="79">
        <f>IFERROR(__xludf.DUMMYFUNCTION("""COMPUTED_VALUE"""),4006.9779578347325)</f>
        <v>4006.977958</v>
      </c>
      <c r="H114" s="84">
        <f>IFERROR(__xludf.DUMMYFUNCTION("""COMPUTED_VALUE"""),359859.7458621036)</f>
        <v>359859.7459</v>
      </c>
      <c r="I114" s="79">
        <f>IFERROR(__xludf.DUMMYFUNCTION("""COMPUTED_VALUE"""),10888.257163850409)</f>
        <v>10888.25716</v>
      </c>
      <c r="J114" s="80">
        <f>IFERROR(__xludf.DUMMYFUNCTION("""COMPUTED_VALUE"""),1199444.9592289324)</f>
        <v>1199444.959</v>
      </c>
      <c r="K114" s="79"/>
      <c r="L114" s="80"/>
      <c r="M114" s="6"/>
      <c r="N114" s="77">
        <v>0.0</v>
      </c>
      <c r="O114" s="78">
        <v>0.0</v>
      </c>
      <c r="P114" s="78">
        <v>0.0</v>
      </c>
      <c r="Q114" s="78">
        <v>0.0</v>
      </c>
      <c r="R114" s="78"/>
      <c r="S114" s="9">
        <f>IFERROR(__xludf.DUMMYFUNCTION("""COMPUTED_VALUE"""),2964.9779578347225)</f>
        <v>2964.977958</v>
      </c>
      <c r="T114" s="9">
        <f>IFERROR(__xludf.DUMMYFUNCTION("""COMPUTED_VALUE"""),3564.2571638503578)</f>
        <v>3564.257164</v>
      </c>
      <c r="U114" s="78">
        <v>0.0</v>
      </c>
      <c r="V114" s="79">
        <f t="shared" si="15"/>
        <v>6529.235122</v>
      </c>
      <c r="W114" s="80">
        <f t="shared" si="7"/>
        <v>2685645.755</v>
      </c>
      <c r="X114" s="81">
        <f t="shared" si="2"/>
        <v>0.1914562261</v>
      </c>
      <c r="Y114" s="82">
        <f t="shared" si="19"/>
        <v>4603118.034</v>
      </c>
      <c r="Z114" s="6"/>
      <c r="AA114" s="83">
        <f t="shared" si="8"/>
        <v>10053.03979</v>
      </c>
      <c r="AB114" s="84">
        <f t="shared" si="9"/>
        <v>2486859.485</v>
      </c>
      <c r="AC114" s="79">
        <f t="shared" si="12"/>
        <v>10115.41048</v>
      </c>
      <c r="AD114" s="95">
        <f t="shared" si="10"/>
        <v>2447449.896</v>
      </c>
      <c r="AE114" s="81">
        <v>0.25</v>
      </c>
      <c r="AF114" s="82">
        <f t="shared" si="17"/>
        <v>4056279.601</v>
      </c>
      <c r="AG114" s="6"/>
      <c r="AH114" s="6"/>
      <c r="AI114" s="6"/>
      <c r="AJ114" s="6"/>
      <c r="AK114" s="6"/>
      <c r="AL114" s="6"/>
      <c r="AM114" s="6"/>
      <c r="AN114" s="6"/>
      <c r="AO114" s="6"/>
      <c r="AP114" s="6"/>
    </row>
    <row r="115" ht="11.25" customHeight="1">
      <c r="A115" s="7"/>
      <c r="B115" s="68">
        <f t="shared" si="16"/>
        <v>110</v>
      </c>
      <c r="C115" s="86">
        <f t="shared" si="20"/>
        <v>6529.235122</v>
      </c>
      <c r="D115" s="84">
        <f t="shared" si="5"/>
        <v>1857526.329</v>
      </c>
      <c r="E115" s="79"/>
      <c r="F115" s="79"/>
      <c r="G115" s="79">
        <f>IFERROR(__xludf.DUMMYFUNCTION("""COMPUTED_VALUE"""),4027.8476346984544)</f>
        <v>4027.847635</v>
      </c>
      <c r="H115" s="84">
        <f>IFERROR(__xludf.DUMMYFUNCTION("""COMPUTED_VALUE"""),363887.59349680203)</f>
        <v>363887.5935</v>
      </c>
      <c r="I115" s="79">
        <f>IFERROR(__xludf.DUMMYFUNCTION("""COMPUTED_VALUE"""),10925.231870469317)</f>
        <v>10925.23187</v>
      </c>
      <c r="J115" s="80">
        <f>IFERROR(__xludf.DUMMYFUNCTION("""COMPUTED_VALUE"""),1210370.1910994018)</f>
        <v>1210370.191</v>
      </c>
      <c r="K115" s="79"/>
      <c r="L115" s="80"/>
      <c r="M115" s="6"/>
      <c r="N115" s="77">
        <v>0.0</v>
      </c>
      <c r="O115" s="78">
        <v>0.0</v>
      </c>
      <c r="P115" s="78">
        <v>0.0</v>
      </c>
      <c r="Q115" s="78">
        <v>0.0</v>
      </c>
      <c r="R115" s="78"/>
      <c r="S115" s="9">
        <f>IFERROR(__xludf.DUMMYFUNCTION("""COMPUTED_VALUE"""),2985.847634698439)</f>
        <v>2985.847635</v>
      </c>
      <c r="T115" s="9">
        <f>IFERROR(__xludf.DUMMYFUNCTION("""COMPUTED_VALUE"""),3601.2318704694044)</f>
        <v>3601.23187</v>
      </c>
      <c r="U115" s="78">
        <v>0.0</v>
      </c>
      <c r="V115" s="79">
        <f t="shared" si="15"/>
        <v>6587.079505</v>
      </c>
      <c r="W115" s="80">
        <f t="shared" si="7"/>
        <v>2692232.835</v>
      </c>
      <c r="X115" s="81">
        <f t="shared" si="2"/>
        <v>0.191943295</v>
      </c>
      <c r="Y115" s="82">
        <f t="shared" si="19"/>
        <v>4624658.193</v>
      </c>
      <c r="Z115" s="6"/>
      <c r="AA115" s="83">
        <f t="shared" si="8"/>
        <v>10115.41048</v>
      </c>
      <c r="AB115" s="84">
        <f t="shared" si="9"/>
        <v>2496974.896</v>
      </c>
      <c r="AC115" s="79">
        <f t="shared" si="12"/>
        <v>10178.0817</v>
      </c>
      <c r="AD115" s="85">
        <f t="shared" si="10"/>
        <v>2457627.977</v>
      </c>
      <c r="AE115" s="81">
        <v>0.25</v>
      </c>
      <c r="AF115" s="82">
        <f t="shared" si="17"/>
        <v>4081410.762</v>
      </c>
      <c r="AG115" s="6"/>
      <c r="AH115" s="6"/>
      <c r="AI115" s="6"/>
      <c r="AJ115" s="6"/>
      <c r="AK115" s="6"/>
      <c r="AL115" s="6"/>
      <c r="AM115" s="6"/>
      <c r="AN115" s="6"/>
      <c r="AO115" s="6"/>
      <c r="AP115" s="6"/>
    </row>
    <row r="116" ht="11.25" customHeight="1">
      <c r="A116" s="7"/>
      <c r="B116" s="68">
        <f t="shared" si="16"/>
        <v>111</v>
      </c>
      <c r="C116" s="86">
        <f t="shared" si="20"/>
        <v>6587.079505</v>
      </c>
      <c r="D116" s="84">
        <f t="shared" si="5"/>
        <v>1864113.409</v>
      </c>
      <c r="E116" s="79"/>
      <c r="F116" s="79"/>
      <c r="G116" s="79">
        <f>IFERROR(__xludf.DUMMYFUNCTION("""COMPUTED_VALUE"""),4048.826007795843)</f>
        <v>4048.826008</v>
      </c>
      <c r="H116" s="84">
        <f>IFERROR(__xludf.DUMMYFUNCTION("""COMPUTED_VALUE"""),367936.4195045979)</f>
        <v>367936.4195</v>
      </c>
      <c r="I116" s="79">
        <f>IFERROR(__xludf.DUMMYFUNCTION("""COMPUTED_VALUE"""),10962.332137029454)</f>
        <v>10962.33214</v>
      </c>
      <c r="J116" s="80">
        <f>IFERROR(__xludf.DUMMYFUNCTION("""COMPUTED_VALUE"""),1221332.5232364312)</f>
        <v>1221332.523</v>
      </c>
      <c r="K116" s="79"/>
      <c r="L116" s="80"/>
      <c r="M116" s="6"/>
      <c r="N116" s="77">
        <v>0.0</v>
      </c>
      <c r="O116" s="78">
        <v>0.0</v>
      </c>
      <c r="P116" s="78">
        <v>0.0</v>
      </c>
      <c r="Q116" s="78">
        <v>0.0</v>
      </c>
      <c r="R116" s="78"/>
      <c r="S116" s="9">
        <f>IFERROR(__xludf.DUMMYFUNCTION("""COMPUTED_VALUE"""),3006.8260077958694)</f>
        <v>3006.826008</v>
      </c>
      <c r="T116" s="9">
        <f>IFERROR(__xludf.DUMMYFUNCTION("""COMPUTED_VALUE"""),3638.332137029385)</f>
        <v>3638.332137</v>
      </c>
      <c r="U116" s="78">
        <v>0.0</v>
      </c>
      <c r="V116" s="79">
        <f t="shared" si="15"/>
        <v>6645.158145</v>
      </c>
      <c r="W116" s="80">
        <f t="shared" si="7"/>
        <v>2698877.993</v>
      </c>
      <c r="X116" s="81">
        <f t="shared" si="2"/>
        <v>0.1924246281</v>
      </c>
      <c r="Y116" s="82">
        <f t="shared" si="19"/>
        <v>4646314.509</v>
      </c>
      <c r="Z116" s="6"/>
      <c r="AA116" s="83">
        <f t="shared" si="8"/>
        <v>10178.0817</v>
      </c>
      <c r="AB116" s="84">
        <f t="shared" si="9"/>
        <v>2507152.977</v>
      </c>
      <c r="AC116" s="79">
        <f t="shared" si="12"/>
        <v>10241.0548</v>
      </c>
      <c r="AD116" s="85">
        <f t="shared" si="10"/>
        <v>2467869.032</v>
      </c>
      <c r="AE116" s="81">
        <v>0.25</v>
      </c>
      <c r="AF116" s="82">
        <f t="shared" si="17"/>
        <v>4106662.975</v>
      </c>
      <c r="AG116" s="6"/>
      <c r="AH116" s="6"/>
      <c r="AI116" s="6"/>
      <c r="AJ116" s="6"/>
      <c r="AK116" s="6"/>
      <c r="AL116" s="6"/>
      <c r="AM116" s="6"/>
      <c r="AN116" s="6"/>
      <c r="AO116" s="6"/>
      <c r="AP116" s="6"/>
    </row>
    <row r="117" ht="11.25" customHeight="1">
      <c r="A117" s="7"/>
      <c r="B117" s="68">
        <f t="shared" si="16"/>
        <v>112</v>
      </c>
      <c r="C117" s="86">
        <f t="shared" si="20"/>
        <v>6645.158145</v>
      </c>
      <c r="D117" s="84">
        <f t="shared" si="5"/>
        <v>1870758.567</v>
      </c>
      <c r="E117" s="79"/>
      <c r="F117" s="79"/>
      <c r="G117" s="79">
        <f>IFERROR(__xludf.DUMMYFUNCTION("""COMPUTED_VALUE"""),4069.9136432531122)</f>
        <v>4069.913643</v>
      </c>
      <c r="H117" s="84">
        <f>IFERROR(__xludf.DUMMYFUNCTION("""COMPUTED_VALUE"""),372006.333147851)</f>
        <v>372006.3331</v>
      </c>
      <c r="I117" s="79">
        <f>IFERROR(__xludf.DUMMYFUNCTION("""COMPUTED_VALUE"""),10999.55838991145)</f>
        <v>10999.55839</v>
      </c>
      <c r="J117" s="80">
        <f>IFERROR(__xludf.DUMMYFUNCTION("""COMPUTED_VALUE"""),1232332.0816263426)</f>
        <v>1232332.082</v>
      </c>
      <c r="K117" s="79"/>
      <c r="L117" s="80"/>
      <c r="M117" s="6"/>
      <c r="N117" s="77">
        <v>0.0</v>
      </c>
      <c r="O117" s="78">
        <v>0.0</v>
      </c>
      <c r="P117" s="78">
        <v>0.0</v>
      </c>
      <c r="Q117" s="78">
        <v>0.0</v>
      </c>
      <c r="R117" s="78"/>
      <c r="S117" s="9">
        <f>IFERROR(__xludf.DUMMYFUNCTION("""COMPUTED_VALUE"""),3027.913643253094)</f>
        <v>3027.913643</v>
      </c>
      <c r="T117" s="9">
        <f>IFERROR(__xludf.DUMMYFUNCTION("""COMPUTED_VALUE"""),3675.558389911428)</f>
        <v>3675.55839</v>
      </c>
      <c r="U117" s="78">
        <v>0.0</v>
      </c>
      <c r="V117" s="79">
        <f t="shared" si="15"/>
        <v>6703.472033</v>
      </c>
      <c r="W117" s="80">
        <f t="shared" si="7"/>
        <v>2705581.465</v>
      </c>
      <c r="X117" s="81">
        <f t="shared" si="2"/>
        <v>0.1929002865</v>
      </c>
      <c r="Y117" s="82">
        <f t="shared" si="19"/>
        <v>4668087.454</v>
      </c>
      <c r="Z117" s="6"/>
      <c r="AA117" s="83">
        <f t="shared" si="8"/>
        <v>10241.0548</v>
      </c>
      <c r="AB117" s="84">
        <f t="shared" si="9"/>
        <v>2517394.032</v>
      </c>
      <c r="AC117" s="79">
        <f t="shared" si="12"/>
        <v>10304.33112</v>
      </c>
      <c r="AD117" s="85">
        <f t="shared" si="10"/>
        <v>2478173.363</v>
      </c>
      <c r="AE117" s="81">
        <v>0.25</v>
      </c>
      <c r="AF117" s="82">
        <f t="shared" si="17"/>
        <v>4132036.778</v>
      </c>
      <c r="AG117" s="6"/>
      <c r="AH117" s="6"/>
      <c r="AI117" s="6"/>
      <c r="AJ117" s="6"/>
      <c r="AK117" s="6"/>
      <c r="AL117" s="6"/>
      <c r="AM117" s="6"/>
      <c r="AN117" s="6"/>
      <c r="AO117" s="6"/>
      <c r="AP117" s="6"/>
    </row>
    <row r="118" ht="11.25" customHeight="1">
      <c r="A118" s="7"/>
      <c r="B118" s="68">
        <f t="shared" si="16"/>
        <v>113</v>
      </c>
      <c r="C118" s="86">
        <f t="shared" si="20"/>
        <v>6703.472033</v>
      </c>
      <c r="D118" s="84">
        <f t="shared" si="5"/>
        <v>1877462.039</v>
      </c>
      <c r="E118" s="79"/>
      <c r="F118" s="79"/>
      <c r="G118" s="79">
        <f>IFERROR(__xludf.DUMMYFUNCTION("""COMPUTED_VALUE"""),4091.111110145055)</f>
        <v>4091.11111</v>
      </c>
      <c r="H118" s="84">
        <f>IFERROR(__xludf.DUMMYFUNCTION("""COMPUTED_VALUE"""),376097.44425799605)</f>
        <v>376097.4443</v>
      </c>
      <c r="I118" s="79">
        <f>IFERROR(__xludf.DUMMYFUNCTION("""COMPUTED_VALUE"""),11036.911056943856)</f>
        <v>11036.91106</v>
      </c>
      <c r="J118" s="80">
        <f>IFERROR(__xludf.DUMMYFUNCTION("""COMPUTED_VALUE"""),1243368.9926832865)</f>
        <v>1243368.993</v>
      </c>
      <c r="K118" s="79"/>
      <c r="L118" s="80"/>
      <c r="M118" s="6"/>
      <c r="N118" s="77">
        <v>0.0</v>
      </c>
      <c r="O118" s="78">
        <v>0.0</v>
      </c>
      <c r="P118" s="78">
        <v>0.0</v>
      </c>
      <c r="Q118" s="78">
        <v>0.0</v>
      </c>
      <c r="R118" s="78"/>
      <c r="S118" s="9">
        <f>IFERROR(__xludf.DUMMYFUNCTION("""COMPUTED_VALUE"""),3049.1111101450515)</f>
        <v>3049.11111</v>
      </c>
      <c r="T118" s="9">
        <f>IFERROR(__xludf.DUMMYFUNCTION("""COMPUTED_VALUE"""),3712.9110569439363)</f>
        <v>3712.911057</v>
      </c>
      <c r="U118" s="78">
        <v>0.0</v>
      </c>
      <c r="V118" s="79">
        <f t="shared" si="15"/>
        <v>6762.022167</v>
      </c>
      <c r="W118" s="80">
        <f t="shared" si="7"/>
        <v>2712343.487</v>
      </c>
      <c r="X118" s="81">
        <f t="shared" si="2"/>
        <v>0.193370331</v>
      </c>
      <c r="Y118" s="82">
        <f t="shared" si="19"/>
        <v>4689977.498</v>
      </c>
      <c r="Z118" s="6"/>
      <c r="AA118" s="83">
        <f t="shared" si="8"/>
        <v>10304.33112</v>
      </c>
      <c r="AB118" s="84">
        <f t="shared" si="9"/>
        <v>2527698.363</v>
      </c>
      <c r="AC118" s="79">
        <f t="shared" si="12"/>
        <v>10367.912</v>
      </c>
      <c r="AD118" s="85">
        <f t="shared" si="10"/>
        <v>2488541.275</v>
      </c>
      <c r="AE118" s="81">
        <v>0.25</v>
      </c>
      <c r="AF118" s="82">
        <f t="shared" si="17"/>
        <v>4157532.712</v>
      </c>
      <c r="AG118" s="6"/>
      <c r="AH118" s="6"/>
      <c r="AI118" s="6"/>
      <c r="AJ118" s="6"/>
      <c r="AK118" s="6"/>
      <c r="AL118" s="6"/>
      <c r="AM118" s="6"/>
      <c r="AN118" s="6"/>
      <c r="AO118" s="6"/>
      <c r="AP118" s="6"/>
    </row>
    <row r="119" ht="11.25" customHeight="1">
      <c r="A119" s="7"/>
      <c r="B119" s="68">
        <f t="shared" si="16"/>
        <v>114</v>
      </c>
      <c r="C119" s="86">
        <f t="shared" si="20"/>
        <v>6762.022167</v>
      </c>
      <c r="D119" s="84">
        <f t="shared" si="5"/>
        <v>1884224.061</v>
      </c>
      <c r="E119" s="79"/>
      <c r="F119" s="79"/>
      <c r="G119" s="79">
        <f>IFERROR(__xludf.DUMMYFUNCTION("""COMPUTED_VALUE"""),4112.418980510393)</f>
        <v>4112.418981</v>
      </c>
      <c r="H119" s="84">
        <f>IFERROR(__xludf.DUMMYFUNCTION("""COMPUTED_VALUE"""),380209.8632385064)</f>
        <v>380209.8632</v>
      </c>
      <c r="I119" s="79">
        <f>IFERROR(__xludf.DUMMYFUNCTION("""COMPUTED_VALUE"""),11074.390567408063)</f>
        <v>11074.39057</v>
      </c>
      <c r="J119" s="80">
        <f>IFERROR(__xludf.DUMMYFUNCTION("""COMPUTED_VALUE"""),1254443.3832506947)</f>
        <v>1254443.383</v>
      </c>
      <c r="K119" s="79"/>
      <c r="L119" s="80"/>
      <c r="M119" s="6"/>
      <c r="N119" s="77">
        <v>0.0</v>
      </c>
      <c r="O119" s="78">
        <v>0.0</v>
      </c>
      <c r="P119" s="78">
        <v>0.0</v>
      </c>
      <c r="Q119" s="78">
        <v>0.0</v>
      </c>
      <c r="R119" s="78"/>
      <c r="S119" s="9">
        <f>IFERROR(__xludf.DUMMYFUNCTION("""COMPUTED_VALUE"""),3070.4189805103815)</f>
        <v>3070.418981</v>
      </c>
      <c r="T119" s="9">
        <f>IFERROR(__xludf.DUMMYFUNCTION("""COMPUTED_VALUE"""),3750.390567408176)</f>
        <v>3750.390567</v>
      </c>
      <c r="U119" s="78">
        <v>0.0</v>
      </c>
      <c r="V119" s="79">
        <f t="shared" si="15"/>
        <v>6820.809548</v>
      </c>
      <c r="W119" s="80">
        <f t="shared" si="7"/>
        <v>2719164.297</v>
      </c>
      <c r="X119" s="81">
        <f t="shared" si="2"/>
        <v>0.1938348215</v>
      </c>
      <c r="Y119" s="82">
        <f t="shared" si="19"/>
        <v>4711985.117</v>
      </c>
      <c r="Z119" s="6"/>
      <c r="AA119" s="83">
        <f t="shared" si="8"/>
        <v>10367.912</v>
      </c>
      <c r="AB119" s="84">
        <f t="shared" si="9"/>
        <v>2538066.275</v>
      </c>
      <c r="AC119" s="79">
        <f t="shared" si="12"/>
        <v>10431.7988</v>
      </c>
      <c r="AD119" s="85">
        <f t="shared" si="10"/>
        <v>2498973.074</v>
      </c>
      <c r="AE119" s="81">
        <v>0.25</v>
      </c>
      <c r="AF119" s="82">
        <f t="shared" si="17"/>
        <v>4183151.32</v>
      </c>
      <c r="AG119" s="6"/>
      <c r="AH119" s="6"/>
      <c r="AI119" s="6"/>
      <c r="AJ119" s="6"/>
      <c r="AK119" s="6"/>
      <c r="AL119" s="6"/>
      <c r="AM119" s="6"/>
      <c r="AN119" s="6"/>
      <c r="AO119" s="6"/>
      <c r="AP119" s="6"/>
    </row>
    <row r="120" ht="11.25" customHeight="1">
      <c r="A120" s="7"/>
      <c r="B120" s="68">
        <f t="shared" si="16"/>
        <v>115</v>
      </c>
      <c r="C120" s="86">
        <f t="shared" si="20"/>
        <v>6820.809548</v>
      </c>
      <c r="D120" s="84">
        <f t="shared" si="5"/>
        <v>1891044.87</v>
      </c>
      <c r="E120" s="79"/>
      <c r="F120" s="79"/>
      <c r="G120" s="79">
        <f>IFERROR(__xludf.DUMMYFUNCTION("""COMPUTED_VALUE"""),4133.837829367219)</f>
        <v>4133.837829</v>
      </c>
      <c r="H120" s="84">
        <f>IFERROR(__xludf.DUMMYFUNCTION("""COMPUTED_VALUE"""),384343.7010678736)</f>
        <v>384343.7011</v>
      </c>
      <c r="I120" s="79">
        <f>IFERROR(__xludf.DUMMYFUNCTION("""COMPUTED_VALUE"""),11111.997352043218)</f>
        <v>11111.99735</v>
      </c>
      <c r="J120" s="80">
        <f>IFERROR(__xludf.DUMMYFUNCTION("""COMPUTED_VALUE"""),1265555.380602738)</f>
        <v>1265555.381</v>
      </c>
      <c r="K120" s="79"/>
      <c r="L120" s="80"/>
      <c r="M120" s="6"/>
      <c r="N120" s="77">
        <v>0.0</v>
      </c>
      <c r="O120" s="78">
        <v>0.0</v>
      </c>
      <c r="P120" s="78">
        <v>0.0</v>
      </c>
      <c r="Q120" s="78">
        <v>0.0</v>
      </c>
      <c r="R120" s="78"/>
      <c r="S120" s="9">
        <f>IFERROR(__xludf.DUMMYFUNCTION("""COMPUTED_VALUE"""),3091.8378293671994)</f>
        <v>3091.837829</v>
      </c>
      <c r="T120" s="9">
        <f>IFERROR(__xludf.DUMMYFUNCTION("""COMPUTED_VALUE"""),3787.9973520431668)</f>
        <v>3787.997352</v>
      </c>
      <c r="U120" s="78">
        <v>0.0</v>
      </c>
      <c r="V120" s="79">
        <f t="shared" si="15"/>
        <v>6879.835181</v>
      </c>
      <c r="W120" s="80">
        <f t="shared" si="7"/>
        <v>2726044.132</v>
      </c>
      <c r="X120" s="81">
        <f t="shared" si="2"/>
        <v>0.1942938175</v>
      </c>
      <c r="Y120" s="82">
        <f t="shared" si="19"/>
        <v>4734110.787</v>
      </c>
      <c r="Z120" s="6"/>
      <c r="AA120" s="83">
        <f t="shared" si="8"/>
        <v>10431.7988</v>
      </c>
      <c r="AB120" s="84">
        <f t="shared" si="9"/>
        <v>2548498.074</v>
      </c>
      <c r="AC120" s="79">
        <f t="shared" si="12"/>
        <v>10495.99289</v>
      </c>
      <c r="AD120" s="85">
        <f t="shared" si="10"/>
        <v>2509469.067</v>
      </c>
      <c r="AE120" s="81">
        <v>0.25</v>
      </c>
      <c r="AF120" s="82">
        <f t="shared" si="17"/>
        <v>4208893.149</v>
      </c>
      <c r="AG120" s="6"/>
      <c r="AH120" s="6"/>
      <c r="AI120" s="6"/>
      <c r="AJ120" s="6"/>
      <c r="AK120" s="6"/>
      <c r="AL120" s="6"/>
      <c r="AM120" s="6"/>
      <c r="AN120" s="6"/>
      <c r="AO120" s="6"/>
      <c r="AP120" s="6"/>
    </row>
    <row r="121" ht="11.25" customHeight="1">
      <c r="A121" s="7"/>
      <c r="B121" s="68">
        <f t="shared" si="16"/>
        <v>116</v>
      </c>
      <c r="C121" s="86">
        <f t="shared" si="20"/>
        <v>6879.835181</v>
      </c>
      <c r="D121" s="84">
        <f t="shared" si="5"/>
        <v>1897924.706</v>
      </c>
      <c r="E121" s="79"/>
      <c r="F121" s="79"/>
      <c r="G121" s="79">
        <f>IFERROR(__xludf.DUMMYFUNCTION("""COMPUTED_VALUE"""),4155.368234728507)</f>
        <v>4155.368235</v>
      </c>
      <c r="H121" s="84">
        <f>IFERROR(__xludf.DUMMYFUNCTION("""COMPUTED_VALUE"""),388499.06930260215)</f>
        <v>388499.0693</v>
      </c>
      <c r="I121" s="79">
        <f>IFERROR(__xludf.DUMMYFUNCTION("""COMPUTED_VALUE"""),11149.731843051199)</f>
        <v>11149.73184</v>
      </c>
      <c r="J121" s="80">
        <f>IFERROR(__xludf.DUMMYFUNCTION("""COMPUTED_VALUE"""),1276705.1124457892)</f>
        <v>1276705.112</v>
      </c>
      <c r="K121" s="79"/>
      <c r="L121" s="80"/>
      <c r="M121" s="6"/>
      <c r="N121" s="77">
        <v>0.0</v>
      </c>
      <c r="O121" s="78">
        <v>0.0</v>
      </c>
      <c r="P121" s="78">
        <v>0.0</v>
      </c>
      <c r="Q121" s="78">
        <v>0.0</v>
      </c>
      <c r="R121" s="78"/>
      <c r="S121" s="9">
        <f>IFERROR(__xludf.DUMMYFUNCTION("""COMPUTED_VALUE"""),3113.368234728521)</f>
        <v>3113.368235</v>
      </c>
      <c r="T121" s="9">
        <f>IFERROR(__xludf.DUMMYFUNCTION("""COMPUTED_VALUE"""),3825.731843051268)</f>
        <v>3825.731843</v>
      </c>
      <c r="U121" s="78">
        <v>0.0</v>
      </c>
      <c r="V121" s="79">
        <f t="shared" si="15"/>
        <v>6939.100078</v>
      </c>
      <c r="W121" s="80">
        <f t="shared" si="7"/>
        <v>2732983.232</v>
      </c>
      <c r="X121" s="81">
        <f t="shared" si="2"/>
        <v>0.1947473779</v>
      </c>
      <c r="Y121" s="82">
        <f t="shared" si="19"/>
        <v>4756354.988</v>
      </c>
      <c r="Z121" s="6"/>
      <c r="AA121" s="83">
        <f t="shared" si="8"/>
        <v>10495.99289</v>
      </c>
      <c r="AB121" s="84">
        <f t="shared" si="9"/>
        <v>2558994.067</v>
      </c>
      <c r="AC121" s="79">
        <f t="shared" si="12"/>
        <v>10560.49562</v>
      </c>
      <c r="AD121" s="85">
        <f t="shared" si="10"/>
        <v>2520029.562</v>
      </c>
      <c r="AE121" s="81">
        <v>0.25</v>
      </c>
      <c r="AF121" s="82">
        <f t="shared" si="17"/>
        <v>4234758.744</v>
      </c>
      <c r="AG121" s="6"/>
      <c r="AH121" s="6"/>
      <c r="AI121" s="6"/>
      <c r="AJ121" s="6"/>
      <c r="AK121" s="6"/>
      <c r="AL121" s="6"/>
      <c r="AM121" s="6"/>
      <c r="AN121" s="6"/>
      <c r="AO121" s="6"/>
      <c r="AP121" s="6"/>
    </row>
    <row r="122" ht="11.25" customHeight="1">
      <c r="A122" s="7"/>
      <c r="B122" s="68">
        <f t="shared" si="16"/>
        <v>117</v>
      </c>
      <c r="C122" s="86">
        <f t="shared" si="20"/>
        <v>6939.100078</v>
      </c>
      <c r="D122" s="84">
        <f t="shared" si="5"/>
        <v>1904863.806</v>
      </c>
      <c r="E122" s="79"/>
      <c r="F122" s="79"/>
      <c r="G122" s="79">
        <f>IFERROR(__xludf.DUMMYFUNCTION("""COMPUTED_VALUE"""),4177.010777617717)</f>
        <v>4177.010778</v>
      </c>
      <c r="H122" s="84">
        <f>IFERROR(__xludf.DUMMYFUNCTION("""COMPUTED_VALUE"""),392676.0800802199)</f>
        <v>392676.0801</v>
      </c>
      <c r="I122" s="79">
        <f>IFERROR(__xludf.DUMMYFUNCTION("""COMPUTED_VALUE"""),11187.59447410156)</f>
        <v>11187.59447</v>
      </c>
      <c r="J122" s="80">
        <f>IFERROR(__xludf.DUMMYFUNCTION("""COMPUTED_VALUE"""),1287892.7069198908)</f>
        <v>1287892.707</v>
      </c>
      <c r="K122" s="79"/>
      <c r="L122" s="80"/>
      <c r="M122" s="6"/>
      <c r="N122" s="77">
        <v>0.0</v>
      </c>
      <c r="O122" s="78">
        <v>0.0</v>
      </c>
      <c r="P122" s="78">
        <v>0.0</v>
      </c>
      <c r="Q122" s="78">
        <v>0.0</v>
      </c>
      <c r="R122" s="78"/>
      <c r="S122" s="9">
        <f>IFERROR(__xludf.DUMMYFUNCTION("""COMPUTED_VALUE"""),3135.0107776176883)</f>
        <v>3135.010778</v>
      </c>
      <c r="T122" s="9">
        <f>IFERROR(__xludf.DUMMYFUNCTION("""COMPUTED_VALUE"""),3863.594474101672)</f>
        <v>3863.594474</v>
      </c>
      <c r="U122" s="78">
        <v>0.0</v>
      </c>
      <c r="V122" s="79">
        <f t="shared" si="15"/>
        <v>6998.605252</v>
      </c>
      <c r="W122" s="80">
        <f t="shared" si="7"/>
        <v>2739981.837</v>
      </c>
      <c r="X122" s="81">
        <f t="shared" si="2"/>
        <v>0.1951955607</v>
      </c>
      <c r="Y122" s="82">
        <f t="shared" si="19"/>
        <v>4778718.198</v>
      </c>
      <c r="Z122" s="6"/>
      <c r="AA122" s="83">
        <f t="shared" si="8"/>
        <v>10560.49562</v>
      </c>
      <c r="AB122" s="84">
        <f t="shared" si="9"/>
        <v>2569554.562</v>
      </c>
      <c r="AC122" s="79">
        <f t="shared" si="12"/>
        <v>10625.30837</v>
      </c>
      <c r="AD122" s="85">
        <f t="shared" si="10"/>
        <v>2530654.871</v>
      </c>
      <c r="AE122" s="81">
        <v>0.25</v>
      </c>
      <c r="AF122" s="82">
        <f t="shared" si="17"/>
        <v>4260748.658</v>
      </c>
      <c r="AG122" s="6"/>
      <c r="AH122" s="6"/>
      <c r="AI122" s="6"/>
      <c r="AJ122" s="6"/>
      <c r="AK122" s="6"/>
      <c r="AL122" s="6"/>
      <c r="AM122" s="6"/>
      <c r="AN122" s="6"/>
      <c r="AO122" s="6"/>
      <c r="AP122" s="6"/>
    </row>
    <row r="123" ht="11.25" customHeight="1">
      <c r="A123" s="7"/>
      <c r="B123" s="68">
        <f t="shared" si="16"/>
        <v>118</v>
      </c>
      <c r="C123" s="86">
        <f t="shared" si="20"/>
        <v>6998.605252</v>
      </c>
      <c r="D123" s="84">
        <f t="shared" si="5"/>
        <v>1911862.411</v>
      </c>
      <c r="E123" s="79"/>
      <c r="F123" s="79"/>
      <c r="G123" s="79">
        <f>IFERROR(__xludf.DUMMYFUNCTION("""COMPUTED_VALUE"""),4198.766042084477)</f>
        <v>4198.766042</v>
      </c>
      <c r="H123" s="84">
        <f>IFERROR(__xludf.DUMMYFUNCTION("""COMPUTED_VALUE"""),396874.8461223044)</f>
        <v>396874.8461</v>
      </c>
      <c r="I123" s="79">
        <f>IFERROR(__xludf.DUMMYFUNCTION("""COMPUTED_VALUE"""),11225.585680336531)</f>
        <v>11225.58568</v>
      </c>
      <c r="J123" s="80">
        <f>IFERROR(__xludf.DUMMYFUNCTION("""COMPUTED_VALUE"""),1299118.2926002273)</f>
        <v>1299118.293</v>
      </c>
      <c r="K123" s="79"/>
      <c r="L123" s="80"/>
      <c r="M123" s="6"/>
      <c r="N123" s="77">
        <v>0.0</v>
      </c>
      <c r="O123" s="78">
        <v>0.0</v>
      </c>
      <c r="P123" s="78">
        <v>0.0</v>
      </c>
      <c r="Q123" s="78">
        <v>0.0</v>
      </c>
      <c r="R123" s="78"/>
      <c r="S123" s="9">
        <f>IFERROR(__xludf.DUMMYFUNCTION("""COMPUTED_VALUE"""),3156.7660420844913)</f>
        <v>3156.766042</v>
      </c>
      <c r="T123" s="9">
        <f>IFERROR(__xludf.DUMMYFUNCTION("""COMPUTED_VALUE"""),3901.5856803364586)</f>
        <v>3901.58568</v>
      </c>
      <c r="U123" s="78">
        <v>0.0</v>
      </c>
      <c r="V123" s="79">
        <f t="shared" si="15"/>
        <v>7058.351722</v>
      </c>
      <c r="W123" s="80">
        <f t="shared" si="7"/>
        <v>2747040.189</v>
      </c>
      <c r="X123" s="81">
        <f t="shared" si="2"/>
        <v>0.1956384236</v>
      </c>
      <c r="Y123" s="82">
        <f t="shared" si="19"/>
        <v>4801200.901</v>
      </c>
      <c r="Z123" s="6"/>
      <c r="AA123" s="83">
        <f t="shared" si="8"/>
        <v>10625.30837</v>
      </c>
      <c r="AB123" s="84">
        <f t="shared" si="9"/>
        <v>2580179.871</v>
      </c>
      <c r="AC123" s="79">
        <f t="shared" si="12"/>
        <v>10690.43252</v>
      </c>
      <c r="AD123" s="85">
        <f t="shared" si="10"/>
        <v>2541345.303</v>
      </c>
      <c r="AE123" s="81">
        <v>0.25</v>
      </c>
      <c r="AF123" s="82">
        <f t="shared" si="17"/>
        <v>4286863.442</v>
      </c>
      <c r="AG123" s="6"/>
      <c r="AH123" s="6"/>
      <c r="AI123" s="6"/>
      <c r="AJ123" s="6"/>
      <c r="AK123" s="6"/>
      <c r="AL123" s="6"/>
      <c r="AM123" s="6"/>
      <c r="AN123" s="6"/>
      <c r="AO123" s="6"/>
      <c r="AP123" s="6"/>
    </row>
    <row r="124" ht="11.25" customHeight="1">
      <c r="A124" s="7"/>
      <c r="B124" s="68">
        <f t="shared" si="16"/>
        <v>119</v>
      </c>
      <c r="C124" s="86">
        <f t="shared" si="20"/>
        <v>7058.351722</v>
      </c>
      <c r="D124" s="84">
        <f t="shared" si="5"/>
        <v>1918920.763</v>
      </c>
      <c r="E124" s="79"/>
      <c r="F124" s="79"/>
      <c r="G124" s="79">
        <f>IFERROR(__xludf.DUMMYFUNCTION("""COMPUTED_VALUE"""),4220.634615220333)</f>
        <v>4220.634615</v>
      </c>
      <c r="H124" s="84">
        <f>IFERROR(__xludf.DUMMYFUNCTION("""COMPUTED_VALUE"""),401095.4807375247)</f>
        <v>401095.4807</v>
      </c>
      <c r="I124" s="79">
        <f>IFERROR(__xludf.DUMMYFUNCTION("""COMPUTED_VALUE"""),11263.705898376007)</f>
        <v>11263.7059</v>
      </c>
      <c r="J124" s="80">
        <f>IFERROR(__xludf.DUMMYFUNCTION("""COMPUTED_VALUE"""),1310381.9984986032)</f>
        <v>1310381.998</v>
      </c>
      <c r="K124" s="79"/>
      <c r="L124" s="80"/>
      <c r="M124" s="6"/>
      <c r="N124" s="77">
        <v>0.0</v>
      </c>
      <c r="O124" s="78">
        <v>0.0</v>
      </c>
      <c r="P124" s="78">
        <v>0.0</v>
      </c>
      <c r="Q124" s="78">
        <v>0.0</v>
      </c>
      <c r="R124" s="78"/>
      <c r="S124" s="9">
        <f>IFERROR(__xludf.DUMMYFUNCTION("""COMPUTED_VALUE"""),3178.634615220304)</f>
        <v>3178.634615</v>
      </c>
      <c r="T124" s="9">
        <f>IFERROR(__xludf.DUMMYFUNCTION("""COMPUTED_VALUE"""),3939.705898375949)</f>
        <v>3939.705898</v>
      </c>
      <c r="U124" s="78">
        <v>0.0</v>
      </c>
      <c r="V124" s="79">
        <f t="shared" si="15"/>
        <v>7118.340514</v>
      </c>
      <c r="W124" s="80">
        <f t="shared" si="7"/>
        <v>2754158.529</v>
      </c>
      <c r="X124" s="81">
        <f t="shared" si="2"/>
        <v>0.1960760236</v>
      </c>
      <c r="Y124" s="82">
        <f t="shared" si="19"/>
        <v>4823803.582</v>
      </c>
      <c r="Z124" s="6"/>
      <c r="AA124" s="83">
        <f t="shared" si="8"/>
        <v>10690.43252</v>
      </c>
      <c r="AB124" s="84">
        <f t="shared" si="9"/>
        <v>2590870.303</v>
      </c>
      <c r="AC124" s="79">
        <f t="shared" si="12"/>
        <v>10755.86946</v>
      </c>
      <c r="AD124" s="85">
        <f t="shared" si="10"/>
        <v>2552101.173</v>
      </c>
      <c r="AE124" s="81">
        <v>0.25</v>
      </c>
      <c r="AF124" s="82">
        <f t="shared" si="17"/>
        <v>4313103.652</v>
      </c>
      <c r="AG124" s="6"/>
      <c r="AH124" s="6"/>
      <c r="AI124" s="6"/>
      <c r="AJ124" s="6"/>
      <c r="AK124" s="6"/>
      <c r="AL124" s="6"/>
      <c r="AM124" s="6"/>
      <c r="AN124" s="6"/>
      <c r="AO124" s="6"/>
      <c r="AP124" s="6"/>
    </row>
    <row r="125" ht="11.25" customHeight="1">
      <c r="A125" s="71"/>
      <c r="B125" s="72">
        <f t="shared" si="16"/>
        <v>120</v>
      </c>
      <c r="C125" s="86">
        <f t="shared" si="20"/>
        <v>7118.340514</v>
      </c>
      <c r="D125" s="88">
        <f t="shared" si="5"/>
        <v>1926039.103</v>
      </c>
      <c r="E125" s="90"/>
      <c r="F125" s="90"/>
      <c r="G125" s="90">
        <f>IFERROR(__xludf.DUMMYFUNCTION("""COMPUTED_VALUE"""),4242.617087174606)</f>
        <v>4242.617087</v>
      </c>
      <c r="H125" s="88">
        <f>IFERROR(__xludf.DUMMYFUNCTION("""COMPUTED_VALUE"""),405338.0978246993)</f>
        <v>405338.0978</v>
      </c>
      <c r="I125" s="90">
        <f>IFERROR(__xludf.DUMMYFUNCTION("""COMPUTED_VALUE"""),11301.955566322576)</f>
        <v>11301.95557</v>
      </c>
      <c r="J125" s="91">
        <f>IFERROR(__xludf.DUMMYFUNCTION("""COMPUTED_VALUE"""),1321683.954064926)</f>
        <v>1321683.954</v>
      </c>
      <c r="K125" s="90"/>
      <c r="L125" s="91"/>
      <c r="M125" s="6"/>
      <c r="N125" s="92">
        <v>0.0</v>
      </c>
      <c r="O125" s="89">
        <v>0.0</v>
      </c>
      <c r="P125" s="89">
        <v>0.0</v>
      </c>
      <c r="Q125" s="89">
        <v>0.0</v>
      </c>
      <c r="R125" s="89"/>
      <c r="S125" s="93">
        <f>IFERROR(__xludf.DUMMYFUNCTION("""COMPUTED_VALUE"""),3200.6170871746144)</f>
        <v>3200.617087</v>
      </c>
      <c r="T125" s="93">
        <f>IFERROR(__xludf.DUMMYFUNCTION("""COMPUTED_VALUE"""),3977.955566322664)</f>
        <v>3977.955566</v>
      </c>
      <c r="U125" s="89">
        <v>0.0</v>
      </c>
      <c r="V125" s="90">
        <f t="shared" si="15"/>
        <v>7178.572653</v>
      </c>
      <c r="W125" s="91">
        <f t="shared" si="7"/>
        <v>2761337.102</v>
      </c>
      <c r="X125" s="81">
        <f t="shared" si="2"/>
        <v>0.1965084172</v>
      </c>
      <c r="Y125" s="82">
        <f t="shared" si="19"/>
        <v>4846526.728</v>
      </c>
      <c r="Z125" s="6"/>
      <c r="AA125" s="83">
        <f t="shared" si="8"/>
        <v>10755.86946</v>
      </c>
      <c r="AB125" s="88">
        <f t="shared" si="9"/>
        <v>2601626.173</v>
      </c>
      <c r="AC125" s="90">
        <f t="shared" si="12"/>
        <v>10821.62056</v>
      </c>
      <c r="AD125" s="94">
        <f t="shared" si="10"/>
        <v>2562922.793</v>
      </c>
      <c r="AE125" s="81">
        <v>0.25</v>
      </c>
      <c r="AF125" s="82">
        <f t="shared" si="17"/>
        <v>4339469.845</v>
      </c>
      <c r="AG125" s="6"/>
      <c r="AH125" s="6"/>
      <c r="AI125" s="6"/>
      <c r="AJ125" s="6"/>
      <c r="AK125" s="6"/>
      <c r="AL125" s="6"/>
      <c r="AM125" s="6"/>
      <c r="AN125" s="6"/>
      <c r="AO125" s="6"/>
      <c r="AP125" s="6"/>
    </row>
    <row r="126" ht="11.25" customHeight="1">
      <c r="A126" s="96">
        <v>11.0</v>
      </c>
      <c r="B126" s="66">
        <f t="shared" si="16"/>
        <v>121</v>
      </c>
      <c r="C126" s="86">
        <f t="shared" si="20"/>
        <v>7178.572653</v>
      </c>
      <c r="D126" s="84">
        <f t="shared" si="5"/>
        <v>1933217.676</v>
      </c>
      <c r="E126" s="79"/>
      <c r="F126" s="79"/>
      <c r="G126" s="79">
        <f>IFERROR(__xludf.DUMMYFUNCTION("""COMPUTED_VALUE"""),4264.714051170307)</f>
        <v>4264.714051</v>
      </c>
      <c r="H126" s="84">
        <f>IFERROR(__xludf.DUMMYFUNCTION("""COMPUTED_VALUE"""),409602.81187586964)</f>
        <v>409602.8119</v>
      </c>
      <c r="I126" s="79">
        <f>IFERROR(__xludf.DUMMYFUNCTION("""COMPUTED_VALUE"""),11340.335123766545)</f>
        <v>11340.33512</v>
      </c>
      <c r="J126" s="80">
        <f>IFERROR(__xludf.DUMMYFUNCTION("""COMPUTED_VALUE"""),1333024.2891886923)</f>
        <v>1333024.289</v>
      </c>
      <c r="K126" s="79"/>
      <c r="L126" s="80"/>
      <c r="M126" s="6"/>
      <c r="N126" s="97"/>
      <c r="O126" s="6"/>
      <c r="P126" s="6"/>
      <c r="Q126" s="6"/>
      <c r="R126" s="6"/>
      <c r="S126" s="9">
        <f>IFERROR(__xludf.DUMMYFUNCTION("""COMPUTED_VALUE"""),3222.714051170333)</f>
        <v>3222.714051</v>
      </c>
      <c r="T126" s="9">
        <f>IFERROR(__xludf.DUMMYFUNCTION("""COMPUTED_VALUE"""),4016.3351237664465)</f>
        <v>4016.335124</v>
      </c>
      <c r="U126" s="9"/>
      <c r="V126" s="79">
        <f t="shared" si="15"/>
        <v>7239.049175</v>
      </c>
      <c r="W126" s="80">
        <f t="shared" si="7"/>
        <v>2768576.151</v>
      </c>
      <c r="X126" s="81">
        <f t="shared" si="2"/>
        <v>0.1969356601</v>
      </c>
      <c r="Y126" s="82">
        <f t="shared" si="19"/>
        <v>4869370.826</v>
      </c>
      <c r="Z126" s="6"/>
      <c r="AA126" s="83">
        <f t="shared" si="8"/>
        <v>10821.62056</v>
      </c>
      <c r="AB126" s="84">
        <f t="shared" si="9"/>
        <v>2612447.793</v>
      </c>
      <c r="AC126" s="79">
        <f t="shared" si="12"/>
        <v>10887.68724</v>
      </c>
      <c r="AD126" s="95">
        <f t="shared" si="10"/>
        <v>2573810.481</v>
      </c>
      <c r="AE126" s="81">
        <v>0.25</v>
      </c>
      <c r="AF126" s="82">
        <f t="shared" si="17"/>
        <v>4365962.582</v>
      </c>
      <c r="AG126" s="6"/>
      <c r="AH126" s="6"/>
      <c r="AI126" s="6"/>
      <c r="AJ126" s="6"/>
      <c r="AK126" s="6"/>
      <c r="AL126" s="6"/>
      <c r="AM126" s="6"/>
      <c r="AN126" s="6"/>
      <c r="AO126" s="6"/>
      <c r="AP126" s="6"/>
    </row>
    <row r="127" ht="11.25" customHeight="1">
      <c r="A127" s="7"/>
      <c r="B127" s="68">
        <f t="shared" si="16"/>
        <v>122</v>
      </c>
      <c r="C127" s="86">
        <f t="shared" si="20"/>
        <v>7239.049175</v>
      </c>
      <c r="D127" s="84">
        <f t="shared" si="5"/>
        <v>1940456.725</v>
      </c>
      <c r="E127" s="79"/>
      <c r="F127" s="79"/>
      <c r="G127" s="79">
        <f>IFERROR(__xludf.DUMMYFUNCTION("""COMPUTED_VALUE"""),4286.9261035201525)</f>
        <v>4286.926104</v>
      </c>
      <c r="H127" s="84">
        <f>IFERROR(__xludf.DUMMYFUNCTION("""COMPUTED_VALUE"""),413889.7379793898)</f>
        <v>413889.738</v>
      </c>
      <c r="I127" s="79">
        <f>IFERROR(__xludf.DUMMYFUNCTION("""COMPUTED_VALUE"""),11378.845011791003)</f>
        <v>11378.84501</v>
      </c>
      <c r="J127" s="80">
        <f>IFERROR(__xludf.DUMMYFUNCTION("""COMPUTED_VALUE"""),1344403.1342004833)</f>
        <v>1344403.134</v>
      </c>
      <c r="K127" s="79"/>
      <c r="L127" s="80"/>
      <c r="M127" s="6"/>
      <c r="N127" s="97"/>
      <c r="O127" s="6"/>
      <c r="P127" s="6"/>
      <c r="Q127" s="6"/>
      <c r="R127" s="6"/>
      <c r="S127" s="9">
        <f>IFERROR(__xludf.DUMMYFUNCTION("""COMPUTED_VALUE"""),3244.926103520207)</f>
        <v>3244.926104</v>
      </c>
      <c r="T127" s="9">
        <f>IFERROR(__xludf.DUMMYFUNCTION("""COMPUTED_VALUE"""),4054.8450117909815)</f>
        <v>4054.845012</v>
      </c>
      <c r="U127" s="9"/>
      <c r="V127" s="79">
        <f t="shared" si="15"/>
        <v>7299.771115</v>
      </c>
      <c r="W127" s="80">
        <f t="shared" si="7"/>
        <v>2775875.922</v>
      </c>
      <c r="X127" s="81">
        <f t="shared" si="2"/>
        <v>0.1973578076</v>
      </c>
      <c r="Y127" s="82">
        <f t="shared" si="19"/>
        <v>4892336.368</v>
      </c>
      <c r="Z127" s="6"/>
      <c r="AA127" s="83">
        <f t="shared" si="8"/>
        <v>10887.68724</v>
      </c>
      <c r="AB127" s="84">
        <f t="shared" si="9"/>
        <v>2623335.481</v>
      </c>
      <c r="AC127" s="79">
        <f t="shared" si="12"/>
        <v>10954.07088</v>
      </c>
      <c r="AD127" s="85">
        <f t="shared" si="10"/>
        <v>2584764.551</v>
      </c>
      <c r="AE127" s="81">
        <v>0.25</v>
      </c>
      <c r="AF127" s="82">
        <f t="shared" si="17"/>
        <v>4392582.424</v>
      </c>
      <c r="AG127" s="6"/>
      <c r="AH127" s="6"/>
      <c r="AI127" s="6"/>
      <c r="AJ127" s="6"/>
      <c r="AK127" s="6"/>
      <c r="AL127" s="6"/>
      <c r="AM127" s="6"/>
      <c r="AN127" s="6"/>
      <c r="AO127" s="6"/>
      <c r="AP127" s="6"/>
    </row>
    <row r="128" ht="11.25" customHeight="1">
      <c r="A128" s="7"/>
      <c r="B128" s="68">
        <f t="shared" si="16"/>
        <v>123</v>
      </c>
      <c r="C128" s="86">
        <f t="shared" si="20"/>
        <v>7299.771115</v>
      </c>
      <c r="D128" s="84">
        <f t="shared" si="5"/>
        <v>1947756.496</v>
      </c>
      <c r="E128" s="79"/>
      <c r="F128" s="79"/>
      <c r="G128" s="79">
        <f>IFERROR(__xludf.DUMMYFUNCTION("""COMPUTED_VALUE"""),4309.253843642654)</f>
        <v>4309.253844</v>
      </c>
      <c r="H128" s="84">
        <f>IFERROR(__xludf.DUMMYFUNCTION("""COMPUTED_VALUE"""),418198.99182303244)</f>
        <v>418198.9918</v>
      </c>
      <c r="I128" s="79">
        <f>IFERROR(__xludf.DUMMYFUNCTION("""COMPUTED_VALUE"""),11417.485672976876)</f>
        <v>11417.48567</v>
      </c>
      <c r="J128" s="80">
        <f>IFERROR(__xludf.DUMMYFUNCTION("""COMPUTED_VALUE"""),1355820.6198734601)</f>
        <v>1355820.62</v>
      </c>
      <c r="K128" s="79"/>
      <c r="L128" s="80"/>
      <c r="M128" s="6"/>
      <c r="N128" s="97"/>
      <c r="O128" s="6"/>
      <c r="P128" s="6"/>
      <c r="Q128" s="6"/>
      <c r="R128" s="6"/>
      <c r="S128" s="9">
        <f>IFERROR(__xludf.DUMMYFUNCTION("""COMPUTED_VALUE"""),3267.2538436425384)</f>
        <v>3267.253844</v>
      </c>
      <c r="T128" s="9">
        <f>IFERROR(__xludf.DUMMYFUNCTION("""COMPUTED_VALUE"""),4093.4856729768217)</f>
        <v>4093.485673</v>
      </c>
      <c r="U128" s="9"/>
      <c r="V128" s="79">
        <f t="shared" si="15"/>
        <v>7360.739517</v>
      </c>
      <c r="W128" s="80">
        <f t="shared" si="7"/>
        <v>2783236.662</v>
      </c>
      <c r="X128" s="81">
        <f t="shared" si="2"/>
        <v>0.1977749145</v>
      </c>
      <c r="Y128" s="82">
        <f t="shared" si="19"/>
        <v>4915423.847</v>
      </c>
      <c r="Z128" s="6"/>
      <c r="AA128" s="83">
        <f t="shared" si="8"/>
        <v>10954.07088</v>
      </c>
      <c r="AB128" s="84">
        <f t="shared" si="9"/>
        <v>2634289.551</v>
      </c>
      <c r="AC128" s="79">
        <f t="shared" si="12"/>
        <v>11020.77291</v>
      </c>
      <c r="AD128" s="85">
        <f t="shared" si="10"/>
        <v>2595785.324</v>
      </c>
      <c r="AE128" s="81">
        <v>0.25</v>
      </c>
      <c r="AF128" s="82">
        <f t="shared" si="17"/>
        <v>4419329.936</v>
      </c>
      <c r="AG128" s="6"/>
      <c r="AH128" s="6"/>
      <c r="AI128" s="6"/>
      <c r="AJ128" s="6"/>
      <c r="AK128" s="6"/>
      <c r="AL128" s="6"/>
      <c r="AM128" s="6"/>
      <c r="AN128" s="6"/>
      <c r="AO128" s="6"/>
      <c r="AP128" s="6"/>
    </row>
    <row r="129" ht="11.25" customHeight="1">
      <c r="A129" s="7"/>
      <c r="B129" s="68">
        <f t="shared" si="16"/>
        <v>124</v>
      </c>
      <c r="C129" s="86">
        <f t="shared" si="20"/>
        <v>7360.739517</v>
      </c>
      <c r="D129" s="84">
        <f t="shared" si="5"/>
        <v>1955117.236</v>
      </c>
      <c r="E129" s="79"/>
      <c r="F129" s="79"/>
      <c r="G129" s="79">
        <f>IFERROR(__xludf.DUMMYFUNCTION("""COMPUTED_VALUE"""),4331.6978740782915)</f>
        <v>4331.697874</v>
      </c>
      <c r="H129" s="84">
        <f>IFERROR(__xludf.DUMMYFUNCTION("""COMPUTED_VALUE"""),422530.68969711073)</f>
        <v>422530.6897</v>
      </c>
      <c r="I129" s="79">
        <f>IFERROR(__xludf.DUMMYFUNCTION("""COMPUTED_VALUE"""),11456.257551408027)</f>
        <v>11456.25755</v>
      </c>
      <c r="J129" s="80">
        <f>IFERROR(__xludf.DUMMYFUNCTION("""COMPUTED_VALUE"""),1367276.8774248683)</f>
        <v>1367276.877</v>
      </c>
      <c r="K129" s="79"/>
      <c r="L129" s="80"/>
      <c r="M129" s="6"/>
      <c r="N129" s="97"/>
      <c r="O129" s="6"/>
      <c r="P129" s="6"/>
      <c r="Q129" s="6"/>
      <c r="R129" s="6"/>
      <c r="S129" s="9">
        <f>IFERROR(__xludf.DUMMYFUNCTION("""COMPUTED_VALUE"""),3289.6978740782943)</f>
        <v>3289.697874</v>
      </c>
      <c r="T129" s="9">
        <f>IFERROR(__xludf.DUMMYFUNCTION("""COMPUTED_VALUE"""),4132.25755140814)</f>
        <v>4132.257551</v>
      </c>
      <c r="U129" s="9"/>
      <c r="V129" s="79">
        <f t="shared" si="15"/>
        <v>7421.955425</v>
      </c>
      <c r="W129" s="80">
        <f t="shared" si="7"/>
        <v>2790658.617</v>
      </c>
      <c r="X129" s="81">
        <f t="shared" si="2"/>
        <v>0.1981870349</v>
      </c>
      <c r="Y129" s="82">
        <f t="shared" si="19"/>
        <v>4938633.758</v>
      </c>
      <c r="Z129" s="6"/>
      <c r="AA129" s="83">
        <f t="shared" si="8"/>
        <v>11020.77291</v>
      </c>
      <c r="AB129" s="84">
        <f t="shared" si="9"/>
        <v>2645310.324</v>
      </c>
      <c r="AC129" s="79">
        <f t="shared" si="12"/>
        <v>11087.79473</v>
      </c>
      <c r="AD129" s="85">
        <f t="shared" si="10"/>
        <v>2606873.119</v>
      </c>
      <c r="AE129" s="81">
        <v>0.25</v>
      </c>
      <c r="AF129" s="82">
        <f t="shared" si="17"/>
        <v>4446205.686</v>
      </c>
      <c r="AG129" s="6"/>
      <c r="AH129" s="6"/>
      <c r="AI129" s="6"/>
      <c r="AJ129" s="6"/>
      <c r="AK129" s="6"/>
      <c r="AL129" s="6"/>
      <c r="AM129" s="6"/>
      <c r="AN129" s="6"/>
      <c r="AO129" s="6"/>
      <c r="AP129" s="6"/>
    </row>
    <row r="130" ht="11.25" customHeight="1">
      <c r="A130" s="7"/>
      <c r="B130" s="68">
        <f t="shared" si="16"/>
        <v>125</v>
      </c>
      <c r="C130" s="86">
        <f t="shared" si="20"/>
        <v>7421.955425</v>
      </c>
      <c r="D130" s="84">
        <f t="shared" si="5"/>
        <v>1962539.191</v>
      </c>
      <c r="E130" s="79"/>
      <c r="F130" s="79"/>
      <c r="G130" s="79">
        <f>IFERROR(__xludf.DUMMYFUNCTION("""COMPUTED_VALUE"""),4354.258800505783)</f>
        <v>4354.258801</v>
      </c>
      <c r="H130" s="84">
        <f>IFERROR(__xludf.DUMMYFUNCTION("""COMPUTED_VALUE"""),426884.9484976165)</f>
        <v>426884.9485</v>
      </c>
      <c r="I130" s="79">
        <f>IFERROR(__xludf.DUMMYFUNCTION("""COMPUTED_VALUE"""),11495.16109267635)</f>
        <v>11495.16109</v>
      </c>
      <c r="J130" s="80">
        <f>IFERROR(__xludf.DUMMYFUNCTION("""COMPUTED_VALUE"""),1378772.0385175447)</f>
        <v>1378772.039</v>
      </c>
      <c r="K130" s="79"/>
      <c r="L130" s="80"/>
      <c r="M130" s="6"/>
      <c r="N130" s="97"/>
      <c r="O130" s="6"/>
      <c r="P130" s="6"/>
      <c r="Q130" s="6"/>
      <c r="R130" s="6"/>
      <c r="S130" s="9">
        <f>IFERROR(__xludf.DUMMYFUNCTION("""COMPUTED_VALUE"""),3312.2588005058933)</f>
        <v>3312.258801</v>
      </c>
      <c r="T130" s="9">
        <f>IFERROR(__xludf.DUMMYFUNCTION("""COMPUTED_VALUE"""),4171.161092676455)</f>
        <v>4171.161093</v>
      </c>
      <c r="U130" s="9"/>
      <c r="V130" s="79">
        <f t="shared" si="15"/>
        <v>7483.419893</v>
      </c>
      <c r="W130" s="80">
        <f t="shared" si="7"/>
        <v>2798142.037</v>
      </c>
      <c r="X130" s="81">
        <f t="shared" si="2"/>
        <v>0.1985942223</v>
      </c>
      <c r="Y130" s="82">
        <f t="shared" si="19"/>
        <v>4961966.598</v>
      </c>
      <c r="Z130" s="6"/>
      <c r="AA130" s="83">
        <f t="shared" si="8"/>
        <v>11087.79473</v>
      </c>
      <c r="AB130" s="84">
        <f t="shared" si="9"/>
        <v>2656398.119</v>
      </c>
      <c r="AC130" s="79">
        <f t="shared" si="12"/>
        <v>11155.13777</v>
      </c>
      <c r="AD130" s="85">
        <f t="shared" si="10"/>
        <v>2618028.257</v>
      </c>
      <c r="AE130" s="81">
        <v>0.25</v>
      </c>
      <c r="AF130" s="82">
        <f t="shared" si="17"/>
        <v>4473210.244</v>
      </c>
      <c r="AG130" s="6"/>
      <c r="AH130" s="6"/>
      <c r="AI130" s="6"/>
      <c r="AJ130" s="6"/>
      <c r="AK130" s="6"/>
      <c r="AL130" s="6"/>
      <c r="AM130" s="6"/>
      <c r="AN130" s="6"/>
      <c r="AO130" s="6"/>
      <c r="AP130" s="6"/>
    </row>
    <row r="131" ht="11.25" customHeight="1">
      <c r="A131" s="7"/>
      <c r="B131" s="68">
        <f t="shared" si="16"/>
        <v>126</v>
      </c>
      <c r="C131" s="86">
        <f t="shared" si="20"/>
        <v>7483.419893</v>
      </c>
      <c r="D131" s="84">
        <f t="shared" si="5"/>
        <v>1970022.611</v>
      </c>
      <c r="E131" s="79"/>
      <c r="F131" s="79"/>
      <c r="G131" s="79">
        <f>IFERROR(__xludf.DUMMYFUNCTION("""COMPUTED_VALUE"""),4376.9372317584175)</f>
        <v>4376.937232</v>
      </c>
      <c r="H131" s="84">
        <f>IFERROR(__xludf.DUMMYFUNCTION("""COMPUTED_VALUE"""),431261.88572937495)</f>
        <v>431261.8857</v>
      </c>
      <c r="I131" s="79">
        <f>IFERROR(__xludf.DUMMYFUNCTION("""COMPUTED_VALUE"""),11534.196743886896)</f>
        <v>11534.19674</v>
      </c>
      <c r="J131" s="80">
        <f>IFERROR(__xludf.DUMMYFUNCTION("""COMPUTED_VALUE"""),1390306.2352614317)</f>
        <v>1390306.235</v>
      </c>
      <c r="K131" s="79"/>
      <c r="L131" s="80"/>
      <c r="M131" s="6"/>
      <c r="N131" s="97"/>
      <c r="O131" s="6"/>
      <c r="P131" s="6"/>
      <c r="Q131" s="6"/>
      <c r="R131" s="6"/>
      <c r="S131" s="9">
        <f>IFERROR(__xludf.DUMMYFUNCTION("""COMPUTED_VALUE"""),3334.9372317583766)</f>
        <v>3334.937232</v>
      </c>
      <c r="T131" s="9">
        <f>IFERROR(__xludf.DUMMYFUNCTION("""COMPUTED_VALUE"""),4210.196743886918)</f>
        <v>4210.196744</v>
      </c>
      <c r="U131" s="9"/>
      <c r="V131" s="79">
        <f t="shared" si="15"/>
        <v>7545.133976</v>
      </c>
      <c r="W131" s="80">
        <f t="shared" si="7"/>
        <v>2805687.171</v>
      </c>
      <c r="X131" s="81">
        <f t="shared" si="2"/>
        <v>0.1989965297</v>
      </c>
      <c r="Y131" s="82">
        <f t="shared" si="19"/>
        <v>4985422.866</v>
      </c>
      <c r="Z131" s="6"/>
      <c r="AA131" s="83">
        <f t="shared" si="8"/>
        <v>11155.13777</v>
      </c>
      <c r="AB131" s="84">
        <f t="shared" si="9"/>
        <v>2667553.257</v>
      </c>
      <c r="AC131" s="79">
        <f t="shared" si="12"/>
        <v>11222.80344</v>
      </c>
      <c r="AD131" s="85">
        <f t="shared" si="10"/>
        <v>2629251.06</v>
      </c>
      <c r="AE131" s="81">
        <v>0.25</v>
      </c>
      <c r="AF131" s="82">
        <f t="shared" si="17"/>
        <v>4500344.181</v>
      </c>
      <c r="AG131" s="6"/>
      <c r="AH131" s="6"/>
      <c r="AI131" s="6"/>
      <c r="AJ131" s="6"/>
      <c r="AK131" s="6"/>
      <c r="AL131" s="6"/>
      <c r="AM131" s="6"/>
      <c r="AN131" s="6"/>
      <c r="AO131" s="6"/>
      <c r="AP131" s="6"/>
    </row>
    <row r="132" ht="11.25" customHeight="1">
      <c r="A132" s="7"/>
      <c r="B132" s="68">
        <f t="shared" si="16"/>
        <v>127</v>
      </c>
      <c r="C132" s="86">
        <f t="shared" si="20"/>
        <v>7545.133976</v>
      </c>
      <c r="D132" s="84">
        <f t="shared" si="5"/>
        <v>1977567.745</v>
      </c>
      <c r="E132" s="79"/>
      <c r="F132" s="79"/>
      <c r="G132" s="79">
        <f>IFERROR(__xludf.DUMMYFUNCTION("""COMPUTED_VALUE"""),4399.733779840492)</f>
        <v>4399.73378</v>
      </c>
      <c r="H132" s="84">
        <f>IFERROR(__xludf.DUMMYFUNCTION("""COMPUTED_VALUE"""),435661.61950921547)</f>
        <v>435661.6195</v>
      </c>
      <c r="I132" s="79">
        <f>IFERROR(__xludf.DUMMYFUNCTION("""COMPUTED_VALUE"""),11573.364953663015)</f>
        <v>11573.36495</v>
      </c>
      <c r="J132" s="80">
        <f>IFERROR(__xludf.DUMMYFUNCTION("""COMPUTED_VALUE"""),1401879.6002150946)</f>
        <v>1401879.6</v>
      </c>
      <c r="K132" s="79"/>
      <c r="L132" s="80"/>
      <c r="M132" s="6"/>
      <c r="N132" s="97"/>
      <c r="O132" s="6"/>
      <c r="P132" s="6"/>
      <c r="Q132" s="6"/>
      <c r="R132" s="6"/>
      <c r="S132" s="9">
        <f>IFERROR(__xludf.DUMMYFUNCTION("""COMPUTED_VALUE"""),3357.7337798405206)</f>
        <v>3357.73378</v>
      </c>
      <c r="T132" s="9">
        <f>IFERROR(__xludf.DUMMYFUNCTION("""COMPUTED_VALUE"""),4249.364953662967)</f>
        <v>4249.364954</v>
      </c>
      <c r="U132" s="9"/>
      <c r="V132" s="79">
        <f t="shared" si="15"/>
        <v>7607.098734</v>
      </c>
      <c r="W132" s="80">
        <f t="shared" si="7"/>
        <v>2813294.27</v>
      </c>
      <c r="X132" s="81">
        <f t="shared" si="2"/>
        <v>0.1993940096</v>
      </c>
      <c r="Y132" s="82">
        <f t="shared" si="19"/>
        <v>5009003.063</v>
      </c>
      <c r="Z132" s="6"/>
      <c r="AA132" s="83">
        <f t="shared" si="8"/>
        <v>11222.80344</v>
      </c>
      <c r="AB132" s="84">
        <f t="shared" si="9"/>
        <v>2678776.06</v>
      </c>
      <c r="AC132" s="79">
        <f t="shared" si="12"/>
        <v>11290.7932</v>
      </c>
      <c r="AD132" s="85">
        <f t="shared" si="10"/>
        <v>2640541.854</v>
      </c>
      <c r="AE132" s="81">
        <v>0.25</v>
      </c>
      <c r="AF132" s="82">
        <f t="shared" si="17"/>
        <v>4527608.073</v>
      </c>
      <c r="AG132" s="6"/>
      <c r="AH132" s="6"/>
      <c r="AI132" s="6"/>
      <c r="AJ132" s="6"/>
      <c r="AK132" s="6"/>
      <c r="AL132" s="6"/>
      <c r="AM132" s="6"/>
      <c r="AN132" s="6"/>
      <c r="AO132" s="6"/>
      <c r="AP132" s="6"/>
    </row>
    <row r="133" ht="11.25" customHeight="1">
      <c r="A133" s="7"/>
      <c r="B133" s="68">
        <f t="shared" si="16"/>
        <v>128</v>
      </c>
      <c r="C133" s="86">
        <f t="shared" si="20"/>
        <v>7607.098734</v>
      </c>
      <c r="D133" s="84">
        <f t="shared" si="5"/>
        <v>1985174.844</v>
      </c>
      <c r="E133" s="79"/>
      <c r="F133" s="79"/>
      <c r="G133" s="79">
        <f>IFERROR(__xludf.DUMMYFUNCTION("""COMPUTED_VALUE"""),4422.649059943828)</f>
        <v>4422.64906</v>
      </c>
      <c r="H133" s="84">
        <f>IFERROR(__xludf.DUMMYFUNCTION("""COMPUTED_VALUE"""),440084.2685691593)</f>
        <v>440084.2686</v>
      </c>
      <c r="I133" s="79">
        <f>IFERROR(__xludf.DUMMYFUNCTION("""COMPUTED_VALUE"""),11612.666172151494)</f>
        <v>11612.66617</v>
      </c>
      <c r="J133" s="80">
        <f>IFERROR(__xludf.DUMMYFUNCTION("""COMPUTED_VALUE"""),1413492.266387246)</f>
        <v>1413492.266</v>
      </c>
      <c r="K133" s="79"/>
      <c r="L133" s="80"/>
      <c r="M133" s="6"/>
      <c r="N133" s="97"/>
      <c r="O133" s="6"/>
      <c r="P133" s="6"/>
      <c r="Q133" s="6"/>
      <c r="R133" s="6"/>
      <c r="S133" s="9">
        <f>IFERROR(__xludf.DUMMYFUNCTION("""COMPUTED_VALUE"""),3380.649059943855)</f>
        <v>3380.64906</v>
      </c>
      <c r="T133" s="9">
        <f>IFERROR(__xludf.DUMMYFUNCTION("""COMPUTED_VALUE"""),4288.666172151454)</f>
        <v>4288.666172</v>
      </c>
      <c r="U133" s="9"/>
      <c r="V133" s="79">
        <f t="shared" si="15"/>
        <v>7669.315232</v>
      </c>
      <c r="W133" s="80">
        <f t="shared" si="7"/>
        <v>2820963.585</v>
      </c>
      <c r="X133" s="81">
        <f t="shared" si="2"/>
        <v>0.1997867138</v>
      </c>
      <c r="Y133" s="82">
        <f t="shared" si="19"/>
        <v>5032707.694</v>
      </c>
      <c r="Z133" s="6"/>
      <c r="AA133" s="83">
        <f t="shared" si="8"/>
        <v>11290.7932</v>
      </c>
      <c r="AB133" s="84">
        <f t="shared" si="9"/>
        <v>2690066.854</v>
      </c>
      <c r="AC133" s="79">
        <f t="shared" si="12"/>
        <v>11359.10847</v>
      </c>
      <c r="AD133" s="85">
        <f t="shared" si="10"/>
        <v>2651900.962</v>
      </c>
      <c r="AE133" s="81">
        <v>0.25</v>
      </c>
      <c r="AF133" s="82">
        <f t="shared" si="17"/>
        <v>4555002.497</v>
      </c>
      <c r="AG133" s="6"/>
      <c r="AH133" s="6"/>
      <c r="AI133" s="6"/>
      <c r="AJ133" s="6"/>
      <c r="AK133" s="6"/>
      <c r="AL133" s="6"/>
      <c r="AM133" s="6"/>
      <c r="AN133" s="6"/>
      <c r="AO133" s="6"/>
      <c r="AP133" s="6"/>
    </row>
    <row r="134" ht="11.25" customHeight="1">
      <c r="A134" s="7"/>
      <c r="B134" s="68">
        <f t="shared" si="16"/>
        <v>129</v>
      </c>
      <c r="C134" s="86">
        <f t="shared" si="20"/>
        <v>7669.315232</v>
      </c>
      <c r="D134" s="84">
        <f t="shared" si="5"/>
        <v>1992844.159</v>
      </c>
      <c r="E134" s="79"/>
      <c r="F134" s="79"/>
      <c r="G134" s="79">
        <f>IFERROR(__xludf.DUMMYFUNCTION("""COMPUTED_VALUE"""),4445.683690464369)</f>
        <v>4445.68369</v>
      </c>
      <c r="H134" s="84">
        <f>IFERROR(__xludf.DUMMYFUNCTION("""COMPUTED_VALUE"""),444529.9522596237)</f>
        <v>444529.9523</v>
      </c>
      <c r="I134" s="79">
        <f>IFERROR(__xludf.DUMMYFUNCTION("""COMPUTED_VALUE"""),11652.100851027757)</f>
        <v>11652.10085</v>
      </c>
      <c r="J134" s="80">
        <f>IFERROR(__xludf.DUMMYFUNCTION("""COMPUTED_VALUE"""),1425144.3672382738)</f>
        <v>1425144.367</v>
      </c>
      <c r="K134" s="79"/>
      <c r="L134" s="80"/>
      <c r="M134" s="6"/>
      <c r="N134" s="97"/>
      <c r="O134" s="6"/>
      <c r="P134" s="6"/>
      <c r="Q134" s="6"/>
      <c r="R134" s="6"/>
      <c r="S134" s="9">
        <f>IFERROR(__xludf.DUMMYFUNCTION("""COMPUTED_VALUE"""),3403.683690464357)</f>
        <v>3403.68369</v>
      </c>
      <c r="T134" s="9">
        <f>IFERROR(__xludf.DUMMYFUNCTION("""COMPUTED_VALUE"""),4328.100851027761)</f>
        <v>4328.100851</v>
      </c>
      <c r="U134" s="9"/>
      <c r="V134" s="79">
        <f t="shared" si="15"/>
        <v>7731.784541</v>
      </c>
      <c r="W134" s="80">
        <f t="shared" si="7"/>
        <v>2828695.37</v>
      </c>
      <c r="X134" s="81">
        <f t="shared" si="2"/>
        <v>0.2001746939</v>
      </c>
      <c r="Y134" s="82">
        <f t="shared" si="19"/>
        <v>5056537.263</v>
      </c>
      <c r="Z134" s="6"/>
      <c r="AA134" s="83">
        <f t="shared" si="8"/>
        <v>11359.10847</v>
      </c>
      <c r="AB134" s="84">
        <f t="shared" si="9"/>
        <v>2701425.962</v>
      </c>
      <c r="AC134" s="79">
        <f t="shared" si="12"/>
        <v>11427.7507</v>
      </c>
      <c r="AD134" s="85">
        <f t="shared" si="10"/>
        <v>2663328.713</v>
      </c>
      <c r="AE134" s="81">
        <v>0.25</v>
      </c>
      <c r="AF134" s="82">
        <f t="shared" si="17"/>
        <v>4582528.032</v>
      </c>
      <c r="AG134" s="6"/>
      <c r="AH134" s="6"/>
      <c r="AI134" s="6"/>
      <c r="AJ134" s="6"/>
      <c r="AK134" s="6"/>
      <c r="AL134" s="6"/>
      <c r="AM134" s="6"/>
      <c r="AN134" s="6"/>
      <c r="AO134" s="6"/>
      <c r="AP134" s="6"/>
    </row>
    <row r="135" ht="11.25" customHeight="1">
      <c r="A135" s="7"/>
      <c r="B135" s="68">
        <f t="shared" si="16"/>
        <v>130</v>
      </c>
      <c r="C135" s="86">
        <f t="shared" si="20"/>
        <v>7731.784541</v>
      </c>
      <c r="D135" s="84">
        <f t="shared" si="5"/>
        <v>2000575.944</v>
      </c>
      <c r="E135" s="79"/>
      <c r="F135" s="79"/>
      <c r="G135" s="79">
        <f>IFERROR(__xludf.DUMMYFUNCTION("""COMPUTED_VALUE"""),4468.838293018871)</f>
        <v>4468.838293</v>
      </c>
      <c r="H135" s="84">
        <f>IFERROR(__xludf.DUMMYFUNCTION("""COMPUTED_VALUE"""),448998.79055264255)</f>
        <v>448998.7906</v>
      </c>
      <c r="I135" s="79">
        <f>IFERROR(__xludf.DUMMYFUNCTION("""COMPUTED_VALUE"""),11691.66944350104)</f>
        <v>11691.66944</v>
      </c>
      <c r="J135" s="80">
        <f>IFERROR(__xludf.DUMMYFUNCTION("""COMPUTED_VALUE"""),1436836.0366817748)</f>
        <v>1436836.037</v>
      </c>
      <c r="K135" s="79"/>
      <c r="L135" s="80"/>
      <c r="M135" s="6"/>
      <c r="N135" s="97"/>
      <c r="O135" s="6"/>
      <c r="P135" s="6"/>
      <c r="Q135" s="6"/>
      <c r="R135" s="6"/>
      <c r="S135" s="9">
        <f>IFERROR(__xludf.DUMMYFUNCTION("""COMPUTED_VALUE"""),3426.8382930188673)</f>
        <v>3426.838293</v>
      </c>
      <c r="T135" s="9">
        <f>IFERROR(__xludf.DUMMYFUNCTION("""COMPUTED_VALUE"""),4367.669443500927)</f>
        <v>4367.669444</v>
      </c>
      <c r="U135" s="9"/>
      <c r="V135" s="79">
        <f t="shared" si="15"/>
        <v>7794.507737</v>
      </c>
      <c r="W135" s="80">
        <f t="shared" si="7"/>
        <v>2836489.877</v>
      </c>
      <c r="X135" s="81">
        <f t="shared" si="2"/>
        <v>0.2005580006</v>
      </c>
      <c r="Y135" s="82">
        <f t="shared" si="19"/>
        <v>5080492.278</v>
      </c>
      <c r="Z135" s="6"/>
      <c r="AA135" s="83">
        <f t="shared" si="8"/>
        <v>11427.7507</v>
      </c>
      <c r="AB135" s="84">
        <f t="shared" si="9"/>
        <v>2712853.713</v>
      </c>
      <c r="AC135" s="79">
        <f t="shared" si="12"/>
        <v>11496.72135</v>
      </c>
      <c r="AD135" s="85">
        <f t="shared" si="10"/>
        <v>2674825.434</v>
      </c>
      <c r="AE135" s="81">
        <v>0.25</v>
      </c>
      <c r="AF135" s="82">
        <f t="shared" si="17"/>
        <v>4610185.261</v>
      </c>
      <c r="AG135" s="6"/>
      <c r="AH135" s="6"/>
      <c r="AI135" s="6"/>
      <c r="AJ135" s="6"/>
      <c r="AK135" s="6"/>
      <c r="AL135" s="6"/>
      <c r="AM135" s="6"/>
      <c r="AN135" s="6"/>
      <c r="AO135" s="6"/>
      <c r="AP135" s="6"/>
    </row>
    <row r="136" ht="11.25" customHeight="1">
      <c r="A136" s="7"/>
      <c r="B136" s="68">
        <f t="shared" si="16"/>
        <v>131</v>
      </c>
      <c r="C136" s="86">
        <f t="shared" si="20"/>
        <v>7794.507737</v>
      </c>
      <c r="D136" s="84">
        <f t="shared" si="5"/>
        <v>2008370.451</v>
      </c>
      <c r="E136" s="79"/>
      <c r="F136" s="79"/>
      <c r="G136" s="79">
        <f>IFERROR(__xludf.DUMMYFUNCTION("""COMPUTED_VALUE"""),4492.113492461678)</f>
        <v>4492.113492</v>
      </c>
      <c r="H136" s="84">
        <f>IFERROR(__xludf.DUMMYFUNCTION("""COMPUTED_VALUE"""),453490.9040451042)</f>
        <v>453490.904</v>
      </c>
      <c r="I136" s="79">
        <f>IFERROR(__xludf.DUMMYFUNCTION("""COMPUTED_VALUE"""),11731.372404319594)</f>
        <v>11731.3724</v>
      </c>
      <c r="J136" s="80">
        <f>IFERROR(__xludf.DUMMYFUNCTION("""COMPUTED_VALUE"""),1448567.4090860945)</f>
        <v>1448567.409</v>
      </c>
      <c r="K136" s="79"/>
      <c r="L136" s="80"/>
      <c r="M136" s="6"/>
      <c r="N136" s="97"/>
      <c r="O136" s="6"/>
      <c r="P136" s="6"/>
      <c r="Q136" s="6"/>
      <c r="R136" s="6"/>
      <c r="S136" s="9">
        <f>IFERROR(__xludf.DUMMYFUNCTION("""COMPUTED_VALUE"""),3450.11349246162)</f>
        <v>3450.113492</v>
      </c>
      <c r="T136" s="9">
        <f>IFERROR(__xludf.DUMMYFUNCTION("""COMPUTED_VALUE"""),4407.3724043197)</f>
        <v>4407.372404</v>
      </c>
      <c r="U136" s="9"/>
      <c r="V136" s="79">
        <f t="shared" si="15"/>
        <v>7857.485897</v>
      </c>
      <c r="W136" s="80">
        <f t="shared" si="7"/>
        <v>2844347.363</v>
      </c>
      <c r="X136" s="81">
        <f t="shared" si="2"/>
        <v>0.2009366842</v>
      </c>
      <c r="Y136" s="82">
        <f t="shared" si="19"/>
        <v>5104573.25</v>
      </c>
      <c r="Z136" s="6"/>
      <c r="AA136" s="83">
        <f t="shared" si="8"/>
        <v>11496.72135</v>
      </c>
      <c r="AB136" s="84">
        <f t="shared" si="9"/>
        <v>2724350.434</v>
      </c>
      <c r="AC136" s="79">
        <f t="shared" si="12"/>
        <v>11566.02187</v>
      </c>
      <c r="AD136" s="85">
        <f t="shared" si="10"/>
        <v>2686391.456</v>
      </c>
      <c r="AE136" s="81">
        <v>0.25</v>
      </c>
      <c r="AF136" s="82">
        <f t="shared" si="17"/>
        <v>4637974.769</v>
      </c>
      <c r="AG136" s="6"/>
      <c r="AH136" s="6"/>
      <c r="AI136" s="6"/>
      <c r="AJ136" s="6"/>
      <c r="AK136" s="6"/>
      <c r="AL136" s="6"/>
      <c r="AM136" s="6"/>
      <c r="AN136" s="6"/>
      <c r="AO136" s="6"/>
      <c r="AP136" s="6"/>
    </row>
    <row r="137" ht="11.25" customHeight="1">
      <c r="A137" s="71"/>
      <c r="B137" s="72">
        <f t="shared" si="16"/>
        <v>132</v>
      </c>
      <c r="C137" s="86">
        <f t="shared" si="20"/>
        <v>7857.485897</v>
      </c>
      <c r="D137" s="88">
        <f t="shared" si="5"/>
        <v>2016227.937</v>
      </c>
      <c r="E137" s="90"/>
      <c r="F137" s="90"/>
      <c r="G137" s="89">
        <f>IFERROR(__xludf.DUMMYFUNCTION("""COMPUTED_VALUE"""),4515.509916901582)</f>
        <v>4515.509917</v>
      </c>
      <c r="H137" s="98">
        <f>IFERROR(__xludf.DUMMYFUNCTION("""COMPUTED_VALUE"""),458006.4139620058)</f>
        <v>458006.414</v>
      </c>
      <c r="I137" s="90">
        <f>IFERROR(__xludf.DUMMYFUNCTION("""COMPUTED_VALUE"""),11771.210189775931)</f>
        <v>11771.21019</v>
      </c>
      <c r="J137" s="91">
        <f>IFERROR(__xludf.DUMMYFUNCTION("""COMPUTED_VALUE"""),1460338.6192758705)</f>
        <v>1460338.619</v>
      </c>
      <c r="K137" s="90"/>
      <c r="L137" s="91"/>
      <c r="M137" s="6"/>
      <c r="N137" s="99"/>
      <c r="O137" s="10"/>
      <c r="P137" s="10"/>
      <c r="Q137" s="10"/>
      <c r="R137" s="10"/>
      <c r="S137" s="93">
        <f>IFERROR(__xludf.DUMMYFUNCTION("""COMPUTED_VALUE"""),3473.5099169015884)</f>
        <v>3473.509917</v>
      </c>
      <c r="T137" s="93">
        <f>IFERROR(__xludf.DUMMYFUNCTION("""COMPUTED_VALUE"""),4447.210189776029)</f>
        <v>4447.21019</v>
      </c>
      <c r="U137" s="93"/>
      <c r="V137" s="90">
        <f t="shared" si="15"/>
        <v>7920.720107</v>
      </c>
      <c r="W137" s="91">
        <f t="shared" si="7"/>
        <v>2852268.084</v>
      </c>
      <c r="X137" s="81">
        <f t="shared" si="2"/>
        <v>0.2013107945</v>
      </c>
      <c r="Y137" s="82">
        <f t="shared" si="19"/>
        <v>5128780.69</v>
      </c>
      <c r="Z137" s="6"/>
      <c r="AA137" s="83">
        <f t="shared" si="8"/>
        <v>11566.02187</v>
      </c>
      <c r="AB137" s="88">
        <f t="shared" si="9"/>
        <v>2735916.456</v>
      </c>
      <c r="AC137" s="90">
        <f t="shared" si="12"/>
        <v>11635.65372</v>
      </c>
      <c r="AD137" s="94">
        <f t="shared" si="10"/>
        <v>2698027.11</v>
      </c>
      <c r="AE137" s="81">
        <v>0.25</v>
      </c>
      <c r="AF137" s="82">
        <f t="shared" si="17"/>
        <v>4665897.143</v>
      </c>
      <c r="AG137" s="6"/>
      <c r="AH137" s="6"/>
      <c r="AI137" s="6"/>
      <c r="AJ137" s="6"/>
      <c r="AK137" s="6"/>
      <c r="AL137" s="6"/>
      <c r="AM137" s="6"/>
      <c r="AN137" s="6"/>
      <c r="AO137" s="6"/>
      <c r="AP137" s="6"/>
    </row>
    <row r="138" ht="11.25" customHeight="1">
      <c r="A138" s="100">
        <v>12.0</v>
      </c>
      <c r="B138" s="66">
        <f t="shared" si="16"/>
        <v>133</v>
      </c>
      <c r="C138" s="86">
        <f t="shared" si="20"/>
        <v>7920.720107</v>
      </c>
      <c r="D138" s="84">
        <f t="shared" si="5"/>
        <v>2024148.657</v>
      </c>
      <c r="E138" s="79"/>
      <c r="F138" s="79"/>
      <c r="G138" s="79">
        <f>IFERROR(__xludf.DUMMYFUNCTION("""COMPUTED_VALUE"""),4539.028197718778)</f>
        <v>4539.028198</v>
      </c>
      <c r="H138" s="84">
        <f>IFERROR(__xludf.DUMMYFUNCTION("""COMPUTED_VALUE"""),462545.4421597246)</f>
        <v>462545.4422</v>
      </c>
      <c r="I138" s="79">
        <f>IFERROR(__xludf.DUMMYFUNCTION("""COMPUTED_VALUE"""),11811.183257712044)</f>
        <v>11811.18326</v>
      </c>
      <c r="J138" s="80">
        <f>IFERROR(__xludf.DUMMYFUNCTION("""COMPUTED_VALUE"""),1472149.8025335826)</f>
        <v>1472149.803</v>
      </c>
      <c r="K138" s="79"/>
      <c r="L138" s="80"/>
      <c r="M138" s="6"/>
      <c r="N138" s="97"/>
      <c r="O138" s="6"/>
      <c r="P138" s="6"/>
      <c r="Q138" s="6"/>
      <c r="R138" s="6"/>
      <c r="S138" s="9">
        <f>IFERROR(__xludf.DUMMYFUNCTION("""COMPUTED_VALUE"""),3497.028197718784)</f>
        <v>3497.028198</v>
      </c>
      <c r="T138" s="9">
        <f>IFERROR(__xludf.DUMMYFUNCTION("""COMPUTED_VALUE"""),4487.183257712051)</f>
        <v>4487.183258</v>
      </c>
      <c r="U138" s="9"/>
      <c r="V138" s="79">
        <f t="shared" si="15"/>
        <v>7984.211455</v>
      </c>
      <c r="W138" s="80">
        <f t="shared" si="7"/>
        <v>2860252.295</v>
      </c>
      <c r="X138" s="81">
        <f t="shared" si="2"/>
        <v>0.2016803808</v>
      </c>
      <c r="Y138" s="82">
        <f t="shared" si="19"/>
        <v>5153115.113</v>
      </c>
      <c r="Z138" s="6"/>
      <c r="AA138" s="83">
        <f t="shared" si="8"/>
        <v>11635.65372</v>
      </c>
      <c r="AB138" s="84">
        <f t="shared" si="9"/>
        <v>2747552.11</v>
      </c>
      <c r="AC138" s="79">
        <f t="shared" si="12"/>
        <v>11705.61839</v>
      </c>
      <c r="AD138" s="95">
        <f t="shared" si="10"/>
        <v>2709732.728</v>
      </c>
      <c r="AE138" s="81">
        <v>0.25</v>
      </c>
      <c r="AF138" s="82">
        <f t="shared" si="17"/>
        <v>4693952.973</v>
      </c>
      <c r="AG138" s="6"/>
      <c r="AH138" s="6"/>
      <c r="AI138" s="6"/>
      <c r="AJ138" s="6"/>
      <c r="AK138" s="6"/>
      <c r="AL138" s="6"/>
      <c r="AM138" s="6"/>
      <c r="AN138" s="6"/>
      <c r="AO138" s="6"/>
      <c r="AP138" s="6"/>
    </row>
    <row r="139" ht="11.25" customHeight="1">
      <c r="A139" s="7"/>
      <c r="B139" s="68">
        <f t="shared" si="16"/>
        <v>134</v>
      </c>
      <c r="C139" s="86">
        <f t="shared" si="20"/>
        <v>7984.211455</v>
      </c>
      <c r="D139" s="84">
        <f t="shared" si="5"/>
        <v>2032132.869</v>
      </c>
      <c r="E139" s="79"/>
      <c r="F139" s="79"/>
      <c r="G139" s="79">
        <f>IFERROR(__xludf.DUMMYFUNCTION("""COMPUTED_VALUE"""),4562.668969581897)</f>
        <v>4562.66897</v>
      </c>
      <c r="H139" s="84">
        <f>IFERROR(__xludf.DUMMYFUNCTION("""COMPUTED_VALUE"""),467108.1111293065)</f>
        <v>467108.1111</v>
      </c>
      <c r="I139" s="79">
        <f>IFERROR(__xludf.DUMMYFUNCTION("""COMPUTED_VALUE"""),11851.292067524693)</f>
        <v>11851.29207</v>
      </c>
      <c r="J139" s="80">
        <f>IFERROR(__xludf.DUMMYFUNCTION("""COMPUTED_VALUE"""),1484001.0946011073)</f>
        <v>1484001.095</v>
      </c>
      <c r="K139" s="79"/>
      <c r="L139" s="80"/>
      <c r="M139" s="6"/>
      <c r="N139" s="97"/>
      <c r="O139" s="6"/>
      <c r="P139" s="6"/>
      <c r="Q139" s="6"/>
      <c r="R139" s="6"/>
      <c r="S139" s="9">
        <f>IFERROR(__xludf.DUMMYFUNCTION("""COMPUTED_VALUE"""),3520.6689695819514)</f>
        <v>3520.66897</v>
      </c>
      <c r="T139" s="9">
        <f>IFERROR(__xludf.DUMMYFUNCTION("""COMPUTED_VALUE"""),4527.292067524744)</f>
        <v>4527.292068</v>
      </c>
      <c r="U139" s="9"/>
      <c r="V139" s="79">
        <f t="shared" si="15"/>
        <v>8047.961037</v>
      </c>
      <c r="W139" s="80">
        <f t="shared" si="7"/>
        <v>2868300.256</v>
      </c>
      <c r="X139" s="81">
        <f t="shared" si="2"/>
        <v>0.2020454918</v>
      </c>
      <c r="Y139" s="82">
        <f t="shared" si="19"/>
        <v>5177577.035</v>
      </c>
      <c r="Z139" s="6"/>
      <c r="AA139" s="83">
        <f t="shared" si="8"/>
        <v>11705.61839</v>
      </c>
      <c r="AB139" s="84">
        <f t="shared" si="9"/>
        <v>2759257.728</v>
      </c>
      <c r="AC139" s="79">
        <f t="shared" si="12"/>
        <v>11775.91733</v>
      </c>
      <c r="AD139" s="85">
        <f t="shared" si="10"/>
        <v>2721508.645</v>
      </c>
      <c r="AE139" s="81">
        <v>0.25</v>
      </c>
      <c r="AF139" s="82">
        <f t="shared" si="17"/>
        <v>4722142.851</v>
      </c>
      <c r="AG139" s="6"/>
      <c r="AH139" s="6"/>
      <c r="AI139" s="6"/>
      <c r="AJ139" s="6"/>
      <c r="AK139" s="6"/>
      <c r="AL139" s="6"/>
      <c r="AM139" s="6"/>
      <c r="AN139" s="6"/>
      <c r="AO139" s="6"/>
      <c r="AP139" s="6"/>
    </row>
    <row r="140" ht="11.25" customHeight="1">
      <c r="A140" s="7"/>
      <c r="B140" s="68">
        <f t="shared" si="16"/>
        <v>135</v>
      </c>
      <c r="C140" s="86">
        <f t="shared" si="20"/>
        <v>8047.961037</v>
      </c>
      <c r="D140" s="84">
        <f t="shared" si="5"/>
        <v>2040180.83</v>
      </c>
      <c r="E140" s="79"/>
      <c r="F140" s="79"/>
      <c r="G140" s="79">
        <f>IFERROR(__xludf.DUMMYFUNCTION("""COMPUTED_VALUE"""),4586.432870465135)</f>
        <v>4586.43287</v>
      </c>
      <c r="H140" s="84">
        <f>IFERROR(__xludf.DUMMYFUNCTION("""COMPUTED_VALUE"""),471694.54399977165)</f>
        <v>471694.544</v>
      </c>
      <c r="I140" s="79">
        <f>IFERROR(__xludf.DUMMYFUNCTION("""COMPUTED_VALUE"""),11891.537080170663)</f>
        <v>11891.53708</v>
      </c>
      <c r="J140" s="80">
        <f>IFERROR(__xludf.DUMMYFUNCTION("""COMPUTED_VALUE"""),1495892.6316812779)</f>
        <v>1495892.632</v>
      </c>
      <c r="K140" s="79"/>
      <c r="L140" s="80"/>
      <c r="M140" s="6"/>
      <c r="N140" s="97"/>
      <c r="O140" s="6"/>
      <c r="P140" s="6"/>
      <c r="Q140" s="6"/>
      <c r="R140" s="6"/>
      <c r="S140" s="9">
        <f>IFERROR(__xludf.DUMMYFUNCTION("""COMPUTED_VALUE"""),3544.432870465098)</f>
        <v>3544.43287</v>
      </c>
      <c r="T140" s="9">
        <f>IFERROR(__xludf.DUMMYFUNCTION("""COMPUTED_VALUE"""),4567.537080170587)</f>
        <v>4567.53708</v>
      </c>
      <c r="U140" s="9"/>
      <c r="V140" s="79">
        <f t="shared" si="15"/>
        <v>8111.969951</v>
      </c>
      <c r="W140" s="80">
        <f t="shared" si="7"/>
        <v>2876412.226</v>
      </c>
      <c r="X140" s="81">
        <f t="shared" si="2"/>
        <v>0.2024061757</v>
      </c>
      <c r="Y140" s="82">
        <f t="shared" si="19"/>
        <v>5202166.975</v>
      </c>
      <c r="Z140" s="6"/>
      <c r="AA140" s="83">
        <f t="shared" si="8"/>
        <v>11775.91733</v>
      </c>
      <c r="AB140" s="84">
        <f t="shared" si="9"/>
        <v>2771033.645</v>
      </c>
      <c r="AC140" s="79">
        <f t="shared" si="12"/>
        <v>11846.55205</v>
      </c>
      <c r="AD140" s="85">
        <f t="shared" si="10"/>
        <v>2733355.197</v>
      </c>
      <c r="AE140" s="81">
        <v>0.25</v>
      </c>
      <c r="AF140" s="82">
        <f t="shared" si="17"/>
        <v>4750467.373</v>
      </c>
      <c r="AG140" s="6"/>
      <c r="AH140" s="6"/>
      <c r="AI140" s="6"/>
      <c r="AJ140" s="6"/>
      <c r="AK140" s="6"/>
      <c r="AL140" s="6"/>
      <c r="AM140" s="6"/>
      <c r="AN140" s="6"/>
      <c r="AO140" s="6"/>
      <c r="AP140" s="6"/>
    </row>
    <row r="141" ht="11.25" customHeight="1">
      <c r="A141" s="7"/>
      <c r="B141" s="68">
        <f t="shared" si="16"/>
        <v>136</v>
      </c>
      <c r="C141" s="86">
        <f t="shared" si="20"/>
        <v>8111.969951</v>
      </c>
      <c r="D141" s="84">
        <f t="shared" si="5"/>
        <v>2048292.8</v>
      </c>
      <c r="E141" s="79"/>
      <c r="F141" s="79"/>
      <c r="G141" s="79">
        <f>IFERROR(__xludf.DUMMYFUNCTION("""COMPUTED_VALUE"""),4610.320541665475)</f>
        <v>4610.320542</v>
      </c>
      <c r="H141" s="84">
        <f>IFERROR(__xludf.DUMMYFUNCTION("""COMPUTED_VALUE"""),476304.8645414371)</f>
        <v>476304.8645</v>
      </c>
      <c r="I141" s="79">
        <f>IFERROR(__xludf.DUMMYFUNCTION("""COMPUTED_VALUE"""),11931.918758172074)</f>
        <v>11931.91876</v>
      </c>
      <c r="J141" s="80">
        <f>IFERROR(__xludf.DUMMYFUNCTION("""COMPUTED_VALUE"""),1507824.55043945)</f>
        <v>1507824.55</v>
      </c>
      <c r="K141" s="79"/>
      <c r="L141" s="80"/>
      <c r="M141" s="6"/>
      <c r="N141" s="97"/>
      <c r="O141" s="6"/>
      <c r="P141" s="6"/>
      <c r="Q141" s="6"/>
      <c r="R141" s="6"/>
      <c r="S141" s="9">
        <f>IFERROR(__xludf.DUMMYFUNCTION("""COMPUTED_VALUE"""),3568.3205416654237)</f>
        <v>3568.320542</v>
      </c>
      <c r="T141" s="9">
        <f>IFERROR(__xludf.DUMMYFUNCTION("""COMPUTED_VALUE"""),4607.918758172076)</f>
        <v>4607.918758</v>
      </c>
      <c r="U141" s="9"/>
      <c r="V141" s="79">
        <f t="shared" si="15"/>
        <v>8176.2393</v>
      </c>
      <c r="W141" s="80">
        <f t="shared" si="7"/>
        <v>2884588.465</v>
      </c>
      <c r="X141" s="81">
        <f t="shared" si="2"/>
        <v>0.2027624803</v>
      </c>
      <c r="Y141" s="82">
        <f t="shared" si="19"/>
        <v>5226885.454</v>
      </c>
      <c r="Z141" s="6"/>
      <c r="AA141" s="83">
        <f t="shared" si="8"/>
        <v>11846.55205</v>
      </c>
      <c r="AB141" s="84">
        <f t="shared" si="9"/>
        <v>2782880.197</v>
      </c>
      <c r="AC141" s="79">
        <f t="shared" si="12"/>
        <v>11917.52403</v>
      </c>
      <c r="AD141" s="85">
        <f t="shared" si="10"/>
        <v>2745272.721</v>
      </c>
      <c r="AE141" s="81">
        <v>0.25</v>
      </c>
      <c r="AF141" s="82">
        <f t="shared" si="17"/>
        <v>4778927.136</v>
      </c>
      <c r="AG141" s="6"/>
      <c r="AH141" s="6"/>
      <c r="AI141" s="6"/>
      <c r="AJ141" s="6"/>
      <c r="AK141" s="6"/>
      <c r="AL141" s="6"/>
      <c r="AM141" s="6"/>
      <c r="AN141" s="6"/>
      <c r="AO141" s="6"/>
      <c r="AP141" s="6"/>
    </row>
    <row r="142" ht="11.25" customHeight="1">
      <c r="A142" s="7"/>
      <c r="B142" s="68">
        <f t="shared" si="16"/>
        <v>137</v>
      </c>
      <c r="C142" s="86">
        <f t="shared" si="20"/>
        <v>8176.2393</v>
      </c>
      <c r="D142" s="84">
        <f t="shared" si="5"/>
        <v>2056469.039</v>
      </c>
      <c r="E142" s="79"/>
      <c r="F142" s="79"/>
      <c r="G142" s="78">
        <f>IFERROR(__xludf.DUMMYFUNCTION("""COMPUTED_VALUE"""),4634.332627819982)</f>
        <v>4634.332628</v>
      </c>
      <c r="H142" s="101">
        <f>IFERROR(__xludf.DUMMYFUNCTION("""COMPUTED_VALUE"""),480939.1971692571)</f>
        <v>480939.1972</v>
      </c>
      <c r="I142" s="79">
        <f>IFERROR(__xludf.DUMMYFUNCTION("""COMPUTED_VALUE"""),11972.437565621702)</f>
        <v>11972.43757</v>
      </c>
      <c r="J142" s="80">
        <f>IFERROR(__xludf.DUMMYFUNCTION("""COMPUTED_VALUE"""),1519796.9880050716)</f>
        <v>1519796.988</v>
      </c>
      <c r="K142" s="79"/>
      <c r="L142" s="80"/>
      <c r="M142" s="6"/>
      <c r="N142" s="97"/>
      <c r="O142" s="6"/>
      <c r="P142" s="6"/>
      <c r="Q142" s="6"/>
      <c r="R142" s="6"/>
      <c r="S142" s="9">
        <f>IFERROR(__xludf.DUMMYFUNCTION("""COMPUTED_VALUE"""),3592.3326278199675)</f>
        <v>3592.332628</v>
      </c>
      <c r="T142" s="9">
        <f>IFERROR(__xludf.DUMMYFUNCTION("""COMPUTED_VALUE"""),4648.437565621687)</f>
        <v>4648.437566</v>
      </c>
      <c r="U142" s="9"/>
      <c r="V142" s="79">
        <f t="shared" si="15"/>
        <v>8240.770193</v>
      </c>
      <c r="W142" s="80">
        <f t="shared" si="7"/>
        <v>2892829.235</v>
      </c>
      <c r="X142" s="81">
        <f t="shared" si="2"/>
        <v>0.2031144529</v>
      </c>
      <c r="Y142" s="82">
        <f t="shared" si="19"/>
        <v>5251732.994</v>
      </c>
      <c r="Z142" s="6"/>
      <c r="AA142" s="83">
        <f t="shared" si="8"/>
        <v>11917.52403</v>
      </c>
      <c r="AB142" s="84">
        <f t="shared" si="9"/>
        <v>2794797.721</v>
      </c>
      <c r="AC142" s="79">
        <f t="shared" si="12"/>
        <v>11988.83477</v>
      </c>
      <c r="AD142" s="85">
        <f t="shared" si="10"/>
        <v>2757261.556</v>
      </c>
      <c r="AE142" s="81">
        <v>0.25</v>
      </c>
      <c r="AF142" s="82">
        <f t="shared" si="17"/>
        <v>4807522.741</v>
      </c>
      <c r="AG142" s="6"/>
      <c r="AH142" s="6"/>
      <c r="AI142" s="6"/>
      <c r="AJ142" s="6"/>
      <c r="AK142" s="6"/>
      <c r="AL142" s="6"/>
      <c r="AM142" s="6"/>
      <c r="AN142" s="6"/>
      <c r="AO142" s="6"/>
      <c r="AP142" s="6"/>
    </row>
    <row r="143" ht="11.25" customHeight="1">
      <c r="A143" s="7"/>
      <c r="B143" s="68">
        <f t="shared" si="16"/>
        <v>138</v>
      </c>
      <c r="C143" s="86">
        <f t="shared" si="20"/>
        <v>8240.770193</v>
      </c>
      <c r="D143" s="84">
        <f t="shared" si="5"/>
        <v>2064709.809</v>
      </c>
      <c r="E143" s="79"/>
      <c r="F143" s="79"/>
      <c r="G143" s="78">
        <f>IFERROR(__xludf.DUMMYFUNCTION("""COMPUTED_VALUE"""),4658.469776923212)</f>
        <v>4658.469777</v>
      </c>
      <c r="H143" s="101">
        <f>IFERROR(__xludf.DUMMYFUNCTION("""COMPUTED_VALUE"""),485597.6669461803)</f>
        <v>485597.6669</v>
      </c>
      <c r="I143" s="79">
        <f>IFERROR(__xludf.DUMMYFUNCTION("""COMPUTED_VALUE"""),12013.093968188292)</f>
        <v>12013.09397</v>
      </c>
      <c r="J143" s="80">
        <f>IFERROR(__xludf.DUMMYFUNCTION("""COMPUTED_VALUE"""),1531810.08197326)</f>
        <v>1531810.082</v>
      </c>
      <c r="K143" s="79"/>
      <c r="L143" s="80"/>
      <c r="M143" s="6"/>
      <c r="N143" s="97"/>
      <c r="O143" s="6"/>
      <c r="P143" s="6"/>
      <c r="Q143" s="6"/>
      <c r="R143" s="6"/>
      <c r="S143" s="9">
        <f>IFERROR(__xludf.DUMMYFUNCTION("""COMPUTED_VALUE"""),3616.469776923186)</f>
        <v>3616.469777</v>
      </c>
      <c r="T143" s="9">
        <f>IFERROR(__xludf.DUMMYFUNCTION("""COMPUTED_VALUE"""),4689.09396818839)</f>
        <v>4689.093968</v>
      </c>
      <c r="U143" s="9"/>
      <c r="V143" s="79">
        <f t="shared" si="15"/>
        <v>8305.563745</v>
      </c>
      <c r="W143" s="80">
        <f t="shared" si="7"/>
        <v>2901134.799</v>
      </c>
      <c r="X143" s="81">
        <f t="shared" si="2"/>
        <v>0.2034621401</v>
      </c>
      <c r="Y143" s="82">
        <f t="shared" si="19"/>
        <v>5276710.122</v>
      </c>
      <c r="Z143" s="6"/>
      <c r="AA143" s="83">
        <f t="shared" si="8"/>
        <v>11988.83477</v>
      </c>
      <c r="AB143" s="84">
        <f t="shared" si="9"/>
        <v>2806786.556</v>
      </c>
      <c r="AC143" s="79">
        <f t="shared" si="12"/>
        <v>12060.48576</v>
      </c>
      <c r="AD143" s="85">
        <f t="shared" si="10"/>
        <v>2769322.042</v>
      </c>
      <c r="AE143" s="81">
        <v>0.25</v>
      </c>
      <c r="AF143" s="82">
        <f t="shared" si="17"/>
        <v>4836254.791</v>
      </c>
      <c r="AG143" s="6"/>
      <c r="AH143" s="6"/>
      <c r="AI143" s="6"/>
      <c r="AJ143" s="6"/>
      <c r="AK143" s="6"/>
      <c r="AL143" s="6"/>
      <c r="AM143" s="6"/>
      <c r="AN143" s="6"/>
      <c r="AO143" s="6"/>
      <c r="AP143" s="6"/>
    </row>
    <row r="144" ht="11.25" customHeight="1">
      <c r="A144" s="7"/>
      <c r="B144" s="68">
        <f t="shared" si="16"/>
        <v>139</v>
      </c>
      <c r="C144" s="86">
        <f t="shared" si="20"/>
        <v>8305.563745</v>
      </c>
      <c r="D144" s="84">
        <f t="shared" si="5"/>
        <v>2073015.373</v>
      </c>
      <c r="E144" s="79"/>
      <c r="F144" s="79"/>
      <c r="G144" s="78">
        <f>IFERROR(__xludf.DUMMYFUNCTION("""COMPUTED_VALUE"""),4682.732640344687)</f>
        <v>4682.73264</v>
      </c>
      <c r="H144" s="101">
        <f>IFERROR(__xludf.DUMMYFUNCTION("""COMPUTED_VALUE"""),490280.399586525)</f>
        <v>490280.3996</v>
      </c>
      <c r="I144" s="79">
        <f>IFERROR(__xludf.DUMMYFUNCTION("""COMPUTED_VALUE"""),12053.88843312193)</f>
        <v>12053.88843</v>
      </c>
      <c r="J144" s="80">
        <f>IFERROR(__xludf.DUMMYFUNCTION("""COMPUTED_VALUE"""),1543863.9704063819)</f>
        <v>1543863.97</v>
      </c>
      <c r="K144" s="79"/>
      <c r="L144" s="80"/>
      <c r="M144" s="6"/>
      <c r="N144" s="97"/>
      <c r="O144" s="6"/>
      <c r="P144" s="6"/>
      <c r="Q144" s="6"/>
      <c r="R144" s="6"/>
      <c r="S144" s="9">
        <f>IFERROR(__xludf.DUMMYFUNCTION("""COMPUTED_VALUE"""),3640.7326403446496)</f>
        <v>3640.73264</v>
      </c>
      <c r="T144" s="9">
        <f>IFERROR(__xludf.DUMMYFUNCTION("""COMPUTED_VALUE"""),4729.888433121843)</f>
        <v>4729.888433</v>
      </c>
      <c r="U144" s="9"/>
      <c r="V144" s="79">
        <f t="shared" si="15"/>
        <v>8370.621073</v>
      </c>
      <c r="W144" s="80">
        <f t="shared" si="7"/>
        <v>2909505.42</v>
      </c>
      <c r="X144" s="81">
        <f t="shared" si="2"/>
        <v>0.2038055882</v>
      </c>
      <c r="Y144" s="82">
        <f t="shared" si="19"/>
        <v>5301817.364</v>
      </c>
      <c r="Z144" s="6"/>
      <c r="AA144" s="83">
        <f t="shared" si="8"/>
        <v>12060.48576</v>
      </c>
      <c r="AB144" s="84">
        <f t="shared" si="9"/>
        <v>2818847.042</v>
      </c>
      <c r="AC144" s="79">
        <f t="shared" si="12"/>
        <v>12132.47853</v>
      </c>
      <c r="AD144" s="85">
        <f t="shared" si="10"/>
        <v>2781454.521</v>
      </c>
      <c r="AE144" s="81">
        <v>0.25</v>
      </c>
      <c r="AF144" s="82">
        <f t="shared" si="17"/>
        <v>4865123.891</v>
      </c>
      <c r="AG144" s="6"/>
      <c r="AH144" s="6"/>
      <c r="AI144" s="6"/>
      <c r="AJ144" s="6"/>
      <c r="AK144" s="6"/>
      <c r="AL144" s="6"/>
      <c r="AM144" s="6"/>
      <c r="AN144" s="6"/>
      <c r="AO144" s="6"/>
      <c r="AP144" s="6"/>
    </row>
    <row r="145" ht="11.25" customHeight="1">
      <c r="A145" s="7"/>
      <c r="B145" s="68">
        <f t="shared" si="16"/>
        <v>140</v>
      </c>
      <c r="C145" s="86">
        <f t="shared" si="20"/>
        <v>8370.621073</v>
      </c>
      <c r="D145" s="84">
        <f t="shared" si="5"/>
        <v>2081385.994</v>
      </c>
      <c r="E145" s="79"/>
      <c r="F145" s="79"/>
      <c r="G145" s="78">
        <f>IFERROR(__xludf.DUMMYFUNCTION("""COMPUTED_VALUE"""),4707.121872846482)</f>
        <v>4707.121873</v>
      </c>
      <c r="H145" s="101">
        <f>IFERROR(__xludf.DUMMYFUNCTION("""COMPUTED_VALUE"""),494987.5214593715)</f>
        <v>494987.5215</v>
      </c>
      <c r="I145" s="79">
        <f>IFERROR(__xludf.DUMMYFUNCTION("""COMPUTED_VALUE"""),12094.821429259406)</f>
        <v>12094.82143</v>
      </c>
      <c r="J145" s="80">
        <f>IFERROR(__xludf.DUMMYFUNCTION("""COMPUTED_VALUE"""),1555958.7918356413)</f>
        <v>1555958.792</v>
      </c>
      <c r="K145" s="79"/>
      <c r="L145" s="80"/>
      <c r="M145" s="6"/>
      <c r="N145" s="97"/>
      <c r="O145" s="6"/>
      <c r="P145" s="6"/>
      <c r="Q145" s="6"/>
      <c r="R145" s="6"/>
      <c r="S145" s="9">
        <f>IFERROR(__xludf.DUMMYFUNCTION("""COMPUTED_VALUE"""),3665.121872846503)</f>
        <v>3665.121873</v>
      </c>
      <c r="T145" s="9">
        <f>IFERROR(__xludf.DUMMYFUNCTION("""COMPUTED_VALUE"""),4770.821429259377)</f>
        <v>4770.821429</v>
      </c>
      <c r="U145" s="9"/>
      <c r="V145" s="79">
        <f t="shared" si="15"/>
        <v>8435.943302</v>
      </c>
      <c r="W145" s="80">
        <f t="shared" si="7"/>
        <v>2917941.364</v>
      </c>
      <c r="X145" s="81">
        <f t="shared" si="2"/>
        <v>0.204144843</v>
      </c>
      <c r="Y145" s="82">
        <f t="shared" si="19"/>
        <v>5327055.251</v>
      </c>
      <c r="Z145" s="6"/>
      <c r="AA145" s="83">
        <f t="shared" si="8"/>
        <v>12132.47853</v>
      </c>
      <c r="AB145" s="84">
        <f t="shared" si="9"/>
        <v>2830979.521</v>
      </c>
      <c r="AC145" s="79">
        <f t="shared" si="12"/>
        <v>12204.81458</v>
      </c>
      <c r="AD145" s="85">
        <f t="shared" si="10"/>
        <v>2793659.335</v>
      </c>
      <c r="AE145" s="81">
        <v>0.25</v>
      </c>
      <c r="AF145" s="82">
        <f t="shared" si="17"/>
        <v>4894130.648</v>
      </c>
      <c r="AG145" s="6"/>
      <c r="AH145" s="6"/>
      <c r="AI145" s="6"/>
      <c r="AJ145" s="6"/>
      <c r="AK145" s="6"/>
      <c r="AL145" s="6"/>
      <c r="AM145" s="6"/>
      <c r="AN145" s="6"/>
      <c r="AO145" s="6"/>
      <c r="AP145" s="6"/>
    </row>
    <row r="146" ht="11.25" customHeight="1">
      <c r="A146" s="7"/>
      <c r="B146" s="68">
        <f t="shared" si="16"/>
        <v>141</v>
      </c>
      <c r="C146" s="86">
        <f t="shared" si="20"/>
        <v>8435.943302</v>
      </c>
      <c r="D146" s="84">
        <f t="shared" si="5"/>
        <v>2089821.937</v>
      </c>
      <c r="E146" s="79"/>
      <c r="F146" s="79"/>
      <c r="G146" s="78">
        <f>IFERROR(__xludf.DUMMYFUNCTION("""COMPUTED_VALUE"""),4731.638132600891)</f>
        <v>4731.638133</v>
      </c>
      <c r="H146" s="101">
        <f>IFERROR(__xludf.DUMMYFUNCTION("""COMPUTED_VALUE"""),499719.15959197236)</f>
        <v>499719.1596</v>
      </c>
      <c r="I146" s="79">
        <f>IFERROR(__xludf.DUMMYFUNCTION("""COMPUTED_VALUE"""),12135.893427029601)</f>
        <v>12135.89343</v>
      </c>
      <c r="J146" s="80">
        <f>IFERROR(__xludf.DUMMYFUNCTION("""COMPUTED_VALUE"""),1568094.6852626707)</f>
        <v>1568094.685</v>
      </c>
      <c r="K146" s="79"/>
      <c r="L146" s="80"/>
      <c r="M146" s="6"/>
      <c r="N146" s="97"/>
      <c r="O146" s="6"/>
      <c r="P146" s="6"/>
      <c r="Q146" s="6"/>
      <c r="R146" s="6"/>
      <c r="S146" s="9">
        <f>IFERROR(__xludf.DUMMYFUNCTION("""COMPUTED_VALUE"""),3689.6381326009287)</f>
        <v>3689.638133</v>
      </c>
      <c r="T146" s="9">
        <f>IFERROR(__xludf.DUMMYFUNCTION("""COMPUTED_VALUE"""),4811.893427029485)</f>
        <v>4811.893427</v>
      </c>
      <c r="U146" s="9"/>
      <c r="V146" s="79">
        <f t="shared" si="15"/>
        <v>8501.53156</v>
      </c>
      <c r="W146" s="80">
        <f t="shared" si="7"/>
        <v>2926442.895</v>
      </c>
      <c r="X146" s="81">
        <f t="shared" si="2"/>
        <v>0.2044799498</v>
      </c>
      <c r="Y146" s="82">
        <f t="shared" si="19"/>
        <v>5352424.314</v>
      </c>
      <c r="Z146" s="6"/>
      <c r="AA146" s="83">
        <f t="shared" si="8"/>
        <v>12204.81458</v>
      </c>
      <c r="AB146" s="84">
        <f t="shared" si="9"/>
        <v>2843184.335</v>
      </c>
      <c r="AC146" s="79">
        <f t="shared" si="12"/>
        <v>12277.49545</v>
      </c>
      <c r="AD146" s="85">
        <f t="shared" si="10"/>
        <v>2805936.831</v>
      </c>
      <c r="AE146" s="81">
        <v>0.25</v>
      </c>
      <c r="AF146" s="82">
        <f t="shared" si="17"/>
        <v>4923275.675</v>
      </c>
      <c r="AG146" s="6"/>
      <c r="AH146" s="6"/>
      <c r="AI146" s="6"/>
      <c r="AJ146" s="6"/>
      <c r="AK146" s="6"/>
      <c r="AL146" s="6"/>
      <c r="AM146" s="6"/>
      <c r="AN146" s="6"/>
      <c r="AO146" s="6"/>
      <c r="AP146" s="6"/>
    </row>
    <row r="147" ht="11.25" customHeight="1">
      <c r="A147" s="7"/>
      <c r="B147" s="68">
        <f t="shared" si="16"/>
        <v>142</v>
      </c>
      <c r="C147" s="86">
        <f t="shared" si="20"/>
        <v>8501.53156</v>
      </c>
      <c r="D147" s="84">
        <f t="shared" si="5"/>
        <v>2098323.469</v>
      </c>
      <c r="E147" s="79"/>
      <c r="F147" s="79"/>
      <c r="G147" s="78">
        <f>IFERROR(__xludf.DUMMYFUNCTION("""COMPUTED_VALUE"""),4756.282081208187)</f>
        <v>4756.282081</v>
      </c>
      <c r="H147" s="101">
        <f>IFERROR(__xludf.DUMMYFUNCTION("""COMPUTED_VALUE"""),504475.44167318055)</f>
        <v>504475.4417</v>
      </c>
      <c r="I147" s="79">
        <f>IFERROR(__xludf.DUMMYFUNCTION("""COMPUTED_VALUE"""),12177.104898458889)</f>
        <v>12177.1049</v>
      </c>
      <c r="J147" s="80">
        <f>IFERROR(__xludf.DUMMYFUNCTION("""COMPUTED_VALUE"""),1580271.7901611296)</f>
        <v>1580271.79</v>
      </c>
      <c r="K147" s="79"/>
      <c r="L147" s="80"/>
      <c r="M147" s="6"/>
      <c r="N147" s="97"/>
      <c r="O147" s="6"/>
      <c r="P147" s="6"/>
      <c r="Q147" s="6"/>
      <c r="R147" s="6"/>
      <c r="S147" s="9">
        <f>IFERROR(__xludf.DUMMYFUNCTION("""COMPUTED_VALUE"""),3714.282081208192)</f>
        <v>3714.282081</v>
      </c>
      <c r="T147" s="9">
        <f>IFERROR(__xludf.DUMMYFUNCTION("""COMPUTED_VALUE"""),4853.104898458812)</f>
        <v>4853.104898</v>
      </c>
      <c r="U147" s="9"/>
      <c r="V147" s="79">
        <f t="shared" si="15"/>
        <v>8567.38698</v>
      </c>
      <c r="W147" s="80">
        <f t="shared" si="7"/>
        <v>2935010.282</v>
      </c>
      <c r="X147" s="81">
        <f t="shared" si="2"/>
        <v>0.2048109533</v>
      </c>
      <c r="Y147" s="82">
        <f t="shared" si="19"/>
        <v>5377925.088</v>
      </c>
      <c r="Z147" s="6"/>
      <c r="AA147" s="83">
        <f t="shared" si="8"/>
        <v>12277.49545</v>
      </c>
      <c r="AB147" s="84">
        <f t="shared" si="9"/>
        <v>2855461.831</v>
      </c>
      <c r="AC147" s="79">
        <f t="shared" si="12"/>
        <v>12350.52266</v>
      </c>
      <c r="AD147" s="85">
        <f t="shared" si="10"/>
        <v>2818287.353</v>
      </c>
      <c r="AE147" s="81">
        <v>0.25</v>
      </c>
      <c r="AF147" s="82">
        <f t="shared" si="17"/>
        <v>4952559.585</v>
      </c>
      <c r="AG147" s="6"/>
      <c r="AH147" s="6"/>
      <c r="AI147" s="6"/>
      <c r="AJ147" s="6"/>
      <c r="AK147" s="6"/>
      <c r="AL147" s="6"/>
      <c r="AM147" s="6"/>
      <c r="AN147" s="6"/>
      <c r="AO147" s="6"/>
      <c r="AP147" s="6"/>
    </row>
    <row r="148" ht="11.25" customHeight="1">
      <c r="A148" s="7"/>
      <c r="B148" s="68">
        <f t="shared" si="16"/>
        <v>143</v>
      </c>
      <c r="C148" s="86">
        <f t="shared" si="20"/>
        <v>8567.38698</v>
      </c>
      <c r="D148" s="84">
        <f t="shared" si="5"/>
        <v>2106890.856</v>
      </c>
      <c r="E148" s="79"/>
      <c r="F148" s="79"/>
      <c r="G148" s="78">
        <f>IFERROR(__xludf.DUMMYFUNCTION("""COMPUTED_VALUE"""),4781.05438371448)</f>
        <v>4781.054384</v>
      </c>
      <c r="H148" s="101">
        <f>IFERROR(__xludf.DUMMYFUNCTION("""COMPUTED_VALUE"""),509256.496056895)</f>
        <v>509256.4961</v>
      </c>
      <c r="I148" s="79">
        <f>IFERROR(__xludf.DUMMYFUNCTION("""COMPUTED_VALUE"""),12218.456317176573)</f>
        <v>12218.45632</v>
      </c>
      <c r="J148" s="80">
        <f>IFERROR(__xludf.DUMMYFUNCTION("""COMPUTED_VALUE"""),1592490.2464783061)</f>
        <v>1592490.246</v>
      </c>
      <c r="K148" s="79"/>
      <c r="L148" s="80"/>
      <c r="M148" s="6"/>
      <c r="N148" s="97"/>
      <c r="O148" s="6"/>
      <c r="P148" s="6"/>
      <c r="Q148" s="6"/>
      <c r="R148" s="6"/>
      <c r="S148" s="9">
        <f>IFERROR(__xludf.DUMMYFUNCTION("""COMPUTED_VALUE"""),3739.0543837144505)</f>
        <v>3739.054384</v>
      </c>
      <c r="T148" s="9">
        <f>IFERROR(__xludf.DUMMYFUNCTION("""COMPUTED_VALUE"""),4894.456317176577)</f>
        <v>4894.456317</v>
      </c>
      <c r="U148" s="9"/>
      <c r="V148" s="79">
        <f t="shared" si="15"/>
        <v>8633.510701</v>
      </c>
      <c r="W148" s="80">
        <f t="shared" si="7"/>
        <v>2943643.793</v>
      </c>
      <c r="X148" s="81">
        <f t="shared" si="2"/>
        <v>0.2051378979</v>
      </c>
      <c r="Y148" s="82">
        <f t="shared" si="19"/>
        <v>5403558.109</v>
      </c>
      <c r="Z148" s="6"/>
      <c r="AA148" s="83">
        <f t="shared" si="8"/>
        <v>12350.52266</v>
      </c>
      <c r="AB148" s="84">
        <f t="shared" si="9"/>
        <v>2867812.353</v>
      </c>
      <c r="AC148" s="79">
        <f t="shared" si="12"/>
        <v>12423.89774</v>
      </c>
      <c r="AD148" s="85">
        <f t="shared" si="10"/>
        <v>2830711.251</v>
      </c>
      <c r="AE148" s="81">
        <v>0.25</v>
      </c>
      <c r="AF148" s="82">
        <f t="shared" si="17"/>
        <v>4981982.993</v>
      </c>
      <c r="AG148" s="6"/>
      <c r="AH148" s="6"/>
      <c r="AI148" s="6"/>
      <c r="AJ148" s="6"/>
      <c r="AK148" s="6"/>
      <c r="AL148" s="6"/>
      <c r="AM148" s="6"/>
      <c r="AN148" s="6"/>
      <c r="AO148" s="6"/>
      <c r="AP148" s="6"/>
    </row>
    <row r="149" ht="11.25" customHeight="1">
      <c r="A149" s="71"/>
      <c r="B149" s="72">
        <f t="shared" si="16"/>
        <v>144</v>
      </c>
      <c r="C149" s="86">
        <f t="shared" si="20"/>
        <v>8633.510701</v>
      </c>
      <c r="D149" s="88">
        <f t="shared" si="5"/>
        <v>2115524.367</v>
      </c>
      <c r="E149" s="90"/>
      <c r="F149" s="90"/>
      <c r="G149" s="89">
        <f>IFERROR(__xludf.DUMMYFUNCTION("""COMPUTED_VALUE"""),4805.955708629659)</f>
        <v>4805.955709</v>
      </c>
      <c r="H149" s="98">
        <f>IFERROR(__xludf.DUMMYFUNCTION("""COMPUTED_VALUE"""),514062.4517655247)</f>
        <v>514062.4518</v>
      </c>
      <c r="I149" s="90">
        <f>IFERROR(__xludf.DUMMYFUNCTION("""COMPUTED_VALUE"""),12259.948158420317)</f>
        <v>12259.94816</v>
      </c>
      <c r="J149" s="91">
        <f>IFERROR(__xludf.DUMMYFUNCTION("""COMPUTED_VALUE"""),1604750.1946367265)</f>
        <v>1604750.195</v>
      </c>
      <c r="K149" s="90"/>
      <c r="L149" s="91"/>
      <c r="M149" s="6"/>
      <c r="N149" s="99"/>
      <c r="O149" s="10"/>
      <c r="P149" s="10"/>
      <c r="Q149" s="10"/>
      <c r="R149" s="10"/>
      <c r="S149" s="93">
        <f>IFERROR(__xludf.DUMMYFUNCTION("""COMPUTED_VALUE"""),3763.9557086296845)</f>
        <v>3763.955709</v>
      </c>
      <c r="T149" s="93">
        <f>IFERROR(__xludf.DUMMYFUNCTION("""COMPUTED_VALUE"""),4935.9481584203895)</f>
        <v>4935.948158</v>
      </c>
      <c r="U149" s="93"/>
      <c r="V149" s="90">
        <f t="shared" si="15"/>
        <v>8699.903867</v>
      </c>
      <c r="W149" s="91">
        <f t="shared" si="7"/>
        <v>2952343.697</v>
      </c>
      <c r="X149" s="81">
        <f t="shared" si="2"/>
        <v>0.2054608275</v>
      </c>
      <c r="Y149" s="82">
        <f t="shared" si="19"/>
        <v>5429323.917</v>
      </c>
      <c r="Z149" s="6"/>
      <c r="AA149" s="83">
        <f t="shared" si="8"/>
        <v>12423.89774</v>
      </c>
      <c r="AB149" s="88">
        <f t="shared" si="9"/>
        <v>2880236.251</v>
      </c>
      <c r="AC149" s="90">
        <f t="shared" si="12"/>
        <v>12497.62224</v>
      </c>
      <c r="AD149" s="94">
        <f t="shared" si="10"/>
        <v>2843208.873</v>
      </c>
      <c r="AE149" s="81">
        <v>0.25</v>
      </c>
      <c r="AF149" s="82">
        <f t="shared" si="17"/>
        <v>5011546.52</v>
      </c>
      <c r="AG149" s="6"/>
      <c r="AH149" s="6"/>
      <c r="AI149" s="6"/>
      <c r="AJ149" s="6"/>
      <c r="AK149" s="6"/>
      <c r="AL149" s="6"/>
      <c r="AM149" s="6"/>
      <c r="AN149" s="6"/>
      <c r="AO149" s="6"/>
      <c r="AP149" s="6"/>
    </row>
    <row r="150" ht="11.25" customHeight="1">
      <c r="A150" s="100">
        <v>13.0</v>
      </c>
      <c r="B150" s="66">
        <f t="shared" si="16"/>
        <v>145</v>
      </c>
      <c r="C150" s="86">
        <f t="shared" si="20"/>
        <v>8699.903867</v>
      </c>
      <c r="D150" s="84">
        <f t="shared" si="5"/>
        <v>2124224.27</v>
      </c>
      <c r="E150" s="79"/>
      <c r="F150" s="79"/>
      <c r="G150" s="78">
        <f>IFERROR(__xludf.DUMMYFUNCTION("""COMPUTED_VALUE"""),4830.986727945438)</f>
        <v>4830.986728</v>
      </c>
      <c r="H150" s="101">
        <f>IFERROR(__xludf.DUMMYFUNCTION("""COMPUTED_VALUE"""),518893.43849347014)</f>
        <v>518893.4385</v>
      </c>
      <c r="I150" s="79">
        <f>IFERROR(__xludf.DUMMYFUNCTION("""COMPUTED_VALUE"""),12301.580899041619)</f>
        <v>12301.5809</v>
      </c>
      <c r="J150" s="80">
        <f>IFERROR(__xludf.DUMMYFUNCTION("""COMPUTED_VALUE"""),1617051.7755357681)</f>
        <v>1617051.776</v>
      </c>
      <c r="K150" s="79"/>
      <c r="L150" s="80"/>
      <c r="M150" s="6"/>
      <c r="N150" s="97"/>
      <c r="O150" s="6"/>
      <c r="P150" s="6"/>
      <c r="Q150" s="6"/>
      <c r="R150" s="6"/>
      <c r="S150" s="102">
        <f>IFERROR(__xludf.DUMMYFUNCTION("""COMPUTED_VALUE"""),3788.98672794539)</f>
        <v>3788.986728</v>
      </c>
      <c r="T150" s="9">
        <f>IFERROR(__xludf.DUMMYFUNCTION("""COMPUTED_VALUE"""),4977.580899041612)</f>
        <v>4977.580899</v>
      </c>
      <c r="U150" s="9"/>
      <c r="V150" s="79">
        <f t="shared" si="15"/>
        <v>8766.567627</v>
      </c>
      <c r="W150" s="80">
        <f t="shared" si="7"/>
        <v>2961110.264</v>
      </c>
      <c r="X150" s="81">
        <f t="shared" si="2"/>
        <v>0.2057797855</v>
      </c>
      <c r="Y150" s="82">
        <f t="shared" si="19"/>
        <v>5455223.052</v>
      </c>
      <c r="Z150" s="6"/>
      <c r="AA150" s="83">
        <f t="shared" si="8"/>
        <v>12497.62224</v>
      </c>
      <c r="AB150" s="84">
        <f t="shared" si="9"/>
        <v>2892733.873</v>
      </c>
      <c r="AC150" s="79">
        <f t="shared" si="12"/>
        <v>12571.69772</v>
      </c>
      <c r="AD150" s="95">
        <f t="shared" si="10"/>
        <v>2855780.571</v>
      </c>
      <c r="AE150" s="81">
        <v>0.25</v>
      </c>
      <c r="AF150" s="82">
        <f t="shared" si="17"/>
        <v>5041250.785</v>
      </c>
      <c r="AG150" s="6"/>
      <c r="AH150" s="6"/>
      <c r="AI150" s="6"/>
      <c r="AJ150" s="6"/>
      <c r="AK150" s="6"/>
      <c r="AL150" s="6"/>
      <c r="AM150" s="6"/>
      <c r="AN150" s="6"/>
      <c r="AO150" s="6"/>
      <c r="AP150" s="6"/>
    </row>
    <row r="151" ht="11.25" customHeight="1">
      <c r="A151" s="7"/>
      <c r="B151" s="68">
        <f t="shared" si="16"/>
        <v>146</v>
      </c>
      <c r="C151" s="86">
        <f t="shared" si="20"/>
        <v>8766.567627</v>
      </c>
      <c r="D151" s="84">
        <f t="shared" si="5"/>
        <v>2132990.838</v>
      </c>
      <c r="E151" s="79"/>
      <c r="F151" s="79"/>
      <c r="G151" s="78">
        <f>IFERROR(__xludf.DUMMYFUNCTION("""COMPUTED_VALUE"""),4856.148117153488)</f>
        <v>4856.148117</v>
      </c>
      <c r="H151" s="101">
        <f>IFERROR(__xludf.DUMMYFUNCTION("""COMPUTED_VALUE"""),523749.58661062364)</f>
        <v>523749.5866</v>
      </c>
      <c r="I151" s="79">
        <f>IFERROR(__xludf.DUMMYFUNCTION("""COMPUTED_VALUE"""),12343.355017511283)</f>
        <v>12343.35502</v>
      </c>
      <c r="J151" s="80">
        <f>IFERROR(__xludf.DUMMYFUNCTION("""COMPUTED_VALUE"""),1629395.1305532793)</f>
        <v>1629395.131</v>
      </c>
      <c r="K151" s="79"/>
      <c r="L151" s="80"/>
      <c r="M151" s="6"/>
      <c r="N151" s="97"/>
      <c r="O151" s="6"/>
      <c r="P151" s="6"/>
      <c r="Q151" s="6"/>
      <c r="R151" s="6"/>
      <c r="S151" s="78">
        <f>IFERROR(__xludf.DUMMYFUNCTION("""COMPUTED_VALUE"""),3814.1481171534397)</f>
        <v>3814.148117</v>
      </c>
      <c r="T151" s="9">
        <f>IFERROR(__xludf.DUMMYFUNCTION("""COMPUTED_VALUE"""),5019.355017511174)</f>
        <v>5019.355018</v>
      </c>
      <c r="U151" s="9"/>
      <c r="V151" s="79">
        <f t="shared" si="15"/>
        <v>8833.503135</v>
      </c>
      <c r="W151" s="80">
        <f t="shared" si="7"/>
        <v>2969943.767</v>
      </c>
      <c r="X151" s="81">
        <f t="shared" si="2"/>
        <v>0.2060948148</v>
      </c>
      <c r="Y151" s="82">
        <f t="shared" si="19"/>
        <v>5481256.058</v>
      </c>
      <c r="Z151" s="6"/>
      <c r="AA151" s="83">
        <f t="shared" si="8"/>
        <v>12571.69772</v>
      </c>
      <c r="AB151" s="84">
        <f t="shared" si="9"/>
        <v>2905305.571</v>
      </c>
      <c r="AC151" s="79">
        <f t="shared" si="12"/>
        <v>12646.12572</v>
      </c>
      <c r="AD151" s="85">
        <f t="shared" si="10"/>
        <v>2868426.697</v>
      </c>
      <c r="AE151" s="81">
        <v>0.25</v>
      </c>
      <c r="AF151" s="82">
        <f t="shared" si="17"/>
        <v>5071096.414</v>
      </c>
      <c r="AG151" s="6"/>
      <c r="AH151" s="6"/>
      <c r="AI151" s="6"/>
      <c r="AJ151" s="6"/>
      <c r="AK151" s="6"/>
      <c r="AL151" s="6"/>
      <c r="AM151" s="6"/>
      <c r="AN151" s="6"/>
      <c r="AO151" s="6"/>
      <c r="AP151" s="6"/>
    </row>
    <row r="152" ht="11.25" customHeight="1">
      <c r="A152" s="7"/>
      <c r="B152" s="68">
        <f t="shared" si="16"/>
        <v>147</v>
      </c>
      <c r="C152" s="86">
        <f t="shared" si="20"/>
        <v>8833.503135</v>
      </c>
      <c r="D152" s="84">
        <f t="shared" si="5"/>
        <v>2141824.341</v>
      </c>
      <c r="E152" s="79"/>
      <c r="F152" s="79"/>
      <c r="G152" s="78">
        <f>IFERROR(__xludf.DUMMYFUNCTION("""COMPUTED_VALUE"""),4881.440555263663)</f>
        <v>4881.440555</v>
      </c>
      <c r="H152" s="101">
        <f>IFERROR(__xludf.DUMMYFUNCTION("""COMPUTED_VALUE"""),528631.0271658873)</f>
        <v>528631.0272</v>
      </c>
      <c r="I152" s="79">
        <f>IFERROR(__xludf.DUMMYFUNCTION("""COMPUTED_VALUE"""),12385.270993924914)</f>
        <v>12385.27099</v>
      </c>
      <c r="J152" s="80">
        <f>IFERROR(__xludf.DUMMYFUNCTION("""COMPUTED_VALUE"""),1641780.4015472042)</f>
        <v>1641780.402</v>
      </c>
      <c r="K152" s="79"/>
      <c r="L152" s="80"/>
      <c r="M152" s="6"/>
      <c r="N152" s="97"/>
      <c r="O152" s="6"/>
      <c r="P152" s="6"/>
      <c r="Q152" s="6"/>
      <c r="R152" s="6"/>
      <c r="S152" s="78">
        <f>IFERROR(__xludf.DUMMYFUNCTION("""COMPUTED_VALUE"""),3839.44055526366)</f>
        <v>3839.440555</v>
      </c>
      <c r="T152" s="9">
        <f>IFERROR(__xludf.DUMMYFUNCTION("""COMPUTED_VALUE"""),5061.270993924933)</f>
        <v>5061.270994</v>
      </c>
      <c r="U152" s="9"/>
      <c r="V152" s="79">
        <f t="shared" si="15"/>
        <v>8900.711549</v>
      </c>
      <c r="W152" s="80">
        <f t="shared" si="7"/>
        <v>2978844.479</v>
      </c>
      <c r="X152" s="81">
        <f t="shared" si="2"/>
        <v>0.2064059579</v>
      </c>
      <c r="Y152" s="82">
        <f t="shared" si="19"/>
        <v>5507423.481</v>
      </c>
      <c r="Z152" s="6"/>
      <c r="AA152" s="83">
        <f t="shared" si="8"/>
        <v>12646.12572</v>
      </c>
      <c r="AB152" s="84">
        <f t="shared" si="9"/>
        <v>2917951.697</v>
      </c>
      <c r="AC152" s="79">
        <f t="shared" si="12"/>
        <v>12720.90781</v>
      </c>
      <c r="AD152" s="85">
        <f t="shared" si="10"/>
        <v>2881147.604</v>
      </c>
      <c r="AE152" s="81">
        <v>0.25</v>
      </c>
      <c r="AF152" s="82">
        <f t="shared" si="17"/>
        <v>5101084.033</v>
      </c>
      <c r="AG152" s="6"/>
      <c r="AH152" s="6"/>
      <c r="AI152" s="6"/>
      <c r="AJ152" s="6"/>
      <c r="AK152" s="6"/>
      <c r="AL152" s="6"/>
      <c r="AM152" s="6"/>
      <c r="AN152" s="6"/>
      <c r="AO152" s="6"/>
      <c r="AP152" s="6"/>
    </row>
    <row r="153" ht="11.25" customHeight="1">
      <c r="A153" s="7"/>
      <c r="B153" s="68">
        <f t="shared" si="16"/>
        <v>148</v>
      </c>
      <c r="C153" s="86">
        <f t="shared" si="20"/>
        <v>8900.711549</v>
      </c>
      <c r="D153" s="84">
        <f t="shared" si="5"/>
        <v>2150725.053</v>
      </c>
      <c r="E153" s="79"/>
      <c r="F153" s="79"/>
      <c r="G153" s="78">
        <f>IFERROR(__xludf.DUMMYFUNCTION("""COMPUTED_VALUE"""),4906.864724822328)</f>
        <v>4906.864725</v>
      </c>
      <c r="H153" s="101">
        <f>IFERROR(__xludf.DUMMYFUNCTION("""COMPUTED_VALUE"""),533537.8918907096)</f>
        <v>533537.8919</v>
      </c>
      <c r="I153" s="79">
        <f>IFERROR(__xludf.DUMMYFUNCTION("""COMPUTED_VALUE"""),12427.32931000845)</f>
        <v>12427.32931</v>
      </c>
      <c r="J153" s="80">
        <f>IFERROR(__xludf.DUMMYFUNCTION("""COMPUTED_VALUE"""),1654207.7308572128)</f>
        <v>1654207.731</v>
      </c>
      <c r="K153" s="79"/>
      <c r="L153" s="80"/>
      <c r="M153" s="6"/>
      <c r="N153" s="97"/>
      <c r="O153" s="6"/>
      <c r="P153" s="6"/>
      <c r="Q153" s="6"/>
      <c r="R153" s="6"/>
      <c r="S153" s="78">
        <f>IFERROR(__xludf.DUMMYFUNCTION("""COMPUTED_VALUE"""),3864.8647248223424)</f>
        <v>3864.864725</v>
      </c>
      <c r="T153" s="9">
        <f>IFERROR(__xludf.DUMMYFUNCTION("""COMPUTED_VALUE"""),5103.3293100085575)</f>
        <v>5103.32931</v>
      </c>
      <c r="U153" s="9"/>
      <c r="V153" s="79">
        <f t="shared" si="15"/>
        <v>8968.194035</v>
      </c>
      <c r="W153" s="80">
        <f t="shared" si="7"/>
        <v>2987812.673</v>
      </c>
      <c r="X153" s="81">
        <f t="shared" si="2"/>
        <v>0.2067132569</v>
      </c>
      <c r="Y153" s="82">
        <f t="shared" si="19"/>
        <v>5533725.87</v>
      </c>
      <c r="Z153" s="6"/>
      <c r="AA153" s="83">
        <f t="shared" si="8"/>
        <v>12720.90781</v>
      </c>
      <c r="AB153" s="84">
        <f t="shared" si="9"/>
        <v>2930672.604</v>
      </c>
      <c r="AC153" s="79">
        <f t="shared" si="12"/>
        <v>12796.04557</v>
      </c>
      <c r="AD153" s="85">
        <f t="shared" si="10"/>
        <v>2893943.65</v>
      </c>
      <c r="AE153" s="81">
        <v>0.25</v>
      </c>
      <c r="AF153" s="82">
        <f t="shared" si="17"/>
        <v>5131214.273</v>
      </c>
      <c r="AG153" s="6"/>
      <c r="AH153" s="6"/>
      <c r="AI153" s="6"/>
      <c r="AJ153" s="6"/>
      <c r="AK153" s="6"/>
      <c r="AL153" s="6"/>
      <c r="AM153" s="6"/>
      <c r="AN153" s="6"/>
      <c r="AO153" s="6"/>
      <c r="AP153" s="6"/>
    </row>
    <row r="154" ht="11.25" customHeight="1">
      <c r="A154" s="7"/>
      <c r="B154" s="68">
        <f t="shared" si="16"/>
        <v>149</v>
      </c>
      <c r="C154" s="86">
        <f t="shared" si="20"/>
        <v>8968.194035</v>
      </c>
      <c r="D154" s="84">
        <f t="shared" si="5"/>
        <v>2159693.247</v>
      </c>
      <c r="E154" s="79"/>
      <c r="F154" s="79"/>
      <c r="G154" s="78">
        <f>IFERROR(__xludf.DUMMYFUNCTION("""COMPUTED_VALUE"""),4932.421311930778)</f>
        <v>4932.421312</v>
      </c>
      <c r="H154" s="101">
        <f>IFERROR(__xludf.DUMMYFUNCTION("""COMPUTED_VALUE"""),538470.3132026404)</f>
        <v>538470.3132</v>
      </c>
      <c r="I154" s="79">
        <f>IFERROR(__xludf.DUMMYFUNCTION("""COMPUTED_VALUE"""),12469.530449123688)</f>
        <v>12469.53045</v>
      </c>
      <c r="J154" s="80">
        <f>IFERROR(__xludf.DUMMYFUNCTION("""COMPUTED_VALUE"""),1666677.2613063364)</f>
        <v>1666677.261</v>
      </c>
      <c r="K154" s="79"/>
      <c r="L154" s="80"/>
      <c r="M154" s="6"/>
      <c r="N154" s="97"/>
      <c r="O154" s="6"/>
      <c r="P154" s="6"/>
      <c r="Q154" s="6"/>
      <c r="R154" s="6"/>
      <c r="S154" s="78">
        <f>IFERROR(__xludf.DUMMYFUNCTION("""COMPUTED_VALUE"""),3890.4213119307533)</f>
        <v>3890.421312</v>
      </c>
      <c r="T154" s="9">
        <f>IFERROR(__xludf.DUMMYFUNCTION("""COMPUTED_VALUE"""),5145.5304491235875)</f>
        <v>5145.530449</v>
      </c>
      <c r="U154" s="9"/>
      <c r="V154" s="79">
        <f t="shared" si="15"/>
        <v>9035.951761</v>
      </c>
      <c r="W154" s="80">
        <f t="shared" si="7"/>
        <v>2996848.625</v>
      </c>
      <c r="X154" s="81">
        <f t="shared" si="2"/>
        <v>0.2070167534</v>
      </c>
      <c r="Y154" s="82">
        <f t="shared" si="19"/>
        <v>5560163.773</v>
      </c>
      <c r="Z154" s="6"/>
      <c r="AA154" s="83">
        <f t="shared" si="8"/>
        <v>12796.04557</v>
      </c>
      <c r="AB154" s="84">
        <f t="shared" si="9"/>
        <v>2943468.65</v>
      </c>
      <c r="AC154" s="79">
        <f t="shared" si="12"/>
        <v>12871.54056</v>
      </c>
      <c r="AD154" s="85">
        <f t="shared" si="10"/>
        <v>2906815.191</v>
      </c>
      <c r="AE154" s="81">
        <v>0.25</v>
      </c>
      <c r="AF154" s="82">
        <f t="shared" si="17"/>
        <v>5161487.765</v>
      </c>
      <c r="AG154" s="6"/>
      <c r="AH154" s="6"/>
      <c r="AI154" s="6"/>
      <c r="AJ154" s="6"/>
      <c r="AK154" s="6"/>
      <c r="AL154" s="6"/>
      <c r="AM154" s="6"/>
      <c r="AN154" s="6"/>
      <c r="AO154" s="6"/>
      <c r="AP154" s="6"/>
    </row>
    <row r="155" ht="11.25" customHeight="1">
      <c r="A155" s="7"/>
      <c r="B155" s="68">
        <f t="shared" si="16"/>
        <v>150</v>
      </c>
      <c r="C155" s="86">
        <f t="shared" si="20"/>
        <v>9035.951761</v>
      </c>
      <c r="D155" s="84">
        <f t="shared" si="5"/>
        <v>2168729.199</v>
      </c>
      <c r="E155" s="79"/>
      <c r="F155" s="79"/>
      <c r="G155" s="78">
        <f>IFERROR(__xludf.DUMMYFUNCTION("""COMPUTED_VALUE"""),4958.11100626375)</f>
        <v>4958.111006</v>
      </c>
      <c r="H155" s="101">
        <f>IFERROR(__xludf.DUMMYFUNCTION("""COMPUTED_VALUE"""),543428.4242089042)</f>
        <v>543428.4242</v>
      </c>
      <c r="I155" s="79">
        <f>IFERROR(__xludf.DUMMYFUNCTION("""COMPUTED_VALUE"""),12511.874896273835)</f>
        <v>12511.8749</v>
      </c>
      <c r="J155" s="80">
        <f>IFERROR(__xludf.DUMMYFUNCTION("""COMPUTED_VALUE"""),1679189.1362026103)</f>
        <v>1679189.136</v>
      </c>
      <c r="K155" s="79"/>
      <c r="L155" s="80"/>
      <c r="M155" s="6"/>
      <c r="N155" s="97"/>
      <c r="O155" s="6"/>
      <c r="P155" s="6"/>
      <c r="Q155" s="6"/>
      <c r="R155" s="6"/>
      <c r="S155" s="78">
        <f>IFERROR(__xludf.DUMMYFUNCTION("""COMPUTED_VALUE"""),3916.11100626376)</f>
        <v>3916.111006</v>
      </c>
      <c r="T155" s="9">
        <f>IFERROR(__xludf.DUMMYFUNCTION("""COMPUTED_VALUE"""),5187.874896273948)</f>
        <v>5187.874896</v>
      </c>
      <c r="U155" s="9"/>
      <c r="V155" s="79">
        <f t="shared" si="15"/>
        <v>9103.985903</v>
      </c>
      <c r="W155" s="80">
        <f t="shared" si="7"/>
        <v>3005952.611</v>
      </c>
      <c r="X155" s="81">
        <f t="shared" si="2"/>
        <v>0.2073164886</v>
      </c>
      <c r="Y155" s="82">
        <f t="shared" si="19"/>
        <v>5586737.745</v>
      </c>
      <c r="Z155" s="6"/>
      <c r="AA155" s="83">
        <f t="shared" si="8"/>
        <v>12871.54056</v>
      </c>
      <c r="AB155" s="84">
        <f t="shared" si="9"/>
        <v>2956340.191</v>
      </c>
      <c r="AC155" s="79">
        <f t="shared" si="12"/>
        <v>12947.39438</v>
      </c>
      <c r="AD155" s="85">
        <f t="shared" si="10"/>
        <v>2919762.585</v>
      </c>
      <c r="AE155" s="81">
        <v>0.25</v>
      </c>
      <c r="AF155" s="82">
        <f t="shared" si="17"/>
        <v>5191905.145</v>
      </c>
      <c r="AG155" s="6"/>
      <c r="AH155" s="6"/>
      <c r="AI155" s="6"/>
      <c r="AJ155" s="6"/>
      <c r="AK155" s="6"/>
      <c r="AL155" s="6"/>
      <c r="AM155" s="6"/>
      <c r="AN155" s="6"/>
      <c r="AO155" s="6"/>
      <c r="AP155" s="6"/>
    </row>
    <row r="156" ht="11.25" customHeight="1">
      <c r="A156" s="7"/>
      <c r="B156" s="68">
        <f t="shared" si="16"/>
        <v>151</v>
      </c>
      <c r="C156" s="86">
        <f t="shared" si="20"/>
        <v>9103.985903</v>
      </c>
      <c r="D156" s="84">
        <f t="shared" si="5"/>
        <v>2177833.184</v>
      </c>
      <c r="E156" s="79"/>
      <c r="F156" s="79"/>
      <c r="G156" s="78">
        <f>IFERROR(__xludf.DUMMYFUNCTION("""COMPUTED_VALUE"""),4983.93450108804)</f>
        <v>4983.934501</v>
      </c>
      <c r="H156" s="101">
        <f>IFERROR(__xludf.DUMMYFUNCTION("""COMPUTED_VALUE"""),548412.3587099921)</f>
        <v>548412.3587</v>
      </c>
      <c r="I156" s="79">
        <f>IFERROR(__xludf.DUMMYFUNCTION("""COMPUTED_VALUE"""),12554.3631381091)</f>
        <v>12554.36314</v>
      </c>
      <c r="J156" s="80">
        <f>IFERROR(__xludf.DUMMYFUNCTION("""COMPUTED_VALUE"""),1691743.4993407195)</f>
        <v>1691743.499</v>
      </c>
      <c r="K156" s="79"/>
      <c r="L156" s="80"/>
      <c r="M156" s="6"/>
      <c r="N156" s="97"/>
      <c r="O156" s="6"/>
      <c r="P156" s="6"/>
      <c r="Q156" s="6"/>
      <c r="R156" s="6"/>
      <c r="S156" s="78">
        <f>IFERROR(__xludf.DUMMYFUNCTION("""COMPUTED_VALUE"""),3941.9345010879915)</f>
        <v>3941.934501</v>
      </c>
      <c r="T156" s="9">
        <f>IFERROR(__xludf.DUMMYFUNCTION("""COMPUTED_VALUE"""),5230.363138109213)</f>
        <v>5230.363138</v>
      </c>
      <c r="U156" s="9"/>
      <c r="V156" s="79">
        <f t="shared" si="15"/>
        <v>9172.297639</v>
      </c>
      <c r="W156" s="80">
        <f t="shared" si="7"/>
        <v>3015124.908</v>
      </c>
      <c r="X156" s="81">
        <f t="shared" si="2"/>
        <v>0.2076125031</v>
      </c>
      <c r="Y156" s="82">
        <f t="shared" si="19"/>
        <v>5613448.34</v>
      </c>
      <c r="Z156" s="6"/>
      <c r="AA156" s="83">
        <f t="shared" si="8"/>
        <v>12947.39438</v>
      </c>
      <c r="AB156" s="84">
        <f t="shared" si="9"/>
        <v>2969287.585</v>
      </c>
      <c r="AC156" s="79">
        <f t="shared" si="12"/>
        <v>13023.60861</v>
      </c>
      <c r="AD156" s="85">
        <f t="shared" si="10"/>
        <v>2932786.194</v>
      </c>
      <c r="AE156" s="81">
        <v>0.25</v>
      </c>
      <c r="AF156" s="82">
        <f t="shared" si="17"/>
        <v>5222467.052</v>
      </c>
      <c r="AG156" s="6"/>
      <c r="AH156" s="6"/>
      <c r="AI156" s="6"/>
      <c r="AJ156" s="6"/>
      <c r="AK156" s="6"/>
      <c r="AL156" s="6"/>
      <c r="AM156" s="6"/>
      <c r="AN156" s="6"/>
      <c r="AO156" s="6"/>
      <c r="AP156" s="6"/>
    </row>
    <row r="157" ht="11.25" customHeight="1">
      <c r="A157" s="7"/>
      <c r="B157" s="68">
        <f t="shared" si="16"/>
        <v>152</v>
      </c>
      <c r="C157" s="86">
        <f t="shared" si="20"/>
        <v>9172.297639</v>
      </c>
      <c r="D157" s="84">
        <f t="shared" si="5"/>
        <v>2187005.482</v>
      </c>
      <c r="E157" s="79"/>
      <c r="F157" s="79"/>
      <c r="G157" s="78">
        <f>IFERROR(__xludf.DUMMYFUNCTION("""COMPUTED_VALUE"""),5009.892493281207)</f>
        <v>5009.892493</v>
      </c>
      <c r="H157" s="101">
        <f>IFERROR(__xludf.DUMMYFUNCTION("""COMPUTED_VALUE"""),553422.2512032733)</f>
        <v>553422.2512</v>
      </c>
      <c r="I157" s="79">
        <f>IFERROR(__xludf.DUMMYFUNCTION("""COMPUTED_VALUE"""),12596.995662932262)</f>
        <v>12596.99566</v>
      </c>
      <c r="J157" s="80">
        <f>IFERROR(__xludf.DUMMYFUNCTION("""COMPUTED_VALUE"""),1704340.4950036518)</f>
        <v>1704340.495</v>
      </c>
      <c r="K157" s="79"/>
      <c r="L157" s="80"/>
      <c r="M157" s="6"/>
      <c r="N157" s="97"/>
      <c r="O157" s="6"/>
      <c r="P157" s="6"/>
      <c r="Q157" s="6"/>
      <c r="R157" s="6"/>
      <c r="S157" s="78">
        <f>IFERROR(__xludf.DUMMYFUNCTION("""COMPUTED_VALUE"""),3967.892493281164)</f>
        <v>3967.892493</v>
      </c>
      <c r="T157" s="9">
        <f>IFERROR(__xludf.DUMMYFUNCTION("""COMPUTED_VALUE"""),5272.995662932284)</f>
        <v>5272.995663</v>
      </c>
      <c r="U157" s="9"/>
      <c r="V157" s="79">
        <f t="shared" si="15"/>
        <v>9240.888156</v>
      </c>
      <c r="W157" s="80">
        <f t="shared" si="7"/>
        <v>3024365.796</v>
      </c>
      <c r="X157" s="81">
        <f t="shared" si="2"/>
        <v>0.2079048374</v>
      </c>
      <c r="Y157" s="82">
        <f t="shared" si="19"/>
        <v>5640296.116</v>
      </c>
      <c r="Z157" s="6"/>
      <c r="AA157" s="83">
        <f t="shared" si="8"/>
        <v>13023.60861</v>
      </c>
      <c r="AB157" s="84">
        <f t="shared" si="9"/>
        <v>2982311.194</v>
      </c>
      <c r="AC157" s="79">
        <f t="shared" si="12"/>
        <v>13100.18485</v>
      </c>
      <c r="AD157" s="85">
        <f t="shared" si="10"/>
        <v>2945886.378</v>
      </c>
      <c r="AE157" s="81">
        <v>0.25</v>
      </c>
      <c r="AF157" s="82">
        <f t="shared" si="17"/>
        <v>5253174.125</v>
      </c>
      <c r="AG157" s="6"/>
      <c r="AH157" s="6"/>
      <c r="AI157" s="6"/>
      <c r="AJ157" s="6"/>
      <c r="AK157" s="6"/>
      <c r="AL157" s="6"/>
      <c r="AM157" s="6"/>
      <c r="AN157" s="6"/>
      <c r="AO157" s="6"/>
      <c r="AP157" s="6"/>
    </row>
    <row r="158" ht="11.25" customHeight="1">
      <c r="A158" s="7"/>
      <c r="B158" s="68">
        <f t="shared" si="16"/>
        <v>153</v>
      </c>
      <c r="C158" s="86">
        <f t="shared" si="20"/>
        <v>9240.888156</v>
      </c>
      <c r="D158" s="84">
        <f t="shared" si="5"/>
        <v>2196246.37</v>
      </c>
      <c r="E158" s="79"/>
      <c r="F158" s="79"/>
      <c r="G158" s="78">
        <f>IFERROR(__xludf.DUMMYFUNCTION("""COMPUTED_VALUE"""),5035.98568335038)</f>
        <v>5035.985683</v>
      </c>
      <c r="H158" s="101">
        <f>IFERROR(__xludf.DUMMYFUNCTION("""COMPUTED_VALUE"""),558458.2368866237)</f>
        <v>558458.2369</v>
      </c>
      <c r="I158" s="79">
        <f>IFERROR(__xludf.DUMMYFUNCTION("""COMPUTED_VALUE"""),12639.772960704304)</f>
        <v>12639.77296</v>
      </c>
      <c r="J158" s="80">
        <f>IFERROR(__xludf.DUMMYFUNCTION("""COMPUTED_VALUE"""),1716980.267964356)</f>
        <v>1716980.268</v>
      </c>
      <c r="K158" s="79"/>
      <c r="L158" s="80"/>
      <c r="M158" s="6"/>
      <c r="N158" s="97"/>
      <c r="O158" s="6"/>
      <c r="P158" s="6"/>
      <c r="Q158" s="6"/>
      <c r="R158" s="6"/>
      <c r="S158" s="78">
        <f>IFERROR(__xludf.DUMMYFUNCTION("""COMPUTED_VALUE"""),3993.985683350358)</f>
        <v>3993.985683</v>
      </c>
      <c r="T158" s="9">
        <f>IFERROR(__xludf.DUMMYFUNCTION("""COMPUTED_VALUE"""),5315.772960704286)</f>
        <v>5315.772961</v>
      </c>
      <c r="U158" s="9"/>
      <c r="V158" s="79">
        <f t="shared" si="15"/>
        <v>9309.758644</v>
      </c>
      <c r="W158" s="80">
        <f t="shared" si="7"/>
        <v>3033675.555</v>
      </c>
      <c r="X158" s="81">
        <f t="shared" si="2"/>
        <v>0.2081935312</v>
      </c>
      <c r="Y158" s="82">
        <f t="shared" si="19"/>
        <v>5667281.634</v>
      </c>
      <c r="Z158" s="6"/>
      <c r="AA158" s="83">
        <f t="shared" si="8"/>
        <v>13100.18485</v>
      </c>
      <c r="AB158" s="84">
        <f t="shared" si="9"/>
        <v>2995411.378</v>
      </c>
      <c r="AC158" s="79">
        <f t="shared" si="12"/>
        <v>13177.12471</v>
      </c>
      <c r="AD158" s="85">
        <f t="shared" si="10"/>
        <v>2959063.503</v>
      </c>
      <c r="AE158" s="81">
        <v>0.25</v>
      </c>
      <c r="AF158" s="82">
        <f t="shared" si="17"/>
        <v>5284027.008</v>
      </c>
      <c r="AG158" s="6"/>
      <c r="AH158" s="6"/>
      <c r="AI158" s="6"/>
      <c r="AJ158" s="6"/>
      <c r="AK158" s="6"/>
      <c r="AL158" s="6"/>
      <c r="AM158" s="6"/>
      <c r="AN158" s="6"/>
      <c r="AO158" s="6"/>
      <c r="AP158" s="6"/>
    </row>
    <row r="159" ht="11.25" customHeight="1">
      <c r="A159" s="7"/>
      <c r="B159" s="68">
        <f t="shared" si="16"/>
        <v>154</v>
      </c>
      <c r="C159" s="86">
        <f t="shared" si="20"/>
        <v>9309.758644</v>
      </c>
      <c r="D159" s="84">
        <f t="shared" si="5"/>
        <v>2205556.129</v>
      </c>
      <c r="E159" s="79"/>
      <c r="F159" s="79"/>
      <c r="G159" s="78">
        <f>IFERROR(__xludf.DUMMYFUNCTION("""COMPUTED_VALUE"""),5062.214775451163)</f>
        <v>5062.214775</v>
      </c>
      <c r="H159" s="101">
        <f>IFERROR(__xludf.DUMMYFUNCTION("""COMPUTED_VALUE"""),563520.4516620748)</f>
        <v>563520.4517</v>
      </c>
      <c r="I159" s="79">
        <f>IFERROR(__xludf.DUMMYFUNCTION("""COMPUTED_VALUE"""),12682.695523050028)</f>
        <v>12682.69552</v>
      </c>
      <c r="J159" s="80">
        <f>IFERROR(__xludf.DUMMYFUNCTION("""COMPUTED_VALUE"""),1729662.963487406)</f>
        <v>1729662.963</v>
      </c>
      <c r="K159" s="79"/>
      <c r="L159" s="80"/>
      <c r="M159" s="6"/>
      <c r="N159" s="97"/>
      <c r="O159" s="6"/>
      <c r="P159" s="6"/>
      <c r="Q159" s="6"/>
      <c r="R159" s="6"/>
      <c r="S159" s="78">
        <f>IFERROR(__xludf.DUMMYFUNCTION("""COMPUTED_VALUE"""),4020.2147754511097)</f>
        <v>4020.214775</v>
      </c>
      <c r="T159" s="9">
        <f>IFERROR(__xludf.DUMMYFUNCTION("""COMPUTED_VALUE"""),5358.695523049915)</f>
        <v>5358.695523</v>
      </c>
      <c r="U159" s="9"/>
      <c r="V159" s="79">
        <f t="shared" si="15"/>
        <v>9378.910299</v>
      </c>
      <c r="W159" s="80">
        <f t="shared" si="7"/>
        <v>3043054.465</v>
      </c>
      <c r="X159" s="81">
        <f t="shared" si="2"/>
        <v>0.208478624</v>
      </c>
      <c r="Y159" s="82">
        <f t="shared" si="19"/>
        <v>5694405.454</v>
      </c>
      <c r="Z159" s="6"/>
      <c r="AA159" s="83">
        <f t="shared" si="8"/>
        <v>13177.12471</v>
      </c>
      <c r="AB159" s="84">
        <f t="shared" si="9"/>
        <v>3008588.503</v>
      </c>
      <c r="AC159" s="79">
        <f t="shared" si="12"/>
        <v>13254.4298</v>
      </c>
      <c r="AD159" s="85">
        <f t="shared" si="10"/>
        <v>2972317.933</v>
      </c>
      <c r="AE159" s="81">
        <v>0.25</v>
      </c>
      <c r="AF159" s="82">
        <f t="shared" si="17"/>
        <v>5315026.348</v>
      </c>
      <c r="AG159" s="6"/>
      <c r="AH159" s="6"/>
      <c r="AI159" s="6"/>
      <c r="AJ159" s="6"/>
      <c r="AK159" s="6"/>
      <c r="AL159" s="6"/>
      <c r="AM159" s="6"/>
      <c r="AN159" s="6"/>
      <c r="AO159" s="6"/>
      <c r="AP159" s="6"/>
    </row>
    <row r="160" ht="11.25" customHeight="1">
      <c r="A160" s="7"/>
      <c r="B160" s="68">
        <f t="shared" si="16"/>
        <v>155</v>
      </c>
      <c r="C160" s="86">
        <f t="shared" si="20"/>
        <v>9378.910299</v>
      </c>
      <c r="D160" s="84">
        <f t="shared" si="5"/>
        <v>2214935.039</v>
      </c>
      <c r="E160" s="79"/>
      <c r="F160" s="79"/>
      <c r="G160" s="78">
        <f>IFERROR(__xludf.DUMMYFUNCTION("""COMPUTED_VALUE"""),5088.580477406638)</f>
        <v>5088.580477</v>
      </c>
      <c r="H160" s="101">
        <f>IFERROR(__xludf.DUMMYFUNCTION("""COMPUTED_VALUE"""),568609.0321394814)</f>
        <v>568609.0321</v>
      </c>
      <c r="I160" s="79">
        <f>IFERROR(__xludf.DUMMYFUNCTION("""COMPUTED_VALUE"""),12725.763843263718)</f>
        <v>12725.76384</v>
      </c>
      <c r="J160" s="80">
        <f>IFERROR(__xludf.DUMMYFUNCTION("""COMPUTED_VALUE"""),1742388.7273306698)</f>
        <v>1742388.727</v>
      </c>
      <c r="K160" s="79"/>
      <c r="L160" s="80"/>
      <c r="M160" s="6"/>
      <c r="N160" s="97"/>
      <c r="O160" s="6"/>
      <c r="P160" s="6"/>
      <c r="Q160" s="6"/>
      <c r="R160" s="6"/>
      <c r="S160" s="78">
        <f>IFERROR(__xludf.DUMMYFUNCTION("""COMPUTED_VALUE"""),4046.58047740662)</f>
        <v>4046.580477</v>
      </c>
      <c r="T160" s="9">
        <f>IFERROR(__xludf.DUMMYFUNCTION("""COMPUTED_VALUE"""),5401.763843263732)</f>
        <v>5401.763843</v>
      </c>
      <c r="U160" s="9"/>
      <c r="V160" s="79">
        <f t="shared" si="15"/>
        <v>9448.344321</v>
      </c>
      <c r="W160" s="80">
        <f t="shared" si="7"/>
        <v>3052502.81</v>
      </c>
      <c r="X160" s="81">
        <f t="shared" si="2"/>
        <v>0.2087601549</v>
      </c>
      <c r="Y160" s="82">
        <f t="shared" si="19"/>
        <v>5721668.143</v>
      </c>
      <c r="Z160" s="6"/>
      <c r="AA160" s="83">
        <f t="shared" si="8"/>
        <v>13254.4298</v>
      </c>
      <c r="AB160" s="84">
        <f t="shared" si="9"/>
        <v>3021842.933</v>
      </c>
      <c r="AC160" s="79">
        <f t="shared" si="12"/>
        <v>13332.10173</v>
      </c>
      <c r="AD160" s="85">
        <f t="shared" si="10"/>
        <v>2985650.035</v>
      </c>
      <c r="AE160" s="81">
        <v>0.25</v>
      </c>
      <c r="AF160" s="82">
        <f t="shared" si="17"/>
        <v>5346172.794</v>
      </c>
      <c r="AG160" s="6"/>
      <c r="AH160" s="6"/>
      <c r="AI160" s="6"/>
      <c r="AJ160" s="6"/>
      <c r="AK160" s="6"/>
      <c r="AL160" s="6"/>
      <c r="AM160" s="6"/>
      <c r="AN160" s="6"/>
      <c r="AO160" s="6"/>
      <c r="AP160" s="6"/>
    </row>
    <row r="161" ht="11.25" customHeight="1">
      <c r="A161" s="71"/>
      <c r="B161" s="72">
        <f t="shared" si="16"/>
        <v>156</v>
      </c>
      <c r="C161" s="86">
        <f t="shared" si="20"/>
        <v>9448.344321</v>
      </c>
      <c r="D161" s="88">
        <f t="shared" si="5"/>
        <v>2224383.383</v>
      </c>
      <c r="E161" s="90"/>
      <c r="F161" s="90"/>
      <c r="G161" s="89">
        <f>IFERROR(__xludf.DUMMYFUNCTION("""COMPUTED_VALUE"""),5115.083500726465)</f>
        <v>5115.083501</v>
      </c>
      <c r="H161" s="98">
        <f>IFERROR(__xludf.DUMMYFUNCTION("""COMPUTED_VALUE"""),573724.1156402079)</f>
        <v>573724.1156</v>
      </c>
      <c r="I161" s="90">
        <f>IFERROR(__xludf.DUMMYFUNCTION("""COMPUTED_VALUE"""),12768.978416314803)</f>
        <v>12768.97842</v>
      </c>
      <c r="J161" s="91">
        <f>IFERROR(__xludf.DUMMYFUNCTION("""COMPUTED_VALUE"""),1755157.7057469846)</f>
        <v>1755157.706</v>
      </c>
      <c r="K161" s="90"/>
      <c r="L161" s="91"/>
      <c r="M161" s="6"/>
      <c r="N161" s="99"/>
      <c r="O161" s="10"/>
      <c r="P161" s="10"/>
      <c r="Q161" s="10"/>
      <c r="R161" s="10"/>
      <c r="S161" s="89">
        <f>IFERROR(__xludf.DUMMYFUNCTION("""COMPUTED_VALUE"""),4073.0835007264977)</f>
        <v>4073.083501</v>
      </c>
      <c r="T161" s="93">
        <f>IFERROR(__xludf.DUMMYFUNCTION("""COMPUTED_VALUE"""),5444.978416314814)</f>
        <v>5444.978416</v>
      </c>
      <c r="U161" s="93"/>
      <c r="V161" s="90">
        <f t="shared" si="15"/>
        <v>9518.061917</v>
      </c>
      <c r="W161" s="91">
        <f t="shared" si="7"/>
        <v>3062020.872</v>
      </c>
      <c r="X161" s="81">
        <f t="shared" si="2"/>
        <v>0.2090381625</v>
      </c>
      <c r="Y161" s="82">
        <f t="shared" si="19"/>
        <v>5749070.267</v>
      </c>
      <c r="Z161" s="6"/>
      <c r="AA161" s="83">
        <f t="shared" si="8"/>
        <v>13332.10173</v>
      </c>
      <c r="AB161" s="88">
        <f t="shared" si="9"/>
        <v>3035175.035</v>
      </c>
      <c r="AC161" s="90">
        <f t="shared" si="12"/>
        <v>13410.14214</v>
      </c>
      <c r="AD161" s="94">
        <f t="shared" si="10"/>
        <v>2999060.177</v>
      </c>
      <c r="AE161" s="81">
        <v>0.25</v>
      </c>
      <c r="AF161" s="82">
        <f t="shared" si="17"/>
        <v>5377466.998</v>
      </c>
      <c r="AG161" s="6"/>
      <c r="AH161" s="6"/>
      <c r="AI161" s="6"/>
      <c r="AJ161" s="6"/>
      <c r="AK161" s="6"/>
      <c r="AL161" s="6"/>
      <c r="AM161" s="6"/>
      <c r="AN161" s="6"/>
      <c r="AO161" s="6"/>
      <c r="AP161" s="6"/>
    </row>
    <row r="162" ht="11.25" customHeight="1">
      <c r="A162" s="100">
        <v>14.0</v>
      </c>
      <c r="B162" s="66">
        <f t="shared" si="16"/>
        <v>157</v>
      </c>
      <c r="C162" s="86">
        <f t="shared" si="20"/>
        <v>9518.061917</v>
      </c>
      <c r="D162" s="84">
        <f t="shared" si="5"/>
        <v>2233901.445</v>
      </c>
      <c r="E162" s="79"/>
      <c r="F162" s="79"/>
      <c r="G162" s="78">
        <f>IFERROR(__xludf.DUMMYFUNCTION("""COMPUTED_VALUE"""),5141.724560626082)</f>
        <v>5141.724561</v>
      </c>
      <c r="H162" s="101">
        <f>IFERROR(__xludf.DUMMYFUNCTION("""COMPUTED_VALUE"""),578865.840200834)</f>
        <v>578865.8402</v>
      </c>
      <c r="I162" s="79">
        <f>IFERROR(__xludf.DUMMYFUNCTION("""COMPUTED_VALUE"""),12812.339738853538)</f>
        <v>12812.33974</v>
      </c>
      <c r="J162" s="80">
        <f>IFERROR(__xludf.DUMMYFUNCTION("""COMPUTED_VALUE"""),1767970.045485838)</f>
        <v>1767970.045</v>
      </c>
      <c r="K162" s="79"/>
      <c r="L162" s="80"/>
      <c r="M162" s="6"/>
      <c r="N162" s="97"/>
      <c r="O162" s="6"/>
      <c r="P162" s="6"/>
      <c r="Q162" s="6"/>
      <c r="R162" s="6"/>
      <c r="S162" s="102">
        <f>IFERROR(__xludf.DUMMYFUNCTION("""COMPUTED_VALUE"""),4099.724560626084)</f>
        <v>4099.724561</v>
      </c>
      <c r="T162" s="9">
        <f>IFERROR(__xludf.DUMMYFUNCTION("""COMPUTED_VALUE"""),5488.339738853509)</f>
        <v>5488.339739</v>
      </c>
      <c r="U162" s="9"/>
      <c r="V162" s="79">
        <f t="shared" si="15"/>
        <v>9588.064299</v>
      </c>
      <c r="W162" s="80">
        <f t="shared" si="7"/>
        <v>3071608.936</v>
      </c>
      <c r="X162" s="81">
        <f t="shared" si="2"/>
        <v>0.209312685</v>
      </c>
      <c r="Y162" s="82">
        <f t="shared" si="19"/>
        <v>5776612.395</v>
      </c>
      <c r="Z162" s="6"/>
      <c r="AA162" s="83">
        <f t="shared" si="8"/>
        <v>13410.14214</v>
      </c>
      <c r="AB162" s="84">
        <f t="shared" si="9"/>
        <v>3048585.177</v>
      </c>
      <c r="AC162" s="79">
        <f t="shared" si="12"/>
        <v>13488.55266</v>
      </c>
      <c r="AD162" s="95">
        <f t="shared" si="10"/>
        <v>3012548.729</v>
      </c>
      <c r="AE162" s="81">
        <v>0.25</v>
      </c>
      <c r="AF162" s="82">
        <f t="shared" si="17"/>
        <v>5408909.615</v>
      </c>
      <c r="AG162" s="6"/>
      <c r="AH162" s="6"/>
      <c r="AI162" s="6"/>
      <c r="AJ162" s="6"/>
      <c r="AK162" s="6"/>
      <c r="AL162" s="6"/>
      <c r="AM162" s="6"/>
      <c r="AN162" s="6"/>
      <c r="AO162" s="6"/>
      <c r="AP162" s="6"/>
    </row>
    <row r="163" ht="11.25" customHeight="1">
      <c r="A163" s="7"/>
      <c r="B163" s="68">
        <f t="shared" si="16"/>
        <v>158</v>
      </c>
      <c r="C163" s="86">
        <f t="shared" si="20"/>
        <v>9588.064299</v>
      </c>
      <c r="D163" s="84">
        <f t="shared" si="5"/>
        <v>2243489.51</v>
      </c>
      <c r="E163" s="79"/>
      <c r="F163" s="79"/>
      <c r="G163" s="78">
        <f>IFERROR(__xludf.DUMMYFUNCTION("""COMPUTED_VALUE"""),5168.504376046009)</f>
        <v>5168.504376</v>
      </c>
      <c r="H163" s="101">
        <f>IFERROR(__xludf.DUMMYFUNCTION("""COMPUTED_VALUE"""),584034.34457688)</f>
        <v>584034.3446</v>
      </c>
      <c r="I163" s="79">
        <f>IFERROR(__xludf.DUMMYFUNCTION("""COMPUTED_VALUE"""),12855.848309216728)</f>
        <v>12855.84831</v>
      </c>
      <c r="J163" s="80">
        <f>IFERROR(__xludf.DUMMYFUNCTION("""COMPUTED_VALUE"""),1780825.8937950549)</f>
        <v>1780825.894</v>
      </c>
      <c r="K163" s="79"/>
      <c r="L163" s="80"/>
      <c r="M163" s="6"/>
      <c r="N163" s="97"/>
      <c r="O163" s="6"/>
      <c r="P163" s="6"/>
      <c r="Q163" s="6"/>
      <c r="R163" s="6"/>
      <c r="S163" s="78">
        <f>IFERROR(__xludf.DUMMYFUNCTION("""COMPUTED_VALUE"""),4126.50437604601)</f>
        <v>4126.504376</v>
      </c>
      <c r="T163" s="9">
        <f>IFERROR(__xludf.DUMMYFUNCTION("""COMPUTED_VALUE"""),5531.848309216788)</f>
        <v>5531.848309</v>
      </c>
      <c r="U163" s="9"/>
      <c r="V163" s="79">
        <f t="shared" si="15"/>
        <v>9658.352685</v>
      </c>
      <c r="W163" s="80">
        <f t="shared" si="7"/>
        <v>3081267.289</v>
      </c>
      <c r="X163" s="81">
        <f t="shared" si="2"/>
        <v>0.2095837602</v>
      </c>
      <c r="Y163" s="82">
        <f t="shared" si="19"/>
        <v>5804295.101</v>
      </c>
      <c r="Z163" s="6"/>
      <c r="AA163" s="83">
        <f t="shared" si="8"/>
        <v>13488.55266</v>
      </c>
      <c r="AB163" s="84">
        <f t="shared" si="9"/>
        <v>3062073.729</v>
      </c>
      <c r="AC163" s="79">
        <f t="shared" si="12"/>
        <v>13567.33492</v>
      </c>
      <c r="AD163" s="85">
        <f t="shared" si="10"/>
        <v>3026116.064</v>
      </c>
      <c r="AE163" s="81">
        <v>0.25</v>
      </c>
      <c r="AF163" s="82">
        <f t="shared" si="17"/>
        <v>5440501.303</v>
      </c>
      <c r="AG163" s="6"/>
      <c r="AH163" s="6"/>
      <c r="AI163" s="6"/>
      <c r="AJ163" s="6"/>
      <c r="AK163" s="6"/>
      <c r="AL163" s="6"/>
      <c r="AM163" s="6"/>
      <c r="AN163" s="6"/>
      <c r="AO163" s="6"/>
      <c r="AP163" s="6"/>
    </row>
    <row r="164" ht="11.25" customHeight="1">
      <c r="A164" s="7"/>
      <c r="B164" s="68">
        <f t="shared" si="16"/>
        <v>159</v>
      </c>
      <c r="C164" s="86">
        <f t="shared" si="20"/>
        <v>9658.352685</v>
      </c>
      <c r="D164" s="84">
        <f t="shared" si="5"/>
        <v>2253147.862</v>
      </c>
      <c r="E164" s="79"/>
      <c r="F164" s="79"/>
      <c r="G164" s="78">
        <f>IFERROR(__xludf.DUMMYFUNCTION("""COMPUTED_VALUE"""),5195.42366967125)</f>
        <v>5195.42367</v>
      </c>
      <c r="H164" s="101">
        <f>IFERROR(__xludf.DUMMYFUNCTION("""COMPUTED_VALUE"""),589229.7682465513)</f>
        <v>589229.7682</v>
      </c>
      <c r="I164" s="79">
        <f>IFERROR(__xludf.DUMMYFUNCTION("""COMPUTED_VALUE"""),12899.504627433442)</f>
        <v>12899.50463</v>
      </c>
      <c r="J164" s="80">
        <f>IFERROR(__xludf.DUMMYFUNCTION("""COMPUTED_VALUE"""),1793725.3984224882)</f>
        <v>1793725.398</v>
      </c>
      <c r="K164" s="79"/>
      <c r="L164" s="80"/>
      <c r="M164" s="6"/>
      <c r="N164" s="97"/>
      <c r="O164" s="6"/>
      <c r="P164" s="6"/>
      <c r="Q164" s="6"/>
      <c r="R164" s="6"/>
      <c r="S164" s="78">
        <f>IFERROR(__xludf.DUMMYFUNCTION("""COMPUTED_VALUE"""),4153.423669671291)</f>
        <v>4153.42367</v>
      </c>
      <c r="T164" s="9">
        <f>IFERROR(__xludf.DUMMYFUNCTION("""COMPUTED_VALUE"""),5575.504627433373)</f>
        <v>5575.504627</v>
      </c>
      <c r="U164" s="9"/>
      <c r="V164" s="79">
        <f t="shared" si="15"/>
        <v>9728.928297</v>
      </c>
      <c r="W164" s="80">
        <f t="shared" si="7"/>
        <v>3090996.217</v>
      </c>
      <c r="X164" s="81">
        <f t="shared" si="2"/>
        <v>0.2098514256</v>
      </c>
      <c r="Y164" s="82">
        <f t="shared" si="19"/>
        <v>5832118.957</v>
      </c>
      <c r="Z164" s="6"/>
      <c r="AA164" s="83">
        <f t="shared" si="8"/>
        <v>13567.33492</v>
      </c>
      <c r="AB164" s="84">
        <f t="shared" si="9"/>
        <v>3075641.064</v>
      </c>
      <c r="AC164" s="79">
        <f t="shared" si="12"/>
        <v>13646.49058</v>
      </c>
      <c r="AD164" s="85">
        <f t="shared" si="10"/>
        <v>3039762.555</v>
      </c>
      <c r="AE164" s="81">
        <v>0.25</v>
      </c>
      <c r="AF164" s="82">
        <f t="shared" si="17"/>
        <v>5472242.722</v>
      </c>
      <c r="AG164" s="6"/>
      <c r="AH164" s="6"/>
      <c r="AI164" s="6"/>
      <c r="AJ164" s="6"/>
      <c r="AK164" s="6"/>
      <c r="AL164" s="6"/>
      <c r="AM164" s="6"/>
      <c r="AN164" s="6"/>
      <c r="AO164" s="6"/>
      <c r="AP164" s="6"/>
    </row>
    <row r="165" ht="11.25" customHeight="1">
      <c r="A165" s="7"/>
      <c r="B165" s="68">
        <f t="shared" si="16"/>
        <v>160</v>
      </c>
      <c r="C165" s="86">
        <f t="shared" si="20"/>
        <v>9728.928297</v>
      </c>
      <c r="D165" s="84">
        <f t="shared" si="5"/>
        <v>2262876.791</v>
      </c>
      <c r="E165" s="79"/>
      <c r="F165" s="79"/>
      <c r="G165" s="78">
        <f>IFERROR(__xludf.DUMMYFUNCTION("""COMPUTED_VALUE"""),5222.483167950787)</f>
        <v>5222.483168</v>
      </c>
      <c r="H165" s="101">
        <f>IFERROR(__xludf.DUMMYFUNCTION("""COMPUTED_VALUE"""),594452.251414502)</f>
        <v>594452.2514</v>
      </c>
      <c r="I165" s="79">
        <f>IFERROR(__xludf.DUMMYFUNCTION("""COMPUTED_VALUE"""),12943.30919523077)</f>
        <v>12943.3092</v>
      </c>
      <c r="J165" s="80">
        <f>IFERROR(__xludf.DUMMYFUNCTION("""COMPUTED_VALUE"""),1806668.707617719)</f>
        <v>1806668.708</v>
      </c>
      <c r="K165" s="79"/>
      <c r="L165" s="80"/>
      <c r="M165" s="6"/>
      <c r="N165" s="97"/>
      <c r="O165" s="6"/>
      <c r="P165" s="6"/>
      <c r="Q165" s="6"/>
      <c r="R165" s="6"/>
      <c r="S165" s="78">
        <f>IFERROR(__xludf.DUMMYFUNCTION("""COMPUTED_VALUE"""),4180.483167950762)</f>
        <v>4180.483168</v>
      </c>
      <c r="T165" s="9">
        <f>IFERROR(__xludf.DUMMYFUNCTION("""COMPUTED_VALUE"""),5619.309195230715)</f>
        <v>5619.309195</v>
      </c>
      <c r="U165" s="9"/>
      <c r="V165" s="79">
        <f t="shared" si="15"/>
        <v>9799.792363</v>
      </c>
      <c r="W165" s="80">
        <f t="shared" si="7"/>
        <v>3100796.009</v>
      </c>
      <c r="X165" s="81">
        <f t="shared" si="2"/>
        <v>0.2101157181</v>
      </c>
      <c r="Y165" s="82">
        <f t="shared" si="19"/>
        <v>5860084.542</v>
      </c>
      <c r="Z165" s="6"/>
      <c r="AA165" s="83">
        <f t="shared" si="8"/>
        <v>13646.49058</v>
      </c>
      <c r="AB165" s="84">
        <f t="shared" si="9"/>
        <v>3089287.555</v>
      </c>
      <c r="AC165" s="79">
        <f t="shared" si="12"/>
        <v>13726.02128</v>
      </c>
      <c r="AD165" s="85">
        <f t="shared" si="10"/>
        <v>3053488.576</v>
      </c>
      <c r="AE165" s="81">
        <v>0.25</v>
      </c>
      <c r="AF165" s="82">
        <f t="shared" si="17"/>
        <v>5504134.535</v>
      </c>
      <c r="AG165" s="6"/>
      <c r="AH165" s="6"/>
      <c r="AI165" s="6"/>
      <c r="AJ165" s="6"/>
      <c r="AK165" s="6"/>
      <c r="AL165" s="6"/>
      <c r="AM165" s="6"/>
      <c r="AN165" s="6"/>
      <c r="AO165" s="6"/>
      <c r="AP165" s="6"/>
    </row>
    <row r="166" ht="11.25" customHeight="1">
      <c r="A166" s="7"/>
      <c r="B166" s="68">
        <f t="shared" si="16"/>
        <v>161</v>
      </c>
      <c r="C166" s="86">
        <f t="shared" si="20"/>
        <v>9799.792363</v>
      </c>
      <c r="D166" s="84">
        <f t="shared" si="5"/>
        <v>2272676.583</v>
      </c>
      <c r="E166" s="79"/>
      <c r="F166" s="79"/>
      <c r="G166" s="78">
        <f>IFERROR(__xludf.DUMMYFUNCTION("""COMPUTED_VALUE"""),5249.683601117197)</f>
        <v>5249.683601</v>
      </c>
      <c r="H166" s="101">
        <f>IFERROR(__xludf.DUMMYFUNCTION("""COMPUTED_VALUE"""),599701.9350156193)</f>
        <v>599701.935</v>
      </c>
      <c r="I166" s="79">
        <f>IFERROR(__xludf.DUMMYFUNCTION("""COMPUTED_VALUE"""),12987.262516039573)</f>
        <v>12987.26252</v>
      </c>
      <c r="J166" s="80">
        <f>IFERROR(__xludf.DUMMYFUNCTION("""COMPUTED_VALUE"""),1819655.9701337586)</f>
        <v>1819655.97</v>
      </c>
      <c r="K166" s="79"/>
      <c r="L166" s="80"/>
      <c r="M166" s="6"/>
      <c r="N166" s="97"/>
      <c r="O166" s="6"/>
      <c r="P166" s="6"/>
      <c r="Q166" s="6"/>
      <c r="R166" s="6"/>
      <c r="S166" s="78">
        <f>IFERROR(__xludf.DUMMYFUNCTION("""COMPUTED_VALUE"""),4207.683601117227)</f>
        <v>4207.683601</v>
      </c>
      <c r="T166" s="9">
        <f>IFERROR(__xludf.DUMMYFUNCTION("""COMPUTED_VALUE"""),5663.2625160396565)</f>
        <v>5663.262516</v>
      </c>
      <c r="U166" s="9"/>
      <c r="V166" s="79">
        <f t="shared" si="15"/>
        <v>9870.946117</v>
      </c>
      <c r="W166" s="80">
        <f t="shared" si="7"/>
        <v>3110666.955</v>
      </c>
      <c r="X166" s="81">
        <f t="shared" si="2"/>
        <v>0.2103766744</v>
      </c>
      <c r="Y166" s="82">
        <f t="shared" si="19"/>
        <v>5888192.434</v>
      </c>
      <c r="Z166" s="6"/>
      <c r="AA166" s="83">
        <f t="shared" si="8"/>
        <v>13726.02128</v>
      </c>
      <c r="AB166" s="84">
        <f t="shared" si="9"/>
        <v>3103013.576</v>
      </c>
      <c r="AC166" s="79">
        <f t="shared" si="12"/>
        <v>13805.9287</v>
      </c>
      <c r="AD166" s="85">
        <f t="shared" si="10"/>
        <v>3067294.505</v>
      </c>
      <c r="AE166" s="81">
        <v>0.25</v>
      </c>
      <c r="AF166" s="82">
        <f t="shared" si="17"/>
        <v>5536177.41</v>
      </c>
      <c r="AG166" s="6"/>
      <c r="AH166" s="6"/>
      <c r="AI166" s="6"/>
      <c r="AJ166" s="6"/>
      <c r="AK166" s="6"/>
      <c r="AL166" s="6"/>
      <c r="AM166" s="6"/>
      <c r="AN166" s="6"/>
      <c r="AO166" s="6"/>
      <c r="AP166" s="6"/>
    </row>
    <row r="167" ht="11.25" customHeight="1">
      <c r="A167" s="7"/>
      <c r="B167" s="68">
        <f t="shared" si="16"/>
        <v>162</v>
      </c>
      <c r="C167" s="86">
        <f t="shared" si="20"/>
        <v>9870.946117</v>
      </c>
      <c r="D167" s="84">
        <f t="shared" si="5"/>
        <v>2282547.529</v>
      </c>
      <c r="E167" s="79"/>
      <c r="F167" s="79"/>
      <c r="G167" s="78">
        <f>IFERROR(__xludf.DUMMYFUNCTION("""COMPUTED_VALUE"""),5277.02570320635)</f>
        <v>5277.025703</v>
      </c>
      <c r="H167" s="101">
        <f>IFERROR(__xludf.DUMMYFUNCTION("""COMPUTED_VALUE"""),604978.9607188256)</f>
        <v>604978.9607</v>
      </c>
      <c r="I167" s="79">
        <f>IFERROR(__xludf.DUMMYFUNCTION("""COMPUTED_VALUE"""),13031.365095000292)</f>
        <v>13031.3651</v>
      </c>
      <c r="J167" s="80">
        <f>IFERROR(__xludf.DUMMYFUNCTION("""COMPUTED_VALUE"""),1832687.3352287589)</f>
        <v>1832687.335</v>
      </c>
      <c r="K167" s="79"/>
      <c r="L167" s="80"/>
      <c r="M167" s="6"/>
      <c r="N167" s="97"/>
      <c r="O167" s="6"/>
      <c r="P167" s="6"/>
      <c r="Q167" s="6"/>
      <c r="R167" s="6"/>
      <c r="S167" s="78">
        <f>IFERROR(__xludf.DUMMYFUNCTION("""COMPUTED_VALUE"""),4235.025703206309)</f>
        <v>4235.025703</v>
      </c>
      <c r="T167" s="9">
        <f>IFERROR(__xludf.DUMMYFUNCTION("""COMPUTED_VALUE"""),5707.365095000248)</f>
        <v>5707.365095</v>
      </c>
      <c r="U167" s="9"/>
      <c r="V167" s="79">
        <f t="shared" si="15"/>
        <v>9942.390798</v>
      </c>
      <c r="W167" s="80">
        <f t="shared" si="7"/>
        <v>3120609.346</v>
      </c>
      <c r="X167" s="81">
        <f t="shared" si="2"/>
        <v>0.2106343307</v>
      </c>
      <c r="Y167" s="82">
        <f t="shared" si="19"/>
        <v>5916443.216</v>
      </c>
      <c r="Z167" s="6"/>
      <c r="AA167" s="83">
        <f t="shared" si="8"/>
        <v>13805.9287</v>
      </c>
      <c r="AB167" s="84">
        <f t="shared" si="9"/>
        <v>3116819.505</v>
      </c>
      <c r="AC167" s="79">
        <f t="shared" si="12"/>
        <v>13886.2145</v>
      </c>
      <c r="AD167" s="85">
        <f t="shared" si="10"/>
        <v>3081180.719</v>
      </c>
      <c r="AE167" s="81">
        <v>0.25</v>
      </c>
      <c r="AF167" s="82">
        <f t="shared" si="17"/>
        <v>5568372.015</v>
      </c>
      <c r="AG167" s="6"/>
      <c r="AH167" s="6"/>
      <c r="AI167" s="6"/>
      <c r="AJ167" s="6"/>
      <c r="AK167" s="6"/>
      <c r="AL167" s="6"/>
      <c r="AM167" s="6"/>
      <c r="AN167" s="6"/>
      <c r="AO167" s="6"/>
      <c r="AP167" s="6"/>
    </row>
    <row r="168" ht="11.25" customHeight="1">
      <c r="A168" s="7"/>
      <c r="B168" s="68">
        <f t="shared" si="16"/>
        <v>163</v>
      </c>
      <c r="C168" s="86">
        <f t="shared" si="20"/>
        <v>9942.390798</v>
      </c>
      <c r="D168" s="84">
        <f t="shared" si="5"/>
        <v>2292489.92</v>
      </c>
      <c r="E168" s="79"/>
      <c r="F168" s="79"/>
      <c r="G168" s="78">
        <f>IFERROR(__xludf.DUMMYFUNCTION("""COMPUTED_VALUE"""),5304.510212077216)</f>
        <v>5304.510212</v>
      </c>
      <c r="H168" s="101">
        <f>IFERROR(__xludf.DUMMYFUNCTION("""COMPUTED_VALUE"""),610283.4709309028)</f>
        <v>610283.4709</v>
      </c>
      <c r="I168" s="79">
        <f>IFERROR(__xludf.DUMMYFUNCTION("""COMPUTED_VALUE"""),13075.61743896873)</f>
        <v>13075.61744</v>
      </c>
      <c r="J168" s="80">
        <f>IFERROR(__xludf.DUMMYFUNCTION("""COMPUTED_VALUE"""),1845762.9526677276)</f>
        <v>1845762.953</v>
      </c>
      <c r="K168" s="79"/>
      <c r="L168" s="80"/>
      <c r="M168" s="6"/>
      <c r="N168" s="97"/>
      <c r="O168" s="6"/>
      <c r="P168" s="6"/>
      <c r="Q168" s="6"/>
      <c r="R168" s="6"/>
      <c r="S168" s="78">
        <f>IFERROR(__xludf.DUMMYFUNCTION("""COMPUTED_VALUE"""),4262.510212077177)</f>
        <v>4262.510212</v>
      </c>
      <c r="T168" s="9">
        <f>IFERROR(__xludf.DUMMYFUNCTION("""COMPUTED_VALUE"""),5751.617438968737)</f>
        <v>5751.617439</v>
      </c>
      <c r="U168" s="9"/>
      <c r="V168" s="79">
        <f t="shared" si="15"/>
        <v>10014.12765</v>
      </c>
      <c r="W168" s="80">
        <f t="shared" si="7"/>
        <v>3130623.474</v>
      </c>
      <c r="X168" s="81">
        <f t="shared" si="2"/>
        <v>0.2108887229</v>
      </c>
      <c r="Y168" s="82">
        <f t="shared" si="19"/>
        <v>5944837.471</v>
      </c>
      <c r="Z168" s="6"/>
      <c r="AA168" s="83">
        <f t="shared" si="8"/>
        <v>13886.2145</v>
      </c>
      <c r="AB168" s="84">
        <f t="shared" si="9"/>
        <v>3130705.719</v>
      </c>
      <c r="AC168" s="79">
        <f t="shared" si="12"/>
        <v>13966.88036</v>
      </c>
      <c r="AD168" s="85">
        <f t="shared" si="10"/>
        <v>3095147.6</v>
      </c>
      <c r="AE168" s="81">
        <v>0.25</v>
      </c>
      <c r="AF168" s="82">
        <f t="shared" si="17"/>
        <v>5600719.023</v>
      </c>
      <c r="AG168" s="6"/>
      <c r="AH168" s="6"/>
      <c r="AI168" s="6"/>
      <c r="AJ168" s="6"/>
      <c r="AK168" s="6"/>
      <c r="AL168" s="6"/>
      <c r="AM168" s="6"/>
      <c r="AN168" s="6"/>
      <c r="AO168" s="6"/>
      <c r="AP168" s="6"/>
    </row>
    <row r="169" ht="11.25" customHeight="1">
      <c r="A169" s="7"/>
      <c r="B169" s="68">
        <f t="shared" si="16"/>
        <v>164</v>
      </c>
      <c r="C169" s="86">
        <f t="shared" si="20"/>
        <v>10014.12765</v>
      </c>
      <c r="D169" s="84">
        <f t="shared" si="5"/>
        <v>2302504.048</v>
      </c>
      <c r="E169" s="79"/>
      <c r="F169" s="79"/>
      <c r="G169" s="78">
        <f>IFERROR(__xludf.DUMMYFUNCTION("""COMPUTED_VALUE"""),5332.137869431785)</f>
        <v>5332.137869</v>
      </c>
      <c r="H169" s="101">
        <f>IFERROR(__xludf.DUMMYFUNCTION("""COMPUTED_VALUE"""),615615.6088003345)</f>
        <v>615615.6088</v>
      </c>
      <c r="I169" s="79">
        <f>IFERROR(__xludf.DUMMYFUNCTION("""COMPUTED_VALUE"""),13120.020056521895)</f>
        <v>13120.02006</v>
      </c>
      <c r="J169" s="80">
        <f>IFERROR(__xludf.DUMMYFUNCTION("""COMPUTED_VALUE"""),1858882.9727242496)</f>
        <v>1858882.973</v>
      </c>
      <c r="K169" s="79"/>
      <c r="L169" s="80"/>
      <c r="M169" s="6"/>
      <c r="N169" s="97"/>
      <c r="O169" s="6"/>
      <c r="P169" s="6"/>
      <c r="Q169" s="6"/>
      <c r="R169" s="6"/>
      <c r="S169" s="78">
        <f>IFERROR(__xludf.DUMMYFUNCTION("""COMPUTED_VALUE"""),4290.137869431754)</f>
        <v>4290.137869</v>
      </c>
      <c r="T169" s="9">
        <f>IFERROR(__xludf.DUMMYFUNCTION("""COMPUTED_VALUE"""),5796.020056521986)</f>
        <v>5796.020057</v>
      </c>
      <c r="U169" s="9"/>
      <c r="V169" s="79">
        <f t="shared" si="15"/>
        <v>10086.15793</v>
      </c>
      <c r="W169" s="80">
        <f t="shared" si="7"/>
        <v>3140709.632</v>
      </c>
      <c r="X169" s="81">
        <f t="shared" si="2"/>
        <v>0.2111398864</v>
      </c>
      <c r="Y169" s="82">
        <f t="shared" si="19"/>
        <v>5973375.787</v>
      </c>
      <c r="Z169" s="6"/>
      <c r="AA169" s="83">
        <f t="shared" si="8"/>
        <v>13966.88036</v>
      </c>
      <c r="AB169" s="84">
        <f t="shared" si="9"/>
        <v>3144672.6</v>
      </c>
      <c r="AC169" s="79">
        <f t="shared" si="12"/>
        <v>14047.92795</v>
      </c>
      <c r="AD169" s="85">
        <f t="shared" si="10"/>
        <v>3109195.528</v>
      </c>
      <c r="AE169" s="81">
        <v>0.25</v>
      </c>
      <c r="AF169" s="82">
        <f t="shared" si="17"/>
        <v>5633219.109</v>
      </c>
      <c r="AG169" s="6"/>
      <c r="AH169" s="6"/>
      <c r="AI169" s="6"/>
      <c r="AJ169" s="6"/>
      <c r="AK169" s="6"/>
      <c r="AL169" s="6"/>
      <c r="AM169" s="6"/>
      <c r="AN169" s="6"/>
      <c r="AO169" s="6"/>
      <c r="AP169" s="6"/>
    </row>
    <row r="170" ht="11.25" customHeight="1">
      <c r="A170" s="7"/>
      <c r="B170" s="68">
        <f t="shared" si="16"/>
        <v>165</v>
      </c>
      <c r="C170" s="86">
        <f t="shared" si="20"/>
        <v>10086.15793</v>
      </c>
      <c r="D170" s="84">
        <f t="shared" si="5"/>
        <v>2312590.206</v>
      </c>
      <c r="E170" s="79"/>
      <c r="F170" s="79"/>
      <c r="G170" s="78">
        <f>IFERROR(__xludf.DUMMYFUNCTION("""COMPUTED_VALUE"""),5359.909420835075)</f>
        <v>5359.909421</v>
      </c>
      <c r="H170" s="101">
        <f>IFERROR(__xludf.DUMMYFUNCTION("""COMPUTED_VALUE"""),620975.5182211696)</f>
        <v>620975.5182</v>
      </c>
      <c r="I170" s="79">
        <f>IFERROR(__xludf.DUMMYFUNCTION("""COMPUTED_VALUE"""),13164.573457963834)</f>
        <v>13164.57346</v>
      </c>
      <c r="J170" s="80">
        <f>IFERROR(__xludf.DUMMYFUNCTION("""COMPUTED_VALUE"""),1872047.5461822134)</f>
        <v>1872047.546</v>
      </c>
      <c r="K170" s="79"/>
      <c r="L170" s="80"/>
      <c r="M170" s="6"/>
      <c r="N170" s="97"/>
      <c r="O170" s="6"/>
      <c r="P170" s="6"/>
      <c r="Q170" s="6"/>
      <c r="R170" s="6"/>
      <c r="S170" s="78">
        <f>IFERROR(__xludf.DUMMYFUNCTION("""COMPUTED_VALUE"""),4317.909420835087)</f>
        <v>4317.909421</v>
      </c>
      <c r="T170" s="9">
        <f>IFERROR(__xludf.DUMMYFUNCTION("""COMPUTED_VALUE"""),5840.573457963765)</f>
        <v>5840.573458</v>
      </c>
      <c r="U170" s="9"/>
      <c r="V170" s="79">
        <f t="shared" si="15"/>
        <v>10158.48288</v>
      </c>
      <c r="W170" s="80">
        <f t="shared" si="7"/>
        <v>3150868.115</v>
      </c>
      <c r="X170" s="81">
        <f t="shared" si="2"/>
        <v>0.2113878564</v>
      </c>
      <c r="Y170" s="82">
        <f t="shared" si="19"/>
        <v>6002058.753</v>
      </c>
      <c r="Z170" s="6"/>
      <c r="AA170" s="83">
        <f t="shared" si="8"/>
        <v>14047.92795</v>
      </c>
      <c r="AB170" s="84">
        <f t="shared" si="9"/>
        <v>3158720.528</v>
      </c>
      <c r="AC170" s="79">
        <f t="shared" si="12"/>
        <v>14129.35898</v>
      </c>
      <c r="AD170" s="85">
        <f t="shared" si="10"/>
        <v>3123324.887</v>
      </c>
      <c r="AE170" s="81">
        <v>0.25</v>
      </c>
      <c r="AF170" s="82">
        <f t="shared" si="17"/>
        <v>5665872.951</v>
      </c>
      <c r="AG170" s="6"/>
      <c r="AH170" s="6"/>
      <c r="AI170" s="6"/>
      <c r="AJ170" s="6"/>
      <c r="AK170" s="6"/>
      <c r="AL170" s="6"/>
      <c r="AM170" s="6"/>
      <c r="AN170" s="6"/>
      <c r="AO170" s="6"/>
      <c r="AP170" s="6"/>
    </row>
    <row r="171" ht="11.25" customHeight="1">
      <c r="A171" s="7"/>
      <c r="B171" s="68">
        <f t="shared" si="16"/>
        <v>166</v>
      </c>
      <c r="C171" s="86">
        <f t="shared" si="20"/>
        <v>10158.48288</v>
      </c>
      <c r="D171" s="84">
        <f t="shared" si="5"/>
        <v>2322748.688</v>
      </c>
      <c r="E171" s="79"/>
      <c r="F171" s="79"/>
      <c r="G171" s="78">
        <f>IFERROR(__xludf.DUMMYFUNCTION("""COMPUTED_VALUE"""),5387.825615735258)</f>
        <v>5387.825616</v>
      </c>
      <c r="H171" s="101">
        <f>IFERROR(__xludf.DUMMYFUNCTION("""COMPUTED_VALUE"""),626363.3438369049)</f>
        <v>626363.3438</v>
      </c>
      <c r="I171" s="79">
        <f>IFERROR(__xludf.DUMMYFUNCTION("""COMPUTED_VALUE"""),13209.278155331502)</f>
        <v>13209.27816</v>
      </c>
      <c r="J171" s="80">
        <f>IFERROR(__xludf.DUMMYFUNCTION("""COMPUTED_VALUE"""),1885256.8243375449)</f>
        <v>1885256.824</v>
      </c>
      <c r="K171" s="79"/>
      <c r="L171" s="80"/>
      <c r="M171" s="6"/>
      <c r="N171" s="97"/>
      <c r="O171" s="6"/>
      <c r="P171" s="6"/>
      <c r="Q171" s="6"/>
      <c r="R171" s="6"/>
      <c r="S171" s="78">
        <f>IFERROR(__xludf.DUMMYFUNCTION("""COMPUTED_VALUE"""),4345.825615735259)</f>
        <v>4345.825616</v>
      </c>
      <c r="T171" s="9">
        <f>IFERROR(__xludf.DUMMYFUNCTION("""COMPUTED_VALUE"""),5885.2781553315)</f>
        <v>5885.278155</v>
      </c>
      <c r="U171" s="9"/>
      <c r="V171" s="79">
        <f t="shared" si="15"/>
        <v>10231.10377</v>
      </c>
      <c r="W171" s="80">
        <f t="shared" si="7"/>
        <v>3161099.218</v>
      </c>
      <c r="X171" s="81">
        <f t="shared" si="2"/>
        <v>0.2116326676</v>
      </c>
      <c r="Y171" s="82">
        <f t="shared" si="19"/>
        <v>6030886.96</v>
      </c>
      <c r="Z171" s="6"/>
      <c r="AA171" s="83">
        <f t="shared" si="8"/>
        <v>14129.35898</v>
      </c>
      <c r="AB171" s="84">
        <f t="shared" si="9"/>
        <v>3172849.887</v>
      </c>
      <c r="AC171" s="79">
        <f t="shared" si="12"/>
        <v>14211.17514</v>
      </c>
      <c r="AD171" s="85">
        <f t="shared" si="10"/>
        <v>3137536.062</v>
      </c>
      <c r="AE171" s="81">
        <v>0.25</v>
      </c>
      <c r="AF171" s="82">
        <f t="shared" si="17"/>
        <v>5698681.23</v>
      </c>
      <c r="AG171" s="6"/>
      <c r="AH171" s="6"/>
      <c r="AI171" s="6"/>
      <c r="AJ171" s="6"/>
      <c r="AK171" s="6"/>
      <c r="AL171" s="6"/>
      <c r="AM171" s="6"/>
      <c r="AN171" s="6"/>
      <c r="AO171" s="6"/>
      <c r="AP171" s="6"/>
    </row>
    <row r="172" ht="11.25" customHeight="1">
      <c r="A172" s="7"/>
      <c r="B172" s="68">
        <f t="shared" si="16"/>
        <v>167</v>
      </c>
      <c r="C172" s="86">
        <f t="shared" si="20"/>
        <v>10231.10377</v>
      </c>
      <c r="D172" s="84">
        <f t="shared" si="5"/>
        <v>2332979.792</v>
      </c>
      <c r="E172" s="79"/>
      <c r="F172" s="79"/>
      <c r="G172" s="78">
        <f>IFERROR(__xludf.DUMMYFUNCTION("""COMPUTED_VALUE"""),5415.887207483879)</f>
        <v>5415.887207</v>
      </c>
      <c r="H172" s="101">
        <f>IFERROR(__xludf.DUMMYFUNCTION("""COMPUTED_VALUE"""),631779.2310443887)</f>
        <v>631779.231</v>
      </c>
      <c r="I172" s="79">
        <f>IFERROR(__xludf.DUMMYFUNCTION("""COMPUTED_VALUE"""),13254.13466240065)</f>
        <v>13254.13466</v>
      </c>
      <c r="J172" s="80">
        <f>IFERROR(__xludf.DUMMYFUNCTION("""COMPUTED_VALUE"""),1898510.9589999455)</f>
        <v>1898510.959</v>
      </c>
      <c r="K172" s="79"/>
      <c r="L172" s="80"/>
      <c r="M172" s="6"/>
      <c r="N172" s="97"/>
      <c r="O172" s="6"/>
      <c r="P172" s="6"/>
      <c r="Q172" s="6"/>
      <c r="R172" s="6"/>
      <c r="S172" s="78">
        <f>IFERROR(__xludf.DUMMYFUNCTION("""COMPUTED_VALUE"""),4373.887207483873)</f>
        <v>4373.887207</v>
      </c>
      <c r="T172" s="9">
        <f>IFERROR(__xludf.DUMMYFUNCTION("""COMPUTED_VALUE"""),5930.134662400698)</f>
        <v>5930.134662</v>
      </c>
      <c r="U172" s="9"/>
      <c r="V172" s="79">
        <f t="shared" si="15"/>
        <v>10304.02187</v>
      </c>
      <c r="W172" s="80">
        <f t="shared" si="7"/>
        <v>3171403.24</v>
      </c>
      <c r="X172" s="81">
        <f t="shared" si="2"/>
        <v>0.2118743542</v>
      </c>
      <c r="Y172" s="82">
        <f t="shared" si="19"/>
        <v>6059861.004</v>
      </c>
      <c r="Z172" s="6"/>
      <c r="AA172" s="83">
        <f t="shared" si="8"/>
        <v>14211.17514</v>
      </c>
      <c r="AB172" s="84">
        <f t="shared" si="9"/>
        <v>3187061.062</v>
      </c>
      <c r="AC172" s="79">
        <f t="shared" si="12"/>
        <v>14293.37813</v>
      </c>
      <c r="AD172" s="85">
        <f t="shared" si="10"/>
        <v>3151829.44</v>
      </c>
      <c r="AE172" s="81">
        <v>0.25</v>
      </c>
      <c r="AF172" s="82">
        <f t="shared" si="17"/>
        <v>5731644.63</v>
      </c>
      <c r="AG172" s="6"/>
      <c r="AH172" s="6"/>
      <c r="AI172" s="6"/>
      <c r="AJ172" s="6"/>
      <c r="AK172" s="6"/>
      <c r="AL172" s="6"/>
      <c r="AM172" s="6"/>
      <c r="AN172" s="6"/>
      <c r="AO172" s="6"/>
      <c r="AP172" s="6"/>
    </row>
    <row r="173" ht="11.25" customHeight="1">
      <c r="A173" s="71"/>
      <c r="B173" s="72">
        <f t="shared" si="16"/>
        <v>168</v>
      </c>
      <c r="C173" s="86">
        <f t="shared" si="20"/>
        <v>10304.02187</v>
      </c>
      <c r="D173" s="88">
        <f t="shared" si="5"/>
        <v>2343283.814</v>
      </c>
      <c r="E173" s="90"/>
      <c r="F173" s="90"/>
      <c r="G173" s="89">
        <f>IFERROR(__xludf.DUMMYFUNCTION("""COMPUTED_VALUE"""),5444.094953356191)</f>
        <v>5444.094953</v>
      </c>
      <c r="H173" s="98">
        <f>IFERROR(__xludf.DUMMYFUNCTION("""COMPUTED_VALUE"""),637223.3259977449)</f>
        <v>637223.326</v>
      </c>
      <c r="I173" s="90">
        <f>IFERROR(__xludf.DUMMYFUNCTION("""COMPUTED_VALUE"""),13299.143494691718)</f>
        <v>13299.14349</v>
      </c>
      <c r="J173" s="91">
        <f>IFERROR(__xludf.DUMMYFUNCTION("""COMPUTED_VALUE"""),1911810.1024946372)</f>
        <v>1911810.102</v>
      </c>
      <c r="K173" s="90"/>
      <c r="L173" s="91"/>
      <c r="M173" s="6"/>
      <c r="N173" s="99"/>
      <c r="O173" s="10"/>
      <c r="P173" s="10"/>
      <c r="Q173" s="10"/>
      <c r="R173" s="10"/>
      <c r="S173" s="89">
        <f>IFERROR(__xludf.DUMMYFUNCTION("""COMPUTED_VALUE"""),4402.094953356194)</f>
        <v>4402.094953</v>
      </c>
      <c r="T173" s="93">
        <f>IFERROR(__xludf.DUMMYFUNCTION("""COMPUTED_VALUE"""),5975.1434946917)</f>
        <v>5975.143495</v>
      </c>
      <c r="U173" s="93"/>
      <c r="V173" s="90">
        <f t="shared" si="15"/>
        <v>10377.23845</v>
      </c>
      <c r="W173" s="91">
        <f t="shared" si="7"/>
        <v>3181780.479</v>
      </c>
      <c r="X173" s="81">
        <f t="shared" si="2"/>
        <v>0.2121129504</v>
      </c>
      <c r="Y173" s="82">
        <f t="shared" si="19"/>
        <v>6088981.481</v>
      </c>
      <c r="Z173" s="6"/>
      <c r="AA173" s="83">
        <f t="shared" si="8"/>
        <v>14293.37813</v>
      </c>
      <c r="AB173" s="88">
        <f t="shared" si="9"/>
        <v>3201354.44</v>
      </c>
      <c r="AC173" s="90">
        <f t="shared" si="12"/>
        <v>14375.96967</v>
      </c>
      <c r="AD173" s="94">
        <f t="shared" si="10"/>
        <v>3166205.41</v>
      </c>
      <c r="AE173" s="81">
        <v>0.25</v>
      </c>
      <c r="AF173" s="82">
        <f t="shared" si="17"/>
        <v>5764763.838</v>
      </c>
      <c r="AG173" s="6"/>
      <c r="AH173" s="6"/>
      <c r="AI173" s="6"/>
      <c r="AJ173" s="6"/>
      <c r="AK173" s="6"/>
      <c r="AL173" s="6"/>
      <c r="AM173" s="6"/>
      <c r="AN173" s="6"/>
      <c r="AO173" s="6"/>
      <c r="AP173" s="6"/>
    </row>
    <row r="174" ht="11.25" customHeight="1">
      <c r="A174" s="100">
        <v>15.0</v>
      </c>
      <c r="B174" s="66">
        <f t="shared" si="16"/>
        <v>169</v>
      </c>
      <c r="C174" s="86">
        <f t="shared" si="20"/>
        <v>10377.23845</v>
      </c>
      <c r="D174" s="84">
        <f t="shared" si="5"/>
        <v>2353661.053</v>
      </c>
      <c r="E174" s="79"/>
      <c r="F174" s="79"/>
      <c r="G174" s="78">
        <f>IFERROR(__xludf.DUMMYFUNCTION("""COMPUTED_VALUE"""),5472.4496145715875)</f>
        <v>5472.449615</v>
      </c>
      <c r="H174" s="101">
        <f>IFERROR(__xludf.DUMMYFUNCTION("""COMPUTED_VALUE"""),642695.7756123166)</f>
        <v>642695.7756</v>
      </c>
      <c r="I174" s="79">
        <f>IFERROR(__xludf.DUMMYFUNCTION("""COMPUTED_VALUE"""),13344.305169475774)</f>
        <v>13344.30517</v>
      </c>
      <c r="J174" s="80">
        <f>IFERROR(__xludf.DUMMYFUNCTION("""COMPUTED_VALUE"""),1925154.407664113)</f>
        <v>1925154.408</v>
      </c>
      <c r="K174" s="79"/>
      <c r="L174" s="80"/>
      <c r="M174" s="6"/>
      <c r="N174" s="97"/>
      <c r="O174" s="6"/>
      <c r="P174" s="6"/>
      <c r="Q174" s="6"/>
      <c r="R174" s="6"/>
      <c r="S174" s="102">
        <f>IFERROR(__xludf.DUMMYFUNCTION("""COMPUTED_VALUE"""),4430.44961457164)</f>
        <v>4430.449615</v>
      </c>
      <c r="T174" s="9">
        <f>IFERROR(__xludf.DUMMYFUNCTION("""COMPUTED_VALUE"""),6020.3051694757305)</f>
        <v>6020.305169</v>
      </c>
      <c r="U174" s="9"/>
      <c r="V174" s="79">
        <f t="shared" si="15"/>
        <v>10450.75478</v>
      </c>
      <c r="W174" s="80">
        <f t="shared" si="7"/>
        <v>3192231.234</v>
      </c>
      <c r="X174" s="81">
        <f t="shared" si="2"/>
        <v>0.2123484898</v>
      </c>
      <c r="Y174" s="82">
        <f t="shared" si="19"/>
        <v>6118248.991</v>
      </c>
      <c r="Z174" s="6"/>
      <c r="AA174" s="83">
        <f t="shared" si="8"/>
        <v>14375.96967</v>
      </c>
      <c r="AB174" s="84">
        <f t="shared" si="9"/>
        <v>3215730.41</v>
      </c>
      <c r="AC174" s="79">
        <f t="shared" si="12"/>
        <v>14458.95148</v>
      </c>
      <c r="AD174" s="95">
        <f t="shared" si="10"/>
        <v>3180664.361</v>
      </c>
      <c r="AE174" s="81">
        <v>0.25</v>
      </c>
      <c r="AF174" s="82">
        <f t="shared" si="17"/>
        <v>5798039.544</v>
      </c>
      <c r="AG174" s="6"/>
      <c r="AH174" s="6"/>
      <c r="AI174" s="6"/>
      <c r="AJ174" s="6"/>
      <c r="AK174" s="6"/>
      <c r="AL174" s="6"/>
      <c r="AM174" s="6"/>
      <c r="AN174" s="6"/>
      <c r="AO174" s="6"/>
      <c r="AP174" s="6"/>
    </row>
    <row r="175" ht="11.25" customHeight="1">
      <c r="A175" s="7"/>
      <c r="B175" s="68">
        <f t="shared" si="16"/>
        <v>170</v>
      </c>
      <c r="C175" s="86">
        <f t="shared" si="20"/>
        <v>10450.75478</v>
      </c>
      <c r="D175" s="84">
        <f t="shared" si="5"/>
        <v>2364111.807</v>
      </c>
      <c r="E175" s="79"/>
      <c r="F175" s="79"/>
      <c r="G175" s="78">
        <f>IFERROR(__xludf.DUMMYFUNCTION("""COMPUTED_VALUE"""),5500.951956314148)</f>
        <v>5500.951956</v>
      </c>
      <c r="H175" s="101">
        <f>IFERROR(__xludf.DUMMYFUNCTION("""COMPUTED_VALUE"""),648196.7275686307)</f>
        <v>648196.7276</v>
      </c>
      <c r="I175" s="79">
        <f>IFERROR(__xludf.DUMMYFUNCTION("""COMPUTED_VALUE"""),13389.620205780453)</f>
        <v>13389.62021</v>
      </c>
      <c r="J175" s="80">
        <f>IFERROR(__xludf.DUMMYFUNCTION("""COMPUTED_VALUE"""),1938544.0278698935)</f>
        <v>1938544.028</v>
      </c>
      <c r="K175" s="79"/>
      <c r="L175" s="80"/>
      <c r="M175" s="6"/>
      <c r="N175" s="97"/>
      <c r="O175" s="6"/>
      <c r="P175" s="6"/>
      <c r="Q175" s="6"/>
      <c r="R175" s="6"/>
      <c r="S175" s="78">
        <f>IFERROR(__xludf.DUMMYFUNCTION("""COMPUTED_VALUE"""),4458.951956314151)</f>
        <v>4458.951956</v>
      </c>
      <c r="T175" s="9">
        <f>IFERROR(__xludf.DUMMYFUNCTION("""COMPUTED_VALUE"""),6065.620205780491)</f>
        <v>6065.620206</v>
      </c>
      <c r="U175" s="9"/>
      <c r="V175" s="79">
        <f t="shared" si="15"/>
        <v>10524.57216</v>
      </c>
      <c r="W175" s="80">
        <f t="shared" si="7"/>
        <v>3202755.806</v>
      </c>
      <c r="X175" s="81">
        <f t="shared" si="2"/>
        <v>0.2125810056</v>
      </c>
      <c r="Y175" s="82">
        <f t="shared" si="19"/>
        <v>6147664.135</v>
      </c>
      <c r="Z175" s="6"/>
      <c r="AA175" s="83">
        <f t="shared" si="8"/>
        <v>14458.95148</v>
      </c>
      <c r="AB175" s="84">
        <f t="shared" si="9"/>
        <v>3230189.361</v>
      </c>
      <c r="AC175" s="79">
        <f t="shared" si="12"/>
        <v>14542.32529</v>
      </c>
      <c r="AD175" s="85">
        <f t="shared" si="10"/>
        <v>3195206.686</v>
      </c>
      <c r="AE175" s="81">
        <v>0.25</v>
      </c>
      <c r="AF175" s="82">
        <f t="shared" si="17"/>
        <v>5831472.442</v>
      </c>
      <c r="AG175" s="6"/>
      <c r="AH175" s="6"/>
      <c r="AI175" s="6"/>
      <c r="AJ175" s="6"/>
      <c r="AK175" s="6"/>
      <c r="AL175" s="6"/>
      <c r="AM175" s="6"/>
      <c r="AN175" s="6"/>
      <c r="AO175" s="6"/>
      <c r="AP175" s="6"/>
    </row>
    <row r="176" ht="11.25" customHeight="1">
      <c r="A176" s="7"/>
      <c r="B176" s="68">
        <f t="shared" si="16"/>
        <v>171</v>
      </c>
      <c r="C176" s="86">
        <f t="shared" si="20"/>
        <v>10524.57216</v>
      </c>
      <c r="D176" s="84">
        <f t="shared" si="5"/>
        <v>2374636.379</v>
      </c>
      <c r="E176" s="79"/>
      <c r="F176" s="79"/>
      <c r="G176" s="78">
        <f>IFERROR(__xludf.DUMMYFUNCTION("""COMPUTED_VALUE"""),5529.602747753284)</f>
        <v>5529.602748</v>
      </c>
      <c r="H176" s="101">
        <f>IFERROR(__xludf.DUMMYFUNCTION("""COMPUTED_VALUE"""),653726.330316384)</f>
        <v>653726.3303</v>
      </c>
      <c r="I176" s="79">
        <f>IFERROR(__xludf.DUMMYFUNCTION("""COMPUTED_VALUE"""),13435.089124395916)</f>
        <v>13435.08912</v>
      </c>
      <c r="J176" s="80">
        <f>IFERROR(__xludf.DUMMYFUNCTION("""COMPUTED_VALUE"""),1951979.1169942894)</f>
        <v>1951979.117</v>
      </c>
      <c r="K176" s="79"/>
      <c r="L176" s="80"/>
      <c r="M176" s="6"/>
      <c r="N176" s="97"/>
      <c r="O176" s="6"/>
      <c r="P176" s="6"/>
      <c r="Q176" s="6"/>
      <c r="R176" s="6"/>
      <c r="S176" s="78">
        <f>IFERROR(__xludf.DUMMYFUNCTION("""COMPUTED_VALUE"""),4487.6027477532625)</f>
        <v>4487.602748</v>
      </c>
      <c r="T176" s="9">
        <f>IFERROR(__xludf.DUMMYFUNCTION("""COMPUTED_VALUE"""),6111.089124395978)</f>
        <v>6111.089124</v>
      </c>
      <c r="U176" s="9"/>
      <c r="V176" s="79">
        <f t="shared" si="15"/>
        <v>10598.69187</v>
      </c>
      <c r="W176" s="80">
        <f t="shared" si="7"/>
        <v>3213354.498</v>
      </c>
      <c r="X176" s="81">
        <f t="shared" si="2"/>
        <v>0.2128105307</v>
      </c>
      <c r="Y176" s="82">
        <f t="shared" si="19"/>
        <v>6177227.519</v>
      </c>
      <c r="Z176" s="6"/>
      <c r="AA176" s="83">
        <f t="shared" si="8"/>
        <v>14542.32529</v>
      </c>
      <c r="AB176" s="84">
        <f t="shared" si="9"/>
        <v>3244731.686</v>
      </c>
      <c r="AC176" s="79">
        <f t="shared" si="12"/>
        <v>14626.09283</v>
      </c>
      <c r="AD176" s="85">
        <f t="shared" si="10"/>
        <v>3209832.779</v>
      </c>
      <c r="AE176" s="81">
        <v>0.25</v>
      </c>
      <c r="AF176" s="82">
        <f t="shared" si="17"/>
        <v>5865063.227</v>
      </c>
      <c r="AG176" s="6"/>
      <c r="AH176" s="6"/>
      <c r="AI176" s="6"/>
      <c r="AJ176" s="6"/>
      <c r="AK176" s="6"/>
      <c r="AL176" s="6"/>
      <c r="AM176" s="6"/>
      <c r="AN176" s="6"/>
      <c r="AO176" s="6"/>
      <c r="AP176" s="6"/>
    </row>
    <row r="177" ht="11.25" customHeight="1">
      <c r="A177" s="7"/>
      <c r="B177" s="68">
        <f t="shared" si="16"/>
        <v>172</v>
      </c>
      <c r="C177" s="86">
        <f t="shared" si="20"/>
        <v>10598.69187</v>
      </c>
      <c r="D177" s="84">
        <f t="shared" si="5"/>
        <v>2385235.071</v>
      </c>
      <c r="E177" s="79"/>
      <c r="F177" s="79"/>
      <c r="G177" s="78">
        <f>IFERROR(__xludf.DUMMYFUNCTION("""COMPUTED_VALUE"""),5558.402762064499)</f>
        <v>5558.402762</v>
      </c>
      <c r="H177" s="101">
        <f>IFERROR(__xludf.DUMMYFUNCTION("""COMPUTED_VALUE"""),659284.7330784485)</f>
        <v>659284.7331</v>
      </c>
      <c r="I177" s="79">
        <f>IFERROR(__xludf.DUMMYFUNCTION("""COMPUTED_VALUE"""),13480.712447880844)</f>
        <v>13480.71245</v>
      </c>
      <c r="J177" s="80">
        <f>IFERROR(__xludf.DUMMYFUNCTION("""COMPUTED_VALUE"""),1965459.8294421702)</f>
        <v>1965459.829</v>
      </c>
      <c r="K177" s="79"/>
      <c r="L177" s="80"/>
      <c r="M177" s="6"/>
      <c r="N177" s="97"/>
      <c r="O177" s="6"/>
      <c r="P177" s="6"/>
      <c r="Q177" s="6"/>
      <c r="R177" s="6"/>
      <c r="S177" s="78">
        <f>IFERROR(__xludf.DUMMYFUNCTION("""COMPUTED_VALUE"""),4516.402762064477)</f>
        <v>4516.402762</v>
      </c>
      <c r="T177" s="9">
        <f>IFERROR(__xludf.DUMMYFUNCTION("""COMPUTED_VALUE"""),6156.712447880767)</f>
        <v>6156.712448</v>
      </c>
      <c r="U177" s="9"/>
      <c r="V177" s="79">
        <f t="shared" si="15"/>
        <v>10673.11521</v>
      </c>
      <c r="W177" s="80">
        <f t="shared" si="7"/>
        <v>3224027.613</v>
      </c>
      <c r="X177" s="81">
        <f t="shared" si="2"/>
        <v>0.2130370978</v>
      </c>
      <c r="Y177" s="82">
        <f t="shared" si="19"/>
        <v>6206939.749</v>
      </c>
      <c r="Z177" s="6"/>
      <c r="AA177" s="83">
        <f t="shared" si="8"/>
        <v>14626.09283</v>
      </c>
      <c r="AB177" s="84">
        <f t="shared" si="9"/>
        <v>3259357.779</v>
      </c>
      <c r="AC177" s="79">
        <f t="shared" si="12"/>
        <v>14710.25585</v>
      </c>
      <c r="AD177" s="85">
        <f t="shared" si="10"/>
        <v>3224543.035</v>
      </c>
      <c r="AE177" s="81">
        <v>0.25</v>
      </c>
      <c r="AF177" s="82">
        <f t="shared" si="17"/>
        <v>5898812.598</v>
      </c>
      <c r="AG177" s="6"/>
      <c r="AH177" s="6"/>
      <c r="AI177" s="6"/>
      <c r="AJ177" s="6"/>
      <c r="AK177" s="6"/>
      <c r="AL177" s="6"/>
      <c r="AM177" s="6"/>
      <c r="AN177" s="6"/>
      <c r="AO177" s="6"/>
      <c r="AP177" s="6"/>
    </row>
    <row r="178" ht="11.25" customHeight="1">
      <c r="A178" s="7"/>
      <c r="B178" s="68">
        <f t="shared" si="16"/>
        <v>173</v>
      </c>
      <c r="C178" s="86">
        <f t="shared" si="20"/>
        <v>10673.11521</v>
      </c>
      <c r="D178" s="84">
        <f t="shared" si="5"/>
        <v>2395908.187</v>
      </c>
      <c r="E178" s="79"/>
      <c r="F178" s="79"/>
      <c r="G178" s="78">
        <f>IFERROR(__xludf.DUMMYFUNCTION("""COMPUTED_VALUE"""),5587.352776450251)</f>
        <v>5587.352776</v>
      </c>
      <c r="H178" s="101">
        <f>IFERROR(__xludf.DUMMYFUNCTION("""COMPUTED_VALUE"""),664872.0858548987)</f>
        <v>664872.0859</v>
      </c>
      <c r="I178" s="79">
        <f>IFERROR(__xludf.DUMMYFUNCTION("""COMPUTED_VALUE"""),13526.49070056844)</f>
        <v>13526.4907</v>
      </c>
      <c r="J178" s="80">
        <f>IFERROR(__xludf.DUMMYFUNCTION("""COMPUTED_VALUE"""),1978986.3201427388)</f>
        <v>1978986.32</v>
      </c>
      <c r="K178" s="79"/>
      <c r="L178" s="80"/>
      <c r="M178" s="6"/>
      <c r="N178" s="97"/>
      <c r="O178" s="6"/>
      <c r="P178" s="6"/>
      <c r="Q178" s="6"/>
      <c r="R178" s="6"/>
      <c r="S178" s="78">
        <f>IFERROR(__xludf.DUMMYFUNCTION("""COMPUTED_VALUE"""),4545.352776450221)</f>
        <v>4545.352776</v>
      </c>
      <c r="T178" s="9">
        <f>IFERROR(__xludf.DUMMYFUNCTION("""COMPUTED_VALUE"""),6202.490700568538)</f>
        <v>6202.490701</v>
      </c>
      <c r="U178" s="9"/>
      <c r="V178" s="79">
        <f t="shared" si="15"/>
        <v>10747.84348</v>
      </c>
      <c r="W178" s="80">
        <f t="shared" si="7"/>
        <v>3234775.456</v>
      </c>
      <c r="X178" s="81">
        <f t="shared" si="2"/>
        <v>0.213260739</v>
      </c>
      <c r="Y178" s="82">
        <f t="shared" si="19"/>
        <v>6236801.436</v>
      </c>
      <c r="Z178" s="6"/>
      <c r="AA178" s="83">
        <f t="shared" si="8"/>
        <v>14710.25585</v>
      </c>
      <c r="AB178" s="84">
        <f t="shared" si="9"/>
        <v>3274068.035</v>
      </c>
      <c r="AC178" s="79">
        <f t="shared" si="12"/>
        <v>14794.8161</v>
      </c>
      <c r="AD178" s="85">
        <f t="shared" si="10"/>
        <v>3239337.851</v>
      </c>
      <c r="AE178" s="81">
        <v>0.25</v>
      </c>
      <c r="AF178" s="82">
        <f t="shared" si="17"/>
        <v>5932721.257</v>
      </c>
      <c r="AG178" s="6"/>
      <c r="AH178" s="6"/>
      <c r="AI178" s="6"/>
      <c r="AJ178" s="6"/>
      <c r="AK178" s="6"/>
      <c r="AL178" s="6"/>
      <c r="AM178" s="6"/>
      <c r="AN178" s="6"/>
      <c r="AO178" s="6"/>
      <c r="AP178" s="6"/>
    </row>
    <row r="179" ht="11.25" customHeight="1">
      <c r="A179" s="7"/>
      <c r="B179" s="68">
        <f t="shared" si="16"/>
        <v>174</v>
      </c>
      <c r="C179" s="86">
        <f t="shared" si="20"/>
        <v>10747.84348</v>
      </c>
      <c r="D179" s="84">
        <f t="shared" si="5"/>
        <v>2406656.03</v>
      </c>
      <c r="E179" s="79"/>
      <c r="F179" s="79"/>
      <c r="G179" s="78">
        <f>IFERROR(__xludf.DUMMYFUNCTION("""COMPUTED_VALUE"""),5616.45357216093)</f>
        <v>5616.453572</v>
      </c>
      <c r="H179" s="101">
        <f>IFERROR(__xludf.DUMMYFUNCTION("""COMPUTED_VALUE"""),670488.5394270596)</f>
        <v>670488.5394</v>
      </c>
      <c r="I179" s="79">
        <f>IFERROR(__xludf.DUMMYFUNCTION("""COMPUTED_VALUE"""),13572.424408572453)</f>
        <v>13572.42441</v>
      </c>
      <c r="J179" s="80">
        <f>IFERROR(__xludf.DUMMYFUNCTION("""COMPUTED_VALUE"""),1992558.7445513112)</f>
        <v>1992558.745</v>
      </c>
      <c r="K179" s="79"/>
      <c r="L179" s="80"/>
      <c r="M179" s="6"/>
      <c r="N179" s="97"/>
      <c r="O179" s="6"/>
      <c r="P179" s="6"/>
      <c r="Q179" s="6"/>
      <c r="R179" s="6"/>
      <c r="S179" s="78">
        <f>IFERROR(__xludf.DUMMYFUNCTION("""COMPUTED_VALUE"""),4574.453572160914)</f>
        <v>4574.453572</v>
      </c>
      <c r="T179" s="9">
        <f>IFERROR(__xludf.DUMMYFUNCTION("""COMPUTED_VALUE"""),6248.424408572493)</f>
        <v>6248.424409</v>
      </c>
      <c r="U179" s="9"/>
      <c r="V179" s="79">
        <f t="shared" si="15"/>
        <v>10822.87798</v>
      </c>
      <c r="W179" s="80">
        <f t="shared" si="7"/>
        <v>3245598.334</v>
      </c>
      <c r="X179" s="81">
        <f t="shared" si="2"/>
        <v>0.2134814862</v>
      </c>
      <c r="Y179" s="82">
        <f t="shared" si="19"/>
        <v>6266813.192</v>
      </c>
      <c r="Z179" s="6"/>
      <c r="AA179" s="83">
        <f t="shared" si="8"/>
        <v>14794.8161</v>
      </c>
      <c r="AB179" s="84">
        <f t="shared" si="9"/>
        <v>3288862.851</v>
      </c>
      <c r="AC179" s="79">
        <f t="shared" si="12"/>
        <v>14879.77534</v>
      </c>
      <c r="AD179" s="85">
        <f t="shared" si="10"/>
        <v>3254217.627</v>
      </c>
      <c r="AE179" s="81">
        <v>0.25</v>
      </c>
      <c r="AF179" s="82">
        <f t="shared" si="17"/>
        <v>5966789.911</v>
      </c>
      <c r="AG179" s="6"/>
      <c r="AH179" s="6"/>
      <c r="AI179" s="6"/>
      <c r="AJ179" s="6"/>
      <c r="AK179" s="6"/>
      <c r="AL179" s="6"/>
      <c r="AM179" s="6"/>
      <c r="AN179" s="6"/>
      <c r="AO179" s="6"/>
      <c r="AP179" s="6"/>
    </row>
    <row r="180" ht="11.25" customHeight="1">
      <c r="A180" s="7"/>
      <c r="B180" s="68">
        <f t="shared" si="16"/>
        <v>175</v>
      </c>
      <c r="C180" s="86">
        <f t="shared" si="20"/>
        <v>10822.87798</v>
      </c>
      <c r="D180" s="84">
        <f t="shared" si="5"/>
        <v>2417478.908</v>
      </c>
      <c r="E180" s="79"/>
      <c r="F180" s="79"/>
      <c r="G180" s="78">
        <f>IFERROR(__xludf.DUMMYFUNCTION("""COMPUTED_VALUE"""),5645.705934515935)</f>
        <v>5645.705935</v>
      </c>
      <c r="H180" s="101">
        <f>IFERROR(__xludf.DUMMYFUNCTION("""COMPUTED_VALUE"""),676134.2453615755)</f>
        <v>676134.2454</v>
      </c>
      <c r="I180" s="79">
        <f>IFERROR(__xludf.DUMMYFUNCTION("""COMPUTED_VALUE"""),13618.51409979323)</f>
        <v>13618.5141</v>
      </c>
      <c r="J180" s="80">
        <f>IFERROR(__xludf.DUMMYFUNCTION("""COMPUTED_VALUE"""),2006177.2586511045)</f>
        <v>2006177.259</v>
      </c>
      <c r="K180" s="79"/>
      <c r="L180" s="80"/>
      <c r="M180" s="6"/>
      <c r="N180" s="97"/>
      <c r="O180" s="6"/>
      <c r="P180" s="6"/>
      <c r="Q180" s="6"/>
      <c r="R180" s="6"/>
      <c r="S180" s="78">
        <f>IFERROR(__xludf.DUMMYFUNCTION("""COMPUTED_VALUE"""),4603.705934515921)</f>
        <v>4603.705935</v>
      </c>
      <c r="T180" s="9">
        <f>IFERROR(__xludf.DUMMYFUNCTION("""COMPUTED_VALUE"""),6294.514099793276)</f>
        <v>6294.5141</v>
      </c>
      <c r="U180" s="9"/>
      <c r="V180" s="79">
        <f t="shared" si="15"/>
        <v>10898.22003</v>
      </c>
      <c r="W180" s="80">
        <f t="shared" si="7"/>
        <v>3256496.554</v>
      </c>
      <c r="X180" s="81">
        <f t="shared" si="2"/>
        <v>0.213699371</v>
      </c>
      <c r="Y180" s="82">
        <f t="shared" si="19"/>
        <v>6296975.632</v>
      </c>
      <c r="Z180" s="6"/>
      <c r="AA180" s="83">
        <f t="shared" si="8"/>
        <v>14879.77534</v>
      </c>
      <c r="AB180" s="84">
        <f t="shared" si="9"/>
        <v>3303742.627</v>
      </c>
      <c r="AC180" s="79">
        <f t="shared" si="12"/>
        <v>14965.13533</v>
      </c>
      <c r="AD180" s="85">
        <f t="shared" si="10"/>
        <v>3269182.762</v>
      </c>
      <c r="AE180" s="81">
        <v>0.25</v>
      </c>
      <c r="AF180" s="82">
        <f t="shared" si="17"/>
        <v>6001019.266</v>
      </c>
      <c r="AG180" s="6"/>
      <c r="AH180" s="6"/>
      <c r="AI180" s="6"/>
      <c r="AJ180" s="6"/>
      <c r="AK180" s="6"/>
      <c r="AL180" s="6"/>
      <c r="AM180" s="6"/>
      <c r="AN180" s="6"/>
      <c r="AO180" s="6"/>
      <c r="AP180" s="6"/>
    </row>
    <row r="181" ht="11.25" customHeight="1">
      <c r="A181" s="7"/>
      <c r="B181" s="68">
        <f t="shared" si="16"/>
        <v>176</v>
      </c>
      <c r="C181" s="86">
        <f t="shared" si="20"/>
        <v>10898.22003</v>
      </c>
      <c r="D181" s="84">
        <f t="shared" si="5"/>
        <v>2428377.128</v>
      </c>
      <c r="E181" s="79"/>
      <c r="F181" s="79"/>
      <c r="G181" s="78">
        <f>IFERROR(__xludf.DUMMYFUNCTION("""COMPUTED_VALUE"""),5675.110652924872)</f>
        <v>5675.110653</v>
      </c>
      <c r="H181" s="101">
        <f>IFERROR(__xludf.DUMMYFUNCTION("""COMPUTED_VALUE"""),681809.3560145004)</f>
        <v>681809.356</v>
      </c>
      <c r="I181" s="79">
        <f>IFERROR(__xludf.DUMMYFUNCTION("""COMPUTED_VALUE"""),13664.760303923778)</f>
        <v>13664.7603</v>
      </c>
      <c r="J181" s="80">
        <f>IFERROR(__xludf.DUMMYFUNCTION("""COMPUTED_VALUE"""),2019842.0189550284)</f>
        <v>2019842.019</v>
      </c>
      <c r="K181" s="79"/>
      <c r="L181" s="80"/>
      <c r="M181" s="6"/>
      <c r="N181" s="97"/>
      <c r="O181" s="6"/>
      <c r="P181" s="6"/>
      <c r="Q181" s="6"/>
      <c r="R181" s="6"/>
      <c r="S181" s="78">
        <f>IFERROR(__xludf.DUMMYFUNCTION("""COMPUTED_VALUE"""),4633.110652924865)</f>
        <v>4633.110653</v>
      </c>
      <c r="T181" s="9">
        <f>IFERROR(__xludf.DUMMYFUNCTION("""COMPUTED_VALUE"""),6340.76030392386)</f>
        <v>6340.760304</v>
      </c>
      <c r="U181" s="9"/>
      <c r="V181" s="79">
        <f t="shared" si="15"/>
        <v>10973.87096</v>
      </c>
      <c r="W181" s="80">
        <f t="shared" si="7"/>
        <v>3267470.425</v>
      </c>
      <c r="X181" s="81">
        <f t="shared" si="2"/>
        <v>0.2139144247</v>
      </c>
      <c r="Y181" s="82">
        <f t="shared" si="19"/>
        <v>6327289.374</v>
      </c>
      <c r="Z181" s="6"/>
      <c r="AA181" s="83">
        <f t="shared" si="8"/>
        <v>14965.13533</v>
      </c>
      <c r="AB181" s="84">
        <f t="shared" si="9"/>
        <v>3318707.762</v>
      </c>
      <c r="AC181" s="79">
        <f t="shared" si="12"/>
        <v>15050.89784</v>
      </c>
      <c r="AD181" s="85">
        <f t="shared" si="10"/>
        <v>3284233.66</v>
      </c>
      <c r="AE181" s="81">
        <v>0.25</v>
      </c>
      <c r="AF181" s="82">
        <f t="shared" si="17"/>
        <v>6035410.035</v>
      </c>
      <c r="AG181" s="6"/>
      <c r="AH181" s="6"/>
      <c r="AI181" s="6"/>
      <c r="AJ181" s="6"/>
      <c r="AK181" s="6"/>
      <c r="AL181" s="6"/>
      <c r="AM181" s="6"/>
      <c r="AN181" s="6"/>
      <c r="AO181" s="6"/>
      <c r="AP181" s="6"/>
    </row>
    <row r="182" ht="11.25" customHeight="1">
      <c r="A182" s="7"/>
      <c r="B182" s="68">
        <f t="shared" si="16"/>
        <v>177</v>
      </c>
      <c r="C182" s="86">
        <f t="shared" si="20"/>
        <v>10973.87096</v>
      </c>
      <c r="D182" s="84">
        <f t="shared" si="5"/>
        <v>2439350.999</v>
      </c>
      <c r="E182" s="79"/>
      <c r="F182" s="79"/>
      <c r="G182" s="78">
        <f>IFERROR(__xludf.DUMMYFUNCTION("""COMPUTED_VALUE"""),5704.6685209088555)</f>
        <v>5704.668521</v>
      </c>
      <c r="H182" s="101">
        <f>IFERROR(__xludf.DUMMYFUNCTION("""COMPUTED_VALUE"""),687514.0245354092)</f>
        <v>687514.0245</v>
      </c>
      <c r="I182" s="79">
        <f>IFERROR(__xludf.DUMMYFUNCTION("""COMPUTED_VALUE"""),13711.163552455853)</f>
        <v>13711.16355</v>
      </c>
      <c r="J182" s="80">
        <f>IFERROR(__xludf.DUMMYFUNCTION("""COMPUTED_VALUE"""),2033553.1825074842)</f>
        <v>2033553.183</v>
      </c>
      <c r="K182" s="79"/>
      <c r="L182" s="80"/>
      <c r="M182" s="6"/>
      <c r="N182" s="97"/>
      <c r="O182" s="6"/>
      <c r="P182" s="6"/>
      <c r="Q182" s="6"/>
      <c r="R182" s="6"/>
      <c r="S182" s="78">
        <f>IFERROR(__xludf.DUMMYFUNCTION("""COMPUTED_VALUE"""),4662.668520908803)</f>
        <v>4662.668521</v>
      </c>
      <c r="T182" s="9">
        <f>IFERROR(__xludf.DUMMYFUNCTION("""COMPUTED_VALUE"""),6387.163552455837)</f>
        <v>6387.163552</v>
      </c>
      <c r="U182" s="9"/>
      <c r="V182" s="79">
        <f t="shared" si="15"/>
        <v>11049.83207</v>
      </c>
      <c r="W182" s="80">
        <f t="shared" si="7"/>
        <v>3278520.257</v>
      </c>
      <c r="X182" s="81">
        <f t="shared" si="2"/>
        <v>0.214126678</v>
      </c>
      <c r="Y182" s="82">
        <f t="shared" si="19"/>
        <v>6357755.038</v>
      </c>
      <c r="Z182" s="6"/>
      <c r="AA182" s="83">
        <f t="shared" si="8"/>
        <v>15050.89784</v>
      </c>
      <c r="AB182" s="84">
        <f t="shared" si="9"/>
        <v>3333758.66</v>
      </c>
      <c r="AC182" s="79">
        <f t="shared" si="12"/>
        <v>15137.06467</v>
      </c>
      <c r="AD182" s="85">
        <f t="shared" si="10"/>
        <v>3299370.724</v>
      </c>
      <c r="AE182" s="81">
        <v>0.25</v>
      </c>
      <c r="AF182" s="82">
        <f t="shared" si="17"/>
        <v>6069962.931</v>
      </c>
      <c r="AG182" s="6"/>
      <c r="AH182" s="6"/>
      <c r="AI182" s="6"/>
      <c r="AJ182" s="6"/>
      <c r="AK182" s="6"/>
      <c r="AL182" s="6"/>
      <c r="AM182" s="6"/>
      <c r="AN182" s="6"/>
      <c r="AO182" s="6"/>
      <c r="AP182" s="6"/>
    </row>
    <row r="183" ht="11.25" customHeight="1">
      <c r="A183" s="7"/>
      <c r="B183" s="68">
        <f t="shared" si="16"/>
        <v>178</v>
      </c>
      <c r="C183" s="86">
        <f t="shared" si="20"/>
        <v>11049.83207</v>
      </c>
      <c r="D183" s="84">
        <f t="shared" si="5"/>
        <v>2450400.831</v>
      </c>
      <c r="E183" s="79"/>
      <c r="F183" s="79"/>
      <c r="G183" s="78">
        <f>IFERROR(__xludf.DUMMYFUNCTION("""COMPUTED_VALUE"""),5734.3803361219225)</f>
        <v>5734.380336</v>
      </c>
      <c r="H183" s="101">
        <f>IFERROR(__xludf.DUMMYFUNCTION("""COMPUTED_VALUE"""),693248.4048715311)</f>
        <v>693248.4049</v>
      </c>
      <c r="I183" s="79">
        <f>IFERROR(__xludf.DUMMYFUNCTION("""COMPUTED_VALUE"""),13757.724378686067)</f>
        <v>13757.72438</v>
      </c>
      <c r="J183" s="80">
        <f>IFERROR(__xludf.DUMMYFUNCTION("""COMPUTED_VALUE"""),2047310.9068861704)</f>
        <v>2047310.907</v>
      </c>
      <c r="K183" s="79"/>
      <c r="L183" s="80"/>
      <c r="M183" s="6"/>
      <c r="N183" s="97"/>
      <c r="O183" s="6"/>
      <c r="P183" s="6"/>
      <c r="Q183" s="6"/>
      <c r="R183" s="6"/>
      <c r="S183" s="78">
        <f>IFERROR(__xludf.DUMMYFUNCTION("""COMPUTED_VALUE"""),4692.380336121889)</f>
        <v>4692.380336</v>
      </c>
      <c r="T183" s="9">
        <f>IFERROR(__xludf.DUMMYFUNCTION("""COMPUTED_VALUE"""),6433.724378686165)</f>
        <v>6433.724379</v>
      </c>
      <c r="U183" s="9"/>
      <c r="V183" s="79">
        <f t="shared" si="15"/>
        <v>11126.10471</v>
      </c>
      <c r="W183" s="80">
        <f t="shared" si="7"/>
        <v>3289646.362</v>
      </c>
      <c r="X183" s="81">
        <f t="shared" si="2"/>
        <v>0.2143361615</v>
      </c>
      <c r="Y183" s="82">
        <f t="shared" si="19"/>
        <v>6388373.248</v>
      </c>
      <c r="Z183" s="6"/>
      <c r="AA183" s="83">
        <f t="shared" si="8"/>
        <v>15137.06467</v>
      </c>
      <c r="AB183" s="84">
        <f t="shared" si="9"/>
        <v>3348895.724</v>
      </c>
      <c r="AC183" s="79">
        <f t="shared" si="12"/>
        <v>15223.63759</v>
      </c>
      <c r="AD183" s="85">
        <f t="shared" si="10"/>
        <v>3314594.362</v>
      </c>
      <c r="AE183" s="81">
        <v>0.25</v>
      </c>
      <c r="AF183" s="82">
        <f t="shared" si="17"/>
        <v>6104678.674</v>
      </c>
      <c r="AG183" s="6"/>
      <c r="AH183" s="6"/>
      <c r="AI183" s="6"/>
      <c r="AJ183" s="6"/>
      <c r="AK183" s="6"/>
      <c r="AL183" s="6"/>
      <c r="AM183" s="6"/>
      <c r="AN183" s="6"/>
      <c r="AO183" s="6"/>
      <c r="AP183" s="6"/>
    </row>
    <row r="184" ht="11.25" customHeight="1">
      <c r="A184" s="7"/>
      <c r="B184" s="68">
        <f t="shared" si="16"/>
        <v>179</v>
      </c>
      <c r="C184" s="86">
        <f t="shared" si="20"/>
        <v>11126.10471</v>
      </c>
      <c r="D184" s="84">
        <f t="shared" si="5"/>
        <v>2461526.936</v>
      </c>
      <c r="E184" s="79"/>
      <c r="F184" s="79"/>
      <c r="G184" s="78">
        <f>IFERROR(__xludf.DUMMYFUNCTION("""COMPUTED_VALUE"""),5764.246900372557)</f>
        <v>5764.2469</v>
      </c>
      <c r="H184" s="101">
        <f>IFERROR(__xludf.DUMMYFUNCTION("""COMPUTED_VALUE"""),699012.6517719036)</f>
        <v>699012.6518</v>
      </c>
      <c r="I184" s="79">
        <f>IFERROR(__xludf.DUMMYFUNCTION("""COMPUTED_VALUE"""),13804.443317722023)</f>
        <v>13804.44332</v>
      </c>
      <c r="J184" s="80">
        <f>IFERROR(__xludf.DUMMYFUNCTION("""COMPUTED_VALUE"""),2061115.3502038924)</f>
        <v>2061115.35</v>
      </c>
      <c r="K184" s="79"/>
      <c r="L184" s="80"/>
      <c r="M184" s="6"/>
      <c r="N184" s="97"/>
      <c r="O184" s="6"/>
      <c r="P184" s="6"/>
      <c r="Q184" s="6"/>
      <c r="R184" s="6"/>
      <c r="S184" s="78">
        <f>IFERROR(__xludf.DUMMYFUNCTION("""COMPUTED_VALUE"""),4722.246900372556)</f>
        <v>4722.2469</v>
      </c>
      <c r="T184" s="9">
        <f>IFERROR(__xludf.DUMMYFUNCTION("""COMPUTED_VALUE"""),6480.4433177220635)</f>
        <v>6480.443318</v>
      </c>
      <c r="U184" s="9"/>
      <c r="V184" s="79">
        <f t="shared" si="15"/>
        <v>11202.69022</v>
      </c>
      <c r="W184" s="80">
        <f t="shared" si="7"/>
        <v>3300849.052</v>
      </c>
      <c r="X184" s="81">
        <f t="shared" si="2"/>
        <v>0.2145429055</v>
      </c>
      <c r="Y184" s="82">
        <f t="shared" si="19"/>
        <v>6419144.628</v>
      </c>
      <c r="Z184" s="6"/>
      <c r="AA184" s="83">
        <f t="shared" si="8"/>
        <v>15223.63759</v>
      </c>
      <c r="AB184" s="84">
        <f t="shared" si="9"/>
        <v>3364119.362</v>
      </c>
      <c r="AC184" s="79">
        <f t="shared" si="12"/>
        <v>15310.61841</v>
      </c>
      <c r="AD184" s="85">
        <f t="shared" si="10"/>
        <v>3329904.98</v>
      </c>
      <c r="AE184" s="81">
        <v>0.25</v>
      </c>
      <c r="AF184" s="82">
        <f t="shared" si="17"/>
        <v>6139557.982</v>
      </c>
      <c r="AG184" s="6"/>
      <c r="AH184" s="6"/>
      <c r="AI184" s="6"/>
      <c r="AJ184" s="6"/>
      <c r="AK184" s="6"/>
      <c r="AL184" s="6"/>
      <c r="AM184" s="6"/>
      <c r="AN184" s="6"/>
      <c r="AO184" s="6"/>
      <c r="AP184" s="6"/>
    </row>
    <row r="185" ht="11.25" customHeight="1">
      <c r="A185" s="71"/>
      <c r="B185" s="72">
        <f t="shared" si="16"/>
        <v>180</v>
      </c>
      <c r="C185" s="86">
        <f t="shared" si="20"/>
        <v>11202.69022</v>
      </c>
      <c r="D185" s="88">
        <f t="shared" si="5"/>
        <v>2472729.626</v>
      </c>
      <c r="E185" s="90"/>
      <c r="F185" s="90"/>
      <c r="G185" s="89">
        <f>IFERROR(__xludf.DUMMYFUNCTION("""COMPUTED_VALUE"""),5794.26901964533)</f>
        <v>5794.26902</v>
      </c>
      <c r="H185" s="98">
        <f>IFERROR(__xludf.DUMMYFUNCTION("""COMPUTED_VALUE"""),704806.9207915489)</f>
        <v>704806.9208</v>
      </c>
      <c r="I185" s="90">
        <f>IFERROR(__xludf.DUMMYFUNCTION("""COMPUTED_VALUE"""),13851.320906488454)</f>
        <v>13851.32091</v>
      </c>
      <c r="J185" s="91">
        <f>IFERROR(__xludf.DUMMYFUNCTION("""COMPUTED_VALUE"""),2074966.671110381)</f>
        <v>2074966.671</v>
      </c>
      <c r="K185" s="90"/>
      <c r="L185" s="91"/>
      <c r="M185" s="6"/>
      <c r="N185" s="99"/>
      <c r="O185" s="10"/>
      <c r="P185" s="10"/>
      <c r="Q185" s="10"/>
      <c r="R185" s="10"/>
      <c r="S185" s="89">
        <f>IFERROR(__xludf.DUMMYFUNCTION("""COMPUTED_VALUE"""),4752.2690196452895)</f>
        <v>4752.26902</v>
      </c>
      <c r="T185" s="93">
        <f>IFERROR(__xludf.DUMMYFUNCTION("""COMPUTED_VALUE"""),6527.320906488458)</f>
        <v>6527.320906</v>
      </c>
      <c r="U185" s="93"/>
      <c r="V185" s="90">
        <f t="shared" si="15"/>
        <v>11279.58993</v>
      </c>
      <c r="W185" s="91">
        <f t="shared" si="7"/>
        <v>3312128.642</v>
      </c>
      <c r="X185" s="81">
        <f t="shared" si="2"/>
        <v>0.2147469399</v>
      </c>
      <c r="Y185" s="82">
        <f t="shared" si="19"/>
        <v>6450069.808</v>
      </c>
      <c r="Z185" s="6"/>
      <c r="AA185" s="83">
        <f t="shared" si="8"/>
        <v>15310.61841</v>
      </c>
      <c r="AB185" s="88">
        <f t="shared" si="9"/>
        <v>3379429.98</v>
      </c>
      <c r="AC185" s="90">
        <f t="shared" si="12"/>
        <v>15398.00893</v>
      </c>
      <c r="AD185" s="94">
        <f t="shared" si="10"/>
        <v>3345302.989</v>
      </c>
      <c r="AE185" s="81">
        <v>0.25</v>
      </c>
      <c r="AF185" s="82">
        <f t="shared" si="17"/>
        <v>6174601.581</v>
      </c>
      <c r="AG185" s="6"/>
      <c r="AH185" s="6"/>
      <c r="AI185" s="6"/>
      <c r="AJ185" s="6"/>
      <c r="AK185" s="6"/>
      <c r="AL185" s="6"/>
      <c r="AM185" s="6"/>
      <c r="AN185" s="6"/>
      <c r="AO185" s="6"/>
      <c r="AP185" s="6"/>
    </row>
    <row r="186" ht="11.25" customHeight="1">
      <c r="A186" s="100">
        <v>16.0</v>
      </c>
      <c r="B186" s="66">
        <f t="shared" si="16"/>
        <v>181</v>
      </c>
      <c r="C186" s="86">
        <f t="shared" si="20"/>
        <v>11279.58993</v>
      </c>
      <c r="D186" s="84">
        <f t="shared" si="5"/>
        <v>2484009.216</v>
      </c>
      <c r="E186" s="79"/>
      <c r="F186" s="79"/>
      <c r="G186" s="78">
        <f>IFERROR(__xludf.DUMMYFUNCTION("""COMPUTED_VALUE"""),5824.44750412265)</f>
        <v>5824.447504</v>
      </c>
      <c r="H186" s="101">
        <f>IFERROR(__xludf.DUMMYFUNCTION("""COMPUTED_VALUE"""),710631.3682956715)</f>
        <v>710631.3683</v>
      </c>
      <c r="I186" s="79">
        <f>IFERROR(__xludf.DUMMYFUNCTION("""COMPUTED_VALUE"""),13898.357683733404)</f>
        <v>13898.35768</v>
      </c>
      <c r="J186" s="80">
        <f>IFERROR(__xludf.DUMMYFUNCTION("""COMPUTED_VALUE"""),2088865.0287941142)</f>
        <v>2088865.029</v>
      </c>
      <c r="K186" s="79"/>
      <c r="L186" s="80"/>
      <c r="M186" s="6"/>
      <c r="N186" s="97"/>
      <c r="O186" s="6"/>
      <c r="P186" s="6"/>
      <c r="Q186" s="6"/>
      <c r="R186" s="6"/>
      <c r="S186" s="102">
        <f>IFERROR(__xludf.DUMMYFUNCTION("""COMPUTED_VALUE"""),4782.447504122625)</f>
        <v>4782.447504</v>
      </c>
      <c r="T186" s="9">
        <f>IFERROR(__xludf.DUMMYFUNCTION("""COMPUTED_VALUE"""),6574.3576837333385)</f>
        <v>6574.357684</v>
      </c>
      <c r="U186" s="9"/>
      <c r="V186" s="79">
        <f t="shared" si="15"/>
        <v>11356.80519</v>
      </c>
      <c r="W186" s="80">
        <f t="shared" si="7"/>
        <v>3323485.447</v>
      </c>
      <c r="X186" s="81">
        <f t="shared" si="2"/>
        <v>0.2149482942</v>
      </c>
      <c r="Y186" s="82">
        <f t="shared" si="19"/>
        <v>6481149.418</v>
      </c>
      <c r="Z186" s="6"/>
      <c r="AA186" s="83">
        <f t="shared" si="8"/>
        <v>15398.00893</v>
      </c>
      <c r="AB186" s="84">
        <f t="shared" si="9"/>
        <v>3394827.989</v>
      </c>
      <c r="AC186" s="79">
        <f t="shared" si="12"/>
        <v>15485.81097</v>
      </c>
      <c r="AD186" s="95">
        <f t="shared" si="10"/>
        <v>3360788.8</v>
      </c>
      <c r="AE186" s="81">
        <v>0.25</v>
      </c>
      <c r="AF186" s="82">
        <f t="shared" si="17"/>
        <v>6209810.197</v>
      </c>
      <c r="AG186" s="6"/>
      <c r="AH186" s="6"/>
      <c r="AI186" s="6"/>
      <c r="AJ186" s="6"/>
      <c r="AK186" s="6"/>
      <c r="AL186" s="6"/>
      <c r="AM186" s="6"/>
      <c r="AN186" s="6"/>
      <c r="AO186" s="6"/>
      <c r="AP186" s="6"/>
    </row>
    <row r="187" ht="11.25" customHeight="1">
      <c r="A187" s="7"/>
      <c r="B187" s="68">
        <f t="shared" si="16"/>
        <v>182</v>
      </c>
      <c r="C187" s="86">
        <f t="shared" si="20"/>
        <v>11356.80519</v>
      </c>
      <c r="D187" s="84">
        <f t="shared" si="5"/>
        <v>2495366.021</v>
      </c>
      <c r="E187" s="79"/>
      <c r="F187" s="79"/>
      <c r="G187" s="78">
        <f>IFERROR(__xludf.DUMMYFUNCTION("""COMPUTED_VALUE"""),5854.783168206622)</f>
        <v>5854.783168</v>
      </c>
      <c r="H187" s="101">
        <f>IFERROR(__xludf.DUMMYFUNCTION("""COMPUTED_VALUE"""),716486.1514638781)</f>
        <v>716486.1515</v>
      </c>
      <c r="I187" s="79">
        <f>IFERROR(__xludf.DUMMYFUNCTION("""COMPUTED_VALUE"""),13945.554190034416)</f>
        <v>13945.55419</v>
      </c>
      <c r="J187" s="80">
        <f>IFERROR(__xludf.DUMMYFUNCTION("""COMPUTED_VALUE"""),2102810.5829841485)</f>
        <v>2102810.583</v>
      </c>
      <c r="K187" s="79"/>
      <c r="L187" s="80"/>
      <c r="M187" s="6"/>
      <c r="N187" s="97"/>
      <c r="O187" s="6"/>
      <c r="P187" s="6"/>
      <c r="Q187" s="6"/>
      <c r="R187" s="6"/>
      <c r="S187" s="78">
        <f>IFERROR(__xludf.DUMMYFUNCTION("""COMPUTED_VALUE"""),4812.7831682065735)</f>
        <v>4812.783168</v>
      </c>
      <c r="T187" s="9">
        <f>IFERROR(__xludf.DUMMYFUNCTION("""COMPUTED_VALUE"""),6621.554190034512)</f>
        <v>6621.55419</v>
      </c>
      <c r="U187" s="9"/>
      <c r="V187" s="79">
        <f t="shared" si="15"/>
        <v>11434.33736</v>
      </c>
      <c r="W187" s="80">
        <f t="shared" si="7"/>
        <v>3334919.785</v>
      </c>
      <c r="X187" s="81">
        <f t="shared" si="2"/>
        <v>0.2151469977</v>
      </c>
      <c r="Y187" s="82">
        <f t="shared" si="19"/>
        <v>6512384.093</v>
      </c>
      <c r="Z187" s="6"/>
      <c r="AA187" s="83">
        <f t="shared" si="8"/>
        <v>15485.81097</v>
      </c>
      <c r="AB187" s="84">
        <f t="shared" si="9"/>
        <v>3410313.8</v>
      </c>
      <c r="AC187" s="79">
        <f t="shared" si="12"/>
        <v>15574.02634</v>
      </c>
      <c r="AD187" s="85">
        <f t="shared" si="10"/>
        <v>3376362.827</v>
      </c>
      <c r="AE187" s="81">
        <v>0.25</v>
      </c>
      <c r="AF187" s="82">
        <f t="shared" si="17"/>
        <v>6245184.561</v>
      </c>
      <c r="AG187" s="6"/>
      <c r="AH187" s="6"/>
      <c r="AI187" s="6"/>
      <c r="AJ187" s="6"/>
      <c r="AK187" s="6"/>
      <c r="AL187" s="6"/>
      <c r="AM187" s="6"/>
      <c r="AN187" s="6"/>
      <c r="AO187" s="6"/>
      <c r="AP187" s="6"/>
    </row>
    <row r="188" ht="11.25" customHeight="1">
      <c r="A188" s="7"/>
      <c r="B188" s="68">
        <f t="shared" si="16"/>
        <v>183</v>
      </c>
      <c r="C188" s="86">
        <f t="shared" si="20"/>
        <v>11434.33736</v>
      </c>
      <c r="D188" s="84">
        <f t="shared" si="5"/>
        <v>2506800.358</v>
      </c>
      <c r="E188" s="79"/>
      <c r="F188" s="79"/>
      <c r="G188" s="78">
        <f>IFERROR(__xludf.DUMMYFUNCTION("""COMPUTED_VALUE"""),5885.276830541031)</f>
        <v>5885.276831</v>
      </c>
      <c r="H188" s="101">
        <f>IFERROR(__xludf.DUMMYFUNCTION("""COMPUTED_VALUE"""),722371.4282944192)</f>
        <v>722371.4283</v>
      </c>
      <c r="I188" s="79">
        <f>IFERROR(__xludf.DUMMYFUNCTION("""COMPUTED_VALUE"""),13992.91096780474)</f>
        <v>13992.91097</v>
      </c>
      <c r="J188" s="80">
        <f>IFERROR(__xludf.DUMMYFUNCTION("""COMPUTED_VALUE"""),2116803.4939519535)</f>
        <v>2116803.494</v>
      </c>
      <c r="K188" s="79"/>
      <c r="L188" s="80"/>
      <c r="M188" s="6"/>
      <c r="N188" s="97"/>
      <c r="O188" s="6"/>
      <c r="P188" s="6"/>
      <c r="Q188" s="6"/>
      <c r="R188" s="6"/>
      <c r="S188" s="78">
        <f>IFERROR(__xludf.DUMMYFUNCTION("""COMPUTED_VALUE"""),4843.276830541086)</f>
        <v>4843.276831</v>
      </c>
      <c r="T188" s="9">
        <f>IFERROR(__xludf.DUMMYFUNCTION("""COMPUTED_VALUE"""),6668.910967804724)</f>
        <v>6668.910968</v>
      </c>
      <c r="U188" s="9"/>
      <c r="V188" s="79">
        <f t="shared" si="15"/>
        <v>11512.1878</v>
      </c>
      <c r="W188" s="80">
        <f t="shared" si="7"/>
        <v>3346431.973</v>
      </c>
      <c r="X188" s="81">
        <f t="shared" si="2"/>
        <v>0.2153430795</v>
      </c>
      <c r="Y188" s="82">
        <f t="shared" si="19"/>
        <v>6543774.469</v>
      </c>
      <c r="Z188" s="6"/>
      <c r="AA188" s="83">
        <f t="shared" si="8"/>
        <v>15574.02634</v>
      </c>
      <c r="AB188" s="84">
        <f t="shared" si="9"/>
        <v>3425887.827</v>
      </c>
      <c r="AC188" s="79">
        <f t="shared" si="12"/>
        <v>15662.65687</v>
      </c>
      <c r="AD188" s="85">
        <f t="shared" si="10"/>
        <v>3392025.483</v>
      </c>
      <c r="AE188" s="81">
        <v>0.25</v>
      </c>
      <c r="AF188" s="82">
        <f t="shared" si="17"/>
        <v>6280725.406</v>
      </c>
      <c r="AG188" s="6"/>
      <c r="AH188" s="6"/>
      <c r="AI188" s="6"/>
      <c r="AJ188" s="6"/>
      <c r="AK188" s="6"/>
      <c r="AL188" s="6"/>
      <c r="AM188" s="6"/>
      <c r="AN188" s="6"/>
      <c r="AO188" s="6"/>
      <c r="AP188" s="6"/>
    </row>
    <row r="189" ht="11.25" customHeight="1">
      <c r="A189" s="7"/>
      <c r="B189" s="68">
        <f t="shared" si="16"/>
        <v>184</v>
      </c>
      <c r="C189" s="86">
        <f t="shared" si="20"/>
        <v>11512.1878</v>
      </c>
      <c r="D189" s="84">
        <f t="shared" si="5"/>
        <v>2518312.546</v>
      </c>
      <c r="E189" s="79"/>
      <c r="F189" s="79"/>
      <c r="G189" s="78">
        <f>IFERROR(__xludf.DUMMYFUNCTION("""COMPUTED_VALUE"""),5915.929314033433)</f>
        <v>5915.929314</v>
      </c>
      <c r="H189" s="101">
        <f>IFERROR(__xludf.DUMMYFUNCTION("""COMPUTED_VALUE"""),728287.3576084527)</f>
        <v>728287.3576</v>
      </c>
      <c r="I189" s="79">
        <f>IFERROR(__xludf.DUMMYFUNCTION("""COMPUTED_VALUE"""),14040.428561299577)</f>
        <v>14040.42856</v>
      </c>
      <c r="J189" s="80">
        <f>IFERROR(__xludf.DUMMYFUNCTION("""COMPUTED_VALUE"""),2130843.922513253)</f>
        <v>2130843.923</v>
      </c>
      <c r="K189" s="79"/>
      <c r="L189" s="80"/>
      <c r="M189" s="6"/>
      <c r="N189" s="97"/>
      <c r="O189" s="6"/>
      <c r="P189" s="6"/>
      <c r="Q189" s="6"/>
      <c r="R189" s="6"/>
      <c r="S189" s="78">
        <f>IFERROR(__xludf.DUMMYFUNCTION("""COMPUTED_VALUE"""),4873.929314033478)</f>
        <v>4873.929314</v>
      </c>
      <c r="T189" s="9">
        <f>IFERROR(__xludf.DUMMYFUNCTION("""COMPUTED_VALUE"""),6716.428561299574)</f>
        <v>6716.428561</v>
      </c>
      <c r="U189" s="9"/>
      <c r="V189" s="79">
        <f t="shared" si="15"/>
        <v>11590.35788</v>
      </c>
      <c r="W189" s="80">
        <f t="shared" si="7"/>
        <v>3358022.33</v>
      </c>
      <c r="X189" s="81">
        <f t="shared" si="2"/>
        <v>0.2155365681</v>
      </c>
      <c r="Y189" s="82">
        <f t="shared" si="19"/>
        <v>6575321.184</v>
      </c>
      <c r="Z189" s="6"/>
      <c r="AA189" s="83">
        <f t="shared" si="8"/>
        <v>15662.65687</v>
      </c>
      <c r="AB189" s="84">
        <f t="shared" si="9"/>
        <v>3441550.483</v>
      </c>
      <c r="AC189" s="79">
        <f t="shared" si="12"/>
        <v>15751.70441</v>
      </c>
      <c r="AD189" s="85">
        <f t="shared" si="10"/>
        <v>3407777.188</v>
      </c>
      <c r="AE189" s="81">
        <v>0.25</v>
      </c>
      <c r="AF189" s="82">
        <f t="shared" si="17"/>
        <v>6316433.468</v>
      </c>
      <c r="AG189" s="6"/>
      <c r="AH189" s="6"/>
      <c r="AI189" s="6"/>
      <c r="AJ189" s="6"/>
      <c r="AK189" s="6"/>
      <c r="AL189" s="6"/>
      <c r="AM189" s="6"/>
      <c r="AN189" s="6"/>
      <c r="AO189" s="6"/>
      <c r="AP189" s="6"/>
    </row>
    <row r="190" ht="11.25" customHeight="1">
      <c r="A190" s="7"/>
      <c r="B190" s="68">
        <f t="shared" si="16"/>
        <v>185</v>
      </c>
      <c r="C190" s="86">
        <f t="shared" si="20"/>
        <v>11590.35788</v>
      </c>
      <c r="D190" s="84">
        <f t="shared" si="5"/>
        <v>2529902.904</v>
      </c>
      <c r="E190" s="79"/>
      <c r="F190" s="79"/>
      <c r="G190" s="78">
        <f>IFERROR(__xludf.DUMMYFUNCTION("""COMPUTED_VALUE"""),5946.741445877357)</f>
        <v>5946.741446</v>
      </c>
      <c r="H190" s="101">
        <f>IFERROR(__xludf.DUMMYFUNCTION("""COMPUTED_VALUE"""),734234.09905433)</f>
        <v>734234.0991</v>
      </c>
      <c r="I190" s="79">
        <f>IFERROR(__xludf.DUMMYFUNCTION("""COMPUTED_VALUE"""),14088.107516622324)</f>
        <v>14088.10752</v>
      </c>
      <c r="J190" s="80">
        <f>IFERROR(__xludf.DUMMYFUNCTION("""COMPUTED_VALUE"""),2144932.030029875)</f>
        <v>2144932.03</v>
      </c>
      <c r="K190" s="79"/>
      <c r="L190" s="80"/>
      <c r="M190" s="6"/>
      <c r="N190" s="97"/>
      <c r="O190" s="6"/>
      <c r="P190" s="6"/>
      <c r="Q190" s="6"/>
      <c r="R190" s="6"/>
      <c r="S190" s="78">
        <f>IFERROR(__xludf.DUMMYFUNCTION("""COMPUTED_VALUE"""),4904.741445877356)</f>
        <v>4904.741446</v>
      </c>
      <c r="T190" s="9">
        <f>IFERROR(__xludf.DUMMYFUNCTION("""COMPUTED_VALUE"""),6764.107516622404)</f>
        <v>6764.107517</v>
      </c>
      <c r="U190" s="9"/>
      <c r="V190" s="79">
        <f t="shared" si="15"/>
        <v>11668.84896</v>
      </c>
      <c r="W190" s="80">
        <f t="shared" si="7"/>
        <v>3369691.179</v>
      </c>
      <c r="X190" s="81">
        <f t="shared" si="2"/>
        <v>0.2157274919</v>
      </c>
      <c r="Y190" s="82">
        <f t="shared" si="19"/>
        <v>6607024.882</v>
      </c>
      <c r="Z190" s="6"/>
      <c r="AA190" s="83">
        <f t="shared" si="8"/>
        <v>15751.70441</v>
      </c>
      <c r="AB190" s="84">
        <f t="shared" si="9"/>
        <v>3457302.188</v>
      </c>
      <c r="AC190" s="79">
        <f t="shared" si="12"/>
        <v>15841.17079</v>
      </c>
      <c r="AD190" s="85">
        <f t="shared" si="10"/>
        <v>3423618.359</v>
      </c>
      <c r="AE190" s="81">
        <v>0.25</v>
      </c>
      <c r="AF190" s="82">
        <f t="shared" si="17"/>
        <v>6352309.488</v>
      </c>
      <c r="AG190" s="6"/>
      <c r="AH190" s="6"/>
      <c r="AI190" s="6"/>
      <c r="AJ190" s="6"/>
      <c r="AK190" s="6"/>
      <c r="AL190" s="6"/>
      <c r="AM190" s="6"/>
      <c r="AN190" s="6"/>
      <c r="AO190" s="6"/>
      <c r="AP190" s="6"/>
    </row>
    <row r="191" ht="11.25" customHeight="1">
      <c r="A191" s="7"/>
      <c r="B191" s="68">
        <f t="shared" si="16"/>
        <v>186</v>
      </c>
      <c r="C191" s="86">
        <f t="shared" si="20"/>
        <v>11668.84896</v>
      </c>
      <c r="D191" s="84">
        <f t="shared" si="5"/>
        <v>2541571.753</v>
      </c>
      <c r="E191" s="79"/>
      <c r="F191" s="79"/>
      <c r="G191" s="78">
        <f>IFERROR(__xludf.DUMMYFUNCTION("""COMPUTED_VALUE"""),5977.714057574635)</f>
        <v>5977.714058</v>
      </c>
      <c r="H191" s="101">
        <f>IFERROR(__xludf.DUMMYFUNCTION("""COMPUTED_VALUE"""),740211.8131119047)</f>
        <v>740211.8131</v>
      </c>
      <c r="I191" s="79">
        <f>IFERROR(__xludf.DUMMYFUNCTION("""COMPUTED_VALUE"""),14135.948381730854)</f>
        <v>14135.94838</v>
      </c>
      <c r="J191" s="80">
        <f>IFERROR(__xludf.DUMMYFUNCTION("""COMPUTED_VALUE"""),2159067.978411606)</f>
        <v>2159067.978</v>
      </c>
      <c r="K191" s="79"/>
      <c r="L191" s="80"/>
      <c r="M191" s="6"/>
      <c r="N191" s="97"/>
      <c r="O191" s="6"/>
      <c r="P191" s="6"/>
      <c r="Q191" s="6"/>
      <c r="R191" s="6"/>
      <c r="S191" s="78">
        <f>IFERROR(__xludf.DUMMYFUNCTION("""COMPUTED_VALUE"""),4935.714057574631)</f>
        <v>4935.714058</v>
      </c>
      <c r="T191" s="9">
        <f>IFERROR(__xludf.DUMMYFUNCTION("""COMPUTED_VALUE"""),6811.948381730821)</f>
        <v>6811.948382</v>
      </c>
      <c r="U191" s="9"/>
      <c r="V191" s="79">
        <f t="shared" si="15"/>
        <v>11747.66244</v>
      </c>
      <c r="W191" s="80">
        <f t="shared" si="7"/>
        <v>3381438.842</v>
      </c>
      <c r="X191" s="81">
        <f t="shared" si="2"/>
        <v>0.215915879</v>
      </c>
      <c r="Y191" s="82">
        <f t="shared" si="19"/>
        <v>6638886.207</v>
      </c>
      <c r="Z191" s="6"/>
      <c r="AA191" s="83">
        <f t="shared" si="8"/>
        <v>15841.17079</v>
      </c>
      <c r="AB191" s="84">
        <f t="shared" si="9"/>
        <v>3473143.359</v>
      </c>
      <c r="AC191" s="79">
        <f t="shared" si="12"/>
        <v>15931.05788</v>
      </c>
      <c r="AD191" s="85">
        <f t="shared" si="10"/>
        <v>3439549.417</v>
      </c>
      <c r="AE191" s="81">
        <v>0.25</v>
      </c>
      <c r="AF191" s="82">
        <f t="shared" si="17"/>
        <v>6388354.208</v>
      </c>
      <c r="AG191" s="6"/>
      <c r="AH191" s="6"/>
      <c r="AI191" s="6"/>
      <c r="AJ191" s="6"/>
      <c r="AK191" s="6"/>
      <c r="AL191" s="6"/>
      <c r="AM191" s="6"/>
      <c r="AN191" s="6"/>
      <c r="AO191" s="6"/>
      <c r="AP191" s="6"/>
    </row>
    <row r="192" ht="11.25" customHeight="1">
      <c r="A192" s="7"/>
      <c r="B192" s="68">
        <f t="shared" si="16"/>
        <v>187</v>
      </c>
      <c r="C192" s="86">
        <f t="shared" si="20"/>
        <v>11747.66244</v>
      </c>
      <c r="D192" s="84">
        <f t="shared" si="5"/>
        <v>2553319.416</v>
      </c>
      <c r="E192" s="79"/>
      <c r="F192" s="79"/>
      <c r="G192" s="78">
        <f>IFERROR(__xludf.DUMMYFUNCTION("""COMPUTED_VALUE"""),6008.847984957836)</f>
        <v>6008.847985</v>
      </c>
      <c r="H192" s="101">
        <f>IFERROR(__xludf.DUMMYFUNCTION("""COMPUTED_VALUE"""),746220.6610968625)</f>
        <v>746220.6611</v>
      </c>
      <c r="I192" s="79">
        <f>IFERROR(__xludf.DUMMYFUNCTION("""COMPUTED_VALUE"""),14183.951706443815)</f>
        <v>14183.95171</v>
      </c>
      <c r="J192" s="80">
        <f>IFERROR(__xludf.DUMMYFUNCTION("""COMPUTED_VALUE"""),2173251.93011805)</f>
        <v>2173251.93</v>
      </c>
      <c r="K192" s="79"/>
      <c r="L192" s="80"/>
      <c r="M192" s="6"/>
      <c r="N192" s="97"/>
      <c r="O192" s="6"/>
      <c r="P192" s="6"/>
      <c r="Q192" s="6"/>
      <c r="R192" s="6"/>
      <c r="S192" s="78">
        <f>IFERROR(__xludf.DUMMYFUNCTION("""COMPUTED_VALUE"""),4966.847984957858)</f>
        <v>4966.847985</v>
      </c>
      <c r="T192" s="9">
        <f>IFERROR(__xludf.DUMMYFUNCTION("""COMPUTED_VALUE"""),6859.951706443913)</f>
        <v>6859.951706</v>
      </c>
      <c r="U192" s="9"/>
      <c r="V192" s="79">
        <f t="shared" si="15"/>
        <v>11826.79969</v>
      </c>
      <c r="W192" s="80">
        <f t="shared" si="7"/>
        <v>3393265.641</v>
      </c>
      <c r="X192" s="81">
        <f t="shared" si="2"/>
        <v>0.2161017571</v>
      </c>
      <c r="Y192" s="82">
        <f t="shared" si="19"/>
        <v>6670905.806</v>
      </c>
      <c r="Z192" s="6"/>
      <c r="AA192" s="83">
        <f t="shared" si="8"/>
        <v>15931.05788</v>
      </c>
      <c r="AB192" s="84">
        <f t="shared" si="9"/>
        <v>3489074.417</v>
      </c>
      <c r="AC192" s="79">
        <f t="shared" si="12"/>
        <v>16021.36752</v>
      </c>
      <c r="AD192" s="85">
        <f t="shared" si="10"/>
        <v>3455570.784</v>
      </c>
      <c r="AE192" s="81">
        <v>0.25</v>
      </c>
      <c r="AF192" s="82">
        <f t="shared" si="17"/>
        <v>6424568.375</v>
      </c>
      <c r="AG192" s="6"/>
      <c r="AH192" s="6"/>
      <c r="AI192" s="6"/>
      <c r="AJ192" s="6"/>
      <c r="AK192" s="6"/>
      <c r="AL192" s="6"/>
      <c r="AM192" s="6"/>
      <c r="AN192" s="6"/>
      <c r="AO192" s="6"/>
      <c r="AP192" s="6"/>
    </row>
    <row r="193" ht="11.25" customHeight="1">
      <c r="A193" s="7"/>
      <c r="B193" s="68">
        <f t="shared" si="16"/>
        <v>188</v>
      </c>
      <c r="C193" s="86">
        <f t="shared" si="20"/>
        <v>11826.79969</v>
      </c>
      <c r="D193" s="84">
        <f t="shared" si="5"/>
        <v>2565146.215</v>
      </c>
      <c r="E193" s="79"/>
      <c r="F193" s="79"/>
      <c r="G193" s="78">
        <f>IFERROR(__xludf.DUMMYFUNCTION("""COMPUTED_VALUE"""),6040.144068212825)</f>
        <v>6040.144068</v>
      </c>
      <c r="H193" s="101">
        <f>IFERROR(__xludf.DUMMYFUNCTION("""COMPUTED_VALUE"""),752260.8051650753)</f>
        <v>752260.8052</v>
      </c>
      <c r="I193" s="79">
        <f>IFERROR(__xludf.DUMMYFUNCTION("""COMPUTED_VALUE"""),14232.118042446948)</f>
        <v>14232.11804</v>
      </c>
      <c r="J193" s="80">
        <f>IFERROR(__xludf.DUMMYFUNCTION("""COMPUTED_VALUE"""),2187484.048160497)</f>
        <v>2187484.048</v>
      </c>
      <c r="K193" s="79"/>
      <c r="L193" s="80"/>
      <c r="M193" s="6"/>
      <c r="N193" s="97"/>
      <c r="O193" s="6"/>
      <c r="P193" s="6"/>
      <c r="Q193" s="6"/>
      <c r="R193" s="6"/>
      <c r="S193" s="78">
        <f>IFERROR(__xludf.DUMMYFUNCTION("""COMPUTED_VALUE"""),4998.1440682128305)</f>
        <v>4998.144068</v>
      </c>
      <c r="T193" s="9">
        <f>IFERROR(__xludf.DUMMYFUNCTION("""COMPUTED_VALUE"""),6908.118042446906)</f>
        <v>6908.118042</v>
      </c>
      <c r="U193" s="9"/>
      <c r="V193" s="79">
        <f t="shared" si="15"/>
        <v>11906.26211</v>
      </c>
      <c r="W193" s="80">
        <f t="shared" si="7"/>
        <v>3405171.904</v>
      </c>
      <c r="X193" s="81">
        <f t="shared" si="2"/>
        <v>0.2162851537</v>
      </c>
      <c r="Y193" s="82">
        <f t="shared" si="19"/>
        <v>6703084.331</v>
      </c>
      <c r="Z193" s="6"/>
      <c r="AA193" s="83">
        <f t="shared" si="8"/>
        <v>16021.36752</v>
      </c>
      <c r="AB193" s="84">
        <f t="shared" si="9"/>
        <v>3505095.784</v>
      </c>
      <c r="AC193" s="79">
        <f t="shared" si="12"/>
        <v>16112.10159</v>
      </c>
      <c r="AD193" s="85">
        <f t="shared" si="10"/>
        <v>3471682.886</v>
      </c>
      <c r="AE193" s="81">
        <v>0.25</v>
      </c>
      <c r="AF193" s="82">
        <f t="shared" si="17"/>
        <v>6460952.739</v>
      </c>
      <c r="AG193" s="6"/>
      <c r="AH193" s="6"/>
      <c r="AI193" s="6"/>
      <c r="AJ193" s="6"/>
      <c r="AK193" s="6"/>
      <c r="AL193" s="6"/>
      <c r="AM193" s="6"/>
      <c r="AN193" s="6"/>
      <c r="AO193" s="6"/>
      <c r="AP193" s="6"/>
    </row>
    <row r="194" ht="11.25" customHeight="1">
      <c r="A194" s="7"/>
      <c r="B194" s="68">
        <f t="shared" si="16"/>
        <v>189</v>
      </c>
      <c r="C194" s="86">
        <f t="shared" si="20"/>
        <v>11906.26211</v>
      </c>
      <c r="D194" s="84">
        <f t="shared" si="5"/>
        <v>2577052.477</v>
      </c>
      <c r="E194" s="79"/>
      <c r="F194" s="79"/>
      <c r="G194" s="78">
        <f>IFERROR(__xludf.DUMMYFUNCTION("""COMPUTED_VALUE"""),6071.603151901433)</f>
        <v>6071.603152</v>
      </c>
      <c r="H194" s="101">
        <f>IFERROR(__xludf.DUMMYFUNCTION("""COMPUTED_VALUE"""),758332.4083169767)</f>
        <v>758332.4083</v>
      </c>
      <c r="I194" s="79">
        <f>IFERROR(__xludf.DUMMYFUNCTION("""COMPUTED_VALUE"""),14280.447943299423)</f>
        <v>14280.44794</v>
      </c>
      <c r="J194" s="80">
        <f>IFERROR(__xludf.DUMMYFUNCTION("""COMPUTED_VALUE"""),2201764.4961037966)</f>
        <v>2201764.496</v>
      </c>
      <c r="K194" s="79"/>
      <c r="L194" s="80"/>
      <c r="M194" s="6"/>
      <c r="N194" s="97"/>
      <c r="O194" s="6"/>
      <c r="P194" s="6"/>
      <c r="Q194" s="6"/>
      <c r="R194" s="6"/>
      <c r="S194" s="78">
        <f>IFERROR(__xludf.DUMMYFUNCTION("""COMPUTED_VALUE"""),5029.603151901392)</f>
        <v>5029.603152</v>
      </c>
      <c r="T194" s="9">
        <f>IFERROR(__xludf.DUMMYFUNCTION("""COMPUTED_VALUE"""),6956.44794329931)</f>
        <v>6956.447943</v>
      </c>
      <c r="U194" s="9"/>
      <c r="V194" s="79">
        <f t="shared" si="15"/>
        <v>11986.0511</v>
      </c>
      <c r="W194" s="80">
        <f t="shared" si="7"/>
        <v>3417157.955</v>
      </c>
      <c r="X194" s="81">
        <f t="shared" si="2"/>
        <v>0.216466096</v>
      </c>
      <c r="Y194" s="82">
        <f t="shared" si="19"/>
        <v>6735422.433</v>
      </c>
      <c r="Z194" s="6"/>
      <c r="AA194" s="83">
        <f t="shared" si="8"/>
        <v>16112.10159</v>
      </c>
      <c r="AB194" s="84">
        <f t="shared" si="9"/>
        <v>3521207.886</v>
      </c>
      <c r="AC194" s="79">
        <f t="shared" si="12"/>
        <v>16203.26198</v>
      </c>
      <c r="AD194" s="85">
        <f t="shared" si="10"/>
        <v>3487886.148</v>
      </c>
      <c r="AE194" s="81">
        <v>0.25</v>
      </c>
      <c r="AF194" s="82">
        <f t="shared" si="17"/>
        <v>6497508.052</v>
      </c>
      <c r="AG194" s="6"/>
      <c r="AH194" s="6"/>
      <c r="AI194" s="6"/>
      <c r="AJ194" s="6"/>
      <c r="AK194" s="6"/>
      <c r="AL194" s="6"/>
      <c r="AM194" s="6"/>
      <c r="AN194" s="6"/>
      <c r="AO194" s="6"/>
      <c r="AP194" s="6"/>
    </row>
    <row r="195" ht="11.25" customHeight="1">
      <c r="A195" s="7"/>
      <c r="B195" s="68">
        <f t="shared" si="16"/>
        <v>190</v>
      </c>
      <c r="C195" s="86">
        <f t="shared" si="20"/>
        <v>11986.0511</v>
      </c>
      <c r="D195" s="84">
        <f t="shared" si="5"/>
        <v>2589038.528</v>
      </c>
      <c r="E195" s="79"/>
      <c r="F195" s="79"/>
      <c r="G195" s="78">
        <f>IFERROR(__xludf.DUMMYFUNCTION("""COMPUTED_VALUE"""),6103.226084984253)</f>
        <v>6103.226085</v>
      </c>
      <c r="H195" s="101">
        <f>IFERROR(__xludf.DUMMYFUNCTION("""COMPUTED_VALUE"""),764435.634401961)</f>
        <v>764435.6344</v>
      </c>
      <c r="I195" s="79">
        <f>IFERROR(__xludf.DUMMYFUNCTION("""COMPUTED_VALUE"""),14328.941964440211)</f>
        <v>14328.94196</v>
      </c>
      <c r="J195" s="80">
        <f>IFERROR(__xludf.DUMMYFUNCTION("""COMPUTED_VALUE"""),2216093.4380682367)</f>
        <v>2216093.438</v>
      </c>
      <c r="K195" s="79"/>
      <c r="L195" s="80"/>
      <c r="M195" s="6"/>
      <c r="N195" s="97"/>
      <c r="O195" s="6"/>
      <c r="P195" s="6"/>
      <c r="Q195" s="6"/>
      <c r="R195" s="6"/>
      <c r="S195" s="78">
        <f>IFERROR(__xludf.DUMMYFUNCTION("""COMPUTED_VALUE"""),5061.226084984257)</f>
        <v>5061.226085</v>
      </c>
      <c r="T195" s="9">
        <f>IFERROR(__xludf.DUMMYFUNCTION("""COMPUTED_VALUE"""),7004.941964440281)</f>
        <v>7004.941964</v>
      </c>
      <c r="U195" s="9"/>
      <c r="V195" s="79">
        <f t="shared" si="15"/>
        <v>12066.16805</v>
      </c>
      <c r="W195" s="80">
        <f t="shared" si="7"/>
        <v>3429224.123</v>
      </c>
      <c r="X195" s="81">
        <f t="shared" si="2"/>
        <v>0.2166446107</v>
      </c>
      <c r="Y195" s="82">
        <f t="shared" si="19"/>
        <v>6767920.769</v>
      </c>
      <c r="Z195" s="6"/>
      <c r="AA195" s="83">
        <f t="shared" si="8"/>
        <v>16203.26198</v>
      </c>
      <c r="AB195" s="84">
        <f t="shared" si="9"/>
        <v>3537411.148</v>
      </c>
      <c r="AC195" s="79">
        <f t="shared" si="12"/>
        <v>16294.85055</v>
      </c>
      <c r="AD195" s="85">
        <f t="shared" si="10"/>
        <v>3504180.998</v>
      </c>
      <c r="AE195" s="81">
        <v>0.25</v>
      </c>
      <c r="AF195" s="82">
        <f t="shared" si="17"/>
        <v>6534235.071</v>
      </c>
      <c r="AG195" s="6"/>
      <c r="AH195" s="6"/>
      <c r="AI195" s="6"/>
      <c r="AJ195" s="6"/>
      <c r="AK195" s="6"/>
      <c r="AL195" s="6"/>
      <c r="AM195" s="6"/>
      <c r="AN195" s="6"/>
      <c r="AO195" s="6"/>
      <c r="AP195" s="6"/>
    </row>
    <row r="196" ht="11.25" customHeight="1">
      <c r="A196" s="7"/>
      <c r="B196" s="68">
        <f t="shared" si="16"/>
        <v>191</v>
      </c>
      <c r="C196" s="86">
        <f t="shared" si="20"/>
        <v>12066.16805</v>
      </c>
      <c r="D196" s="84">
        <f t="shared" si="5"/>
        <v>2601104.696</v>
      </c>
      <c r="E196" s="79"/>
      <c r="F196" s="79"/>
      <c r="G196" s="78">
        <f>IFERROR(__xludf.DUMMYFUNCTION("""COMPUTED_VALUE"""),6135.013720843546)</f>
        <v>6135.013721</v>
      </c>
      <c r="H196" s="101">
        <f>IFERROR(__xludf.DUMMYFUNCTION("""COMPUTED_VALUE"""),770570.6481228046)</f>
        <v>770570.6481</v>
      </c>
      <c r="I196" s="79">
        <f>IFERROR(__xludf.DUMMYFUNCTION("""COMPUTED_VALUE"""),14377.600663194455)</f>
        <v>14377.60066</v>
      </c>
      <c r="J196" s="80">
        <f>IFERROR(__xludf.DUMMYFUNCTION("""COMPUTED_VALUE"""),2230471.038731431)</f>
        <v>2230471.039</v>
      </c>
      <c r="K196" s="79"/>
      <c r="L196" s="80"/>
      <c r="M196" s="6"/>
      <c r="N196" s="97"/>
      <c r="O196" s="6"/>
      <c r="P196" s="6"/>
      <c r="Q196" s="6"/>
      <c r="R196" s="6"/>
      <c r="S196" s="78">
        <f>IFERROR(__xludf.DUMMYFUNCTION("""COMPUTED_VALUE"""),5093.013720843592)</f>
        <v>5093.013721</v>
      </c>
      <c r="T196" s="9">
        <f>IFERROR(__xludf.DUMMYFUNCTION("""COMPUTED_VALUE"""),7053.600663194433)</f>
        <v>7053.600663</v>
      </c>
      <c r="U196" s="9"/>
      <c r="V196" s="79">
        <f t="shared" si="15"/>
        <v>12146.61438</v>
      </c>
      <c r="W196" s="80">
        <f t="shared" si="7"/>
        <v>3441370.737</v>
      </c>
      <c r="X196" s="81">
        <f t="shared" si="2"/>
        <v>0.2168207246</v>
      </c>
      <c r="Y196" s="82">
        <f t="shared" si="19"/>
        <v>6800579.998</v>
      </c>
      <c r="Z196" s="6"/>
      <c r="AA196" s="83">
        <f t="shared" si="8"/>
        <v>16294.85055</v>
      </c>
      <c r="AB196" s="84">
        <f t="shared" si="9"/>
        <v>3553705.998</v>
      </c>
      <c r="AC196" s="79">
        <f t="shared" si="12"/>
        <v>16386.86921</v>
      </c>
      <c r="AD196" s="85">
        <f t="shared" si="10"/>
        <v>3520567.867</v>
      </c>
      <c r="AE196" s="81">
        <v>0.25</v>
      </c>
      <c r="AF196" s="82">
        <f t="shared" si="17"/>
        <v>6571134.554</v>
      </c>
      <c r="AG196" s="6"/>
      <c r="AH196" s="6"/>
      <c r="AI196" s="6"/>
      <c r="AJ196" s="6"/>
      <c r="AK196" s="6"/>
      <c r="AL196" s="6"/>
      <c r="AM196" s="6"/>
      <c r="AN196" s="6"/>
      <c r="AO196" s="6"/>
      <c r="AP196" s="6"/>
    </row>
    <row r="197" ht="11.25" customHeight="1">
      <c r="A197" s="71"/>
      <c r="B197" s="72">
        <f t="shared" si="16"/>
        <v>192</v>
      </c>
      <c r="C197" s="86">
        <f t="shared" si="20"/>
        <v>12146.61438</v>
      </c>
      <c r="D197" s="88">
        <f t="shared" si="5"/>
        <v>2613251.311</v>
      </c>
      <c r="E197" s="90"/>
      <c r="F197" s="90"/>
      <c r="G197" s="89">
        <f>IFERROR(__xludf.DUMMYFUNCTION("""COMPUTED_VALUE"""),6166.966917306273)</f>
        <v>6166.966917</v>
      </c>
      <c r="H197" s="98">
        <f>IFERROR(__xludf.DUMMYFUNCTION("""COMPUTED_VALUE"""),776737.6150401109)</f>
        <v>776737.615</v>
      </c>
      <c r="I197" s="90">
        <f>IFERROR(__xludf.DUMMYFUNCTION("""COMPUTED_VALUE"""),14426.424598779886)</f>
        <v>14426.4246</v>
      </c>
      <c r="J197" s="91">
        <f>IFERROR(__xludf.DUMMYFUNCTION("""COMPUTED_VALUE"""),2244897.463330211)</f>
        <v>2244897.463</v>
      </c>
      <c r="K197" s="90"/>
      <c r="L197" s="91"/>
      <c r="M197" s="6"/>
      <c r="N197" s="99"/>
      <c r="O197" s="10"/>
      <c r="P197" s="10"/>
      <c r="Q197" s="10"/>
      <c r="R197" s="10"/>
      <c r="S197" s="89">
        <f>IFERROR(__xludf.DUMMYFUNCTION("""COMPUTED_VALUE"""),5124.966917306301)</f>
        <v>5124.966917</v>
      </c>
      <c r="T197" s="93">
        <f>IFERROR(__xludf.DUMMYFUNCTION("""COMPUTED_VALUE"""),7102.424598779995)</f>
        <v>7102.424599</v>
      </c>
      <c r="U197" s="93"/>
      <c r="V197" s="90">
        <f t="shared" si="15"/>
        <v>12227.39152</v>
      </c>
      <c r="W197" s="91">
        <f t="shared" si="7"/>
        <v>3453598.129</v>
      </c>
      <c r="X197" s="81">
        <f t="shared" si="2"/>
        <v>0.216994464</v>
      </c>
      <c r="Y197" s="82">
        <f t="shared" si="19"/>
        <v>6833400.781</v>
      </c>
      <c r="Z197" s="6"/>
      <c r="AA197" s="83">
        <f t="shared" si="8"/>
        <v>16386.86921</v>
      </c>
      <c r="AB197" s="88">
        <f t="shared" si="9"/>
        <v>3570092.867</v>
      </c>
      <c r="AC197" s="90">
        <f t="shared" si="12"/>
        <v>16479.31986</v>
      </c>
      <c r="AD197" s="94">
        <f t="shared" si="10"/>
        <v>3537047.187</v>
      </c>
      <c r="AE197" s="81">
        <v>0.25</v>
      </c>
      <c r="AF197" s="82">
        <f t="shared" si="17"/>
        <v>6608207.266</v>
      </c>
      <c r="AG197" s="6"/>
      <c r="AH197" s="6"/>
      <c r="AI197" s="6"/>
      <c r="AJ197" s="6"/>
      <c r="AK197" s="6"/>
      <c r="AL197" s="6"/>
      <c r="AM197" s="6"/>
      <c r="AN197" s="6"/>
      <c r="AO197" s="6"/>
      <c r="AP197" s="6"/>
    </row>
    <row r="198" ht="11.25" customHeight="1">
      <c r="A198" s="100">
        <v>17.0</v>
      </c>
      <c r="B198" s="66">
        <f t="shared" si="16"/>
        <v>193</v>
      </c>
      <c r="C198" s="86">
        <f t="shared" si="20"/>
        <v>12227.39152</v>
      </c>
      <c r="D198" s="84">
        <f t="shared" si="5"/>
        <v>2625478.702</v>
      </c>
      <c r="E198" s="79"/>
      <c r="F198" s="79"/>
      <c r="G198" s="78">
        <f>IFERROR(__xludf.DUMMYFUNCTION("""COMPUTED_VALUE"""),6199.086536667243)</f>
        <v>6199.086537</v>
      </c>
      <c r="H198" s="101">
        <f>IFERROR(__xludf.DUMMYFUNCTION("""COMPUTED_VALUE"""),782936.7015767781)</f>
        <v>782936.7016</v>
      </c>
      <c r="I198" s="79">
        <f>IFERROR(__xludf.DUMMYFUNCTION("""COMPUTED_VALUE"""),14475.414332313243)</f>
        <v>14475.41433</v>
      </c>
      <c r="J198" s="80">
        <f>IFERROR(__xludf.DUMMYFUNCTION("""COMPUTED_VALUE"""),2259372.8776625246)</f>
        <v>2259372.878</v>
      </c>
      <c r="K198" s="79"/>
      <c r="L198" s="80"/>
      <c r="M198" s="6"/>
      <c r="N198" s="97"/>
      <c r="O198" s="6"/>
      <c r="P198" s="6"/>
      <c r="Q198" s="6"/>
      <c r="R198" s="6"/>
      <c r="S198" s="102">
        <f>IFERROR(__xludf.DUMMYFUNCTION("""COMPUTED_VALUE"""),5157.086536667193)</f>
        <v>5157.086537</v>
      </c>
      <c r="T198" s="9">
        <f>IFERROR(__xludf.DUMMYFUNCTION("""COMPUTED_VALUE"""),7151.41433231323)</f>
        <v>7151.414332</v>
      </c>
      <c r="U198" s="9"/>
      <c r="V198" s="79">
        <f t="shared" si="15"/>
        <v>12308.50087</v>
      </c>
      <c r="W198" s="80">
        <f t="shared" si="7"/>
        <v>3465906.63</v>
      </c>
      <c r="X198" s="81">
        <f t="shared" si="2"/>
        <v>0.2171658548</v>
      </c>
      <c r="Y198" s="82">
        <f t="shared" si="19"/>
        <v>6866383.782</v>
      </c>
      <c r="Z198" s="6"/>
      <c r="AA198" s="83">
        <f t="shared" si="8"/>
        <v>16479.31986</v>
      </c>
      <c r="AB198" s="84">
        <f t="shared" si="9"/>
        <v>3586572.187</v>
      </c>
      <c r="AC198" s="79">
        <f t="shared" si="12"/>
        <v>16572.20442</v>
      </c>
      <c r="AD198" s="95">
        <f t="shared" si="10"/>
        <v>3553619.392</v>
      </c>
      <c r="AE198" s="81">
        <v>0.25</v>
      </c>
      <c r="AF198" s="82">
        <f t="shared" si="17"/>
        <v>6645453.971</v>
      </c>
      <c r="AG198" s="6"/>
      <c r="AH198" s="6"/>
      <c r="AI198" s="6"/>
      <c r="AJ198" s="6"/>
      <c r="AK198" s="6"/>
      <c r="AL198" s="6"/>
      <c r="AM198" s="6"/>
      <c r="AN198" s="6"/>
      <c r="AO198" s="6"/>
      <c r="AP198" s="6"/>
    </row>
    <row r="199" ht="11.25" customHeight="1">
      <c r="A199" s="7"/>
      <c r="B199" s="68">
        <f t="shared" si="16"/>
        <v>194</v>
      </c>
      <c r="C199" s="86">
        <f t="shared" si="20"/>
        <v>12308.50087</v>
      </c>
      <c r="D199" s="84">
        <f t="shared" si="5"/>
        <v>2637787.203</v>
      </c>
      <c r="E199" s="79"/>
      <c r="F199" s="79"/>
      <c r="G199" s="78">
        <f>IFERROR(__xludf.DUMMYFUNCTION("""COMPUTED_VALUE"""),6231.373445712386)</f>
        <v>6231.373446</v>
      </c>
      <c r="H199" s="101">
        <f>IFERROR(__xludf.DUMMYFUNCTION("""COMPUTED_VALUE"""),789168.0750224905)</f>
        <v>789168.075</v>
      </c>
      <c r="I199" s="79">
        <f>IFERROR(__xludf.DUMMYFUNCTION("""COMPUTED_VALUE"""),14524.570426816723)</f>
        <v>14524.57043</v>
      </c>
      <c r="J199" s="80">
        <f>IFERROR(__xludf.DUMMYFUNCTION("""COMPUTED_VALUE"""),2273897.448089341)</f>
        <v>2273897.448</v>
      </c>
      <c r="K199" s="79"/>
      <c r="L199" s="80"/>
      <c r="M199" s="6"/>
      <c r="N199" s="97"/>
      <c r="O199" s="6"/>
      <c r="P199" s="6"/>
      <c r="Q199" s="6"/>
      <c r="R199" s="6"/>
      <c r="S199" s="78">
        <f>IFERROR(__xludf.DUMMYFUNCTION("""COMPUTED_VALUE"""),5189.373445712379)</f>
        <v>5189.373446</v>
      </c>
      <c r="T199" s="9">
        <f>IFERROR(__xludf.DUMMYFUNCTION("""COMPUTED_VALUE"""),7200.570426816819)</f>
        <v>7200.570427</v>
      </c>
      <c r="U199" s="9"/>
      <c r="V199" s="79">
        <f t="shared" si="15"/>
        <v>12389.94387</v>
      </c>
      <c r="W199" s="80">
        <f t="shared" si="7"/>
        <v>3478296.573</v>
      </c>
      <c r="X199" s="81">
        <f t="shared" si="2"/>
        <v>0.2173349228</v>
      </c>
      <c r="Y199" s="82">
        <f t="shared" si="19"/>
        <v>6899529.67</v>
      </c>
      <c r="Z199" s="6"/>
      <c r="AA199" s="83">
        <f t="shared" si="8"/>
        <v>16572.20442</v>
      </c>
      <c r="AB199" s="84">
        <f t="shared" si="9"/>
        <v>3603144.392</v>
      </c>
      <c r="AC199" s="79">
        <f t="shared" si="12"/>
        <v>16665.52479</v>
      </c>
      <c r="AD199" s="85">
        <f t="shared" si="10"/>
        <v>3570284.916</v>
      </c>
      <c r="AE199" s="81">
        <v>0.25</v>
      </c>
      <c r="AF199" s="82">
        <f t="shared" si="17"/>
        <v>6682875.44</v>
      </c>
      <c r="AG199" s="6"/>
      <c r="AH199" s="6"/>
      <c r="AI199" s="6"/>
      <c r="AJ199" s="6"/>
      <c r="AK199" s="6"/>
      <c r="AL199" s="6"/>
      <c r="AM199" s="6"/>
      <c r="AN199" s="6"/>
      <c r="AO199" s="6"/>
      <c r="AP199" s="6"/>
    </row>
    <row r="200" ht="11.25" customHeight="1">
      <c r="A200" s="7"/>
      <c r="B200" s="68">
        <f t="shared" si="16"/>
        <v>195</v>
      </c>
      <c r="C200" s="86">
        <f t="shared" si="20"/>
        <v>12389.94387</v>
      </c>
      <c r="D200" s="84">
        <f t="shared" si="5"/>
        <v>2650177.147</v>
      </c>
      <c r="E200" s="79"/>
      <c r="F200" s="79"/>
      <c r="G200" s="78">
        <f>IFERROR(__xludf.DUMMYFUNCTION("""COMPUTED_VALUE"""),6263.828515742137)</f>
        <v>6263.828516</v>
      </c>
      <c r="H200" s="101">
        <f>IFERROR(__xludf.DUMMYFUNCTION("""COMPUTED_VALUE"""),795431.9035382326)</f>
        <v>795431.9035</v>
      </c>
      <c r="I200" s="79">
        <f>IFERROR(__xludf.DUMMYFUNCTION("""COMPUTED_VALUE"""),14573.893447224455)</f>
        <v>14573.89345</v>
      </c>
      <c r="J200" s="80">
        <f>IFERROR(__xludf.DUMMYFUNCTION("""COMPUTED_VALUE"""),2288471.3415365657)</f>
        <v>2288471.342</v>
      </c>
      <c r="K200" s="79"/>
      <c r="L200" s="80"/>
      <c r="M200" s="6"/>
      <c r="N200" s="97"/>
      <c r="O200" s="6"/>
      <c r="P200" s="6"/>
      <c r="Q200" s="6"/>
      <c r="R200" s="6"/>
      <c r="S200" s="78">
        <f>IFERROR(__xludf.DUMMYFUNCTION("""COMPUTED_VALUE"""),5221.8285157420905)</f>
        <v>5221.828516</v>
      </c>
      <c r="T200" s="9">
        <f>IFERROR(__xludf.DUMMYFUNCTION("""COMPUTED_VALUE"""),7249.893447224516)</f>
        <v>7249.893447</v>
      </c>
      <c r="U200" s="9"/>
      <c r="V200" s="79">
        <f t="shared" si="15"/>
        <v>12471.72196</v>
      </c>
      <c r="W200" s="80">
        <f t="shared" si="7"/>
        <v>3490768.295</v>
      </c>
      <c r="X200" s="81">
        <f t="shared" si="2"/>
        <v>0.2175016936</v>
      </c>
      <c r="Y200" s="82">
        <f t="shared" si="19"/>
        <v>6932839.114</v>
      </c>
      <c r="Z200" s="6"/>
      <c r="AA200" s="83">
        <f t="shared" si="8"/>
        <v>16665.52479</v>
      </c>
      <c r="AB200" s="84">
        <f t="shared" si="9"/>
        <v>3619809.916</v>
      </c>
      <c r="AC200" s="79">
        <f t="shared" si="12"/>
        <v>16759.2829</v>
      </c>
      <c r="AD200" s="85">
        <f t="shared" si="10"/>
        <v>3587044.199</v>
      </c>
      <c r="AE200" s="81">
        <v>0.25</v>
      </c>
      <c r="AF200" s="82">
        <f t="shared" si="17"/>
        <v>6720472.444</v>
      </c>
      <c r="AG200" s="6"/>
      <c r="AH200" s="6"/>
      <c r="AI200" s="6"/>
      <c r="AJ200" s="6"/>
      <c r="AK200" s="6"/>
      <c r="AL200" s="6"/>
      <c r="AM200" s="6"/>
      <c r="AN200" s="6"/>
      <c r="AO200" s="6"/>
      <c r="AP200" s="6"/>
    </row>
    <row r="201" ht="11.25" customHeight="1">
      <c r="A201" s="7"/>
      <c r="B201" s="68">
        <f t="shared" si="16"/>
        <v>196</v>
      </c>
      <c r="C201" s="86">
        <f t="shared" si="20"/>
        <v>12471.72196</v>
      </c>
      <c r="D201" s="84">
        <f t="shared" si="5"/>
        <v>2662648.869</v>
      </c>
      <c r="E201" s="79"/>
      <c r="F201" s="79"/>
      <c r="G201" s="78">
        <f>IFERROR(__xludf.DUMMYFUNCTION("""COMPUTED_VALUE"""),6296.45262259496)</f>
        <v>6296.452623</v>
      </c>
      <c r="H201" s="101">
        <f>IFERROR(__xludf.DUMMYFUNCTION("""COMPUTED_VALUE"""),801728.3561608276)</f>
        <v>801728.3562</v>
      </c>
      <c r="I201" s="79">
        <f>IFERROR(__xludf.DUMMYFUNCTION("""COMPUTED_VALUE"""),14623.383960388988)</f>
        <v>14623.38396</v>
      </c>
      <c r="J201" s="80">
        <f>IFERROR(__xludf.DUMMYFUNCTION("""COMPUTED_VALUE"""),2303094.7254969548)</f>
        <v>2303094.725</v>
      </c>
      <c r="K201" s="79"/>
      <c r="L201" s="80"/>
      <c r="M201" s="6"/>
      <c r="N201" s="97"/>
      <c r="O201" s="6"/>
      <c r="P201" s="6"/>
      <c r="Q201" s="6"/>
      <c r="R201" s="6"/>
      <c r="S201" s="78">
        <f>IFERROR(__xludf.DUMMYFUNCTION("""COMPUTED_VALUE"""),5254.45262259501)</f>
        <v>5254.452623</v>
      </c>
      <c r="T201" s="9">
        <f>IFERROR(__xludf.DUMMYFUNCTION("""COMPUTED_VALUE"""),7299.3839603890665)</f>
        <v>7299.38396</v>
      </c>
      <c r="U201" s="9"/>
      <c r="V201" s="79">
        <f t="shared" si="15"/>
        <v>12553.83658</v>
      </c>
      <c r="W201" s="80">
        <f t="shared" si="7"/>
        <v>3503322.132</v>
      </c>
      <c r="X201" s="81">
        <f t="shared" si="2"/>
        <v>0.2176661922</v>
      </c>
      <c r="Y201" s="82">
        <f t="shared" si="19"/>
        <v>6966312.787</v>
      </c>
      <c r="Z201" s="6"/>
      <c r="AA201" s="83">
        <f t="shared" si="8"/>
        <v>16759.2829</v>
      </c>
      <c r="AB201" s="84">
        <f t="shared" si="9"/>
        <v>3636569.199</v>
      </c>
      <c r="AC201" s="79">
        <f t="shared" si="12"/>
        <v>16853.4807</v>
      </c>
      <c r="AD201" s="85">
        <f t="shared" si="10"/>
        <v>3603897.68</v>
      </c>
      <c r="AE201" s="81">
        <v>0.25</v>
      </c>
      <c r="AF201" s="82">
        <f t="shared" si="17"/>
        <v>6758245.762</v>
      </c>
      <c r="AG201" s="6"/>
      <c r="AH201" s="6"/>
      <c r="AI201" s="6"/>
      <c r="AJ201" s="6"/>
      <c r="AK201" s="6"/>
      <c r="AL201" s="6"/>
      <c r="AM201" s="6"/>
      <c r="AN201" s="6"/>
      <c r="AO201" s="6"/>
      <c r="AP201" s="6"/>
    </row>
    <row r="202" ht="11.25" customHeight="1">
      <c r="A202" s="7"/>
      <c r="B202" s="68">
        <f t="shared" si="16"/>
        <v>197</v>
      </c>
      <c r="C202" s="86">
        <f t="shared" si="20"/>
        <v>12553.83658</v>
      </c>
      <c r="D202" s="84">
        <f t="shared" si="5"/>
        <v>2675202.706</v>
      </c>
      <c r="E202" s="79"/>
      <c r="F202" s="79"/>
      <c r="G202" s="78">
        <f>IFERROR(__xludf.DUMMYFUNCTION("""COMPUTED_VALUE"""),6329.246646670977)</f>
        <v>6329.246647</v>
      </c>
      <c r="H202" s="101">
        <f>IFERROR(__xludf.DUMMYFUNCTION("""COMPUTED_VALUE"""),808057.6028074985)</f>
        <v>808057.6028</v>
      </c>
      <c r="I202" s="79">
        <f>IFERROR(__xludf.DUMMYFUNCTION("""COMPUTED_VALUE"""),14673.042535087809)</f>
        <v>14673.04254</v>
      </c>
      <c r="J202" s="80">
        <f>IFERROR(__xludf.DUMMYFUNCTION("""COMPUTED_VALUE"""),2317767.768032043)</f>
        <v>2317767.768</v>
      </c>
      <c r="K202" s="79"/>
      <c r="L202" s="80"/>
      <c r="M202" s="6"/>
      <c r="N202" s="97"/>
      <c r="O202" s="6"/>
      <c r="P202" s="6"/>
      <c r="Q202" s="6"/>
      <c r="R202" s="6"/>
      <c r="S202" s="78">
        <f>IFERROR(__xludf.DUMMYFUNCTION("""COMPUTED_VALUE"""),5287.246646670974)</f>
        <v>5287.246647</v>
      </c>
      <c r="T202" s="9">
        <f>IFERROR(__xludf.DUMMYFUNCTION("""COMPUTED_VALUE"""),7349.042535087792)</f>
        <v>7349.042535</v>
      </c>
      <c r="U202" s="9"/>
      <c r="V202" s="79">
        <f t="shared" si="15"/>
        <v>12636.28918</v>
      </c>
      <c r="W202" s="80">
        <f t="shared" si="7"/>
        <v>3515958.421</v>
      </c>
      <c r="X202" s="81">
        <f t="shared" si="2"/>
        <v>0.2178284438</v>
      </c>
      <c r="Y202" s="82">
        <f t="shared" si="19"/>
        <v>6999951.366</v>
      </c>
      <c r="Z202" s="6"/>
      <c r="AA202" s="83">
        <f t="shared" si="8"/>
        <v>16853.4807</v>
      </c>
      <c r="AB202" s="84">
        <f t="shared" si="9"/>
        <v>3653422.68</v>
      </c>
      <c r="AC202" s="79">
        <f t="shared" si="12"/>
        <v>16948.12013</v>
      </c>
      <c r="AD202" s="85">
        <f t="shared" si="10"/>
        <v>3620845.8</v>
      </c>
      <c r="AE202" s="81">
        <v>0.25</v>
      </c>
      <c r="AF202" s="82">
        <f t="shared" si="17"/>
        <v>6796196.171</v>
      </c>
      <c r="AG202" s="6"/>
      <c r="AH202" s="6"/>
      <c r="AI202" s="6"/>
      <c r="AJ202" s="6"/>
      <c r="AK202" s="6"/>
      <c r="AL202" s="6"/>
      <c r="AM202" s="6"/>
      <c r="AN202" s="6"/>
      <c r="AO202" s="6"/>
      <c r="AP202" s="6"/>
    </row>
    <row r="203" ht="11.25" customHeight="1">
      <c r="A203" s="7"/>
      <c r="B203" s="68">
        <f t="shared" si="16"/>
        <v>198</v>
      </c>
      <c r="C203" s="86">
        <f t="shared" si="20"/>
        <v>12636.28918</v>
      </c>
      <c r="D203" s="84">
        <f t="shared" si="5"/>
        <v>2687838.995</v>
      </c>
      <c r="E203" s="79"/>
      <c r="F203" s="79"/>
      <c r="G203" s="78">
        <f>IFERROR(__xludf.DUMMYFUNCTION("""COMPUTED_VALUE"""),6362.211472955721)</f>
        <v>6362.211473</v>
      </c>
      <c r="H203" s="101">
        <f>IFERROR(__xludf.DUMMYFUNCTION("""COMPUTED_VALUE"""),814419.8142804543)</f>
        <v>814419.8143</v>
      </c>
      <c r="I203" s="79">
        <f>IFERROR(__xludf.DUMMYFUNCTION("""COMPUTED_VALUE"""),14722.869742029878)</f>
        <v>14722.86974</v>
      </c>
      <c r="J203" s="80">
        <f>IFERROR(__xludf.DUMMYFUNCTION("""COMPUTED_VALUE"""),2332490.6377740726)</f>
        <v>2332490.638</v>
      </c>
      <c r="K203" s="79"/>
      <c r="L203" s="80"/>
      <c r="M203" s="6"/>
      <c r="N203" s="97"/>
      <c r="O203" s="6"/>
      <c r="P203" s="6"/>
      <c r="Q203" s="6"/>
      <c r="R203" s="6"/>
      <c r="S203" s="78">
        <f>IFERROR(__xludf.DUMMYFUNCTION("""COMPUTED_VALUE"""),5320.211472955765)</f>
        <v>5320.211473</v>
      </c>
      <c r="T203" s="9">
        <f>IFERROR(__xludf.DUMMYFUNCTION("""COMPUTED_VALUE"""),7398.869742029812)</f>
        <v>7398.869742</v>
      </c>
      <c r="U203" s="9"/>
      <c r="V203" s="79">
        <f t="shared" si="15"/>
        <v>12719.08121</v>
      </c>
      <c r="W203" s="80">
        <f t="shared" si="7"/>
        <v>3528677.502</v>
      </c>
      <c r="X203" s="81">
        <f t="shared" si="2"/>
        <v>0.2179884729</v>
      </c>
      <c r="Y203" s="82">
        <f t="shared" si="19"/>
        <v>7033755.528</v>
      </c>
      <c r="Z203" s="6"/>
      <c r="AA203" s="83">
        <f t="shared" si="8"/>
        <v>16948.12013</v>
      </c>
      <c r="AB203" s="84">
        <f t="shared" si="9"/>
        <v>3670370.8</v>
      </c>
      <c r="AC203" s="79">
        <f t="shared" si="12"/>
        <v>17043.20313</v>
      </c>
      <c r="AD203" s="85">
        <f t="shared" si="10"/>
        <v>3637889.003</v>
      </c>
      <c r="AE203" s="81">
        <v>0.25</v>
      </c>
      <c r="AF203" s="82">
        <f t="shared" si="17"/>
        <v>6834324.455</v>
      </c>
      <c r="AG203" s="6"/>
      <c r="AH203" s="6"/>
      <c r="AI203" s="6"/>
      <c r="AJ203" s="6"/>
      <c r="AK203" s="6"/>
      <c r="AL203" s="6"/>
      <c r="AM203" s="6"/>
      <c r="AN203" s="6"/>
      <c r="AO203" s="6"/>
      <c r="AP203" s="6"/>
    </row>
    <row r="204" ht="11.25" customHeight="1">
      <c r="A204" s="7"/>
      <c r="B204" s="68">
        <f t="shared" si="16"/>
        <v>199</v>
      </c>
      <c r="C204" s="86">
        <f t="shared" si="20"/>
        <v>12719.08121</v>
      </c>
      <c r="D204" s="84">
        <f t="shared" si="5"/>
        <v>2700558.076</v>
      </c>
      <c r="E204" s="79"/>
      <c r="F204" s="79"/>
      <c r="G204" s="78">
        <f>IFERROR(__xludf.DUMMYFUNCTION("""COMPUTED_VALUE"""),6395.347991044032)</f>
        <v>6395.347991</v>
      </c>
      <c r="H204" s="101">
        <f>IFERROR(__xludf.DUMMYFUNCTION("""COMPUTED_VALUE"""),820815.1622714984)</f>
        <v>820815.1623</v>
      </c>
      <c r="I204" s="79">
        <f>IFERROR(__xludf.DUMMYFUNCTION("""COMPUTED_VALUE"""),14772.866153862187)</f>
        <v>14772.86615</v>
      </c>
      <c r="J204" s="80">
        <f>IFERROR(__xludf.DUMMYFUNCTION("""COMPUTED_VALUE"""),2347263.503927935)</f>
        <v>2347263.504</v>
      </c>
      <c r="K204" s="79"/>
      <c r="L204" s="80"/>
      <c r="M204" s="6"/>
      <c r="N204" s="97"/>
      <c r="O204" s="6"/>
      <c r="P204" s="6"/>
      <c r="Q204" s="6"/>
      <c r="R204" s="6"/>
      <c r="S204" s="78">
        <f>IFERROR(__xludf.DUMMYFUNCTION("""COMPUTED_VALUE"""),5353.347991044051)</f>
        <v>5353.347991</v>
      </c>
      <c r="T204" s="9">
        <f>IFERROR(__xludf.DUMMYFUNCTION("""COMPUTED_VALUE"""),7448.8661538620945)</f>
        <v>7448.866154</v>
      </c>
      <c r="U204" s="9"/>
      <c r="V204" s="79">
        <f t="shared" si="15"/>
        <v>12802.21414</v>
      </c>
      <c r="W204" s="80">
        <f t="shared" si="7"/>
        <v>3541479.716</v>
      </c>
      <c r="X204" s="81">
        <f t="shared" si="2"/>
        <v>0.2181463039</v>
      </c>
      <c r="Y204" s="82">
        <f t="shared" si="19"/>
        <v>7067725.956</v>
      </c>
      <c r="Z204" s="6"/>
      <c r="AA204" s="83">
        <f t="shared" si="8"/>
        <v>17043.20313</v>
      </c>
      <c r="AB204" s="84">
        <f t="shared" si="9"/>
        <v>3687414.003</v>
      </c>
      <c r="AC204" s="79">
        <f t="shared" si="12"/>
        <v>17138.73167</v>
      </c>
      <c r="AD204" s="85">
        <f t="shared" si="10"/>
        <v>3655027.735</v>
      </c>
      <c r="AE204" s="81">
        <v>0.25</v>
      </c>
      <c r="AF204" s="82">
        <f t="shared" si="17"/>
        <v>6872631.401</v>
      </c>
      <c r="AG204" s="6"/>
      <c r="AH204" s="6"/>
      <c r="AI204" s="6"/>
      <c r="AJ204" s="6"/>
      <c r="AK204" s="6"/>
      <c r="AL204" s="6"/>
      <c r="AM204" s="6"/>
      <c r="AN204" s="6"/>
      <c r="AO204" s="6"/>
      <c r="AP204" s="6"/>
    </row>
    <row r="205" ht="11.25" customHeight="1">
      <c r="A205" s="7"/>
      <c r="B205" s="68">
        <f t="shared" si="16"/>
        <v>200</v>
      </c>
      <c r="C205" s="86">
        <f t="shared" si="20"/>
        <v>12802.21414</v>
      </c>
      <c r="D205" s="84">
        <f t="shared" si="5"/>
        <v>2713360.29</v>
      </c>
      <c r="E205" s="79"/>
      <c r="F205" s="79"/>
      <c r="G205" s="78">
        <f>IFERROR(__xludf.DUMMYFUNCTION("""COMPUTED_VALUE"""),6428.657095164053)</f>
        <v>6428.657095</v>
      </c>
      <c r="H205" s="101">
        <f>IFERROR(__xludf.DUMMYFUNCTION("""COMPUTED_VALUE"""),827243.8193666624)</f>
        <v>827243.8194</v>
      </c>
      <c r="I205" s="79">
        <f>IFERROR(__xludf.DUMMYFUNCTION("""COMPUTED_VALUE"""),14823.032345176345)</f>
        <v>14823.03235</v>
      </c>
      <c r="J205" s="80">
        <f>IFERROR(__xludf.DUMMYFUNCTION("""COMPUTED_VALUE"""),2362086.536273111)</f>
        <v>2362086.536</v>
      </c>
      <c r="K205" s="79"/>
      <c r="L205" s="80"/>
      <c r="M205" s="6"/>
      <c r="N205" s="97"/>
      <c r="O205" s="6"/>
      <c r="P205" s="6"/>
      <c r="Q205" s="6"/>
      <c r="R205" s="6"/>
      <c r="S205" s="78">
        <f>IFERROR(__xludf.DUMMYFUNCTION("""COMPUTED_VALUE"""),5386.657095164061)</f>
        <v>5386.657095</v>
      </c>
      <c r="T205" s="9">
        <f>IFERROR(__xludf.DUMMYFUNCTION("""COMPUTED_VALUE"""),7499.032345176442)</f>
        <v>7499.032345</v>
      </c>
      <c r="U205" s="9"/>
      <c r="V205" s="79">
        <f t="shared" si="15"/>
        <v>12885.68944</v>
      </c>
      <c r="W205" s="80">
        <f t="shared" si="7"/>
        <v>3554365.406</v>
      </c>
      <c r="X205" s="81">
        <f t="shared" si="2"/>
        <v>0.2183019611</v>
      </c>
      <c r="Y205" s="82">
        <f t="shared" si="19"/>
        <v>7101863.335</v>
      </c>
      <c r="Z205" s="6"/>
      <c r="AA205" s="83">
        <f t="shared" si="8"/>
        <v>17138.73167</v>
      </c>
      <c r="AB205" s="84">
        <f t="shared" si="9"/>
        <v>3704552.735</v>
      </c>
      <c r="AC205" s="79">
        <f t="shared" si="12"/>
        <v>17234.70773</v>
      </c>
      <c r="AD205" s="85">
        <f t="shared" si="10"/>
        <v>3672262.443</v>
      </c>
      <c r="AE205" s="81">
        <v>0.25</v>
      </c>
      <c r="AF205" s="82">
        <f t="shared" si="17"/>
        <v>6911117.798</v>
      </c>
      <c r="AG205" s="6"/>
      <c r="AH205" s="6"/>
      <c r="AI205" s="6"/>
      <c r="AJ205" s="6"/>
      <c r="AK205" s="6"/>
      <c r="AL205" s="6"/>
      <c r="AM205" s="6"/>
      <c r="AN205" s="6"/>
      <c r="AO205" s="6"/>
      <c r="AP205" s="6"/>
    </row>
    <row r="206" ht="11.25" customHeight="1">
      <c r="A206" s="7"/>
      <c r="B206" s="68">
        <f t="shared" si="16"/>
        <v>201</v>
      </c>
      <c r="C206" s="86">
        <f t="shared" si="20"/>
        <v>12885.68944</v>
      </c>
      <c r="D206" s="84">
        <f t="shared" si="5"/>
        <v>2726245.98</v>
      </c>
      <c r="E206" s="79"/>
      <c r="F206" s="79"/>
      <c r="G206" s="78">
        <f>IFERROR(__xludf.DUMMYFUNCTION("""COMPUTED_VALUE"""),6462.139684201366)</f>
        <v>6462.139684</v>
      </c>
      <c r="H206" s="101">
        <f>IFERROR(__xludf.DUMMYFUNCTION("""COMPUTED_VALUE"""),833705.9590508637)</f>
        <v>833705.9591</v>
      </c>
      <c r="I206" s="79">
        <f>IFERROR(__xludf.DUMMYFUNCTION("""COMPUTED_VALUE"""),14873.368892515173)</f>
        <v>14873.36889</v>
      </c>
      <c r="J206" s="80">
        <f>IFERROR(__xludf.DUMMYFUNCTION("""COMPUTED_VALUE"""),2376959.905165626)</f>
        <v>2376959.905</v>
      </c>
      <c r="K206" s="79"/>
      <c r="L206" s="80"/>
      <c r="M206" s="6"/>
      <c r="N206" s="97"/>
      <c r="O206" s="6"/>
      <c r="P206" s="6"/>
      <c r="Q206" s="6"/>
      <c r="R206" s="6"/>
      <c r="S206" s="78">
        <f>IFERROR(__xludf.DUMMYFUNCTION("""COMPUTED_VALUE"""),5420.139684201451)</f>
        <v>5420.139684</v>
      </c>
      <c r="T206" s="9">
        <f>IFERROR(__xludf.DUMMYFUNCTION("""COMPUTED_VALUE"""),7549.368892515078)</f>
        <v>7549.368893</v>
      </c>
      <c r="U206" s="79"/>
      <c r="V206" s="79">
        <f t="shared" si="15"/>
        <v>12969.50858</v>
      </c>
      <c r="W206" s="80">
        <f t="shared" si="7"/>
        <v>3567334.914</v>
      </c>
      <c r="X206" s="81">
        <f t="shared" si="2"/>
        <v>0.2184554684</v>
      </c>
      <c r="Y206" s="82">
        <f t="shared" si="19"/>
        <v>7136168.352</v>
      </c>
      <c r="Z206" s="6"/>
      <c r="AA206" s="83">
        <f t="shared" si="8"/>
        <v>17234.70773</v>
      </c>
      <c r="AB206" s="84">
        <f t="shared" si="9"/>
        <v>3721787.443</v>
      </c>
      <c r="AC206" s="79">
        <f t="shared" si="12"/>
        <v>17331.13327</v>
      </c>
      <c r="AD206" s="85">
        <f t="shared" si="10"/>
        <v>3689593.576</v>
      </c>
      <c r="AE206" s="81">
        <v>0.25</v>
      </c>
      <c r="AF206" s="82">
        <f t="shared" si="17"/>
        <v>6949784.44</v>
      </c>
      <c r="AG206" s="6"/>
      <c r="AH206" s="6"/>
      <c r="AI206" s="6"/>
      <c r="AJ206" s="6"/>
      <c r="AK206" s="6"/>
      <c r="AL206" s="6"/>
      <c r="AM206" s="6"/>
      <c r="AN206" s="6"/>
      <c r="AO206" s="6"/>
      <c r="AP206" s="6"/>
    </row>
    <row r="207" ht="11.25" customHeight="1">
      <c r="A207" s="7"/>
      <c r="B207" s="68">
        <f t="shared" si="16"/>
        <v>202</v>
      </c>
      <c r="C207" s="86">
        <f t="shared" si="20"/>
        <v>12969.50858</v>
      </c>
      <c r="D207" s="84">
        <f t="shared" si="5"/>
        <v>2739215.488</v>
      </c>
      <c r="E207" s="79"/>
      <c r="F207" s="79"/>
      <c r="G207" s="78">
        <f>IFERROR(__xludf.DUMMYFUNCTION("""COMPUTED_VALUE"""),6495.796661723248)</f>
        <v>6495.796662</v>
      </c>
      <c r="H207" s="101">
        <f>IFERROR(__xludf.DUMMYFUNCTION("""COMPUTED_VALUE"""),840201.755712587)</f>
        <v>840201.7557</v>
      </c>
      <c r="I207" s="79">
        <f>IFERROR(__xludf.DUMMYFUNCTION("""COMPUTED_VALUE"""),14923.876374379339)</f>
        <v>14923.87637</v>
      </c>
      <c r="J207" s="80">
        <f>IFERROR(__xludf.DUMMYFUNCTION("""COMPUTED_VALUE"""),2391883.7815400055)</f>
        <v>2391883.782</v>
      </c>
      <c r="K207" s="79"/>
      <c r="L207" s="80"/>
      <c r="M207" s="6"/>
      <c r="N207" s="97"/>
      <c r="O207" s="6"/>
      <c r="P207" s="6"/>
      <c r="Q207" s="6"/>
      <c r="R207" s="6"/>
      <c r="S207" s="78">
        <f>IFERROR(__xludf.DUMMYFUNCTION("""COMPUTED_VALUE"""),5453.796661723172)</f>
        <v>5453.796662</v>
      </c>
      <c r="T207" s="9">
        <f>IFERROR(__xludf.DUMMYFUNCTION("""COMPUTED_VALUE"""),7599.876374379266)</f>
        <v>7599.876374</v>
      </c>
      <c r="U207" s="79"/>
      <c r="V207" s="79">
        <f t="shared" si="15"/>
        <v>13053.67304</v>
      </c>
      <c r="W207" s="80">
        <f t="shared" si="7"/>
        <v>3580388.588</v>
      </c>
      <c r="X207" s="81">
        <f t="shared" si="2"/>
        <v>0.2186068493</v>
      </c>
      <c r="Y207" s="82">
        <f t="shared" si="19"/>
        <v>7170641.699</v>
      </c>
      <c r="Z207" s="6"/>
      <c r="AA207" s="83">
        <f t="shared" si="8"/>
        <v>17331.13327</v>
      </c>
      <c r="AB207" s="84">
        <f t="shared" si="9"/>
        <v>3739118.576</v>
      </c>
      <c r="AC207" s="79">
        <f t="shared" si="12"/>
        <v>17428.01028</v>
      </c>
      <c r="AD207" s="85">
        <f t="shared" si="10"/>
        <v>3707021.586</v>
      </c>
      <c r="AE207" s="81">
        <v>0.25</v>
      </c>
      <c r="AF207" s="82">
        <f t="shared" si="17"/>
        <v>6988632.124</v>
      </c>
      <c r="AG207" s="6"/>
      <c r="AH207" s="6"/>
      <c r="AI207" s="6"/>
      <c r="AJ207" s="6"/>
      <c r="AK207" s="6"/>
      <c r="AL207" s="6"/>
      <c r="AM207" s="6"/>
      <c r="AN207" s="6"/>
      <c r="AO207" s="6"/>
      <c r="AP207" s="6"/>
    </row>
    <row r="208" ht="11.25" customHeight="1">
      <c r="A208" s="7"/>
      <c r="B208" s="68">
        <f t="shared" si="16"/>
        <v>203</v>
      </c>
      <c r="C208" s="86">
        <f t="shared" si="20"/>
        <v>13053.67304</v>
      </c>
      <c r="D208" s="84">
        <f t="shared" si="5"/>
        <v>2752269.161</v>
      </c>
      <c r="E208" s="79"/>
      <c r="F208" s="79"/>
      <c r="G208" s="78">
        <f>IFERROR(__xludf.DUMMYFUNCTION("""COMPUTED_VALUE"""),6529.628936003057)</f>
        <v>6529.628936</v>
      </c>
      <c r="H208" s="101">
        <f>IFERROR(__xludf.DUMMYFUNCTION("""COMPUTED_VALUE"""),846731.3846485901)</f>
        <v>846731.3846</v>
      </c>
      <c r="I208" s="79">
        <f>IFERROR(__xludf.DUMMYFUNCTION("""COMPUTED_VALUE"""),14974.555371234002)</f>
        <v>14974.55537</v>
      </c>
      <c r="J208" s="80">
        <f>IFERROR(__xludf.DUMMYFUNCTION("""COMPUTED_VALUE"""),2406858.3369112397)</f>
        <v>2406858.337</v>
      </c>
      <c r="K208" s="79"/>
      <c r="L208" s="80"/>
      <c r="M208" s="6"/>
      <c r="N208" s="97"/>
      <c r="O208" s="6"/>
      <c r="P208" s="6"/>
      <c r="Q208" s="6"/>
      <c r="R208" s="6"/>
      <c r="S208" s="78">
        <f>IFERROR(__xludf.DUMMYFUNCTION("""COMPUTED_VALUE"""),5487.628936003195)</f>
        <v>5487.628936</v>
      </c>
      <c r="T208" s="9">
        <f>IFERROR(__xludf.DUMMYFUNCTION("""COMPUTED_VALUE"""),7650.555371233961)</f>
        <v>7650.555371</v>
      </c>
      <c r="U208" s="79"/>
      <c r="V208" s="79">
        <f t="shared" si="15"/>
        <v>13138.18431</v>
      </c>
      <c r="W208" s="80">
        <f t="shared" si="7"/>
        <v>3593526.772</v>
      </c>
      <c r="X208" s="81">
        <f t="shared" si="2"/>
        <v>0.2187561274</v>
      </c>
      <c r="Y208" s="82">
        <f t="shared" si="19"/>
        <v>7205284.067</v>
      </c>
      <c r="Z208" s="6"/>
      <c r="AA208" s="83">
        <f t="shared" si="8"/>
        <v>17428.01028</v>
      </c>
      <c r="AB208" s="84">
        <f t="shared" si="9"/>
        <v>3756546.586</v>
      </c>
      <c r="AC208" s="79">
        <f t="shared" si="12"/>
        <v>17525.34077</v>
      </c>
      <c r="AD208" s="85">
        <f t="shared" si="10"/>
        <v>3724546.927</v>
      </c>
      <c r="AE208" s="81">
        <v>0.25</v>
      </c>
      <c r="AF208" s="82">
        <f t="shared" si="17"/>
        <v>7027661.649</v>
      </c>
      <c r="AG208" s="6"/>
      <c r="AH208" s="6"/>
      <c r="AI208" s="6"/>
      <c r="AJ208" s="6"/>
      <c r="AK208" s="6"/>
      <c r="AL208" s="6"/>
      <c r="AM208" s="6"/>
      <c r="AN208" s="6"/>
      <c r="AO208" s="6"/>
      <c r="AP208" s="6"/>
    </row>
    <row r="209" ht="11.25" customHeight="1">
      <c r="A209" s="71"/>
      <c r="B209" s="72">
        <f t="shared" si="16"/>
        <v>204</v>
      </c>
      <c r="C209" s="86">
        <f t="shared" si="20"/>
        <v>13138.18431</v>
      </c>
      <c r="D209" s="88">
        <f t="shared" si="5"/>
        <v>2765407.346</v>
      </c>
      <c r="E209" s="90"/>
      <c r="F209" s="90"/>
      <c r="G209" s="89">
        <f>IFERROR(__xludf.DUMMYFUNCTION("""COMPUTED_VALUE"""),6563.637420044739)</f>
        <v>6563.63742</v>
      </c>
      <c r="H209" s="98">
        <f>IFERROR(__xludf.DUMMYFUNCTION("""COMPUTED_VALUE"""),853295.0220686349)</f>
        <v>853295.0221</v>
      </c>
      <c r="I209" s="90">
        <f>IFERROR(__xludf.DUMMYFUNCTION("""COMPUTED_VALUE"""),15025.406465515483)</f>
        <v>15025.40647</v>
      </c>
      <c r="J209" s="91">
        <f>IFERROR(__xludf.DUMMYFUNCTION("""COMPUTED_VALUE"""),2421883.743376755)</f>
        <v>2421883.743</v>
      </c>
      <c r="K209" s="90"/>
      <c r="L209" s="91"/>
      <c r="M209" s="6"/>
      <c r="N209" s="99"/>
      <c r="O209" s="10"/>
      <c r="P209" s="10"/>
      <c r="Q209" s="10"/>
      <c r="R209" s="10"/>
      <c r="S209" s="89">
        <f>IFERROR(__xludf.DUMMYFUNCTION("""COMPUTED_VALUE"""),5521.637420044746)</f>
        <v>5521.63742</v>
      </c>
      <c r="T209" s="93">
        <f>IFERROR(__xludf.DUMMYFUNCTION("""COMPUTED_VALUE"""),7701.406465515494)</f>
        <v>7701.406466</v>
      </c>
      <c r="U209" s="90"/>
      <c r="V209" s="90">
        <f t="shared" si="15"/>
        <v>13223.04389</v>
      </c>
      <c r="W209" s="91">
        <f t="shared" si="7"/>
        <v>3606749.816</v>
      </c>
      <c r="X209" s="81">
        <f t="shared" si="2"/>
        <v>0.2189033256</v>
      </c>
      <c r="Y209" s="82">
        <f t="shared" si="19"/>
        <v>7240096.155</v>
      </c>
      <c r="Z209" s="6"/>
      <c r="AA209" s="83">
        <f t="shared" si="8"/>
        <v>17525.34077</v>
      </c>
      <c r="AB209" s="88">
        <f t="shared" si="9"/>
        <v>3774071.927</v>
      </c>
      <c r="AC209" s="90">
        <f t="shared" si="12"/>
        <v>17623.12673</v>
      </c>
      <c r="AD209" s="94">
        <f t="shared" si="10"/>
        <v>3742170.054</v>
      </c>
      <c r="AE209" s="81">
        <v>0.25</v>
      </c>
      <c r="AF209" s="82">
        <f t="shared" si="17"/>
        <v>7066873.819</v>
      </c>
      <c r="AG209" s="6"/>
      <c r="AH209" s="6"/>
      <c r="AI209" s="6"/>
      <c r="AJ209" s="6"/>
      <c r="AK209" s="6"/>
      <c r="AL209" s="6"/>
      <c r="AM209" s="6"/>
      <c r="AN209" s="6"/>
      <c r="AO209" s="6"/>
      <c r="AP209" s="6"/>
    </row>
    <row r="210" ht="11.25" customHeight="1">
      <c r="A210" s="100">
        <v>18.0</v>
      </c>
      <c r="B210" s="66">
        <f t="shared" si="16"/>
        <v>205</v>
      </c>
      <c r="C210" s="86">
        <f t="shared" si="20"/>
        <v>13223.04389</v>
      </c>
      <c r="D210" s="84">
        <f t="shared" si="5"/>
        <v>2778630.389</v>
      </c>
      <c r="E210" s="79"/>
      <c r="F210" s="79"/>
      <c r="G210" s="78">
        <f>IFERROR(__xludf.DUMMYFUNCTION("""COMPUTED_VALUE"""),6597.823031607473)</f>
        <v>6597.823032</v>
      </c>
      <c r="H210" s="101">
        <f>IFERROR(__xludf.DUMMYFUNCTION("""COMPUTED_VALUE"""),859892.8451002423)</f>
        <v>859892.8451</v>
      </c>
      <c r="I210" s="79">
        <f>IFERROR(__xludf.DUMMYFUNCTION("""COMPUTED_VALUE"""),15076.430241637963)</f>
        <v>15076.43024</v>
      </c>
      <c r="J210" s="80">
        <f>IFERROR(__xludf.DUMMYFUNCTION("""COMPUTED_VALUE"""),2436960.173618393)</f>
        <v>2436960.174</v>
      </c>
      <c r="K210" s="79"/>
      <c r="L210" s="80"/>
      <c r="M210" s="6"/>
      <c r="N210" s="97"/>
      <c r="O210" s="6"/>
      <c r="P210" s="6"/>
      <c r="Q210" s="6"/>
      <c r="R210" s="6"/>
      <c r="S210" s="102">
        <f>IFERROR(__xludf.DUMMYFUNCTION("""COMPUTED_VALUE"""),5555.823031607317)</f>
        <v>5555.823032</v>
      </c>
      <c r="T210" s="9">
        <f>IFERROR(__xludf.DUMMYFUNCTION("""COMPUTED_VALUE"""),7752.430241637863)</f>
        <v>7752.430242</v>
      </c>
      <c r="U210" s="79"/>
      <c r="V210" s="79">
        <f t="shared" si="15"/>
        <v>13308.25327</v>
      </c>
      <c r="W210" s="80">
        <f t="shared" si="7"/>
        <v>3620058.069</v>
      </c>
      <c r="X210" s="81">
        <f t="shared" si="2"/>
        <v>0.2190484671</v>
      </c>
      <c r="Y210" s="82">
        <f t="shared" si="19"/>
        <v>7275078.661</v>
      </c>
      <c r="Z210" s="6"/>
      <c r="AA210" s="83">
        <f t="shared" si="8"/>
        <v>17623.12673</v>
      </c>
      <c r="AB210" s="84">
        <f t="shared" si="9"/>
        <v>3791695.054</v>
      </c>
      <c r="AC210" s="79">
        <f t="shared" si="12"/>
        <v>17721.37018</v>
      </c>
      <c r="AD210" s="95">
        <f t="shared" si="10"/>
        <v>3759891.424</v>
      </c>
      <c r="AE210" s="81">
        <v>0.25</v>
      </c>
      <c r="AF210" s="82">
        <f t="shared" si="17"/>
        <v>7106269.443</v>
      </c>
      <c r="AG210" s="6"/>
      <c r="AH210" s="6"/>
      <c r="AI210" s="6"/>
      <c r="AJ210" s="6"/>
      <c r="AK210" s="6"/>
      <c r="AL210" s="6"/>
      <c r="AM210" s="6"/>
      <c r="AN210" s="6"/>
      <c r="AO210" s="6"/>
      <c r="AP210" s="6"/>
    </row>
    <row r="211" ht="11.25" customHeight="1">
      <c r="A211" s="7"/>
      <c r="B211" s="68">
        <f t="shared" si="16"/>
        <v>206</v>
      </c>
      <c r="C211" s="86">
        <f t="shared" si="20"/>
        <v>13308.25327</v>
      </c>
      <c r="D211" s="84">
        <f t="shared" si="5"/>
        <v>2791938.643</v>
      </c>
      <c r="E211" s="79"/>
      <c r="F211" s="79"/>
      <c r="G211" s="78">
        <f>IFERROR(__xludf.DUMMYFUNCTION("""COMPUTED_VALUE"""),6632.186693230427)</f>
        <v>6632.186693</v>
      </c>
      <c r="H211" s="101">
        <f>IFERROR(__xludf.DUMMYFUNCTION("""COMPUTED_VALUE"""),866525.0317934727)</f>
        <v>866525.0318</v>
      </c>
      <c r="I211" s="79">
        <f>IFERROR(__xludf.DUMMYFUNCTION("""COMPUTED_VALUE"""),15127.627286000194)</f>
        <v>15127.62729</v>
      </c>
      <c r="J211" s="80">
        <f>IFERROR(__xludf.DUMMYFUNCTION("""COMPUTED_VALUE"""),2452087.800904393)</f>
        <v>2452087.801</v>
      </c>
      <c r="K211" s="79"/>
      <c r="L211" s="80"/>
      <c r="M211" s="6"/>
      <c r="N211" s="97"/>
      <c r="O211" s="6"/>
      <c r="P211" s="6"/>
      <c r="Q211" s="6"/>
      <c r="R211" s="6"/>
      <c r="S211" s="78">
        <f>IFERROR(__xludf.DUMMYFUNCTION("""COMPUTED_VALUE"""),5590.186693230411)</f>
        <v>5590.186693</v>
      </c>
      <c r="T211" s="9">
        <f>IFERROR(__xludf.DUMMYFUNCTION("""COMPUTED_VALUE"""),7803.627286000177)</f>
        <v>7803.627286</v>
      </c>
      <c r="U211" s="79"/>
      <c r="V211" s="79">
        <f t="shared" si="15"/>
        <v>13393.81398</v>
      </c>
      <c r="W211" s="80">
        <f t="shared" si="7"/>
        <v>3633451.883</v>
      </c>
      <c r="X211" s="81">
        <f t="shared" si="2"/>
        <v>0.2191915743</v>
      </c>
      <c r="Y211" s="82">
        <f t="shared" si="19"/>
        <v>7310232.289</v>
      </c>
      <c r="Z211" s="6"/>
      <c r="AA211" s="83">
        <f t="shared" si="8"/>
        <v>17721.37018</v>
      </c>
      <c r="AB211" s="84">
        <f t="shared" si="9"/>
        <v>3809416.424</v>
      </c>
      <c r="AC211" s="79">
        <f t="shared" si="12"/>
        <v>17820.07314</v>
      </c>
      <c r="AD211" s="85">
        <f t="shared" si="10"/>
        <v>3777711.497</v>
      </c>
      <c r="AE211" s="81">
        <v>0.25</v>
      </c>
      <c r="AF211" s="82">
        <f t="shared" si="17"/>
        <v>7145849.33</v>
      </c>
      <c r="AG211" s="6"/>
      <c r="AH211" s="6"/>
      <c r="AI211" s="6"/>
      <c r="AJ211" s="6"/>
      <c r="AK211" s="6"/>
      <c r="AL211" s="6"/>
      <c r="AM211" s="6"/>
      <c r="AN211" s="6"/>
      <c r="AO211" s="6"/>
      <c r="AP211" s="6"/>
    </row>
    <row r="212" ht="11.25" customHeight="1">
      <c r="A212" s="7"/>
      <c r="B212" s="68">
        <f t="shared" si="16"/>
        <v>207</v>
      </c>
      <c r="C212" s="86">
        <f t="shared" si="20"/>
        <v>13393.81398</v>
      </c>
      <c r="D212" s="84">
        <f t="shared" si="5"/>
        <v>2805332.457</v>
      </c>
      <c r="E212" s="79"/>
      <c r="F212" s="79"/>
      <c r="G212" s="78">
        <f>IFERROR(__xludf.DUMMYFUNCTION("""COMPUTED_VALUE"""),6666.72933225767)</f>
        <v>6666.729332</v>
      </c>
      <c r="H212" s="101">
        <f>IFERROR(__xludf.DUMMYFUNCTION("""COMPUTED_VALUE"""),873191.7611257304)</f>
        <v>873191.7611</v>
      </c>
      <c r="I212" s="79">
        <f>IFERROR(__xludf.DUMMYFUNCTION("""COMPUTED_VALUE"""),15178.998186992236)</f>
        <v>15178.99819</v>
      </c>
      <c r="J212" s="80">
        <f>IFERROR(__xludf.DUMMYFUNCTION("""COMPUTED_VALUE"""),2467266.799091385)</f>
        <v>2467266.799</v>
      </c>
      <c r="K212" s="79"/>
      <c r="L212" s="80"/>
      <c r="M212" s="6"/>
      <c r="N212" s="97"/>
      <c r="O212" s="6"/>
      <c r="P212" s="6"/>
      <c r="Q212" s="6"/>
      <c r="R212" s="6"/>
      <c r="S212" s="78">
        <f>IFERROR(__xludf.DUMMYFUNCTION("""COMPUTED_VALUE"""),5624.729332257528)</f>
        <v>5624.729332</v>
      </c>
      <c r="T212" s="9">
        <f>IFERROR(__xludf.DUMMYFUNCTION("""COMPUTED_VALUE"""),7854.9981869922485)</f>
        <v>7854.998187</v>
      </c>
      <c r="U212" s="79"/>
      <c r="V212" s="79">
        <f t="shared" si="15"/>
        <v>13479.72752</v>
      </c>
      <c r="W212" s="80">
        <f t="shared" si="7"/>
        <v>3646931.61</v>
      </c>
      <c r="X212" s="81">
        <f t="shared" si="2"/>
        <v>0.2193326698</v>
      </c>
      <c r="Y212" s="82">
        <f t="shared" si="19"/>
        <v>7345557.744</v>
      </c>
      <c r="Z212" s="6"/>
      <c r="AA212" s="83">
        <f t="shared" si="8"/>
        <v>17820.07314</v>
      </c>
      <c r="AB212" s="84">
        <f t="shared" si="9"/>
        <v>3827236.497</v>
      </c>
      <c r="AC212" s="79">
        <f t="shared" si="12"/>
        <v>17919.23764</v>
      </c>
      <c r="AD212" s="85">
        <f t="shared" si="10"/>
        <v>3795630.735</v>
      </c>
      <c r="AE212" s="81">
        <v>0.25</v>
      </c>
      <c r="AF212" s="82">
        <f t="shared" si="17"/>
        <v>7185614.295</v>
      </c>
      <c r="AG212" s="6"/>
      <c r="AH212" s="6"/>
      <c r="AI212" s="6"/>
      <c r="AJ212" s="6"/>
      <c r="AK212" s="6"/>
      <c r="AL212" s="6"/>
      <c r="AM212" s="6"/>
      <c r="AN212" s="6"/>
      <c r="AO212" s="6"/>
      <c r="AP212" s="6"/>
    </row>
    <row r="213" ht="11.25" customHeight="1">
      <c r="A213" s="7"/>
      <c r="B213" s="68">
        <f t="shared" si="16"/>
        <v>208</v>
      </c>
      <c r="C213" s="86">
        <f t="shared" si="20"/>
        <v>13479.72752</v>
      </c>
      <c r="D213" s="84">
        <f t="shared" si="5"/>
        <v>2818812.184</v>
      </c>
      <c r="E213" s="79"/>
      <c r="F213" s="79"/>
      <c r="G213" s="78">
        <f>IFERROR(__xludf.DUMMYFUNCTION("""COMPUTED_VALUE"""),6701.451880863178)</f>
        <v>6701.451881</v>
      </c>
      <c r="H213" s="101">
        <f>IFERROR(__xludf.DUMMYFUNCTION("""COMPUTED_VALUE"""),879893.2130065935)</f>
        <v>879893.213</v>
      </c>
      <c r="I213" s="79">
        <f>IFERROR(__xludf.DUMMYFUNCTION("""COMPUTED_VALUE"""),15230.54353500223)</f>
        <v>15230.54354</v>
      </c>
      <c r="J213" s="80">
        <f>IFERROR(__xludf.DUMMYFUNCTION("""COMPUTED_VALUE"""),2482497.3426263873)</f>
        <v>2482497.343</v>
      </c>
      <c r="K213" s="79"/>
      <c r="L213" s="80"/>
      <c r="M213" s="6"/>
      <c r="N213" s="97"/>
      <c r="O213" s="6"/>
      <c r="P213" s="6"/>
      <c r="Q213" s="6"/>
      <c r="R213" s="6"/>
      <c r="S213" s="78">
        <f>IFERROR(__xludf.DUMMYFUNCTION("""COMPUTED_VALUE"""),5659.451880863402)</f>
        <v>5659.451881</v>
      </c>
      <c r="T213" s="9">
        <f>IFERROR(__xludf.DUMMYFUNCTION("""COMPUTED_VALUE"""),7906.543535002274)</f>
        <v>7906.543535</v>
      </c>
      <c r="U213" s="79"/>
      <c r="V213" s="79">
        <f t="shared" si="15"/>
        <v>13565.99542</v>
      </c>
      <c r="W213" s="80">
        <f t="shared" si="7"/>
        <v>3660497.606</v>
      </c>
      <c r="X213" s="81">
        <f t="shared" si="2"/>
        <v>0.2194717757</v>
      </c>
      <c r="Y213" s="82">
        <f t="shared" si="19"/>
        <v>7381055.735</v>
      </c>
      <c r="Z213" s="6"/>
      <c r="AA213" s="83">
        <f t="shared" si="8"/>
        <v>17919.23764</v>
      </c>
      <c r="AB213" s="84">
        <f t="shared" si="9"/>
        <v>3845155.735</v>
      </c>
      <c r="AC213" s="79">
        <f t="shared" si="12"/>
        <v>18018.86573</v>
      </c>
      <c r="AD213" s="85">
        <f t="shared" si="10"/>
        <v>3813649.601</v>
      </c>
      <c r="AE213" s="81">
        <v>0.25</v>
      </c>
      <c r="AF213" s="82">
        <f t="shared" si="17"/>
        <v>7225565.156</v>
      </c>
      <c r="AG213" s="6"/>
      <c r="AH213" s="6"/>
      <c r="AI213" s="6"/>
      <c r="AJ213" s="6"/>
      <c r="AK213" s="6"/>
      <c r="AL213" s="6"/>
      <c r="AM213" s="6"/>
      <c r="AN213" s="6"/>
      <c r="AO213" s="6"/>
      <c r="AP213" s="6"/>
    </row>
    <row r="214" ht="11.25" customHeight="1">
      <c r="A214" s="7"/>
      <c r="B214" s="68">
        <f t="shared" si="16"/>
        <v>209</v>
      </c>
      <c r="C214" s="86">
        <f t="shared" si="20"/>
        <v>13565.99542</v>
      </c>
      <c r="D214" s="84">
        <f t="shared" si="5"/>
        <v>2832378.18</v>
      </c>
      <c r="E214" s="79"/>
      <c r="F214" s="79"/>
      <c r="G214" s="78">
        <f>IFERROR(__xludf.DUMMYFUNCTION("""COMPUTED_VALUE"""),6736.355276076007)</f>
        <v>6736.355276</v>
      </c>
      <c r="H214" s="101">
        <f>IFERROR(__xludf.DUMMYFUNCTION("""COMPUTED_VALUE"""),886629.5682826695)</f>
        <v>886629.5683</v>
      </c>
      <c r="I214" s="79">
        <f>IFERROR(__xludf.DUMMYFUNCTION("""COMPUTED_VALUE"""),15282.263922423175)</f>
        <v>15282.26392</v>
      </c>
      <c r="J214" s="80">
        <f>IFERROR(__xludf.DUMMYFUNCTION("""COMPUTED_VALUE"""),2497779.6065488104)</f>
        <v>2497779.607</v>
      </c>
      <c r="K214" s="79"/>
      <c r="L214" s="80"/>
      <c r="M214" s="6"/>
      <c r="N214" s="97"/>
      <c r="O214" s="6"/>
      <c r="P214" s="6"/>
      <c r="Q214" s="6"/>
      <c r="R214" s="6"/>
      <c r="S214" s="78">
        <f>IFERROR(__xludf.DUMMYFUNCTION("""COMPUTED_VALUE"""),5694.35527607589)</f>
        <v>5694.355276</v>
      </c>
      <c r="T214" s="9">
        <f>IFERROR(__xludf.DUMMYFUNCTION("""COMPUTED_VALUE"""),7958.263922423124)</f>
        <v>7958.263922</v>
      </c>
      <c r="U214" s="79"/>
      <c r="V214" s="79">
        <f t="shared" si="15"/>
        <v>13652.6192</v>
      </c>
      <c r="W214" s="80">
        <f t="shared" si="7"/>
        <v>3674150.225</v>
      </c>
      <c r="X214" s="81">
        <f t="shared" si="2"/>
        <v>0.2196089141</v>
      </c>
      <c r="Y214" s="82">
        <f t="shared" si="19"/>
        <v>7416726.974</v>
      </c>
      <c r="Z214" s="6"/>
      <c r="AA214" s="83">
        <f t="shared" si="8"/>
        <v>18018.86573</v>
      </c>
      <c r="AB214" s="84">
        <f t="shared" si="9"/>
        <v>3863174.601</v>
      </c>
      <c r="AC214" s="79">
        <f t="shared" si="12"/>
        <v>18118.95944</v>
      </c>
      <c r="AD214" s="85">
        <f t="shared" si="10"/>
        <v>3831768.56</v>
      </c>
      <c r="AE214" s="81">
        <v>0.25</v>
      </c>
      <c r="AF214" s="82">
        <f t="shared" si="17"/>
        <v>7265702.735</v>
      </c>
      <c r="AG214" s="6"/>
      <c r="AH214" s="6"/>
      <c r="AI214" s="6"/>
      <c r="AJ214" s="6"/>
      <c r="AK214" s="6"/>
      <c r="AL214" s="6"/>
      <c r="AM214" s="6"/>
      <c r="AN214" s="6"/>
      <c r="AO214" s="6"/>
      <c r="AP214" s="6"/>
    </row>
    <row r="215" ht="11.25" customHeight="1">
      <c r="A215" s="7"/>
      <c r="B215" s="68">
        <f t="shared" si="16"/>
        <v>210</v>
      </c>
      <c r="C215" s="86">
        <f t="shared" si="20"/>
        <v>13652.6192</v>
      </c>
      <c r="D215" s="84">
        <f t="shared" si="5"/>
        <v>2846030.799</v>
      </c>
      <c r="E215" s="79"/>
      <c r="F215" s="79"/>
      <c r="G215" s="78">
        <f>IFERROR(__xludf.DUMMYFUNCTION("""COMPUTED_VALUE"""),6771.44045980557)</f>
        <v>6771.44046</v>
      </c>
      <c r="H215" s="101">
        <f>IFERROR(__xludf.DUMMYFUNCTION("""COMPUTED_VALUE"""),893401.0087424751)</f>
        <v>893401.0087</v>
      </c>
      <c r="I215" s="79">
        <f>IFERROR(__xludf.DUMMYFUNCTION("""COMPUTED_VALUE"""),15334.159943659737)</f>
        <v>15334.15994</v>
      </c>
      <c r="J215" s="80">
        <f>IFERROR(__xludf.DUMMYFUNCTION("""COMPUTED_VALUE"""),2513113.76649247)</f>
        <v>2513113.766</v>
      </c>
      <c r="K215" s="79"/>
      <c r="L215" s="80"/>
      <c r="M215" s="6"/>
      <c r="N215" s="97"/>
      <c r="O215" s="6"/>
      <c r="P215" s="6"/>
      <c r="Q215" s="6"/>
      <c r="R215" s="6"/>
      <c r="S215" s="78">
        <f>IFERROR(__xludf.DUMMYFUNCTION("""COMPUTED_VALUE"""),5729.440459805541)</f>
        <v>5729.44046</v>
      </c>
      <c r="T215" s="9">
        <f>IFERROR(__xludf.DUMMYFUNCTION("""COMPUTED_VALUE"""),8010.15994365979)</f>
        <v>8010.159944</v>
      </c>
      <c r="U215" s="79"/>
      <c r="V215" s="79">
        <f t="shared" si="15"/>
        <v>13739.6004</v>
      </c>
      <c r="W215" s="80">
        <f t="shared" si="7"/>
        <v>3687889.825</v>
      </c>
      <c r="X215" s="81">
        <f t="shared" si="2"/>
        <v>0.2197441065</v>
      </c>
      <c r="Y215" s="82">
        <f t="shared" si="19"/>
        <v>7452572.174</v>
      </c>
      <c r="Z215" s="6"/>
      <c r="AA215" s="83">
        <f t="shared" si="8"/>
        <v>18118.95944</v>
      </c>
      <c r="AB215" s="84">
        <f t="shared" si="9"/>
        <v>3881293.56</v>
      </c>
      <c r="AC215" s="79">
        <f t="shared" si="12"/>
        <v>18219.52084</v>
      </c>
      <c r="AD215" s="85">
        <f t="shared" si="10"/>
        <v>3849988.081</v>
      </c>
      <c r="AE215" s="81">
        <v>0.25</v>
      </c>
      <c r="AF215" s="82">
        <f t="shared" si="17"/>
        <v>7306027.856</v>
      </c>
      <c r="AG215" s="6"/>
      <c r="AH215" s="6"/>
      <c r="AI215" s="6"/>
      <c r="AJ215" s="6"/>
      <c r="AK215" s="6"/>
      <c r="AL215" s="6"/>
      <c r="AM215" s="6"/>
      <c r="AN215" s="6"/>
      <c r="AO215" s="6"/>
      <c r="AP215" s="6"/>
    </row>
    <row r="216" ht="11.25" customHeight="1">
      <c r="A216" s="7"/>
      <c r="B216" s="68">
        <f t="shared" si="16"/>
        <v>211</v>
      </c>
      <c r="C216" s="86">
        <f t="shared" si="20"/>
        <v>13739.6004</v>
      </c>
      <c r="D216" s="84">
        <f t="shared" si="5"/>
        <v>2859770.399</v>
      </c>
      <c r="E216" s="79"/>
      <c r="F216" s="79"/>
      <c r="G216" s="78">
        <f>IFERROR(__xludf.DUMMYFUNCTION("""COMPUTED_VALUE"""),6806.708378867057)</f>
        <v>6806.708379</v>
      </c>
      <c r="H216" s="101">
        <f>IFERROR(__xludf.DUMMYFUNCTION("""COMPUTED_VALUE"""),900207.7171213421)</f>
        <v>900207.7171</v>
      </c>
      <c r="I216" s="79">
        <f>IFERROR(__xludf.DUMMYFUNCTION("""COMPUTED_VALUE"""),15386.232195135082)</f>
        <v>15386.2322</v>
      </c>
      <c r="J216" s="80">
        <f>IFERROR(__xludf.DUMMYFUNCTION("""COMPUTED_VALUE"""),2528499.9986876054)</f>
        <v>2528499.999</v>
      </c>
      <c r="K216" s="79"/>
      <c r="L216" s="80"/>
      <c r="M216" s="6"/>
      <c r="N216" s="97"/>
      <c r="O216" s="6"/>
      <c r="P216" s="6"/>
      <c r="Q216" s="6"/>
      <c r="R216" s="6"/>
      <c r="S216" s="78">
        <f>IFERROR(__xludf.DUMMYFUNCTION("""COMPUTED_VALUE"""),5764.708378867013)</f>
        <v>5764.708379</v>
      </c>
      <c r="T216" s="9">
        <f>IFERROR(__xludf.DUMMYFUNCTION("""COMPUTED_VALUE"""),8062.232195134973)</f>
        <v>8062.232195</v>
      </c>
      <c r="U216" s="79"/>
      <c r="V216" s="79">
        <f t="shared" si="15"/>
        <v>13826.94057</v>
      </c>
      <c r="W216" s="80">
        <f t="shared" si="7"/>
        <v>3701716.766</v>
      </c>
      <c r="X216" s="81">
        <f t="shared" si="2"/>
        <v>0.2198773745</v>
      </c>
      <c r="Y216" s="82">
        <f t="shared" si="19"/>
        <v>7488592.056</v>
      </c>
      <c r="Z216" s="6"/>
      <c r="AA216" s="83">
        <f t="shared" si="8"/>
        <v>18219.52084</v>
      </c>
      <c r="AB216" s="84">
        <f t="shared" si="9"/>
        <v>3899513.081</v>
      </c>
      <c r="AC216" s="79">
        <f t="shared" si="12"/>
        <v>18320.55199</v>
      </c>
      <c r="AD216" s="85">
        <f t="shared" si="10"/>
        <v>3868308.633</v>
      </c>
      <c r="AE216" s="81">
        <v>0.25</v>
      </c>
      <c r="AF216" s="82">
        <f t="shared" si="17"/>
        <v>7346541.349</v>
      </c>
      <c r="AG216" s="6"/>
      <c r="AH216" s="6"/>
      <c r="AI216" s="6"/>
      <c r="AJ216" s="6"/>
      <c r="AK216" s="6"/>
      <c r="AL216" s="6"/>
      <c r="AM216" s="6"/>
      <c r="AN216" s="6"/>
      <c r="AO216" s="6"/>
      <c r="AP216" s="6"/>
    </row>
    <row r="217" ht="11.25" customHeight="1">
      <c r="A217" s="7"/>
      <c r="B217" s="68">
        <f t="shared" si="16"/>
        <v>212</v>
      </c>
      <c r="C217" s="86">
        <f t="shared" si="20"/>
        <v>13826.94057</v>
      </c>
      <c r="D217" s="84">
        <f t="shared" si="5"/>
        <v>2873597.34</v>
      </c>
      <c r="E217" s="79"/>
      <c r="F217" s="79"/>
      <c r="G217" s="78">
        <f>IFERROR(__xludf.DUMMYFUNCTION("""COMPUTED_VALUE"""),6842.159985006989)</f>
        <v>6842.159985</v>
      </c>
      <c r="H217" s="101">
        <f>IFERROR(__xludf.DUMMYFUNCTION("""COMPUTED_VALUE"""),907049.8771063491)</f>
        <v>907049.8771</v>
      </c>
      <c r="I217" s="79">
        <f>IFERROR(__xludf.DUMMYFUNCTION("""COMPUTED_VALUE"""),15438.481275297727)</f>
        <v>15438.48128</v>
      </c>
      <c r="J217" s="80">
        <f>IFERROR(__xludf.DUMMYFUNCTION("""COMPUTED_VALUE"""),2543938.479962903)</f>
        <v>2543938.48</v>
      </c>
      <c r="K217" s="79"/>
      <c r="L217" s="80"/>
      <c r="M217" s="6"/>
      <c r="N217" s="97"/>
      <c r="O217" s="6"/>
      <c r="P217" s="6"/>
      <c r="Q217" s="6"/>
      <c r="R217" s="6"/>
      <c r="S217" s="78">
        <f>IFERROR(__xludf.DUMMYFUNCTION("""COMPUTED_VALUE"""),5800.15998500702)</f>
        <v>5800.159985</v>
      </c>
      <c r="T217" s="9">
        <f>IFERROR(__xludf.DUMMYFUNCTION("""COMPUTED_VALUE"""),8114.481275297701)</f>
        <v>8114.481275</v>
      </c>
      <c r="U217" s="79"/>
      <c r="V217" s="79">
        <f t="shared" si="15"/>
        <v>13914.64126</v>
      </c>
      <c r="W217" s="80">
        <f t="shared" si="7"/>
        <v>3715631.407</v>
      </c>
      <c r="X217" s="81">
        <f t="shared" si="2"/>
        <v>0.2200087393</v>
      </c>
      <c r="Y217" s="82">
        <f t="shared" si="19"/>
        <v>7524787.338</v>
      </c>
      <c r="Z217" s="6"/>
      <c r="AA217" s="83">
        <f t="shared" si="8"/>
        <v>18320.55199</v>
      </c>
      <c r="AB217" s="84">
        <f t="shared" si="9"/>
        <v>3917833.633</v>
      </c>
      <c r="AC217" s="79">
        <f t="shared" si="12"/>
        <v>18422.05497</v>
      </c>
      <c r="AD217" s="85">
        <f t="shared" si="10"/>
        <v>3886730.688</v>
      </c>
      <c r="AE217" s="81">
        <v>0.25</v>
      </c>
      <c r="AF217" s="82">
        <f t="shared" si="17"/>
        <v>7387244.045</v>
      </c>
      <c r="AG217" s="6"/>
      <c r="AH217" s="6"/>
      <c r="AI217" s="6"/>
      <c r="AJ217" s="6"/>
      <c r="AK217" s="6"/>
      <c r="AL217" s="6"/>
      <c r="AM217" s="6"/>
      <c r="AN217" s="6"/>
      <c r="AO217" s="6"/>
      <c r="AP217" s="6"/>
    </row>
    <row r="218" ht="11.25" customHeight="1">
      <c r="A218" s="7"/>
      <c r="B218" s="68">
        <f t="shared" si="16"/>
        <v>213</v>
      </c>
      <c r="C218" s="86">
        <f t="shared" si="20"/>
        <v>13914.64126</v>
      </c>
      <c r="D218" s="84">
        <f t="shared" si="5"/>
        <v>2887511.981</v>
      </c>
      <c r="E218" s="79"/>
      <c r="F218" s="79"/>
      <c r="G218" s="78">
        <f>IFERROR(__xludf.DUMMYFUNCTION("""COMPUTED_VALUE"""),6877.796234928901)</f>
        <v>6877.796235</v>
      </c>
      <c r="H218" s="101">
        <f>IFERROR(__xludf.DUMMYFUNCTION("""COMPUTED_VALUE"""),913927.673341278)</f>
        <v>913927.6733</v>
      </c>
      <c r="I218" s="79">
        <f>IFERROR(__xludf.DUMMYFUNCTION("""COMPUTED_VALUE"""),15490.907784628427)</f>
        <v>15490.90778</v>
      </c>
      <c r="J218" s="80">
        <f>IFERROR(__xludf.DUMMYFUNCTION("""COMPUTED_VALUE"""),2559429.3877475313)</f>
        <v>2559429.388</v>
      </c>
      <c r="K218" s="79"/>
      <c r="L218" s="80"/>
      <c r="M218" s="6"/>
      <c r="N218" s="97"/>
      <c r="O218" s="6"/>
      <c r="P218" s="6"/>
      <c r="Q218" s="6"/>
      <c r="R218" s="6"/>
      <c r="S218" s="78">
        <f>IFERROR(__xludf.DUMMYFUNCTION("""COMPUTED_VALUE"""),5835.79623492877)</f>
        <v>5835.796235</v>
      </c>
      <c r="T218" s="9">
        <f>IFERROR(__xludf.DUMMYFUNCTION("""COMPUTED_VALUE"""),8166.907784628449)</f>
        <v>8166.907785</v>
      </c>
      <c r="U218" s="79"/>
      <c r="V218" s="79">
        <f t="shared" si="15"/>
        <v>14002.70402</v>
      </c>
      <c r="W218" s="80">
        <f t="shared" si="7"/>
        <v>3729634.111</v>
      </c>
      <c r="X218" s="81">
        <f t="shared" si="2"/>
        <v>0.2201382221</v>
      </c>
      <c r="Y218" s="82">
        <f t="shared" si="19"/>
        <v>7561158.746</v>
      </c>
      <c r="Z218" s="6"/>
      <c r="AA218" s="83">
        <f t="shared" si="8"/>
        <v>18422.05497</v>
      </c>
      <c r="AB218" s="84">
        <f t="shared" si="9"/>
        <v>3936255.688</v>
      </c>
      <c r="AC218" s="79">
        <f t="shared" si="12"/>
        <v>18524.03187</v>
      </c>
      <c r="AD218" s="85">
        <f t="shared" si="10"/>
        <v>3905254.72</v>
      </c>
      <c r="AE218" s="81">
        <v>0.25</v>
      </c>
      <c r="AF218" s="82">
        <f t="shared" si="17"/>
        <v>7428136.781</v>
      </c>
      <c r="AG218" s="6"/>
      <c r="AH218" s="6"/>
      <c r="AI218" s="6"/>
      <c r="AJ218" s="6"/>
      <c r="AK218" s="6"/>
      <c r="AL218" s="6"/>
      <c r="AM218" s="6"/>
      <c r="AN218" s="6"/>
      <c r="AO218" s="6"/>
      <c r="AP218" s="6"/>
    </row>
    <row r="219" ht="11.25" customHeight="1">
      <c r="A219" s="7"/>
      <c r="B219" s="68">
        <f t="shared" si="16"/>
        <v>214</v>
      </c>
      <c r="C219" s="86">
        <f t="shared" si="20"/>
        <v>14002.70402</v>
      </c>
      <c r="D219" s="84">
        <f t="shared" si="5"/>
        <v>2901514.685</v>
      </c>
      <c r="E219" s="79"/>
      <c r="F219" s="79"/>
      <c r="G219" s="78">
        <f>IFERROR(__xludf.DUMMYFUNCTION("""COMPUTED_VALUE"""),6913.618090319156)</f>
        <v>6913.61809</v>
      </c>
      <c r="H219" s="101">
        <f>IFERROR(__xludf.DUMMYFUNCTION("""COMPUTED_VALUE"""),920841.2914315972)</f>
        <v>920841.2914</v>
      </c>
      <c r="I219" s="79">
        <f>IFERROR(__xludf.DUMMYFUNCTION("""COMPUTED_VALUE"""),15543.51232564706)</f>
        <v>15543.51233</v>
      </c>
      <c r="J219" s="80">
        <f>IFERROR(__xludf.DUMMYFUNCTION("""COMPUTED_VALUE"""),2574972.9000731786)</f>
        <v>2574972.9</v>
      </c>
      <c r="K219" s="79"/>
      <c r="L219" s="80"/>
      <c r="M219" s="6"/>
      <c r="N219" s="97"/>
      <c r="O219" s="6"/>
      <c r="P219" s="6"/>
      <c r="Q219" s="6"/>
      <c r="R219" s="6"/>
      <c r="S219" s="78">
        <f>IFERROR(__xludf.DUMMYFUNCTION("""COMPUTED_VALUE"""),5871.618090319214)</f>
        <v>5871.61809</v>
      </c>
      <c r="T219" s="9">
        <f>IFERROR(__xludf.DUMMYFUNCTION("""COMPUTED_VALUE"""),8219.512325647054)</f>
        <v>8219.512326</v>
      </c>
      <c r="U219" s="79"/>
      <c r="V219" s="79">
        <f t="shared" si="15"/>
        <v>14091.13042</v>
      </c>
      <c r="W219" s="80">
        <f t="shared" si="7"/>
        <v>3743725.242</v>
      </c>
      <c r="X219" s="81">
        <f t="shared" si="2"/>
        <v>0.2202658436</v>
      </c>
      <c r="Y219" s="82">
        <f t="shared" si="19"/>
        <v>7597707.007</v>
      </c>
      <c r="Z219" s="6"/>
      <c r="AA219" s="83">
        <f t="shared" si="8"/>
        <v>18524.03187</v>
      </c>
      <c r="AB219" s="84">
        <f t="shared" si="9"/>
        <v>3954779.72</v>
      </c>
      <c r="AC219" s="79">
        <f t="shared" si="12"/>
        <v>18626.48478</v>
      </c>
      <c r="AD219" s="85">
        <f t="shared" si="10"/>
        <v>3923881.204</v>
      </c>
      <c r="AE219" s="81">
        <v>0.25</v>
      </c>
      <c r="AF219" s="82">
        <f t="shared" si="17"/>
        <v>7469220.396</v>
      </c>
      <c r="AG219" s="6"/>
      <c r="AH219" s="6"/>
      <c r="AI219" s="6"/>
      <c r="AJ219" s="6"/>
      <c r="AK219" s="6"/>
      <c r="AL219" s="6"/>
      <c r="AM219" s="6"/>
      <c r="AN219" s="6"/>
      <c r="AO219" s="6"/>
      <c r="AP219" s="6"/>
    </row>
    <row r="220" ht="11.25" customHeight="1">
      <c r="A220" s="7"/>
      <c r="B220" s="68">
        <f t="shared" si="16"/>
        <v>215</v>
      </c>
      <c r="C220" s="86">
        <f t="shared" si="20"/>
        <v>14091.13042</v>
      </c>
      <c r="D220" s="84">
        <f t="shared" si="5"/>
        <v>2915605.816</v>
      </c>
      <c r="E220" s="79"/>
      <c r="F220" s="79"/>
      <c r="G220" s="78">
        <f>IFERROR(__xludf.DUMMYFUNCTION("""COMPUTED_VALUE"""),6949.626517872901)</f>
        <v>6949.626518</v>
      </c>
      <c r="H220" s="101">
        <f>IFERROR(__xludf.DUMMYFUNCTION("""COMPUTED_VALUE"""),927790.9179494701)</f>
        <v>927790.9179</v>
      </c>
      <c r="I220" s="79">
        <f>IFERROR(__xludf.DUMMYFUNCTION("""COMPUTED_VALUE"""),15596.29550291957)</f>
        <v>15596.2955</v>
      </c>
      <c r="J220" s="80">
        <f>IFERROR(__xludf.DUMMYFUNCTION("""COMPUTED_VALUE"""),2590569.1955760983)</f>
        <v>2590569.196</v>
      </c>
      <c r="K220" s="79"/>
      <c r="L220" s="80"/>
      <c r="M220" s="6"/>
      <c r="N220" s="97"/>
      <c r="O220" s="6"/>
      <c r="P220" s="6"/>
      <c r="Q220" s="6"/>
      <c r="R220" s="6"/>
      <c r="S220" s="78">
        <f>IFERROR(__xludf.DUMMYFUNCTION("""COMPUTED_VALUE"""),5907.626517873025)</f>
        <v>5907.626518</v>
      </c>
      <c r="T220" s="9">
        <f>IFERROR(__xludf.DUMMYFUNCTION("""COMPUTED_VALUE"""),8272.29550291947)</f>
        <v>8272.295503</v>
      </c>
      <c r="U220" s="79"/>
      <c r="V220" s="79">
        <f t="shared" si="15"/>
        <v>14179.92202</v>
      </c>
      <c r="W220" s="80">
        <f t="shared" si="7"/>
        <v>3757905.164</v>
      </c>
      <c r="X220" s="81">
        <f t="shared" si="2"/>
        <v>0.2203916243</v>
      </c>
      <c r="Y220" s="82">
        <f t="shared" si="19"/>
        <v>7634432.851</v>
      </c>
      <c r="Z220" s="6"/>
      <c r="AA220" s="83">
        <f t="shared" si="8"/>
        <v>18626.48478</v>
      </c>
      <c r="AB220" s="84">
        <f t="shared" si="9"/>
        <v>3973406.204</v>
      </c>
      <c r="AC220" s="79">
        <f t="shared" si="12"/>
        <v>18729.41579</v>
      </c>
      <c r="AD220" s="85">
        <f t="shared" si="10"/>
        <v>3942610.62</v>
      </c>
      <c r="AE220" s="81">
        <v>0.25</v>
      </c>
      <c r="AF220" s="82">
        <f t="shared" si="17"/>
        <v>7510495.734</v>
      </c>
      <c r="AG220" s="6"/>
      <c r="AH220" s="6"/>
      <c r="AI220" s="6"/>
      <c r="AJ220" s="6"/>
      <c r="AK220" s="6"/>
      <c r="AL220" s="6"/>
      <c r="AM220" s="6"/>
      <c r="AN220" s="6"/>
      <c r="AO220" s="6"/>
      <c r="AP220" s="6"/>
    </row>
    <row r="221" ht="11.25" customHeight="1">
      <c r="A221" s="71"/>
      <c r="B221" s="72">
        <f t="shared" si="16"/>
        <v>216</v>
      </c>
      <c r="C221" s="86">
        <f t="shared" si="20"/>
        <v>14179.92202</v>
      </c>
      <c r="D221" s="88">
        <f t="shared" si="5"/>
        <v>2929785.738</v>
      </c>
      <c r="E221" s="90"/>
      <c r="F221" s="90"/>
      <c r="G221" s="89">
        <f>IFERROR(__xludf.DUMMYFUNCTION("""COMPUTED_VALUE"""),6985.822489320155)</f>
        <v>6985.822489</v>
      </c>
      <c r="H221" s="98">
        <f>IFERROR(__xludf.DUMMYFUNCTION("""COMPUTED_VALUE"""),934776.7404387903)</f>
        <v>934776.7404</v>
      </c>
      <c r="I221" s="90">
        <f>IFERROR(__xludf.DUMMYFUNCTION("""COMPUTED_VALUE"""),15649.2579230649)</f>
        <v>15649.25792</v>
      </c>
      <c r="J221" s="91">
        <f>IFERROR(__xludf.DUMMYFUNCTION("""COMPUTED_VALUE"""),2606218.453499163)</f>
        <v>2606218.453</v>
      </c>
      <c r="K221" s="90"/>
      <c r="L221" s="91"/>
      <c r="M221" s="6"/>
      <c r="N221" s="99"/>
      <c r="O221" s="10"/>
      <c r="P221" s="10"/>
      <c r="Q221" s="10"/>
      <c r="R221" s="10"/>
      <c r="S221" s="89">
        <f>IFERROR(__xludf.DUMMYFUNCTION("""COMPUTED_VALUE"""),5943.822489320068)</f>
        <v>5943.822489</v>
      </c>
      <c r="T221" s="93">
        <f>IFERROR(__xludf.DUMMYFUNCTION("""COMPUTED_VALUE"""),8325.257923064986)</f>
        <v>8325.257923</v>
      </c>
      <c r="U221" s="90"/>
      <c r="V221" s="90">
        <f t="shared" si="15"/>
        <v>14269.08041</v>
      </c>
      <c r="W221" s="91">
        <f t="shared" si="7"/>
        <v>3772174.244</v>
      </c>
      <c r="X221" s="81">
        <f t="shared" si="2"/>
        <v>0.2205155848</v>
      </c>
      <c r="Y221" s="82">
        <f t="shared" si="19"/>
        <v>7671337.012</v>
      </c>
      <c r="Z221" s="6"/>
      <c r="AA221" s="83">
        <f t="shared" si="8"/>
        <v>18729.41579</v>
      </c>
      <c r="AB221" s="88">
        <f t="shared" si="9"/>
        <v>3992135.62</v>
      </c>
      <c r="AC221" s="90">
        <f t="shared" si="12"/>
        <v>18832.82704</v>
      </c>
      <c r="AD221" s="94">
        <f t="shared" si="10"/>
        <v>3961443.447</v>
      </c>
      <c r="AE221" s="81">
        <v>0.25</v>
      </c>
      <c r="AF221" s="82">
        <f t="shared" si="17"/>
        <v>7551963.641</v>
      </c>
      <c r="AG221" s="6"/>
      <c r="AH221" s="6"/>
      <c r="AI221" s="6"/>
      <c r="AJ221" s="6"/>
      <c r="AK221" s="6"/>
      <c r="AL221" s="6"/>
      <c r="AM221" s="6"/>
      <c r="AN221" s="6"/>
      <c r="AO221" s="6"/>
      <c r="AP221" s="6"/>
    </row>
    <row r="222" ht="11.25" customHeight="1">
      <c r="A222" s="100">
        <v>19.0</v>
      </c>
      <c r="B222" s="66">
        <f t="shared" si="16"/>
        <v>217</v>
      </c>
      <c r="C222" s="86">
        <f t="shared" si="20"/>
        <v>14269.08041</v>
      </c>
      <c r="D222" s="84">
        <f t="shared" si="5"/>
        <v>2944054.818</v>
      </c>
      <c r="E222" s="79"/>
      <c r="F222" s="79"/>
      <c r="G222" s="78">
        <f>IFERROR(__xludf.DUMMYFUNCTION("""COMPUTED_VALUE"""),7022.206981452031)</f>
        <v>7022.206981</v>
      </c>
      <c r="H222" s="101">
        <f>IFERROR(__xludf.DUMMYFUNCTION("""COMPUTED_VALUE"""),941798.9474202424)</f>
        <v>941798.9474</v>
      </c>
      <c r="I222" s="79">
        <f>IFERROR(__xludf.DUMMYFUNCTION("""COMPUTED_VALUE"""),15702.400194761976)</f>
        <v>15702.40019</v>
      </c>
      <c r="J222" s="80">
        <f>IFERROR(__xludf.DUMMYFUNCTION("""COMPUTED_VALUE"""),2621920.853693925)</f>
        <v>2621920.854</v>
      </c>
      <c r="K222" s="79"/>
      <c r="L222" s="80"/>
      <c r="M222" s="6"/>
      <c r="N222" s="97"/>
      <c r="O222" s="6"/>
      <c r="P222" s="6"/>
      <c r="Q222" s="6"/>
      <c r="R222" s="6"/>
      <c r="S222" s="102">
        <f>IFERROR(__xludf.DUMMYFUNCTION("""COMPUTED_VALUE"""),5980.206981451949)</f>
        <v>5980.206981</v>
      </c>
      <c r="T222" s="9">
        <f>IFERROR(__xludf.DUMMYFUNCTION("""COMPUTED_VALUE"""),8378.400194762042)</f>
        <v>8378.400195</v>
      </c>
      <c r="U222" s="79"/>
      <c r="V222" s="79">
        <f t="shared" si="15"/>
        <v>14358.60718</v>
      </c>
      <c r="W222" s="80">
        <f t="shared" si="7"/>
        <v>3786532.851</v>
      </c>
      <c r="X222" s="81">
        <f t="shared" si="2"/>
        <v>0.2206377451</v>
      </c>
      <c r="Y222" s="82">
        <f t="shared" si="19"/>
        <v>7708420.226</v>
      </c>
      <c r="Z222" s="6"/>
      <c r="AA222" s="83">
        <f t="shared" si="8"/>
        <v>18832.82704</v>
      </c>
      <c r="AB222" s="84">
        <f t="shared" si="9"/>
        <v>4010968.447</v>
      </c>
      <c r="AC222" s="79">
        <f t="shared" si="12"/>
        <v>18936.72062</v>
      </c>
      <c r="AD222" s="95">
        <f t="shared" si="10"/>
        <v>3980380.168</v>
      </c>
      <c r="AE222" s="81">
        <v>0.25</v>
      </c>
      <c r="AF222" s="82">
        <f t="shared" si="17"/>
        <v>7593624.969</v>
      </c>
      <c r="AG222" s="6"/>
      <c r="AH222" s="6"/>
      <c r="AI222" s="6"/>
      <c r="AJ222" s="6"/>
      <c r="AK222" s="6"/>
      <c r="AL222" s="6"/>
      <c r="AM222" s="6"/>
      <c r="AN222" s="6"/>
      <c r="AO222" s="6"/>
      <c r="AP222" s="6"/>
    </row>
    <row r="223" ht="11.25" customHeight="1">
      <c r="A223" s="7"/>
      <c r="B223" s="68">
        <f t="shared" si="16"/>
        <v>218</v>
      </c>
      <c r="C223" s="86">
        <f t="shared" si="20"/>
        <v>14358.60718</v>
      </c>
      <c r="D223" s="84">
        <f t="shared" si="5"/>
        <v>2958413.425</v>
      </c>
      <c r="E223" s="79"/>
      <c r="F223" s="79"/>
      <c r="G223" s="78">
        <f>IFERROR(__xludf.DUMMYFUNCTION("""COMPUTED_VALUE"""),7058.780976147094)</f>
        <v>7058.780976</v>
      </c>
      <c r="H223" s="101">
        <f>IFERROR(__xludf.DUMMYFUNCTION("""COMPUTED_VALUE"""),948857.7283963894)</f>
        <v>948857.7284</v>
      </c>
      <c r="I223" s="79">
        <f>IFERROR(__xludf.DUMMYFUNCTION("""COMPUTED_VALUE"""),15755.722928756688)</f>
        <v>15755.72293</v>
      </c>
      <c r="J223" s="80">
        <f>IFERROR(__xludf.DUMMYFUNCTION("""COMPUTED_VALUE"""),2637676.5766226817)</f>
        <v>2637676.577</v>
      </c>
      <c r="K223" s="79"/>
      <c r="L223" s="80"/>
      <c r="M223" s="6"/>
      <c r="N223" s="97"/>
      <c r="O223" s="6"/>
      <c r="P223" s="6"/>
      <c r="Q223" s="6"/>
      <c r="R223" s="6"/>
      <c r="S223" s="78">
        <f>IFERROR(__xludf.DUMMYFUNCTION("""COMPUTED_VALUE"""),6016.780976147158)</f>
        <v>6016.780976</v>
      </c>
      <c r="T223" s="9">
        <f>IFERROR(__xludf.DUMMYFUNCTION("""COMPUTED_VALUE"""),8431.722928756615)</f>
        <v>8431.722929</v>
      </c>
      <c r="U223" s="79"/>
      <c r="V223" s="79">
        <f t="shared" si="15"/>
        <v>14448.5039</v>
      </c>
      <c r="W223" s="80">
        <f t="shared" si="7"/>
        <v>3800981.355</v>
      </c>
      <c r="X223" s="81">
        <f t="shared" si="2"/>
        <v>0.2207581252</v>
      </c>
      <c r="Y223" s="82">
        <f t="shared" si="19"/>
        <v>7745683.234</v>
      </c>
      <c r="Z223" s="6"/>
      <c r="AA223" s="83">
        <f t="shared" si="8"/>
        <v>18936.72062</v>
      </c>
      <c r="AB223" s="84">
        <f t="shared" si="9"/>
        <v>4029905.168</v>
      </c>
      <c r="AC223" s="79">
        <f t="shared" si="12"/>
        <v>19041.09868</v>
      </c>
      <c r="AD223" s="85">
        <f t="shared" si="10"/>
        <v>3999421.267</v>
      </c>
      <c r="AE223" s="81">
        <v>0.25</v>
      </c>
      <c r="AF223" s="82">
        <f t="shared" si="17"/>
        <v>7635480.572</v>
      </c>
      <c r="AG223" s="6"/>
      <c r="AH223" s="6"/>
      <c r="AI223" s="6"/>
      <c r="AJ223" s="6"/>
      <c r="AK223" s="6"/>
      <c r="AL223" s="6"/>
      <c r="AM223" s="6"/>
      <c r="AN223" s="6"/>
      <c r="AO223" s="6"/>
      <c r="AP223" s="6"/>
    </row>
    <row r="224" ht="11.25" customHeight="1">
      <c r="A224" s="7"/>
      <c r="B224" s="68">
        <f t="shared" si="16"/>
        <v>219</v>
      </c>
      <c r="C224" s="86">
        <f t="shared" si="20"/>
        <v>14448.5039</v>
      </c>
      <c r="D224" s="84">
        <f t="shared" si="5"/>
        <v>2972861.929</v>
      </c>
      <c r="E224" s="79"/>
      <c r="F224" s="79"/>
      <c r="G224" s="78">
        <f>IFERROR(__xludf.DUMMYFUNCTION("""COMPUTED_VALUE"""),7095.54546039786)</f>
        <v>7095.54546</v>
      </c>
      <c r="H224" s="101">
        <f>IFERROR(__xludf.DUMMYFUNCTION("""COMPUTED_VALUE"""),955953.2738567872)</f>
        <v>955953.2739</v>
      </c>
      <c r="I224" s="79">
        <f>IFERROR(__xludf.DUMMYFUNCTION("""COMPUTED_VALUE"""),15809.226737868925)</f>
        <v>15809.22674</v>
      </c>
      <c r="J224" s="80">
        <f>IFERROR(__xludf.DUMMYFUNCTION("""COMPUTED_VALUE"""),2653485.8033605507)</f>
        <v>2653485.803</v>
      </c>
      <c r="K224" s="79"/>
      <c r="L224" s="80"/>
      <c r="M224" s="6"/>
      <c r="N224" s="97"/>
      <c r="O224" s="6"/>
      <c r="P224" s="6"/>
      <c r="Q224" s="6"/>
      <c r="R224" s="6"/>
      <c r="S224" s="78">
        <f>IFERROR(__xludf.DUMMYFUNCTION("""COMPUTED_VALUE"""),6053.545460397843)</f>
        <v>6053.54546</v>
      </c>
      <c r="T224" s="9">
        <f>IFERROR(__xludf.DUMMYFUNCTION("""COMPUTED_VALUE"""),8485.226737868972)</f>
        <v>8485.226738</v>
      </c>
      <c r="U224" s="79"/>
      <c r="V224" s="79">
        <f t="shared" si="15"/>
        <v>14538.7722</v>
      </c>
      <c r="W224" s="80">
        <f t="shared" si="7"/>
        <v>3815520.127</v>
      </c>
      <c r="X224" s="81">
        <f t="shared" si="2"/>
        <v>0.2208767448</v>
      </c>
      <c r="Y224" s="82">
        <f t="shared" si="19"/>
        <v>7783126.778</v>
      </c>
      <c r="Z224" s="6"/>
      <c r="AA224" s="83">
        <f t="shared" si="8"/>
        <v>19041.09868</v>
      </c>
      <c r="AB224" s="84">
        <f t="shared" si="9"/>
        <v>4048946.267</v>
      </c>
      <c r="AC224" s="79">
        <f t="shared" si="12"/>
        <v>19145.96336</v>
      </c>
      <c r="AD224" s="85">
        <f t="shared" si="10"/>
        <v>4018567.23</v>
      </c>
      <c r="AE224" s="81">
        <v>0.25</v>
      </c>
      <c r="AF224" s="82">
        <f t="shared" si="17"/>
        <v>7677531.307</v>
      </c>
      <c r="AG224" s="6"/>
      <c r="AH224" s="6"/>
      <c r="AI224" s="6"/>
      <c r="AJ224" s="6"/>
      <c r="AK224" s="6"/>
      <c r="AL224" s="6"/>
      <c r="AM224" s="6"/>
      <c r="AN224" s="6"/>
      <c r="AO224" s="6"/>
      <c r="AP224" s="6"/>
    </row>
    <row r="225" ht="11.25" customHeight="1">
      <c r="A225" s="7"/>
      <c r="B225" s="68">
        <f t="shared" si="16"/>
        <v>220</v>
      </c>
      <c r="C225" s="86">
        <f t="shared" si="20"/>
        <v>14538.7722</v>
      </c>
      <c r="D225" s="84">
        <f t="shared" si="5"/>
        <v>2987400.701</v>
      </c>
      <c r="E225" s="79"/>
      <c r="F225" s="79"/>
      <c r="G225" s="78">
        <f>IFERROR(__xludf.DUMMYFUNCTION("""COMPUTED_VALUE"""),7132.501426337432)</f>
        <v>7132.501426</v>
      </c>
      <c r="H225" s="101">
        <f>IFERROR(__xludf.DUMMYFUNCTION("""COMPUTED_VALUE"""),963085.7752831246)</f>
        <v>963085.7753</v>
      </c>
      <c r="I225" s="79">
        <f>IFERROR(__xludf.DUMMYFUNCTION("""COMPUTED_VALUE"""),15862.912236999604)</f>
        <v>15862.91224</v>
      </c>
      <c r="J225" s="80">
        <f>IFERROR(__xludf.DUMMYFUNCTION("""COMPUTED_VALUE"""),2669348.7155975504)</f>
        <v>2669348.716</v>
      </c>
      <c r="K225" s="79"/>
      <c r="L225" s="80"/>
      <c r="M225" s="6"/>
      <c r="N225" s="97"/>
      <c r="O225" s="6"/>
      <c r="P225" s="6"/>
      <c r="Q225" s="6"/>
      <c r="R225" s="6"/>
      <c r="S225" s="78">
        <f>IFERROR(__xludf.DUMMYFUNCTION("""COMPUTED_VALUE"""),6090.50142633752)</f>
        <v>6090.501426</v>
      </c>
      <c r="T225" s="9">
        <f>IFERROR(__xludf.DUMMYFUNCTION("""COMPUTED_VALUE"""),8538.91223699972)</f>
        <v>8538.912237</v>
      </c>
      <c r="U225" s="79"/>
      <c r="V225" s="79">
        <f t="shared" si="15"/>
        <v>14629.41366</v>
      </c>
      <c r="W225" s="80">
        <f t="shared" si="7"/>
        <v>3830149.541</v>
      </c>
      <c r="X225" s="81">
        <f t="shared" si="2"/>
        <v>0.2209936235</v>
      </c>
      <c r="Y225" s="82">
        <f t="shared" si="19"/>
        <v>7820751.606</v>
      </c>
      <c r="Z225" s="6"/>
      <c r="AA225" s="83">
        <f t="shared" si="8"/>
        <v>19145.96336</v>
      </c>
      <c r="AB225" s="84">
        <f t="shared" si="9"/>
        <v>4068092.23</v>
      </c>
      <c r="AC225" s="79">
        <f t="shared" si="12"/>
        <v>19251.3168</v>
      </c>
      <c r="AD225" s="85">
        <f t="shared" si="10"/>
        <v>4037818.547</v>
      </c>
      <c r="AE225" s="81">
        <v>0.25</v>
      </c>
      <c r="AF225" s="82">
        <f t="shared" si="17"/>
        <v>7719778.038</v>
      </c>
      <c r="AG225" s="6"/>
      <c r="AH225" s="6"/>
      <c r="AI225" s="6"/>
      <c r="AJ225" s="6"/>
      <c r="AK225" s="6"/>
      <c r="AL225" s="6"/>
      <c r="AM225" s="6"/>
      <c r="AN225" s="6"/>
      <c r="AO225" s="6"/>
      <c r="AP225" s="6"/>
    </row>
    <row r="226" ht="11.25" customHeight="1">
      <c r="A226" s="7"/>
      <c r="B226" s="68">
        <f t="shared" si="16"/>
        <v>221</v>
      </c>
      <c r="C226" s="86">
        <f t="shared" si="20"/>
        <v>14629.41366</v>
      </c>
      <c r="D226" s="84">
        <f t="shared" si="5"/>
        <v>3002030.115</v>
      </c>
      <c r="E226" s="79"/>
      <c r="F226" s="79"/>
      <c r="G226" s="78">
        <f>IFERROR(__xludf.DUMMYFUNCTION("""COMPUTED_VALUE"""),7169.649871266272)</f>
        <v>7169.649871</v>
      </c>
      <c r="H226" s="101">
        <f>IFERROR(__xludf.DUMMYFUNCTION("""COMPUTED_VALUE"""),970255.425154391)</f>
        <v>970255.4252</v>
      </c>
      <c r="I226" s="79">
        <f>IFERROR(__xludf.DUMMYFUNCTION("""COMPUTED_VALUE"""),15916.780043137749)</f>
        <v>15916.78004</v>
      </c>
      <c r="J226" s="80">
        <f>IFERROR(__xludf.DUMMYFUNCTION("""COMPUTED_VALUE"""),2685265.495640688)</f>
        <v>2685265.496</v>
      </c>
      <c r="K226" s="79"/>
      <c r="L226" s="80"/>
      <c r="M226" s="6"/>
      <c r="N226" s="97"/>
      <c r="O226" s="6"/>
      <c r="P226" s="6"/>
      <c r="Q226" s="6"/>
      <c r="R226" s="6"/>
      <c r="S226" s="78">
        <f>IFERROR(__xludf.DUMMYFUNCTION("""COMPUTED_VALUE"""),6127.649871266214)</f>
        <v>6127.649871</v>
      </c>
      <c r="T226" s="9">
        <f>IFERROR(__xludf.DUMMYFUNCTION("""COMPUTED_VALUE"""),8592.780043137725)</f>
        <v>8592.780043</v>
      </c>
      <c r="U226" s="79"/>
      <c r="V226" s="79">
        <f t="shared" si="15"/>
        <v>14720.42991</v>
      </c>
      <c r="W226" s="80">
        <f t="shared" si="7"/>
        <v>3844869.971</v>
      </c>
      <c r="X226" s="81">
        <f t="shared" si="2"/>
        <v>0.2211087806</v>
      </c>
      <c r="Y226" s="82">
        <f t="shared" si="19"/>
        <v>7858558.466</v>
      </c>
      <c r="Z226" s="6"/>
      <c r="AA226" s="83">
        <f t="shared" si="8"/>
        <v>19251.3168</v>
      </c>
      <c r="AB226" s="84">
        <f t="shared" si="9"/>
        <v>4087343.547</v>
      </c>
      <c r="AC226" s="79">
        <f t="shared" si="12"/>
        <v>19357.16117</v>
      </c>
      <c r="AD226" s="85">
        <f t="shared" si="10"/>
        <v>4057175.708</v>
      </c>
      <c r="AE226" s="81">
        <v>0.25</v>
      </c>
      <c r="AF226" s="82">
        <f t="shared" si="17"/>
        <v>7762221.629</v>
      </c>
      <c r="AG226" s="6"/>
      <c r="AH226" s="6"/>
      <c r="AI226" s="6"/>
      <c r="AJ226" s="6"/>
      <c r="AK226" s="6"/>
      <c r="AL226" s="6"/>
      <c r="AM226" s="6"/>
      <c r="AN226" s="6"/>
      <c r="AO226" s="6"/>
      <c r="AP226" s="6"/>
    </row>
    <row r="227" ht="11.25" customHeight="1">
      <c r="A227" s="7"/>
      <c r="B227" s="68">
        <f t="shared" si="16"/>
        <v>222</v>
      </c>
      <c r="C227" s="86">
        <f t="shared" si="20"/>
        <v>14720.42991</v>
      </c>
      <c r="D227" s="84">
        <f t="shared" si="5"/>
        <v>3016750.545</v>
      </c>
      <c r="E227" s="79"/>
      <c r="F227" s="79"/>
      <c r="G227" s="78">
        <f>IFERROR(__xludf.DUMMYFUNCTION("""COMPUTED_VALUE"""),7206.9917976791185)</f>
        <v>7206.991798</v>
      </c>
      <c r="H227" s="101">
        <f>IFERROR(__xludf.DUMMYFUNCTION("""COMPUTED_VALUE"""),977462.4169520701)</f>
        <v>977462.417</v>
      </c>
      <c r="I227" s="79">
        <f>IFERROR(__xludf.DUMMYFUNCTION("""COMPUTED_VALUE"""),15970.83077536757)</f>
        <v>15970.83078</v>
      </c>
      <c r="J227" s="80">
        <f>IFERROR(__xludf.DUMMYFUNCTION("""COMPUTED_VALUE"""),2701236.3264160557)</f>
        <v>2701236.326</v>
      </c>
      <c r="K227" s="79"/>
      <c r="L227" s="80"/>
      <c r="M227" s="6"/>
      <c r="N227" s="97"/>
      <c r="O227" s="6"/>
      <c r="P227" s="6"/>
      <c r="Q227" s="6"/>
      <c r="R227" s="6"/>
      <c r="S227" s="78">
        <f>IFERROR(__xludf.DUMMYFUNCTION("""COMPUTED_VALUE"""),6164.991797679104)</f>
        <v>6164.991798</v>
      </c>
      <c r="T227" s="9">
        <f>IFERROR(__xludf.DUMMYFUNCTION("""COMPUTED_VALUE"""),8646.830775367562)</f>
        <v>8646.830775</v>
      </c>
      <c r="U227" s="79"/>
      <c r="V227" s="79">
        <f t="shared" si="15"/>
        <v>14811.82257</v>
      </c>
      <c r="W227" s="80">
        <f t="shared" si="7"/>
        <v>3859681.794</v>
      </c>
      <c r="X227" s="81">
        <f t="shared" si="2"/>
        <v>0.2212222352</v>
      </c>
      <c r="Y227" s="82">
        <f t="shared" si="19"/>
        <v>7896548.111</v>
      </c>
      <c r="Z227" s="6"/>
      <c r="AA227" s="83">
        <f t="shared" si="8"/>
        <v>19357.16117</v>
      </c>
      <c r="AB227" s="84">
        <f t="shared" si="9"/>
        <v>4106700.708</v>
      </c>
      <c r="AC227" s="79">
        <f t="shared" si="12"/>
        <v>19463.49863</v>
      </c>
      <c r="AD227" s="85">
        <f t="shared" si="10"/>
        <v>4076639.206</v>
      </c>
      <c r="AE227" s="81">
        <v>0.25</v>
      </c>
      <c r="AF227" s="82">
        <f t="shared" si="17"/>
        <v>7804862.95</v>
      </c>
      <c r="AG227" s="6"/>
      <c r="AH227" s="6"/>
      <c r="AI227" s="6"/>
      <c r="AJ227" s="6"/>
      <c r="AK227" s="6"/>
      <c r="AL227" s="6"/>
      <c r="AM227" s="6"/>
      <c r="AN227" s="6"/>
      <c r="AO227" s="6"/>
      <c r="AP227" s="6"/>
    </row>
    <row r="228" ht="11.25" customHeight="1">
      <c r="A228" s="7"/>
      <c r="B228" s="68">
        <f t="shared" si="16"/>
        <v>223</v>
      </c>
      <c r="C228" s="86">
        <f t="shared" si="20"/>
        <v>14811.82257</v>
      </c>
      <c r="D228" s="84">
        <f t="shared" si="5"/>
        <v>3031562.367</v>
      </c>
      <c r="E228" s="79"/>
      <c r="F228" s="79"/>
      <c r="G228" s="78">
        <f>IFERROR(__xludf.DUMMYFUNCTION("""COMPUTED_VALUE"""),7244.528213292031)</f>
        <v>7244.528213</v>
      </c>
      <c r="H228" s="101">
        <f>IFERROR(__xludf.DUMMYFUNCTION("""COMPUTED_VALUE"""),984706.9451653621)</f>
        <v>984706.9452</v>
      </c>
      <c r="I228" s="79">
        <f>IFERROR(__xludf.DUMMYFUNCTION("""COMPUTED_VALUE"""),16025.06505487559)</f>
        <v>16025.06505</v>
      </c>
      <c r="J228" s="80">
        <f>IFERROR(__xludf.DUMMYFUNCTION("""COMPUTED_VALUE"""),2717261.3914709315)</f>
        <v>2717261.391</v>
      </c>
      <c r="K228" s="79"/>
      <c r="L228" s="80"/>
      <c r="M228" s="6"/>
      <c r="N228" s="97"/>
      <c r="O228" s="6"/>
      <c r="P228" s="6"/>
      <c r="Q228" s="6"/>
      <c r="R228" s="6"/>
      <c r="S228" s="78">
        <f>IFERROR(__xludf.DUMMYFUNCTION("""COMPUTED_VALUE"""),6202.5282132921275)</f>
        <v>6202.528213</v>
      </c>
      <c r="T228" s="9">
        <f>IFERROR(__xludf.DUMMYFUNCTION("""COMPUTED_VALUE"""),8701.065054875566)</f>
        <v>8701.065055</v>
      </c>
      <c r="U228" s="79"/>
      <c r="V228" s="79">
        <f t="shared" si="15"/>
        <v>14903.59327</v>
      </c>
      <c r="W228" s="80">
        <f t="shared" si="7"/>
        <v>3874585.387</v>
      </c>
      <c r="X228" s="81">
        <f t="shared" si="2"/>
        <v>0.2213340062</v>
      </c>
      <c r="Y228" s="82">
        <f t="shared" si="19"/>
        <v>7934721.297</v>
      </c>
      <c r="Z228" s="6"/>
      <c r="AA228" s="83">
        <f t="shared" si="8"/>
        <v>19463.49863</v>
      </c>
      <c r="AB228" s="84">
        <f t="shared" si="9"/>
        <v>4126164.206</v>
      </c>
      <c r="AC228" s="79">
        <f t="shared" si="12"/>
        <v>19570.33136</v>
      </c>
      <c r="AD228" s="85">
        <f t="shared" si="10"/>
        <v>4096209.538</v>
      </c>
      <c r="AE228" s="81">
        <v>0.25</v>
      </c>
      <c r="AF228" s="82">
        <f t="shared" si="17"/>
        <v>7847702.874</v>
      </c>
      <c r="AG228" s="6"/>
      <c r="AH228" s="6"/>
      <c r="AI228" s="6"/>
      <c r="AJ228" s="6"/>
      <c r="AK228" s="6"/>
      <c r="AL228" s="6"/>
      <c r="AM228" s="6"/>
      <c r="AN228" s="6"/>
      <c r="AO228" s="6"/>
      <c r="AP228" s="6"/>
    </row>
    <row r="229" ht="11.25" customHeight="1">
      <c r="A229" s="7"/>
      <c r="B229" s="68">
        <f t="shared" si="16"/>
        <v>224</v>
      </c>
      <c r="C229" s="86">
        <f t="shared" si="20"/>
        <v>14903.59327</v>
      </c>
      <c r="D229" s="84">
        <f t="shared" si="5"/>
        <v>3046465.961</v>
      </c>
      <c r="E229" s="79"/>
      <c r="F229" s="79"/>
      <c r="G229" s="78">
        <f>IFERROR(__xludf.DUMMYFUNCTION("""COMPUTED_VALUE"""),7282.260131069594)</f>
        <v>7282.260131</v>
      </c>
      <c r="H229" s="101">
        <f>IFERROR(__xludf.DUMMYFUNCTION("""COMPUTED_VALUE"""),991989.2052964317)</f>
        <v>991989.2053</v>
      </c>
      <c r="I229" s="78"/>
      <c r="J229" s="103">
        <v>3160000.0</v>
      </c>
      <c r="K229" s="78"/>
      <c r="L229" s="103"/>
      <c r="M229" s="6"/>
      <c r="N229" s="97"/>
      <c r="O229" s="6"/>
      <c r="P229" s="6"/>
      <c r="Q229" s="6"/>
      <c r="R229" s="6"/>
      <c r="S229" s="78">
        <f>IFERROR(__xludf.DUMMYFUNCTION("""COMPUTED_VALUE"""),6240.260131069459)</f>
        <v>6240.260131</v>
      </c>
      <c r="T229" s="9">
        <f>IFERROR(__xludf.DUMMYFUNCTION("""COMPUTED_VALUE"""),8755.483504957752)</f>
        <v>8755.483505</v>
      </c>
      <c r="U229" s="79"/>
      <c r="V229" s="79">
        <f t="shared" si="15"/>
        <v>14995.74364</v>
      </c>
      <c r="W229" s="80">
        <f t="shared" si="7"/>
        <v>3889581.131</v>
      </c>
      <c r="X229" s="81">
        <f t="shared" si="2"/>
        <v>0.2083189141</v>
      </c>
      <c r="Y229" s="82">
        <f t="shared" si="19"/>
        <v>8399737.91</v>
      </c>
      <c r="Z229" s="6"/>
      <c r="AA229" s="83">
        <f t="shared" si="8"/>
        <v>19570.33136</v>
      </c>
      <c r="AB229" s="84">
        <f t="shared" si="9"/>
        <v>4145734.538</v>
      </c>
      <c r="AC229" s="79">
        <f t="shared" si="12"/>
        <v>20744.30936</v>
      </c>
      <c r="AD229" s="85">
        <f t="shared" si="10"/>
        <v>4116953.847</v>
      </c>
      <c r="AE229" s="81">
        <v>0.25</v>
      </c>
      <c r="AF229" s="82">
        <f t="shared" si="17"/>
        <v>8318468.052</v>
      </c>
      <c r="AG229" s="6"/>
      <c r="AH229" s="6"/>
      <c r="AI229" s="6"/>
      <c r="AJ229" s="6"/>
      <c r="AK229" s="6"/>
      <c r="AL229" s="6"/>
      <c r="AM229" s="6"/>
      <c r="AN229" s="6"/>
      <c r="AO229" s="6"/>
      <c r="AP229" s="6"/>
    </row>
    <row r="230" ht="11.25" customHeight="1">
      <c r="A230" s="7"/>
      <c r="B230" s="68">
        <f t="shared" si="16"/>
        <v>225</v>
      </c>
      <c r="C230" s="86">
        <f t="shared" si="20"/>
        <v>14995.74364</v>
      </c>
      <c r="D230" s="84">
        <f t="shared" si="5"/>
        <v>3061461.704</v>
      </c>
      <c r="E230" s="79"/>
      <c r="F230" s="79"/>
      <c r="G230" s="78">
        <f>IFERROR(__xludf.DUMMYFUNCTION("""COMPUTED_VALUE"""),7320.188569252246)</f>
        <v>7320.188569</v>
      </c>
      <c r="H230" s="101">
        <f>IFERROR(__xludf.DUMMYFUNCTION("""COMPUTED_VALUE"""),999309.3938656839)</f>
        <v>999309.3939</v>
      </c>
      <c r="I230" s="78"/>
      <c r="J230" s="103">
        <v>3160000.0</v>
      </c>
      <c r="K230" s="78"/>
      <c r="L230" s="103"/>
      <c r="M230" s="6"/>
      <c r="N230" s="97"/>
      <c r="O230" s="6"/>
      <c r="P230" s="6"/>
      <c r="Q230" s="6"/>
      <c r="R230" s="6"/>
      <c r="S230" s="78">
        <f>IFERROR(__xludf.DUMMYFUNCTION("""COMPUTED_VALUE"""),6278.188569252379)</f>
        <v>6278.188569</v>
      </c>
      <c r="T230" s="9">
        <f>IFERROR(__xludf.DUMMYFUNCTION("""COMPUTED_VALUE"""),8810.0867510268)</f>
        <v>8810.086751</v>
      </c>
      <c r="U230" s="79"/>
      <c r="V230" s="79">
        <f t="shared" si="15"/>
        <v>15088.27532</v>
      </c>
      <c r="W230" s="80">
        <f t="shared" si="7"/>
        <v>3904669.406</v>
      </c>
      <c r="X230" s="81">
        <f t="shared" si="2"/>
        <v>0.2089565659</v>
      </c>
      <c r="Y230" s="82">
        <f t="shared" si="19"/>
        <v>8422146.373</v>
      </c>
      <c r="Z230" s="6"/>
      <c r="AA230" s="83">
        <f t="shared" si="8"/>
        <v>20744.30936</v>
      </c>
      <c r="AB230" s="84">
        <f t="shared" si="9"/>
        <v>4166478.847</v>
      </c>
      <c r="AC230" s="79">
        <f t="shared" si="12"/>
        <v>20814.4706</v>
      </c>
      <c r="AD230" s="85">
        <f t="shared" si="10"/>
        <v>4137768.318</v>
      </c>
      <c r="AE230" s="81">
        <v>0.25</v>
      </c>
      <c r="AF230" s="82">
        <f t="shared" si="17"/>
        <v>8346602.712</v>
      </c>
      <c r="AG230" s="6"/>
      <c r="AH230" s="6"/>
      <c r="AI230" s="6"/>
      <c r="AJ230" s="6"/>
      <c r="AK230" s="6"/>
      <c r="AL230" s="6"/>
      <c r="AM230" s="6"/>
      <c r="AN230" s="6"/>
      <c r="AO230" s="6"/>
      <c r="AP230" s="6"/>
    </row>
    <row r="231" ht="11.25" customHeight="1">
      <c r="A231" s="7"/>
      <c r="B231" s="68">
        <f t="shared" si="16"/>
        <v>226</v>
      </c>
      <c r="C231" s="86">
        <f t="shared" si="20"/>
        <v>15088.27532</v>
      </c>
      <c r="D231" s="84">
        <f t="shared" si="5"/>
        <v>3076549.98</v>
      </c>
      <c r="E231" s="79"/>
      <c r="F231" s="79"/>
      <c r="G231" s="78">
        <f>IFERROR(__xludf.DUMMYFUNCTION("""COMPUTED_VALUE"""),7358.31455138377)</f>
        <v>7358.314551</v>
      </c>
      <c r="H231" s="101">
        <f>IFERROR(__xludf.DUMMYFUNCTION("""COMPUTED_VALUE"""),1006667.7084170677)</f>
        <v>1006667.708</v>
      </c>
      <c r="I231" s="78"/>
      <c r="J231" s="103">
        <v>3160000.0</v>
      </c>
      <c r="K231" s="78"/>
      <c r="L231" s="103"/>
      <c r="M231" s="6"/>
      <c r="N231" s="97"/>
      <c r="O231" s="6"/>
      <c r="P231" s="6"/>
      <c r="Q231" s="6"/>
      <c r="R231" s="6"/>
      <c r="S231" s="78">
        <f>IFERROR(__xludf.DUMMYFUNCTION("""COMPUTED_VALUE"""),6316.314551383723)</f>
        <v>6316.314551</v>
      </c>
      <c r="T231" s="9">
        <f>IFERROR(__xludf.DUMMYFUNCTION("""COMPUTED_VALUE"""),8864.875420618802)</f>
        <v>8864.875421</v>
      </c>
      <c r="U231" s="79"/>
      <c r="V231" s="79">
        <f t="shared" si="15"/>
        <v>15181.18997</v>
      </c>
      <c r="W231" s="80">
        <f t="shared" si="7"/>
        <v>3919850.596</v>
      </c>
      <c r="X231" s="81">
        <f t="shared" si="2"/>
        <v>0.2095917951</v>
      </c>
      <c r="Y231" s="82">
        <f t="shared" si="19"/>
        <v>8444685.878</v>
      </c>
      <c r="Z231" s="6"/>
      <c r="AA231" s="83">
        <f t="shared" si="8"/>
        <v>20814.4706</v>
      </c>
      <c r="AB231" s="84">
        <f t="shared" si="9"/>
        <v>4187293.318</v>
      </c>
      <c r="AC231" s="79">
        <f t="shared" si="12"/>
        <v>20884.90257</v>
      </c>
      <c r="AD231" s="85">
        <f t="shared" si="10"/>
        <v>4158653.22</v>
      </c>
      <c r="AE231" s="81">
        <v>0.25</v>
      </c>
      <c r="AF231" s="82">
        <f t="shared" si="17"/>
        <v>8374845.929</v>
      </c>
      <c r="AG231" s="6"/>
      <c r="AH231" s="6"/>
      <c r="AI231" s="6"/>
      <c r="AJ231" s="6"/>
      <c r="AK231" s="6"/>
      <c r="AL231" s="6"/>
      <c r="AM231" s="6"/>
      <c r="AN231" s="6"/>
      <c r="AO231" s="6"/>
      <c r="AP231" s="6"/>
    </row>
    <row r="232" ht="11.25" customHeight="1">
      <c r="A232" s="7"/>
      <c r="B232" s="68">
        <f t="shared" si="16"/>
        <v>227</v>
      </c>
      <c r="C232" s="86">
        <f t="shared" si="20"/>
        <v>15181.18997</v>
      </c>
      <c r="D232" s="84">
        <f t="shared" si="5"/>
        <v>3091731.17</v>
      </c>
      <c r="E232" s="79"/>
      <c r="F232" s="79"/>
      <c r="G232" s="78">
        <f>IFERROR(__xludf.DUMMYFUNCTION("""COMPUTED_VALUE"""),7396.639106338893)</f>
        <v>7396.639106</v>
      </c>
      <c r="H232" s="101">
        <f>IFERROR(__xludf.DUMMYFUNCTION("""COMPUTED_VALUE"""),1014064.3475234065)</f>
        <v>1014064.348</v>
      </c>
      <c r="I232" s="78"/>
      <c r="J232" s="103">
        <v>3160000.0</v>
      </c>
      <c r="K232" s="78"/>
      <c r="L232" s="103"/>
      <c r="M232" s="6"/>
      <c r="N232" s="97"/>
      <c r="O232" s="6"/>
      <c r="P232" s="6"/>
      <c r="Q232" s="6"/>
      <c r="R232" s="6"/>
      <c r="S232" s="78">
        <f>IFERROR(__xludf.DUMMYFUNCTION("""COMPUTED_VALUE"""),6354.639106338844)</f>
        <v>6354.639106</v>
      </c>
      <c r="T232" s="9">
        <f>IFERROR(__xludf.DUMMYFUNCTION("""COMPUTED_VALUE"""),8919.850143401185)</f>
        <v>8919.850143</v>
      </c>
      <c r="U232" s="79"/>
      <c r="V232" s="79">
        <f t="shared" si="15"/>
        <v>15274.48925</v>
      </c>
      <c r="W232" s="80">
        <f t="shared" si="7"/>
        <v>3935125.085</v>
      </c>
      <c r="X232" s="81">
        <f t="shared" si="2"/>
        <v>0.2102245957</v>
      </c>
      <c r="Y232" s="82">
        <f t="shared" si="19"/>
        <v>8467357.006</v>
      </c>
      <c r="Z232" s="6"/>
      <c r="AA232" s="83">
        <f t="shared" si="8"/>
        <v>20884.90257</v>
      </c>
      <c r="AB232" s="84">
        <f t="shared" si="9"/>
        <v>4208178.22</v>
      </c>
      <c r="AC232" s="79">
        <f t="shared" si="12"/>
        <v>20955.60642</v>
      </c>
      <c r="AD232" s="85">
        <f t="shared" si="10"/>
        <v>4179608.827</v>
      </c>
      <c r="AE232" s="81">
        <v>0.25</v>
      </c>
      <c r="AF232" s="82">
        <f t="shared" si="17"/>
        <v>8403198.174</v>
      </c>
      <c r="AG232" s="6"/>
      <c r="AH232" s="6"/>
      <c r="AI232" s="6"/>
      <c r="AJ232" s="6"/>
      <c r="AK232" s="6"/>
      <c r="AL232" s="6"/>
      <c r="AM232" s="6"/>
      <c r="AN232" s="6"/>
      <c r="AO232" s="6"/>
      <c r="AP232" s="6"/>
    </row>
    <row r="233" ht="11.25" customHeight="1">
      <c r="A233" s="71"/>
      <c r="B233" s="72">
        <f t="shared" si="16"/>
        <v>228</v>
      </c>
      <c r="C233" s="86">
        <f t="shared" si="20"/>
        <v>15274.48925</v>
      </c>
      <c r="D233" s="88">
        <f t="shared" si="5"/>
        <v>3107005.659</v>
      </c>
      <c r="E233" s="90"/>
      <c r="F233" s="90"/>
      <c r="G233" s="89">
        <f>IFERROR(__xludf.DUMMYFUNCTION("""COMPUTED_VALUE"""),7435.163268351074)</f>
        <v>7435.163268</v>
      </c>
      <c r="H233" s="98">
        <f>IFERROR(__xludf.DUMMYFUNCTION("""COMPUTED_VALUE"""),1021499.5107917576)</f>
        <v>1021499.511</v>
      </c>
      <c r="I233" s="89"/>
      <c r="J233" s="104">
        <v>3160000.0</v>
      </c>
      <c r="K233" s="89"/>
      <c r="L233" s="104"/>
      <c r="M233" s="6"/>
      <c r="N233" s="99"/>
      <c r="O233" s="10"/>
      <c r="P233" s="10"/>
      <c r="Q233" s="10"/>
      <c r="R233" s="10"/>
      <c r="S233" s="89">
        <f>IFERROR(__xludf.DUMMYFUNCTION("""COMPUTED_VALUE"""),6393.163268350996)</f>
        <v>6393.163268</v>
      </c>
      <c r="T233" s="93">
        <f>IFERROR(__xludf.DUMMYFUNCTION("""COMPUTED_VALUE"""),8975.011551179923)</f>
        <v>8975.011551</v>
      </c>
      <c r="U233" s="90"/>
      <c r="V233" s="90">
        <f t="shared" si="15"/>
        <v>15368.17482</v>
      </c>
      <c r="W233" s="91">
        <f t="shared" si="7"/>
        <v>3950493.26</v>
      </c>
      <c r="X233" s="81">
        <f t="shared" si="2"/>
        <v>0.2108549622</v>
      </c>
      <c r="Y233" s="82">
        <f t="shared" si="19"/>
        <v>8490160.344</v>
      </c>
      <c r="Z233" s="6"/>
      <c r="AA233" s="83">
        <f t="shared" si="8"/>
        <v>20955.60642</v>
      </c>
      <c r="AB233" s="88">
        <f t="shared" si="9"/>
        <v>4229133.827</v>
      </c>
      <c r="AC233" s="90">
        <f t="shared" si="12"/>
        <v>21026.58334</v>
      </c>
      <c r="AD233" s="94">
        <f t="shared" si="10"/>
        <v>4200635.41</v>
      </c>
      <c r="AE233" s="81">
        <v>0.25</v>
      </c>
      <c r="AF233" s="82">
        <f t="shared" si="17"/>
        <v>8431659.921</v>
      </c>
      <c r="AG233" s="6"/>
      <c r="AH233" s="6"/>
      <c r="AI233" s="6"/>
      <c r="AJ233" s="6"/>
      <c r="AK233" s="6"/>
      <c r="AL233" s="6"/>
      <c r="AM233" s="6"/>
      <c r="AN233" s="6"/>
      <c r="AO233" s="6"/>
      <c r="AP233" s="6"/>
    </row>
    <row r="234" ht="11.25" customHeight="1">
      <c r="A234" s="100">
        <v>20.0</v>
      </c>
      <c r="B234" s="66">
        <f t="shared" si="16"/>
        <v>229</v>
      </c>
      <c r="C234" s="86">
        <f t="shared" si="20"/>
        <v>15368.17482</v>
      </c>
      <c r="D234" s="84">
        <f t="shared" si="5"/>
        <v>3122373.834</v>
      </c>
      <c r="E234" s="79"/>
      <c r="F234" s="79"/>
      <c r="G234" s="78">
        <f>IFERROR(__xludf.DUMMYFUNCTION("""COMPUTED_VALUE"""),7473.888077040403)</f>
        <v>7473.888077</v>
      </c>
      <c r="H234" s="101">
        <f>IFERROR(__xludf.DUMMYFUNCTION("""COMPUTED_VALUE"""),1028973.398868798)</f>
        <v>1028973.399</v>
      </c>
      <c r="I234" s="78"/>
      <c r="J234" s="103">
        <v>3160000.0</v>
      </c>
      <c r="K234" s="78"/>
      <c r="L234" s="103"/>
      <c r="M234" s="6"/>
      <c r="N234" s="97"/>
      <c r="O234" s="6"/>
      <c r="P234" s="6"/>
      <c r="Q234" s="6"/>
      <c r="R234" s="6"/>
      <c r="S234" s="102">
        <f>IFERROR(__xludf.DUMMYFUNCTION("""COMPUTED_VALUE"""),6431.888077040436)</f>
        <v>6431.888077</v>
      </c>
      <c r="T234" s="9">
        <f>IFERROR(__xludf.DUMMYFUNCTION("""COMPUTED_VALUE"""),9030.360277905827)</f>
        <v>9030.360278</v>
      </c>
      <c r="U234" s="79"/>
      <c r="V234" s="79">
        <f t="shared" si="15"/>
        <v>15462.24835</v>
      </c>
      <c r="W234" s="80">
        <f t="shared" si="7"/>
        <v>3965955.508</v>
      </c>
      <c r="X234" s="81">
        <f t="shared" si="2"/>
        <v>0.211482889</v>
      </c>
      <c r="Y234" s="82">
        <f t="shared" si="19"/>
        <v>8513096.481</v>
      </c>
      <c r="Z234" s="6"/>
      <c r="AA234" s="83">
        <f t="shared" si="8"/>
        <v>21026.58334</v>
      </c>
      <c r="AB234" s="84">
        <f t="shared" si="9"/>
        <v>4250160.41</v>
      </c>
      <c r="AC234" s="79">
        <f t="shared" si="12"/>
        <v>21097.83452</v>
      </c>
      <c r="AD234" s="95">
        <f t="shared" si="10"/>
        <v>4221733.245</v>
      </c>
      <c r="AE234" s="81">
        <v>0.25</v>
      </c>
      <c r="AF234" s="82">
        <f t="shared" si="17"/>
        <v>8460231.644</v>
      </c>
      <c r="AG234" s="6"/>
      <c r="AH234" s="6"/>
      <c r="AI234" s="6"/>
      <c r="AJ234" s="6"/>
      <c r="AK234" s="6"/>
      <c r="AL234" s="6"/>
      <c r="AM234" s="6"/>
      <c r="AN234" s="6"/>
      <c r="AO234" s="6"/>
      <c r="AP234" s="6"/>
    </row>
    <row r="235" ht="11.25" customHeight="1">
      <c r="A235" s="7"/>
      <c r="B235" s="68">
        <f t="shared" si="16"/>
        <v>230</v>
      </c>
      <c r="C235" s="86">
        <f t="shared" si="20"/>
        <v>15462.24835</v>
      </c>
      <c r="D235" s="84">
        <f t="shared" si="5"/>
        <v>3137836.082</v>
      </c>
      <c r="E235" s="79"/>
      <c r="F235" s="79"/>
      <c r="G235" s="78">
        <f>IFERROR(__xludf.DUMMYFUNCTION("""COMPUTED_VALUE"""),7512.814577441655)</f>
        <v>7512.814577</v>
      </c>
      <c r="H235" s="101">
        <f>IFERROR(__xludf.DUMMYFUNCTION("""COMPUTED_VALUE"""),1036486.2134462397)</f>
        <v>1036486.213</v>
      </c>
      <c r="I235" s="78"/>
      <c r="J235" s="103">
        <v>3160000.0</v>
      </c>
      <c r="K235" s="78"/>
      <c r="L235" s="103"/>
      <c r="M235" s="6"/>
      <c r="N235" s="97"/>
      <c r="O235" s="6"/>
      <c r="P235" s="6"/>
      <c r="Q235" s="6"/>
      <c r="R235" s="6"/>
      <c r="S235" s="78">
        <f>IFERROR(__xludf.DUMMYFUNCTION("""COMPUTED_VALUE"""),6470.814577441663)</f>
        <v>6470.814577</v>
      </c>
      <c r="T235" s="9">
        <f>IFERROR(__xludf.DUMMYFUNCTION("""COMPUTED_VALUE"""),9085.896959682694)</f>
        <v>9085.89696</v>
      </c>
      <c r="U235" s="79"/>
      <c r="V235" s="79">
        <f t="shared" si="15"/>
        <v>15556.71154</v>
      </c>
      <c r="W235" s="80">
        <f t="shared" si="7"/>
        <v>3981512.22</v>
      </c>
      <c r="X235" s="81">
        <f t="shared" si="2"/>
        <v>0.2121083709</v>
      </c>
      <c r="Y235" s="82">
        <f t="shared" si="19"/>
        <v>8536166.007</v>
      </c>
      <c r="Z235" s="6"/>
      <c r="AA235" s="83">
        <f t="shared" si="8"/>
        <v>21097.83452</v>
      </c>
      <c r="AB235" s="84">
        <f t="shared" si="9"/>
        <v>4271258.245</v>
      </c>
      <c r="AC235" s="79">
        <f t="shared" si="12"/>
        <v>21169.36115</v>
      </c>
      <c r="AD235" s="85">
        <f t="shared" si="10"/>
        <v>4242902.606</v>
      </c>
      <c r="AE235" s="81">
        <v>0.25</v>
      </c>
      <c r="AF235" s="82">
        <f t="shared" si="17"/>
        <v>8488913.819</v>
      </c>
      <c r="AG235" s="6"/>
      <c r="AH235" s="6"/>
      <c r="AI235" s="6"/>
      <c r="AJ235" s="6"/>
      <c r="AK235" s="6"/>
      <c r="AL235" s="6"/>
      <c r="AM235" s="6"/>
      <c r="AN235" s="6"/>
      <c r="AO235" s="6"/>
      <c r="AP235" s="6"/>
    </row>
    <row r="236" ht="11.25" customHeight="1">
      <c r="A236" s="7"/>
      <c r="B236" s="68">
        <f t="shared" si="16"/>
        <v>231</v>
      </c>
      <c r="C236" s="86">
        <f t="shared" si="20"/>
        <v>15556.71154</v>
      </c>
      <c r="D236" s="84">
        <f t="shared" si="5"/>
        <v>3153392.794</v>
      </c>
      <c r="E236" s="79"/>
      <c r="F236" s="79"/>
      <c r="G236" s="78">
        <f>IFERROR(__xludf.DUMMYFUNCTION("""COMPUTED_VALUE"""),7551.943820032497)</f>
        <v>7551.94382</v>
      </c>
      <c r="H236" s="101">
        <f>IFERROR(__xludf.DUMMYFUNCTION("""COMPUTED_VALUE"""),1044038.1572662722)</f>
        <v>1044038.157</v>
      </c>
      <c r="I236" s="78"/>
      <c r="J236" s="103">
        <v>3160000.0</v>
      </c>
      <c r="K236" s="78"/>
      <c r="L236" s="103"/>
      <c r="M236" s="6"/>
      <c r="N236" s="97"/>
      <c r="O236" s="6"/>
      <c r="P236" s="6"/>
      <c r="Q236" s="6"/>
      <c r="R236" s="6"/>
      <c r="S236" s="78">
        <f>IFERROR(__xludf.DUMMYFUNCTION("""COMPUTED_VALUE"""),6509.943820032524)</f>
        <v>6509.94382</v>
      </c>
      <c r="T236" s="9">
        <f>IFERROR(__xludf.DUMMYFUNCTION("""COMPUTED_VALUE"""),9141.622234774986)</f>
        <v>9141.622235</v>
      </c>
      <c r="U236" s="79"/>
      <c r="V236" s="79">
        <f t="shared" si="15"/>
        <v>15651.56605</v>
      </c>
      <c r="W236" s="80">
        <f t="shared" si="7"/>
        <v>3997163.786</v>
      </c>
      <c r="X236" s="81">
        <f t="shared" si="2"/>
        <v>0.2127314026</v>
      </c>
      <c r="Y236" s="82">
        <f t="shared" si="19"/>
        <v>8559369.517</v>
      </c>
      <c r="Z236" s="6"/>
      <c r="AA236" s="83">
        <f t="shared" si="8"/>
        <v>21169.36115</v>
      </c>
      <c r="AB236" s="84">
        <f t="shared" si="9"/>
        <v>4292427.606</v>
      </c>
      <c r="AC236" s="79">
        <f t="shared" si="12"/>
        <v>21241.16441</v>
      </c>
      <c r="AD236" s="85">
        <f t="shared" si="10"/>
        <v>4264143.77</v>
      </c>
      <c r="AE236" s="81">
        <v>0.25</v>
      </c>
      <c r="AF236" s="82">
        <f t="shared" si="17"/>
        <v>8517706.927</v>
      </c>
      <c r="AG236" s="6"/>
      <c r="AH236" s="6"/>
      <c r="AI236" s="6"/>
      <c r="AJ236" s="6"/>
      <c r="AK236" s="6"/>
      <c r="AL236" s="6"/>
      <c r="AM236" s="6"/>
      <c r="AN236" s="6"/>
      <c r="AO236" s="6"/>
      <c r="AP236" s="6"/>
    </row>
    <row r="237" ht="11.25" customHeight="1">
      <c r="A237" s="7"/>
      <c r="B237" s="68">
        <f t="shared" si="16"/>
        <v>232</v>
      </c>
      <c r="C237" s="86">
        <f t="shared" si="20"/>
        <v>15651.56605</v>
      </c>
      <c r="D237" s="84">
        <f t="shared" si="5"/>
        <v>3169044.36</v>
      </c>
      <c r="E237" s="79"/>
      <c r="F237" s="79"/>
      <c r="G237" s="78">
        <f>IFERROR(__xludf.DUMMYFUNCTION("""COMPUTED_VALUE"""),7591.276860761833)</f>
        <v>7591.276861</v>
      </c>
      <c r="H237" s="101">
        <f>IFERROR(__xludf.DUMMYFUNCTION("""COMPUTED_VALUE"""),1051629.4341270342)</f>
        <v>1051629.434</v>
      </c>
      <c r="I237" s="78"/>
      <c r="J237" s="103">
        <v>3160000.0</v>
      </c>
      <c r="K237" s="78"/>
      <c r="L237" s="103"/>
      <c r="M237" s="6"/>
      <c r="N237" s="97"/>
      <c r="O237" s="6"/>
      <c r="P237" s="6"/>
      <c r="Q237" s="6"/>
      <c r="R237" s="6"/>
      <c r="S237" s="78">
        <f>IFERROR(__xludf.DUMMYFUNCTION("""COMPUTED_VALUE"""),6549.276860761922)</f>
        <v>6549.276861</v>
      </c>
      <c r="T237" s="9">
        <f>IFERROR(__xludf.DUMMYFUNCTION("""COMPUTED_VALUE"""),9197.536743613891)</f>
        <v>9197.536744</v>
      </c>
      <c r="U237" s="79"/>
      <c r="V237" s="79">
        <f t="shared" si="15"/>
        <v>15746.8136</v>
      </c>
      <c r="W237" s="80">
        <f t="shared" si="7"/>
        <v>4012910.599</v>
      </c>
      <c r="X237" s="81">
        <f t="shared" si="2"/>
        <v>0.213351979</v>
      </c>
      <c r="Y237" s="82">
        <f t="shared" si="19"/>
        <v>8582707.607</v>
      </c>
      <c r="Z237" s="6"/>
      <c r="AA237" s="83">
        <f t="shared" si="8"/>
        <v>21241.16441</v>
      </c>
      <c r="AB237" s="84">
        <f t="shared" si="9"/>
        <v>4313668.77</v>
      </c>
      <c r="AC237" s="79">
        <f t="shared" si="12"/>
        <v>21313.24551</v>
      </c>
      <c r="AD237" s="85">
        <f t="shared" si="10"/>
        <v>4285457.016</v>
      </c>
      <c r="AE237" s="81">
        <v>0.25</v>
      </c>
      <c r="AF237" s="82">
        <f t="shared" si="17"/>
        <v>8546611.45</v>
      </c>
      <c r="AG237" s="6"/>
      <c r="AH237" s="6"/>
      <c r="AI237" s="6"/>
      <c r="AJ237" s="6"/>
      <c r="AK237" s="6"/>
      <c r="AL237" s="6"/>
      <c r="AM237" s="6"/>
      <c r="AN237" s="6"/>
      <c r="AO237" s="6"/>
      <c r="AP237" s="6"/>
    </row>
    <row r="238" ht="11.25" customHeight="1">
      <c r="A238" s="7"/>
      <c r="B238" s="68">
        <f t="shared" si="16"/>
        <v>233</v>
      </c>
      <c r="C238" s="86">
        <f t="shared" si="20"/>
        <v>15746.8136</v>
      </c>
      <c r="D238" s="84">
        <f t="shared" si="5"/>
        <v>3184791.173</v>
      </c>
      <c r="E238" s="79"/>
      <c r="F238" s="79"/>
      <c r="G238" s="78">
        <f>IFERROR(__xludf.DUMMYFUNCTION("""COMPUTED_VALUE"""),7630.814761078302)</f>
        <v>7630.814761</v>
      </c>
      <c r="H238" s="101">
        <f>IFERROR(__xludf.DUMMYFUNCTION("""COMPUTED_VALUE"""),1059260.2488881124)</f>
        <v>1059260.249</v>
      </c>
      <c r="I238" s="78"/>
      <c r="J238" s="103">
        <v>3160000.0</v>
      </c>
      <c r="K238" s="78"/>
      <c r="L238" s="103"/>
      <c r="M238" s="6"/>
      <c r="N238" s="97"/>
      <c r="O238" s="6"/>
      <c r="P238" s="6"/>
      <c r="Q238" s="6"/>
      <c r="R238" s="6"/>
      <c r="S238" s="78">
        <f>IFERROR(__xludf.DUMMYFUNCTION("""COMPUTED_VALUE"""),6588.814761078218)</f>
        <v>6588.814761</v>
      </c>
      <c r="T238" s="9">
        <f>IFERROR(__xludf.DUMMYFUNCTION("""COMPUTED_VALUE"""),9253.641128805932)</f>
        <v>9253.641129</v>
      </c>
      <c r="U238" s="79"/>
      <c r="V238" s="79">
        <f t="shared" si="15"/>
        <v>15842.45589</v>
      </c>
      <c r="W238" s="80">
        <f t="shared" si="7"/>
        <v>4028753.055</v>
      </c>
      <c r="X238" s="81">
        <f t="shared" si="2"/>
        <v>0.2139700954</v>
      </c>
      <c r="Y238" s="82">
        <f t="shared" si="19"/>
        <v>8606180.878</v>
      </c>
      <c r="Z238" s="6"/>
      <c r="AA238" s="83">
        <f t="shared" si="8"/>
        <v>21313.24551</v>
      </c>
      <c r="AB238" s="84">
        <f t="shared" si="9"/>
        <v>4334982.016</v>
      </c>
      <c r="AC238" s="79">
        <f t="shared" si="12"/>
        <v>21385.60566</v>
      </c>
      <c r="AD238" s="85">
        <f t="shared" si="10"/>
        <v>4306842.621</v>
      </c>
      <c r="AE238" s="81">
        <v>0.25</v>
      </c>
      <c r="AF238" s="82">
        <f t="shared" si="17"/>
        <v>8575627.87</v>
      </c>
      <c r="AG238" s="6"/>
      <c r="AH238" s="6"/>
      <c r="AI238" s="6"/>
      <c r="AJ238" s="6"/>
      <c r="AK238" s="6"/>
      <c r="AL238" s="6"/>
      <c r="AM238" s="6"/>
      <c r="AN238" s="6"/>
      <c r="AO238" s="6"/>
      <c r="AP238" s="6"/>
    </row>
    <row r="239" ht="11.25" customHeight="1">
      <c r="A239" s="7"/>
      <c r="B239" s="68">
        <f t="shared" si="16"/>
        <v>234</v>
      </c>
      <c r="C239" s="86">
        <f t="shared" si="20"/>
        <v>15842.45589</v>
      </c>
      <c r="D239" s="84">
        <f t="shared" si="5"/>
        <v>3200633.629</v>
      </c>
      <c r="E239" s="79"/>
      <c r="F239" s="79"/>
      <c r="G239" s="78">
        <f>IFERROR(__xludf.DUMMYFUNCTION("""COMPUTED_VALUE"""),7670.558587958918)</f>
        <v>7670.558588</v>
      </c>
      <c r="H239" s="101">
        <f>IFERROR(__xludf.DUMMYFUNCTION("""COMPUTED_VALUE"""),1066930.8074760712)</f>
        <v>1066930.807</v>
      </c>
      <c r="I239" s="78"/>
      <c r="J239" s="103">
        <v>3160000.0</v>
      </c>
      <c r="K239" s="78"/>
      <c r="L239" s="103"/>
      <c r="M239" s="6"/>
      <c r="N239" s="97"/>
      <c r="O239" s="6"/>
      <c r="P239" s="6"/>
      <c r="Q239" s="6"/>
      <c r="R239" s="6"/>
      <c r="S239" s="78">
        <f>IFERROR(__xludf.DUMMYFUNCTION("""COMPUTED_VALUE"""),6628.558587958803)</f>
        <v>6628.558588</v>
      </c>
      <c r="T239" s="9">
        <f>IFERROR(__xludf.DUMMYFUNCTION("""COMPUTED_VALUE"""),9309.93603513902)</f>
        <v>9309.936035</v>
      </c>
      <c r="U239" s="79"/>
      <c r="V239" s="79">
        <f t="shared" si="15"/>
        <v>15938.49462</v>
      </c>
      <c r="W239" s="80">
        <f t="shared" si="7"/>
        <v>4044691.55</v>
      </c>
      <c r="X239" s="81">
        <f t="shared" si="2"/>
        <v>0.2145857469</v>
      </c>
      <c r="Y239" s="82">
        <f t="shared" si="19"/>
        <v>8629789.931</v>
      </c>
      <c r="Z239" s="6"/>
      <c r="AA239" s="83">
        <f t="shared" si="8"/>
        <v>21385.60566</v>
      </c>
      <c r="AB239" s="84">
        <f t="shared" si="9"/>
        <v>4356367.621</v>
      </c>
      <c r="AC239" s="79">
        <f t="shared" si="12"/>
        <v>21458.24607</v>
      </c>
      <c r="AD239" s="85">
        <f t="shared" si="10"/>
        <v>4328300.867</v>
      </c>
      <c r="AE239" s="81">
        <v>0.25</v>
      </c>
      <c r="AF239" s="82">
        <f t="shared" si="17"/>
        <v>8604756.675</v>
      </c>
      <c r="AG239" s="6"/>
      <c r="AH239" s="6"/>
      <c r="AI239" s="6"/>
      <c r="AJ239" s="6"/>
      <c r="AK239" s="6"/>
      <c r="AL239" s="6"/>
      <c r="AM239" s="6"/>
      <c r="AN239" s="6"/>
      <c r="AO239" s="6"/>
      <c r="AP239" s="6"/>
    </row>
    <row r="240" ht="11.25" customHeight="1">
      <c r="A240" s="7"/>
      <c r="B240" s="68">
        <f t="shared" si="16"/>
        <v>235</v>
      </c>
      <c r="C240" s="86">
        <f t="shared" si="20"/>
        <v>15938.49462</v>
      </c>
      <c r="D240" s="84">
        <f t="shared" si="5"/>
        <v>3216572.124</v>
      </c>
      <c r="E240" s="79"/>
      <c r="F240" s="79"/>
      <c r="G240" s="78">
        <f>IFERROR(__xludf.DUMMYFUNCTION("""COMPUTED_VALUE"""),7710.509413937871)</f>
        <v>7710.509414</v>
      </c>
      <c r="H240" s="101">
        <f>IFERROR(__xludf.DUMMYFUNCTION("""COMPUTED_VALUE"""),1074641.316890009)</f>
        <v>1074641.317</v>
      </c>
      <c r="I240" s="78"/>
      <c r="J240" s="103">
        <v>3160000.0</v>
      </c>
      <c r="K240" s="78"/>
      <c r="L240" s="103"/>
      <c r="M240" s="6"/>
      <c r="N240" s="97"/>
      <c r="O240" s="6"/>
      <c r="P240" s="6"/>
      <c r="Q240" s="6"/>
      <c r="R240" s="6"/>
      <c r="S240" s="78">
        <f>IFERROR(__xludf.DUMMYFUNCTION("""COMPUTED_VALUE"""),6668.509413938038)</f>
        <v>6668.509414</v>
      </c>
      <c r="T240" s="9">
        <f>IFERROR(__xludf.DUMMYFUNCTION("""COMPUTED_VALUE"""),9366.422109591775)</f>
        <v>9366.42211</v>
      </c>
      <c r="U240" s="79"/>
      <c r="V240" s="79">
        <f t="shared" si="15"/>
        <v>16034.93152</v>
      </c>
      <c r="W240" s="80">
        <f t="shared" si="7"/>
        <v>4060726.481</v>
      </c>
      <c r="X240" s="81">
        <f t="shared" si="2"/>
        <v>0.215198929</v>
      </c>
      <c r="Y240" s="82">
        <f t="shared" si="19"/>
        <v>8653535.372</v>
      </c>
      <c r="Z240" s="6"/>
      <c r="AA240" s="83">
        <f t="shared" si="8"/>
        <v>21458.24607</v>
      </c>
      <c r="AB240" s="84">
        <f t="shared" si="9"/>
        <v>4377825.867</v>
      </c>
      <c r="AC240" s="79">
        <f t="shared" si="12"/>
        <v>21531.16796</v>
      </c>
      <c r="AD240" s="85">
        <f t="shared" si="10"/>
        <v>4349832.035</v>
      </c>
      <c r="AE240" s="81">
        <v>0.25</v>
      </c>
      <c r="AF240" s="82">
        <f t="shared" si="17"/>
        <v>8633998.352</v>
      </c>
      <c r="AG240" s="6"/>
      <c r="AH240" s="6"/>
      <c r="AI240" s="6"/>
      <c r="AJ240" s="6"/>
      <c r="AK240" s="6"/>
      <c r="AL240" s="6"/>
      <c r="AM240" s="6"/>
      <c r="AN240" s="6"/>
      <c r="AO240" s="6"/>
      <c r="AP240" s="6"/>
    </row>
    <row r="241" ht="11.25" customHeight="1">
      <c r="A241" s="7"/>
      <c r="B241" s="68">
        <f t="shared" si="16"/>
        <v>236</v>
      </c>
      <c r="C241" s="86">
        <f t="shared" si="20"/>
        <v>16034.93152</v>
      </c>
      <c r="D241" s="84">
        <f t="shared" si="5"/>
        <v>3232607.055</v>
      </c>
      <c r="E241" s="79"/>
      <c r="F241" s="79"/>
      <c r="G241" s="78">
        <f>IFERROR(__xludf.DUMMYFUNCTION("""COMPUTED_VALUE"""),7750.668317135463)</f>
        <v>7750.668317</v>
      </c>
      <c r="H241" s="101">
        <f>IFERROR(__xludf.DUMMYFUNCTION("""COMPUTED_VALUE"""),1082391.9852071444)</f>
        <v>1082391.985</v>
      </c>
      <c r="I241" s="78"/>
      <c r="J241" s="103">
        <v>3160000.0</v>
      </c>
      <c r="K241" s="78"/>
      <c r="L241" s="103"/>
      <c r="M241" s="6"/>
      <c r="N241" s="97"/>
      <c r="O241" s="6"/>
      <c r="P241" s="6"/>
      <c r="Q241" s="6"/>
      <c r="R241" s="6"/>
      <c r="S241" s="78">
        <f>IFERROR(__xludf.DUMMYFUNCTION("""COMPUTED_VALUE"""),6708.668317135423)</f>
        <v>6708.668317</v>
      </c>
      <c r="T241" s="78">
        <f>IFERROR(__xludf.DUMMYFUNCTION("""COMPUTED_VALUE"""),9423.10000133887)</f>
        <v>9423.100001</v>
      </c>
      <c r="U241" s="79"/>
      <c r="V241" s="79">
        <f t="shared" si="15"/>
        <v>16131.76832</v>
      </c>
      <c r="W241" s="80">
        <f t="shared" si="7"/>
        <v>4076858.25</v>
      </c>
      <c r="X241" s="81">
        <f t="shared" si="2"/>
        <v>0.2158096373</v>
      </c>
      <c r="Y241" s="82">
        <f t="shared" si="19"/>
        <v>8677417.809</v>
      </c>
      <c r="Z241" s="6"/>
      <c r="AA241" s="83">
        <f t="shared" si="8"/>
        <v>21531.16796</v>
      </c>
      <c r="AB241" s="84">
        <f t="shared" si="9"/>
        <v>4399357.035</v>
      </c>
      <c r="AC241" s="79">
        <f t="shared" si="12"/>
        <v>21604.37255</v>
      </c>
      <c r="AD241" s="85">
        <f t="shared" si="10"/>
        <v>4371436.408</v>
      </c>
      <c r="AE241" s="81">
        <v>0.25</v>
      </c>
      <c r="AF241" s="82">
        <f t="shared" si="17"/>
        <v>8663353.393</v>
      </c>
      <c r="AG241" s="6"/>
      <c r="AH241" s="6"/>
      <c r="AI241" s="6"/>
      <c r="AJ241" s="6"/>
      <c r="AK241" s="6"/>
      <c r="AL241" s="6"/>
      <c r="AM241" s="6"/>
      <c r="AN241" s="6"/>
      <c r="AO241" s="6"/>
      <c r="AP241" s="6"/>
    </row>
    <row r="242" ht="11.25" customHeight="1">
      <c r="A242" s="7"/>
      <c r="B242" s="68">
        <f t="shared" si="16"/>
        <v>237</v>
      </c>
      <c r="C242" s="86">
        <f t="shared" si="20"/>
        <v>16131.76832</v>
      </c>
      <c r="D242" s="84">
        <f t="shared" si="5"/>
        <v>3248738.824</v>
      </c>
      <c r="E242" s="78"/>
      <c r="F242" s="79"/>
      <c r="G242" s="78">
        <f>IFERROR(__xludf.DUMMYFUNCTION("""COMPUTED_VALUE"""),7791.036381287211)</f>
        <v>7791.036381</v>
      </c>
      <c r="H242" s="101">
        <f>IFERROR(__xludf.DUMMYFUNCTION("""COMPUTED_VALUE"""),1090183.0215884317)</f>
        <v>1090183.022</v>
      </c>
      <c r="I242" s="78"/>
      <c r="J242" s="103">
        <v>3160000.0</v>
      </c>
      <c r="K242" s="78"/>
      <c r="L242" s="103"/>
      <c r="M242" s="6"/>
      <c r="N242" s="97"/>
      <c r="O242" s="6"/>
      <c r="P242" s="6"/>
      <c r="Q242" s="6"/>
      <c r="R242" s="6"/>
      <c r="S242" s="78">
        <f>IFERROR(__xludf.DUMMYFUNCTION("""COMPUTED_VALUE"""),6749.036381287267)</f>
        <v>6749.036381</v>
      </c>
      <c r="T242" s="78">
        <f>IFERROR(__xludf.DUMMYFUNCTION("""COMPUTED_VALUE"""),9479.970361760119)</f>
        <v>9479.970362</v>
      </c>
      <c r="U242" s="79"/>
      <c r="V242" s="79">
        <f t="shared" si="15"/>
        <v>16229.00674</v>
      </c>
      <c r="W242" s="80">
        <f t="shared" si="7"/>
        <v>4093087.257</v>
      </c>
      <c r="X242" s="81">
        <f t="shared" si="2"/>
        <v>0.2164178675</v>
      </c>
      <c r="Y242" s="82">
        <f t="shared" si="19"/>
        <v>8701437.852</v>
      </c>
      <c r="Z242" s="6"/>
      <c r="AA242" s="83">
        <f t="shared" si="8"/>
        <v>21604.37255</v>
      </c>
      <c r="AB242" s="84">
        <f t="shared" si="9"/>
        <v>4420961.408</v>
      </c>
      <c r="AC242" s="79">
        <f t="shared" si="12"/>
        <v>21677.86107</v>
      </c>
      <c r="AD242" s="85">
        <f t="shared" si="10"/>
        <v>4393114.269</v>
      </c>
      <c r="AE242" s="81">
        <v>0.25</v>
      </c>
      <c r="AF242" s="82">
        <f t="shared" si="17"/>
        <v>8692822.291</v>
      </c>
      <c r="AG242" s="6"/>
      <c r="AH242" s="6"/>
      <c r="AI242" s="6"/>
      <c r="AJ242" s="6"/>
      <c r="AK242" s="6"/>
      <c r="AL242" s="6"/>
      <c r="AM242" s="6"/>
      <c r="AN242" s="6"/>
      <c r="AO242" s="6"/>
      <c r="AP242" s="6"/>
    </row>
    <row r="243" ht="11.25" customHeight="1">
      <c r="A243" s="7"/>
      <c r="B243" s="68">
        <f t="shared" si="16"/>
        <v>238</v>
      </c>
      <c r="C243" s="86">
        <f t="shared" si="20"/>
        <v>16229.00674</v>
      </c>
      <c r="D243" s="84">
        <f t="shared" si="5"/>
        <v>3264967.83</v>
      </c>
      <c r="E243" s="78"/>
      <c r="F243" s="79"/>
      <c r="G243" s="78">
        <f>IFERROR(__xludf.DUMMYFUNCTION("""COMPUTED_VALUE"""),7831.614695773082)</f>
        <v>7831.614696</v>
      </c>
      <c r="H243" s="101">
        <f>IFERROR(__xludf.DUMMYFUNCTION("""COMPUTED_VALUE"""),1098014.6362842047)</f>
        <v>1098014.636</v>
      </c>
      <c r="I243" s="78"/>
      <c r="J243" s="103">
        <v>3160000.0</v>
      </c>
      <c r="K243" s="78"/>
      <c r="L243" s="103"/>
      <c r="M243" s="6"/>
      <c r="N243" s="97"/>
      <c r="O243" s="6"/>
      <c r="P243" s="6"/>
      <c r="Q243" s="6"/>
      <c r="R243" s="6"/>
      <c r="S243" s="78">
        <f>IFERROR(__xludf.DUMMYFUNCTION("""COMPUTED_VALUE"""),6789.614695773227)</f>
        <v>6789.614696</v>
      </c>
      <c r="T243" s="78">
        <f>IFERROR(__xludf.DUMMYFUNCTION("""COMPUTED_VALUE"""),9537.033844446996)</f>
        <v>9537.033844</v>
      </c>
      <c r="U243" s="79"/>
      <c r="V243" s="79">
        <f t="shared" si="15"/>
        <v>16326.64854</v>
      </c>
      <c r="W243" s="80">
        <f t="shared" si="7"/>
        <v>4109413.905</v>
      </c>
      <c r="X243" s="81">
        <f t="shared" si="2"/>
        <v>0.2170236155</v>
      </c>
      <c r="Y243" s="82">
        <f t="shared" si="19"/>
        <v>8725596.115</v>
      </c>
      <c r="Z243" s="6"/>
      <c r="AA243" s="83">
        <f t="shared" si="8"/>
        <v>21677.86107</v>
      </c>
      <c r="AB243" s="84">
        <f t="shared" si="9"/>
        <v>4442639.269</v>
      </c>
      <c r="AC243" s="79">
        <f t="shared" si="12"/>
        <v>21751.63476</v>
      </c>
      <c r="AD243" s="85">
        <f t="shared" si="10"/>
        <v>4414865.904</v>
      </c>
      <c r="AE243" s="81">
        <v>0.25</v>
      </c>
      <c r="AF243" s="82">
        <f t="shared" si="17"/>
        <v>8722405.54</v>
      </c>
      <c r="AG243" s="6"/>
      <c r="AH243" s="6"/>
      <c r="AI243" s="6"/>
      <c r="AJ243" s="6"/>
      <c r="AK243" s="6"/>
      <c r="AL243" s="6"/>
      <c r="AM243" s="6"/>
      <c r="AN243" s="6"/>
      <c r="AO243" s="6"/>
      <c r="AP243" s="6"/>
    </row>
    <row r="244" ht="11.25" customHeight="1">
      <c r="A244" s="7"/>
      <c r="B244" s="68">
        <f t="shared" si="16"/>
        <v>239</v>
      </c>
      <c r="C244" s="86">
        <f t="shared" si="20"/>
        <v>16326.64854</v>
      </c>
      <c r="D244" s="84">
        <f t="shared" si="5"/>
        <v>3281294.479</v>
      </c>
      <c r="E244" s="78"/>
      <c r="F244" s="79"/>
      <c r="G244" s="78">
        <f>IFERROR(__xludf.DUMMYFUNCTION("""COMPUTED_VALUE"""),7872.4043556469005)</f>
        <v>7872.404356</v>
      </c>
      <c r="H244" s="101">
        <f>IFERROR(__xludf.DUMMYFUNCTION("""COMPUTED_VALUE"""),1105887.0406398515)</f>
        <v>1105887.041</v>
      </c>
      <c r="I244" s="78"/>
      <c r="J244" s="103">
        <v>3160000.0</v>
      </c>
      <c r="K244" s="78"/>
      <c r="L244" s="103"/>
      <c r="M244" s="6"/>
      <c r="N244" s="97"/>
      <c r="O244" s="6"/>
      <c r="P244" s="6"/>
      <c r="Q244" s="6"/>
      <c r="R244" s="6"/>
      <c r="S244" s="78">
        <f>IFERROR(__xludf.DUMMYFUNCTION("""COMPUTED_VALUE"""),6830.40435564681)</f>
        <v>6830.404356</v>
      </c>
      <c r="T244" s="78">
        <f>IFERROR(__xludf.DUMMYFUNCTION("""COMPUTED_VALUE"""),9594.291105210315)</f>
        <v>9594.291105</v>
      </c>
      <c r="U244" s="79"/>
      <c r="V244" s="79">
        <f t="shared" si="15"/>
        <v>16424.69546</v>
      </c>
      <c r="W244" s="80">
        <f t="shared" si="7"/>
        <v>4125838.601</v>
      </c>
      <c r="X244" s="81">
        <f t="shared" si="2"/>
        <v>0.2176268772</v>
      </c>
      <c r="Y244" s="82">
        <f t="shared" si="19"/>
        <v>8749893.215</v>
      </c>
      <c r="Z244" s="6"/>
      <c r="AA244" s="83">
        <f t="shared" si="8"/>
        <v>21751.63476</v>
      </c>
      <c r="AB244" s="84">
        <f t="shared" si="9"/>
        <v>4464390.904</v>
      </c>
      <c r="AC244" s="79">
        <f t="shared" si="12"/>
        <v>21825.69486</v>
      </c>
      <c r="AD244" s="85">
        <f t="shared" si="10"/>
        <v>4436691.599</v>
      </c>
      <c r="AE244" s="81">
        <v>0.25</v>
      </c>
      <c r="AF244" s="82">
        <f t="shared" si="17"/>
        <v>8752103.639</v>
      </c>
      <c r="AG244" s="6"/>
      <c r="AH244" s="6"/>
      <c r="AI244" s="6"/>
      <c r="AJ244" s="6"/>
      <c r="AK244" s="6"/>
      <c r="AL244" s="6"/>
      <c r="AM244" s="6"/>
      <c r="AN244" s="6"/>
      <c r="AO244" s="6"/>
      <c r="AP244" s="6"/>
    </row>
    <row r="245" ht="11.25" customHeight="1">
      <c r="A245" s="71"/>
      <c r="B245" s="72">
        <f t="shared" si="16"/>
        <v>240</v>
      </c>
      <c r="C245" s="86">
        <f t="shared" si="20"/>
        <v>16424.69546</v>
      </c>
      <c r="D245" s="88">
        <f t="shared" si="5"/>
        <v>3297719.174</v>
      </c>
      <c r="E245" s="89"/>
      <c r="F245" s="90"/>
      <c r="G245" s="89">
        <f>IFERROR(__xludf.DUMMYFUNCTION("""COMPUTED_VALUE"""),7913.406461665894)</f>
        <v>7913.406462</v>
      </c>
      <c r="H245" s="98">
        <f>IFERROR(__xludf.DUMMYFUNCTION("""COMPUTED_VALUE"""),1113800.4471015173)</f>
        <v>1113800.447</v>
      </c>
      <c r="I245" s="89"/>
      <c r="J245" s="104">
        <v>3160000.0</v>
      </c>
      <c r="K245" s="89"/>
      <c r="L245" s="104"/>
      <c r="M245" s="6"/>
      <c r="N245" s="99"/>
      <c r="O245" s="10"/>
      <c r="P245" s="10"/>
      <c r="Q245" s="10"/>
      <c r="R245" s="10"/>
      <c r="S245" s="89">
        <f>IFERROR(__xludf.DUMMYFUNCTION("""COMPUTED_VALUE"""),6871.4064616658725)</f>
        <v>6871.406462</v>
      </c>
      <c r="T245" s="89">
        <f>IFERROR(__xludf.DUMMYFUNCTION("""COMPUTED_VALUE"""),9651.742802088382)</f>
        <v>9651.742802</v>
      </c>
      <c r="U245" s="90"/>
      <c r="V245" s="90">
        <f t="shared" si="15"/>
        <v>16523.14926</v>
      </c>
      <c r="W245" s="91">
        <f t="shared" si="7"/>
        <v>4142361.75</v>
      </c>
      <c r="X245" s="81">
        <f t="shared" si="2"/>
        <v>0.218227649</v>
      </c>
      <c r="Y245" s="82">
        <f t="shared" si="19"/>
        <v>8774329.771</v>
      </c>
      <c r="Z245" s="6"/>
      <c r="AA245" s="83">
        <f t="shared" si="8"/>
        <v>21825.69486</v>
      </c>
      <c r="AB245" s="88">
        <f t="shared" si="9"/>
        <v>4486216.599</v>
      </c>
      <c r="AC245" s="90">
        <f t="shared" si="12"/>
        <v>21900.04261</v>
      </c>
      <c r="AD245" s="94">
        <f t="shared" si="10"/>
        <v>4458591.641</v>
      </c>
      <c r="AE245" s="81">
        <v>0.25</v>
      </c>
      <c r="AF245" s="82">
        <f t="shared" si="17"/>
        <v>8781917.088</v>
      </c>
      <c r="AG245" s="6"/>
      <c r="AH245" s="6"/>
      <c r="AI245" s="6"/>
      <c r="AJ245" s="6"/>
      <c r="AK245" s="6"/>
      <c r="AL245" s="6"/>
      <c r="AM245" s="6"/>
      <c r="AN245" s="6"/>
      <c r="AO245" s="6"/>
      <c r="AP245" s="6"/>
    </row>
    <row r="246" ht="11.25" customHeight="1">
      <c r="A246" s="100">
        <v>21.0</v>
      </c>
      <c r="B246" s="66">
        <f t="shared" si="16"/>
        <v>241</v>
      </c>
      <c r="C246" s="86">
        <f t="shared" si="20"/>
        <v>16523.14926</v>
      </c>
      <c r="D246" s="84">
        <f t="shared" si="5"/>
        <v>3314242.324</v>
      </c>
      <c r="E246" s="78"/>
      <c r="F246" s="79"/>
      <c r="G246" s="78">
        <f>IFERROR(__xludf.DUMMYFUNCTION("""COMPUTED_VALUE"""),7954.622120320404)</f>
        <v>7954.62212</v>
      </c>
      <c r="H246" s="101">
        <f>IFERROR(__xludf.DUMMYFUNCTION("""COMPUTED_VALUE"""),1121755.0692218377)</f>
        <v>1121755.069</v>
      </c>
      <c r="I246" s="78"/>
      <c r="J246" s="103">
        <v>3160000.0</v>
      </c>
      <c r="K246" s="78"/>
      <c r="L246" s="103"/>
      <c r="M246" s="6"/>
      <c r="N246" s="97"/>
      <c r="O246" s="6"/>
      <c r="P246" s="6"/>
      <c r="Q246" s="6"/>
      <c r="R246" s="6"/>
      <c r="S246" s="102">
        <f>IFERROR(__xludf.DUMMYFUNCTION("""COMPUTED_VALUE"""),6912.622120320331)</f>
        <v>6912.62212</v>
      </c>
      <c r="T246" s="9">
        <f>IFERROR(__xludf.DUMMYFUNCTION("""COMPUTED_VALUE"""),9709.389595353976)</f>
        <v>9709.389595</v>
      </c>
      <c r="U246" s="79"/>
      <c r="V246" s="79">
        <f t="shared" si="15"/>
        <v>16622.01172</v>
      </c>
      <c r="W246" s="80">
        <f t="shared" si="7"/>
        <v>4158983.762</v>
      </c>
      <c r="X246" s="81">
        <f t="shared" si="2"/>
        <v>0.2188259271</v>
      </c>
      <c r="Y246" s="82">
        <f t="shared" si="19"/>
        <v>8798906.404</v>
      </c>
      <c r="Z246" s="6"/>
      <c r="AA246" s="83">
        <f t="shared" si="8"/>
        <v>21900.04261</v>
      </c>
      <c r="AB246" s="84">
        <f t="shared" si="9"/>
        <v>4508116.641</v>
      </c>
      <c r="AC246" s="79">
        <f t="shared" si="12"/>
        <v>21974.67928</v>
      </c>
      <c r="AD246" s="95">
        <f t="shared" si="10"/>
        <v>4480566.321</v>
      </c>
      <c r="AE246" s="81">
        <v>0.25</v>
      </c>
      <c r="AF246" s="82">
        <f t="shared" si="17"/>
        <v>8811846.39</v>
      </c>
      <c r="AG246" s="6"/>
      <c r="AH246" s="6"/>
      <c r="AI246" s="6"/>
      <c r="AJ246" s="6"/>
      <c r="AK246" s="6"/>
      <c r="AL246" s="6"/>
      <c r="AM246" s="6"/>
      <c r="AN246" s="6"/>
      <c r="AO246" s="6"/>
      <c r="AP246" s="6"/>
    </row>
    <row r="247" ht="11.25" customHeight="1">
      <c r="A247" s="7"/>
      <c r="B247" s="68">
        <f t="shared" si="16"/>
        <v>242</v>
      </c>
      <c r="C247" s="86">
        <f t="shared" si="20"/>
        <v>16622.01172</v>
      </c>
      <c r="D247" s="84">
        <f t="shared" si="5"/>
        <v>3330864.335</v>
      </c>
      <c r="E247" s="78"/>
      <c r="F247" s="79"/>
      <c r="G247" s="78">
        <f>IFERROR(__xludf.DUMMYFUNCTION("""COMPUTED_VALUE"""),7996.052443863739)</f>
        <v>7996.052444</v>
      </c>
      <c r="H247" s="101">
        <f>IFERROR(__xludf.DUMMYFUNCTION("""COMPUTED_VALUE"""),1129751.1216657015)</f>
        <v>1129751.122</v>
      </c>
      <c r="I247" s="78"/>
      <c r="J247" s="103">
        <v>3160000.0</v>
      </c>
      <c r="K247" s="78"/>
      <c r="L247" s="103"/>
      <c r="M247" s="6"/>
      <c r="N247" s="97"/>
      <c r="O247" s="6"/>
      <c r="P247" s="6"/>
      <c r="Q247" s="6"/>
      <c r="R247" s="6"/>
      <c r="S247" s="78">
        <f>IFERROR(__xludf.DUMMYFUNCTION("""COMPUTED_VALUE"""),6954.052443863824)</f>
        <v>6954.052444</v>
      </c>
      <c r="T247" s="9">
        <f>IFERROR(__xludf.DUMMYFUNCTION("""COMPUTED_VALUE"""),9767.23214752134)</f>
        <v>9767.232148</v>
      </c>
      <c r="U247" s="79"/>
      <c r="V247" s="79">
        <f t="shared" si="15"/>
        <v>16721.28459</v>
      </c>
      <c r="W247" s="80">
        <f t="shared" si="7"/>
        <v>4175705.046</v>
      </c>
      <c r="X247" s="81">
        <f t="shared" si="2"/>
        <v>0.2194217079</v>
      </c>
      <c r="Y247" s="82">
        <f t="shared" si="19"/>
        <v>8823623.742</v>
      </c>
      <c r="Z247" s="6"/>
      <c r="AA247" s="83">
        <f t="shared" si="8"/>
        <v>21974.67928</v>
      </c>
      <c r="AB247" s="84">
        <f t="shared" si="9"/>
        <v>4530091.321</v>
      </c>
      <c r="AC247" s="79">
        <f t="shared" si="12"/>
        <v>22049.60611</v>
      </c>
      <c r="AD247" s="85">
        <f t="shared" si="10"/>
        <v>4502615.927</v>
      </c>
      <c r="AE247" s="81">
        <v>0.25</v>
      </c>
      <c r="AF247" s="82">
        <f t="shared" si="17"/>
        <v>8841892.048</v>
      </c>
      <c r="AG247" s="6"/>
      <c r="AH247" s="6"/>
      <c r="AI247" s="6"/>
      <c r="AJ247" s="6"/>
      <c r="AK247" s="6"/>
      <c r="AL247" s="6"/>
      <c r="AM247" s="6"/>
      <c r="AN247" s="6"/>
      <c r="AO247" s="6"/>
      <c r="AP247" s="6"/>
    </row>
    <row r="248" ht="11.25" customHeight="1">
      <c r="A248" s="7"/>
      <c r="B248" s="68">
        <f t="shared" si="16"/>
        <v>243</v>
      </c>
      <c r="C248" s="86">
        <f t="shared" si="20"/>
        <v>16721.28459</v>
      </c>
      <c r="D248" s="84">
        <f t="shared" si="5"/>
        <v>3347585.62</v>
      </c>
      <c r="E248" s="78"/>
      <c r="F248" s="79"/>
      <c r="G248" s="78">
        <f>IFERROR(__xludf.DUMMYFUNCTION("""COMPUTED_VALUE"""),8037.6985503421965)</f>
        <v>8037.69855</v>
      </c>
      <c r="H248" s="101">
        <f>IFERROR(__xludf.DUMMYFUNCTION("""COMPUTED_VALUE"""),1137788.8202160436)</f>
        <v>1137788.82</v>
      </c>
      <c r="I248" s="78"/>
      <c r="J248" s="103">
        <v>3160000.0</v>
      </c>
      <c r="K248" s="78"/>
      <c r="L248" s="103"/>
      <c r="M248" s="6"/>
      <c r="N248" s="97"/>
      <c r="O248" s="6"/>
      <c r="P248" s="6"/>
      <c r="Q248" s="6"/>
      <c r="R248" s="6"/>
      <c r="S248" s="78">
        <f>IFERROR(__xludf.DUMMYFUNCTION("""COMPUTED_VALUE"""),6995.6985503421165)</f>
        <v>6995.69855</v>
      </c>
      <c r="T248" s="9">
        <f>IFERROR(__xludf.DUMMYFUNCTION("""COMPUTED_VALUE"""),9825.27112335572)</f>
        <v>9825.271123</v>
      </c>
      <c r="U248" s="79"/>
      <c r="V248" s="79">
        <f t="shared" si="15"/>
        <v>16820.96967</v>
      </c>
      <c r="W248" s="80">
        <f t="shared" si="7"/>
        <v>4192526.016</v>
      </c>
      <c r="X248" s="81">
        <f t="shared" si="2"/>
        <v>0.2200149882</v>
      </c>
      <c r="Y248" s="82">
        <f t="shared" si="19"/>
        <v>8848482.41</v>
      </c>
      <c r="Z248" s="6"/>
      <c r="AA248" s="83">
        <f t="shared" si="8"/>
        <v>22049.60611</v>
      </c>
      <c r="AB248" s="84">
        <f t="shared" si="9"/>
        <v>4552140.927</v>
      </c>
      <c r="AC248" s="79">
        <f t="shared" si="12"/>
        <v>22124.82437</v>
      </c>
      <c r="AD248" s="85">
        <f t="shared" si="10"/>
        <v>4524740.751</v>
      </c>
      <c r="AE248" s="81">
        <v>0.25</v>
      </c>
      <c r="AF248" s="82">
        <f t="shared" si="17"/>
        <v>8872054.571</v>
      </c>
      <c r="AG248" s="6"/>
      <c r="AH248" s="6"/>
      <c r="AI248" s="6"/>
      <c r="AJ248" s="6"/>
      <c r="AK248" s="6"/>
      <c r="AL248" s="6"/>
      <c r="AM248" s="6"/>
      <c r="AN248" s="6"/>
      <c r="AO248" s="6"/>
      <c r="AP248" s="6"/>
    </row>
    <row r="249" ht="11.25" customHeight="1">
      <c r="A249" s="7"/>
      <c r="B249" s="68">
        <f t="shared" si="16"/>
        <v>244</v>
      </c>
      <c r="C249" s="86">
        <f t="shared" si="20"/>
        <v>16820.96967</v>
      </c>
      <c r="D249" s="84">
        <f t="shared" si="5"/>
        <v>3364406.59</v>
      </c>
      <c r="E249" s="78"/>
      <c r="F249" s="79"/>
      <c r="G249" s="78">
        <f>IFERROR(__xludf.DUMMYFUNCTION("""COMPUTED_VALUE"""),8079.561563625229)</f>
        <v>8079.561564</v>
      </c>
      <c r="H249" s="101">
        <f>IFERROR(__xludf.DUMMYFUNCTION("""COMPUTED_VALUE"""),1145868.3817796689)</f>
        <v>1145868.382</v>
      </c>
      <c r="I249" s="78"/>
      <c r="J249" s="103">
        <v>3160000.0</v>
      </c>
      <c r="K249" s="78"/>
      <c r="L249" s="103"/>
      <c r="M249" s="6"/>
      <c r="N249" s="97"/>
      <c r="O249" s="6"/>
      <c r="P249" s="6"/>
      <c r="Q249" s="6"/>
      <c r="R249" s="6"/>
      <c r="S249" s="78">
        <f>IFERROR(__xludf.DUMMYFUNCTION("""COMPUTED_VALUE"""),7037.561563625233)</f>
        <v>7037.561564</v>
      </c>
      <c r="T249" s="78">
        <f>IFERROR(__xludf.DUMMYFUNCTION("""COMPUTED_VALUE"""),9883.507189878728)</f>
        <v>9883.50719</v>
      </c>
      <c r="U249" s="79"/>
      <c r="V249" s="79">
        <f t="shared" si="15"/>
        <v>16921.06875</v>
      </c>
      <c r="W249" s="80">
        <f t="shared" si="7"/>
        <v>4209447.085</v>
      </c>
      <c r="X249" s="81">
        <f t="shared" si="2"/>
        <v>0.2206057647</v>
      </c>
      <c r="Y249" s="82">
        <f t="shared" si="19"/>
        <v>8873483.04</v>
      </c>
      <c r="Z249" s="6"/>
      <c r="AA249" s="83">
        <f t="shared" si="8"/>
        <v>22124.82437</v>
      </c>
      <c r="AB249" s="84">
        <f t="shared" si="9"/>
        <v>4574265.751</v>
      </c>
      <c r="AC249" s="79">
        <f t="shared" si="12"/>
        <v>22200.33533</v>
      </c>
      <c r="AD249" s="85">
        <f t="shared" si="10"/>
        <v>4546941.086</v>
      </c>
      <c r="AE249" s="81">
        <v>0.25</v>
      </c>
      <c r="AF249" s="82">
        <f t="shared" si="17"/>
        <v>8902334.468</v>
      </c>
      <c r="AG249" s="6"/>
      <c r="AH249" s="6"/>
      <c r="AI249" s="6"/>
      <c r="AJ249" s="6"/>
      <c r="AK249" s="6"/>
      <c r="AL249" s="6"/>
      <c r="AM249" s="6"/>
      <c r="AN249" s="6"/>
      <c r="AO249" s="6"/>
      <c r="AP249" s="6"/>
    </row>
    <row r="250" ht="11.25" customHeight="1">
      <c r="A250" s="7"/>
      <c r="B250" s="68">
        <f t="shared" si="16"/>
        <v>245</v>
      </c>
      <c r="C250" s="86">
        <f t="shared" si="20"/>
        <v>16921.06875</v>
      </c>
      <c r="D250" s="84">
        <f t="shared" si="5"/>
        <v>3381327.658</v>
      </c>
      <c r="E250" s="78"/>
      <c r="F250" s="79"/>
      <c r="G250" s="78">
        <f>IFERROR(__xludf.DUMMYFUNCTION("""COMPUTED_VALUE"""),8121.642613435777)</f>
        <v>8121.642613</v>
      </c>
      <c r="H250" s="101">
        <f>IFERROR(__xludf.DUMMYFUNCTION("""COMPUTED_VALUE"""),1153990.0243931047)</f>
        <v>1153990.024</v>
      </c>
      <c r="I250" s="78"/>
      <c r="J250" s="103">
        <v>3160000.0</v>
      </c>
      <c r="K250" s="78"/>
      <c r="L250" s="103"/>
      <c r="M250" s="6"/>
      <c r="N250" s="97"/>
      <c r="O250" s="6"/>
      <c r="P250" s="6"/>
      <c r="Q250" s="6"/>
      <c r="R250" s="6"/>
      <c r="S250" s="78">
        <f>IFERROR(__xludf.DUMMYFUNCTION("""COMPUTED_VALUE"""),7079.642613435863)</f>
        <v>7079.642613</v>
      </c>
      <c r="T250" s="78">
        <f>IFERROR(__xludf.DUMMYFUNCTION("""COMPUTED_VALUE"""),9941.941016377648)</f>
        <v>9941.941016</v>
      </c>
      <c r="U250" s="79"/>
      <c r="V250" s="79">
        <f t="shared" si="15"/>
        <v>17021.58363</v>
      </c>
      <c r="W250" s="80">
        <f t="shared" si="7"/>
        <v>4226468.668</v>
      </c>
      <c r="X250" s="81">
        <f t="shared" si="2"/>
        <v>0.2211940342</v>
      </c>
      <c r="Y250" s="82">
        <f t="shared" si="19"/>
        <v>8898626.266</v>
      </c>
      <c r="Z250" s="6"/>
      <c r="AA250" s="83">
        <f t="shared" si="8"/>
        <v>22200.33533</v>
      </c>
      <c r="AB250" s="84">
        <f t="shared" si="9"/>
        <v>4596466.086</v>
      </c>
      <c r="AC250" s="79">
        <f t="shared" si="12"/>
        <v>22276.14028</v>
      </c>
      <c r="AD250" s="85">
        <f t="shared" si="10"/>
        <v>4569217.227</v>
      </c>
      <c r="AE250" s="81">
        <v>0.25</v>
      </c>
      <c r="AF250" s="82">
        <f t="shared" si="17"/>
        <v>8932732.251</v>
      </c>
      <c r="AG250" s="6"/>
      <c r="AH250" s="6"/>
      <c r="AI250" s="6"/>
      <c r="AJ250" s="6"/>
      <c r="AK250" s="6"/>
      <c r="AL250" s="6"/>
      <c r="AM250" s="6"/>
      <c r="AN250" s="6"/>
      <c r="AO250" s="6"/>
      <c r="AP250" s="6"/>
    </row>
    <row r="251" ht="11.25" customHeight="1">
      <c r="A251" s="7"/>
      <c r="B251" s="68">
        <f t="shared" si="16"/>
        <v>246</v>
      </c>
      <c r="C251" s="86">
        <f t="shared" si="20"/>
        <v>17021.58363</v>
      </c>
      <c r="D251" s="84">
        <f t="shared" si="5"/>
        <v>3398349.242</v>
      </c>
      <c r="E251" s="78"/>
      <c r="F251" s="79"/>
      <c r="G251" s="78">
        <f>IFERROR(__xludf.DUMMYFUNCTION("""COMPUTED_VALUE"""),8163.942835380754)</f>
        <v>8163.942835</v>
      </c>
      <c r="H251" s="101">
        <f>IFERROR(__xludf.DUMMYFUNCTION("""COMPUTED_VALUE"""),1162153.9672284855)</f>
        <v>1162153.967</v>
      </c>
      <c r="I251" s="78"/>
      <c r="J251" s="103">
        <v>3160000.0</v>
      </c>
      <c r="K251" s="78"/>
      <c r="L251" s="103"/>
      <c r="M251" s="6"/>
      <c r="N251" s="97"/>
      <c r="O251" s="6"/>
      <c r="P251" s="6"/>
      <c r="Q251" s="6"/>
      <c r="R251" s="6"/>
      <c r="S251" s="78">
        <f>IFERROR(__xludf.DUMMYFUNCTION("""COMPUTED_VALUE"""),7121.942835380789)</f>
        <v>7121.942835</v>
      </c>
      <c r="T251" s="78">
        <f>IFERROR(__xludf.DUMMYFUNCTION("""COMPUTED_VALUE"""),10000.573274412658)</f>
        <v>10000.57327</v>
      </c>
      <c r="U251" s="79"/>
      <c r="V251" s="79">
        <f t="shared" si="15"/>
        <v>17122.51611</v>
      </c>
      <c r="W251" s="80">
        <f t="shared" si="7"/>
        <v>4243591.184</v>
      </c>
      <c r="X251" s="81">
        <f t="shared" si="2"/>
        <v>0.221779794</v>
      </c>
      <c r="Y251" s="82">
        <f t="shared" si="19"/>
        <v>8923912.725</v>
      </c>
      <c r="Z251" s="6"/>
      <c r="AA251" s="83">
        <f t="shared" si="8"/>
        <v>22276.14028</v>
      </c>
      <c r="AB251" s="84">
        <f t="shared" si="9"/>
        <v>4618742.227</v>
      </c>
      <c r="AC251" s="79">
        <f t="shared" si="12"/>
        <v>22352.24048</v>
      </c>
      <c r="AD251" s="85">
        <f t="shared" si="10"/>
        <v>4591569.467</v>
      </c>
      <c r="AE251" s="81">
        <v>0.25</v>
      </c>
      <c r="AF251" s="82">
        <f t="shared" si="17"/>
        <v>8963248.434</v>
      </c>
      <c r="AG251" s="6"/>
      <c r="AH251" s="6"/>
      <c r="AI251" s="6"/>
      <c r="AJ251" s="6"/>
      <c r="AK251" s="6"/>
      <c r="AL251" s="6"/>
      <c r="AM251" s="6"/>
      <c r="AN251" s="6"/>
      <c r="AO251" s="6"/>
      <c r="AP251" s="6"/>
    </row>
    <row r="252" ht="11.25" customHeight="1">
      <c r="A252" s="7"/>
      <c r="B252" s="68">
        <f t="shared" si="16"/>
        <v>247</v>
      </c>
      <c r="C252" s="86">
        <f t="shared" si="20"/>
        <v>17122.51611</v>
      </c>
      <c r="D252" s="84">
        <f t="shared" si="5"/>
        <v>3415471.758</v>
      </c>
      <c r="E252" s="78"/>
      <c r="F252" s="79"/>
      <c r="G252" s="78">
        <f>IFERROR(__xludf.DUMMYFUNCTION("""COMPUTED_VALUE"""),8206.463370981695)</f>
        <v>8206.463371</v>
      </c>
      <c r="H252" s="101">
        <f>IFERROR(__xludf.DUMMYFUNCTION("""COMPUTED_VALUE"""),1170360.4305994671)</f>
        <v>1170360.431</v>
      </c>
      <c r="I252" s="78"/>
      <c r="J252" s="103">
        <v>3160000.0</v>
      </c>
      <c r="K252" s="78"/>
      <c r="L252" s="103"/>
      <c r="M252" s="6"/>
      <c r="N252" s="97"/>
      <c r="O252" s="6"/>
      <c r="P252" s="6"/>
      <c r="Q252" s="6"/>
      <c r="R252" s="6"/>
      <c r="S252" s="78">
        <f>IFERROR(__xludf.DUMMYFUNCTION("""COMPUTED_VALUE"""),7164.463370981626)</f>
        <v>7164.463371</v>
      </c>
      <c r="T252" s="78">
        <f>IFERROR(__xludf.DUMMYFUNCTION("""COMPUTED_VALUE"""),10059.40463782358)</f>
        <v>10059.40464</v>
      </c>
      <c r="U252" s="79"/>
      <c r="V252" s="79">
        <f t="shared" si="15"/>
        <v>17223.86801</v>
      </c>
      <c r="W252" s="80">
        <f t="shared" si="7"/>
        <v>4260815.052</v>
      </c>
      <c r="X252" s="81">
        <f t="shared" si="2"/>
        <v>0.222363041</v>
      </c>
      <c r="Y252" s="82">
        <f t="shared" si="19"/>
        <v>8949343.057</v>
      </c>
      <c r="Z252" s="6"/>
      <c r="AA252" s="83">
        <f t="shared" si="8"/>
        <v>22352.24048</v>
      </c>
      <c r="AB252" s="84">
        <f t="shared" si="9"/>
        <v>4641094.467</v>
      </c>
      <c r="AC252" s="79">
        <f t="shared" si="12"/>
        <v>22428.63724</v>
      </c>
      <c r="AD252" s="85">
        <f t="shared" si="10"/>
        <v>4613998.104</v>
      </c>
      <c r="AE252" s="81">
        <v>0.25</v>
      </c>
      <c r="AF252" s="82">
        <f t="shared" si="17"/>
        <v>8993883.535</v>
      </c>
      <c r="AG252" s="6"/>
      <c r="AH252" s="6"/>
      <c r="AI252" s="6"/>
      <c r="AJ252" s="6"/>
      <c r="AK252" s="6"/>
      <c r="AL252" s="6"/>
      <c r="AM252" s="6"/>
      <c r="AN252" s="6"/>
      <c r="AO252" s="6"/>
      <c r="AP252" s="6"/>
    </row>
    <row r="253" ht="11.25" customHeight="1">
      <c r="A253" s="7"/>
      <c r="B253" s="68">
        <f t="shared" si="16"/>
        <v>248</v>
      </c>
      <c r="C253" s="86">
        <f t="shared" si="20"/>
        <v>17223.86801</v>
      </c>
      <c r="D253" s="84">
        <f t="shared" si="5"/>
        <v>3432695.626</v>
      </c>
      <c r="E253" s="78"/>
      <c r="F253" s="79"/>
      <c r="G253" s="78">
        <f>IFERROR(__xludf.DUMMYFUNCTION("""COMPUTED_VALUE"""),8249.20536770556)</f>
        <v>8249.205368</v>
      </c>
      <c r="H253" s="101">
        <f>IFERROR(__xludf.DUMMYFUNCTION("""COMPUTED_VALUE"""),1178609.6359671727)</f>
        <v>1178609.636</v>
      </c>
      <c r="I253" s="78"/>
      <c r="J253" s="103">
        <v>3160000.0</v>
      </c>
      <c r="K253" s="78"/>
      <c r="L253" s="103"/>
      <c r="M253" s="6"/>
      <c r="N253" s="97"/>
      <c r="O253" s="6"/>
      <c r="P253" s="6"/>
      <c r="Q253" s="6"/>
      <c r="R253" s="6"/>
      <c r="S253" s="78">
        <f>IFERROR(__xludf.DUMMYFUNCTION("""COMPUTED_VALUE"""),7207.205367705552)</f>
        <v>7207.205368</v>
      </c>
      <c r="T253" s="78">
        <f>IFERROR(__xludf.DUMMYFUNCTION("""COMPUTED_VALUE"""),10118.435782739427)</f>
        <v>10118.43578</v>
      </c>
      <c r="U253" s="79"/>
      <c r="V253" s="79">
        <f t="shared" si="15"/>
        <v>17325.64115</v>
      </c>
      <c r="W253" s="80">
        <f t="shared" si="7"/>
        <v>4278140.693</v>
      </c>
      <c r="X253" s="81">
        <f t="shared" si="2"/>
        <v>0.2229437728</v>
      </c>
      <c r="Y253" s="82">
        <f t="shared" si="19"/>
        <v>8974917.903</v>
      </c>
      <c r="Z253" s="6"/>
      <c r="AA253" s="83">
        <f t="shared" si="8"/>
        <v>22428.63724</v>
      </c>
      <c r="AB253" s="84">
        <f t="shared" si="9"/>
        <v>4663523.104</v>
      </c>
      <c r="AC253" s="79">
        <f t="shared" si="12"/>
        <v>22505.33185</v>
      </c>
      <c r="AD253" s="85">
        <f t="shared" si="10"/>
        <v>4636503.436</v>
      </c>
      <c r="AE253" s="81">
        <v>0.25</v>
      </c>
      <c r="AF253" s="82">
        <f t="shared" si="17"/>
        <v>9024638.072</v>
      </c>
      <c r="AG253" s="6"/>
      <c r="AH253" s="6"/>
      <c r="AI253" s="6"/>
      <c r="AJ253" s="6"/>
      <c r="AK253" s="6"/>
      <c r="AL253" s="6"/>
      <c r="AM253" s="6"/>
      <c r="AN253" s="6"/>
      <c r="AO253" s="6"/>
      <c r="AP253" s="6"/>
    </row>
    <row r="254" ht="11.25" customHeight="1">
      <c r="A254" s="7"/>
      <c r="B254" s="68">
        <f t="shared" si="16"/>
        <v>249</v>
      </c>
      <c r="C254" s="86">
        <f t="shared" si="20"/>
        <v>17325.64115</v>
      </c>
      <c r="D254" s="84">
        <f t="shared" si="5"/>
        <v>3450021.267</v>
      </c>
      <c r="E254" s="78"/>
      <c r="F254" s="79"/>
      <c r="G254" s="78">
        <f>IFERROR(__xludf.DUMMYFUNCTION("""COMPUTED_VALUE"""),8292.169978995693)</f>
        <v>8292.169979</v>
      </c>
      <c r="H254" s="101">
        <f>IFERROR(__xludf.DUMMYFUNCTION("""COMPUTED_VALUE"""),1186901.8059461685)</f>
        <v>1186901.806</v>
      </c>
      <c r="I254" s="78"/>
      <c r="J254" s="103">
        <v>3160000.0</v>
      </c>
      <c r="K254" s="78"/>
      <c r="L254" s="103"/>
      <c r="M254" s="6"/>
      <c r="N254" s="97"/>
      <c r="O254" s="6"/>
      <c r="P254" s="6"/>
      <c r="Q254" s="6"/>
      <c r="R254" s="6"/>
      <c r="S254" s="78">
        <f>IFERROR(__xludf.DUMMYFUNCTION("""COMPUTED_VALUE"""),7250.1699789958075)</f>
        <v>7250.169979</v>
      </c>
      <c r="T254" s="78">
        <f>IFERROR(__xludf.DUMMYFUNCTION("""COMPUTED_VALUE"""),10177.667387585156)</f>
        <v>10177.66739</v>
      </c>
      <c r="U254" s="79"/>
      <c r="V254" s="79">
        <f t="shared" si="15"/>
        <v>17427.83737</v>
      </c>
      <c r="W254" s="80">
        <f t="shared" si="7"/>
        <v>4295568.531</v>
      </c>
      <c r="X254" s="81">
        <f t="shared" si="2"/>
        <v>0.2235219869</v>
      </c>
      <c r="Y254" s="82">
        <f t="shared" si="19"/>
        <v>9000637.911</v>
      </c>
      <c r="Z254" s="6"/>
      <c r="AA254" s="83">
        <f t="shared" si="8"/>
        <v>22505.33185</v>
      </c>
      <c r="AB254" s="84">
        <f t="shared" si="9"/>
        <v>4686028.436</v>
      </c>
      <c r="AC254" s="79">
        <f t="shared" si="12"/>
        <v>22582.32561</v>
      </c>
      <c r="AD254" s="85">
        <f t="shared" si="10"/>
        <v>4659085.762</v>
      </c>
      <c r="AE254" s="81">
        <v>0.25</v>
      </c>
      <c r="AF254" s="82">
        <f t="shared" si="17"/>
        <v>9055512.568</v>
      </c>
      <c r="AG254" s="6"/>
      <c r="AH254" s="6"/>
      <c r="AI254" s="6"/>
      <c r="AJ254" s="6"/>
      <c r="AK254" s="6"/>
      <c r="AL254" s="6"/>
      <c r="AM254" s="6"/>
      <c r="AN254" s="6"/>
      <c r="AO254" s="6"/>
      <c r="AP254" s="6"/>
    </row>
    <row r="255" ht="11.25" customHeight="1">
      <c r="A255" s="7"/>
      <c r="B255" s="68">
        <f t="shared" si="16"/>
        <v>250</v>
      </c>
      <c r="C255" s="86">
        <f t="shared" si="20"/>
        <v>17427.83737</v>
      </c>
      <c r="D255" s="84">
        <f t="shared" si="5"/>
        <v>3467449.105</v>
      </c>
      <c r="E255" s="78"/>
      <c r="F255" s="79"/>
      <c r="G255" s="78">
        <f>IFERROR(__xludf.DUMMYFUNCTION("""COMPUTED_VALUE"""),8335.358364302961)</f>
        <v>8335.358364</v>
      </c>
      <c r="H255" s="101">
        <f>IFERROR(__xludf.DUMMYFUNCTION("""COMPUTED_VALUE"""),1195237.1643104714)</f>
        <v>1195237.164</v>
      </c>
      <c r="I255" s="78"/>
      <c r="J255" s="103">
        <v>3160000.0</v>
      </c>
      <c r="K255" s="78"/>
      <c r="L255" s="103"/>
      <c r="M255" s="6"/>
      <c r="N255" s="97"/>
      <c r="O255" s="6"/>
      <c r="P255" s="6"/>
      <c r="Q255" s="6"/>
      <c r="R255" s="6"/>
      <c r="S255" s="78">
        <f>IFERROR(__xludf.DUMMYFUNCTION("""COMPUTED_VALUE"""),7293.358364302898)</f>
        <v>7293.358364</v>
      </c>
      <c r="T255" s="78">
        <f>IFERROR(__xludf.DUMMYFUNCTION("""COMPUTED_VALUE"""),10237.10013308865)</f>
        <v>10237.10013</v>
      </c>
      <c r="U255" s="79"/>
      <c r="V255" s="79">
        <f t="shared" si="15"/>
        <v>17530.4585</v>
      </c>
      <c r="W255" s="80">
        <f t="shared" si="7"/>
        <v>4313098.989</v>
      </c>
      <c r="X255" s="81">
        <f t="shared" si="2"/>
        <v>0.2240976807</v>
      </c>
      <c r="Y255" s="82">
        <f t="shared" si="19"/>
        <v>9026503.727</v>
      </c>
      <c r="Z255" s="6"/>
      <c r="AA255" s="83">
        <f t="shared" si="8"/>
        <v>22582.32561</v>
      </c>
      <c r="AB255" s="84">
        <f t="shared" si="9"/>
        <v>4708610.762</v>
      </c>
      <c r="AC255" s="79">
        <f t="shared" si="12"/>
        <v>22659.61982</v>
      </c>
      <c r="AD255" s="85">
        <f t="shared" si="10"/>
        <v>4681745.382</v>
      </c>
      <c r="AE255" s="81">
        <v>0.25</v>
      </c>
      <c r="AF255" s="82">
        <f t="shared" si="17"/>
        <v>9086507.546</v>
      </c>
      <c r="AG255" s="6"/>
      <c r="AH255" s="6"/>
      <c r="AI255" s="6"/>
      <c r="AJ255" s="6"/>
      <c r="AK255" s="6"/>
      <c r="AL255" s="6"/>
      <c r="AM255" s="6"/>
      <c r="AN255" s="6"/>
      <c r="AO255" s="6"/>
      <c r="AP255" s="6"/>
    </row>
    <row r="256" ht="11.25" customHeight="1">
      <c r="A256" s="7"/>
      <c r="B256" s="68">
        <f t="shared" si="16"/>
        <v>251</v>
      </c>
      <c r="C256" s="86">
        <f t="shared" si="20"/>
        <v>17530.4585</v>
      </c>
      <c r="D256" s="84">
        <f t="shared" si="5"/>
        <v>3484979.563</v>
      </c>
      <c r="E256" s="78"/>
      <c r="F256" s="79"/>
      <c r="G256" s="78">
        <f>IFERROR(__xludf.DUMMYFUNCTION("""COMPUTED_VALUE"""),8378.771689117038)</f>
        <v>8378.771689</v>
      </c>
      <c r="H256" s="101">
        <f>IFERROR(__xludf.DUMMYFUNCTION("""COMPUTED_VALUE"""),1203615.9359995883)</f>
        <v>1203615.936</v>
      </c>
      <c r="I256" s="78"/>
      <c r="J256" s="103">
        <v>3160000.0</v>
      </c>
      <c r="K256" s="78"/>
      <c r="L256" s="103"/>
      <c r="M256" s="6"/>
      <c r="N256" s="97"/>
      <c r="O256" s="6"/>
      <c r="P256" s="6"/>
      <c r="Q256" s="6"/>
      <c r="R256" s="6"/>
      <c r="S256" s="78">
        <f>IFERROR(__xludf.DUMMYFUNCTION("""COMPUTED_VALUE"""),7336.771689116955)</f>
        <v>7336.771689</v>
      </c>
      <c r="T256" s="78">
        <f>IFERROR(__xludf.DUMMYFUNCTION("""COMPUTED_VALUE"""),10296.734702290734)</f>
        <v>10296.7347</v>
      </c>
      <c r="U256" s="79"/>
      <c r="V256" s="79">
        <f t="shared" si="15"/>
        <v>17633.50639</v>
      </c>
      <c r="W256" s="80">
        <f t="shared" si="7"/>
        <v>4330732.496</v>
      </c>
      <c r="X256" s="81">
        <f t="shared" si="2"/>
        <v>0.2246708522</v>
      </c>
      <c r="Y256" s="82">
        <f t="shared" si="19"/>
        <v>9052516.005</v>
      </c>
      <c r="Z256" s="6"/>
      <c r="AA256" s="83">
        <f t="shared" si="8"/>
        <v>22659.61982</v>
      </c>
      <c r="AB256" s="84">
        <f t="shared" si="9"/>
        <v>4731270.382</v>
      </c>
      <c r="AC256" s="79">
        <f t="shared" si="12"/>
        <v>22737.21579</v>
      </c>
      <c r="AD256" s="85">
        <f t="shared" si="10"/>
        <v>4704482.597</v>
      </c>
      <c r="AE256" s="81">
        <v>0.25</v>
      </c>
      <c r="AF256" s="82">
        <f t="shared" si="17"/>
        <v>9117623.533</v>
      </c>
      <c r="AG256" s="6"/>
      <c r="AH256" s="6"/>
      <c r="AI256" s="6"/>
      <c r="AJ256" s="6"/>
      <c r="AK256" s="6"/>
      <c r="AL256" s="6"/>
      <c r="AM256" s="6"/>
      <c r="AN256" s="6"/>
      <c r="AO256" s="6"/>
      <c r="AP256" s="6"/>
    </row>
    <row r="257" ht="11.25" customHeight="1">
      <c r="A257" s="71"/>
      <c r="B257" s="72">
        <f t="shared" si="16"/>
        <v>252</v>
      </c>
      <c r="C257" s="86">
        <f t="shared" si="20"/>
        <v>17633.50639</v>
      </c>
      <c r="D257" s="88">
        <f t="shared" si="5"/>
        <v>3502613.069</v>
      </c>
      <c r="E257" s="89"/>
      <c r="F257" s="90"/>
      <c r="G257" s="89"/>
      <c r="H257" s="89">
        <v>1621713.0</v>
      </c>
      <c r="I257" s="89"/>
      <c r="J257" s="104">
        <v>3160000.0</v>
      </c>
      <c r="K257" s="89"/>
      <c r="L257" s="104"/>
      <c r="M257" s="6"/>
      <c r="N257" s="99"/>
      <c r="O257" s="10"/>
      <c r="P257" s="10"/>
      <c r="Q257" s="10"/>
      <c r="R257" s="10"/>
      <c r="S257" s="89">
        <f>IFERROR(__xludf.DUMMYFUNCTION("""COMPUTED_VALUE"""),7380.411124997772)</f>
        <v>7380.411125</v>
      </c>
      <c r="T257" s="89">
        <f>IFERROR(__xludf.DUMMYFUNCTION("""COMPUTED_VALUE"""),10356.571780550526)</f>
        <v>10356.57178</v>
      </c>
      <c r="U257" s="90"/>
      <c r="V257" s="90">
        <f t="shared" si="15"/>
        <v>17736.98291</v>
      </c>
      <c r="W257" s="91">
        <f t="shared" si="7"/>
        <v>4348469.479</v>
      </c>
      <c r="X257" s="81">
        <f t="shared" si="2"/>
        <v>0.2141029066</v>
      </c>
      <c r="Y257" s="82">
        <f t="shared" si="19"/>
        <v>9488350.052</v>
      </c>
      <c r="Z257" s="6"/>
      <c r="AA257" s="83">
        <f t="shared" si="8"/>
        <v>22737.21579</v>
      </c>
      <c r="AB257" s="88">
        <f t="shared" si="9"/>
        <v>4754007.597</v>
      </c>
      <c r="AC257" s="90">
        <f t="shared" si="12"/>
        <v>23839.30149</v>
      </c>
      <c r="AD257" s="94">
        <f t="shared" si="10"/>
        <v>4728321.899</v>
      </c>
      <c r="AE257" s="81">
        <v>0.25</v>
      </c>
      <c r="AF257" s="82">
        <f t="shared" si="17"/>
        <v>9559559.899</v>
      </c>
      <c r="AG257" s="6"/>
      <c r="AH257" s="6"/>
      <c r="AI257" s="6"/>
      <c r="AJ257" s="6"/>
      <c r="AK257" s="6"/>
      <c r="AL257" s="6"/>
      <c r="AM257" s="6"/>
      <c r="AN257" s="6"/>
      <c r="AO257" s="6"/>
      <c r="AP257" s="6"/>
    </row>
    <row r="258" ht="11.25" customHeight="1">
      <c r="A258" s="100">
        <v>22.0</v>
      </c>
      <c r="B258" s="66">
        <f t="shared" si="16"/>
        <v>253</v>
      </c>
      <c r="C258" s="86">
        <f t="shared" si="20"/>
        <v>17736.98291</v>
      </c>
      <c r="D258" s="84">
        <f t="shared" si="5"/>
        <v>3520350.052</v>
      </c>
      <c r="E258" s="78"/>
      <c r="F258" s="79"/>
      <c r="G258" s="78"/>
      <c r="H258" s="78">
        <v>1621713.0</v>
      </c>
      <c r="I258" s="78"/>
      <c r="J258" s="103">
        <v>3160000.0</v>
      </c>
      <c r="K258" s="78"/>
      <c r="L258" s="103"/>
      <c r="M258" s="6"/>
      <c r="N258" s="97"/>
      <c r="O258" s="6"/>
      <c r="P258" s="6"/>
      <c r="Q258" s="6"/>
      <c r="R258" s="6"/>
      <c r="S258" s="102">
        <f>IFERROR(__xludf.DUMMYFUNCTION("""COMPUTED_VALUE"""),7424.27784960717)</f>
        <v>7424.27785</v>
      </c>
      <c r="T258" s="9">
        <f>IFERROR(__xludf.DUMMYFUNCTION("""COMPUTED_VALUE"""),10416.612055555219)</f>
        <v>10416.61206</v>
      </c>
      <c r="U258" s="79"/>
      <c r="V258" s="79">
        <f t="shared" si="15"/>
        <v>17840.88991</v>
      </c>
      <c r="W258" s="80">
        <f t="shared" si="7"/>
        <v>4366310.369</v>
      </c>
      <c r="X258" s="81">
        <f t="shared" si="2"/>
        <v>0.2148970659</v>
      </c>
      <c r="Y258" s="82">
        <f t="shared" si="19"/>
        <v>9506190.942</v>
      </c>
      <c r="Z258" s="6"/>
      <c r="AA258" s="83">
        <f t="shared" si="8"/>
        <v>23839.30149</v>
      </c>
      <c r="AB258" s="84">
        <f t="shared" si="9"/>
        <v>4777846.899</v>
      </c>
      <c r="AC258" s="79">
        <f t="shared" si="12"/>
        <v>23898.89975</v>
      </c>
      <c r="AD258" s="95">
        <f t="shared" si="10"/>
        <v>4752220.799</v>
      </c>
      <c r="AE258" s="81">
        <v>0.25</v>
      </c>
      <c r="AF258" s="82">
        <f t="shared" si="17"/>
        <v>9583458.799</v>
      </c>
      <c r="AG258" s="6"/>
      <c r="AH258" s="6"/>
      <c r="AI258" s="6"/>
      <c r="AJ258" s="6"/>
      <c r="AK258" s="6"/>
      <c r="AL258" s="6"/>
      <c r="AM258" s="6"/>
      <c r="AN258" s="6"/>
      <c r="AO258" s="6"/>
      <c r="AP258" s="6"/>
    </row>
    <row r="259" ht="11.25" customHeight="1">
      <c r="A259" s="7"/>
      <c r="B259" s="68">
        <f t="shared" si="16"/>
        <v>254</v>
      </c>
      <c r="C259" s="86">
        <f t="shared" si="20"/>
        <v>17840.88991</v>
      </c>
      <c r="D259" s="84">
        <f t="shared" si="5"/>
        <v>3538190.942</v>
      </c>
      <c r="E259" s="78"/>
      <c r="F259" s="78"/>
      <c r="G259" s="78"/>
      <c r="H259" s="78">
        <v>1621713.0</v>
      </c>
      <c r="I259" s="78"/>
      <c r="J259" s="103">
        <v>3160000.0</v>
      </c>
      <c r="K259" s="78"/>
      <c r="L259" s="103"/>
      <c r="M259" s="6"/>
      <c r="N259" s="97"/>
      <c r="O259" s="6"/>
      <c r="P259" s="6"/>
      <c r="Q259" s="6"/>
      <c r="R259" s="6"/>
      <c r="S259" s="78">
        <f>IFERROR(__xludf.DUMMYFUNCTION("""COMPUTED_VALUE"""),7468.373046740657)</f>
        <v>7468.373047</v>
      </c>
      <c r="T259" s="9">
        <f>IFERROR(__xludf.DUMMYFUNCTION("""COMPUTED_VALUE"""),10476.856217327295)</f>
        <v>10476.85622</v>
      </c>
      <c r="U259" s="79"/>
      <c r="V259" s="79">
        <f t="shared" si="15"/>
        <v>17945.22926</v>
      </c>
      <c r="W259" s="80">
        <f t="shared" si="7"/>
        <v>4384255.598</v>
      </c>
      <c r="X259" s="81">
        <f t="shared" si="2"/>
        <v>0.215690342</v>
      </c>
      <c r="Y259" s="82">
        <f t="shared" si="19"/>
        <v>9524136.172</v>
      </c>
      <c r="Z259" s="6"/>
      <c r="AA259" s="83">
        <f t="shared" si="8"/>
        <v>23898.89975</v>
      </c>
      <c r="AB259" s="84">
        <f t="shared" si="9"/>
        <v>4801745.799</v>
      </c>
      <c r="AC259" s="79">
        <f t="shared" si="12"/>
        <v>23958.647</v>
      </c>
      <c r="AD259" s="85">
        <f t="shared" si="10"/>
        <v>4776179.446</v>
      </c>
      <c r="AE259" s="81">
        <v>0.25</v>
      </c>
      <c r="AF259" s="82">
        <f t="shared" si="17"/>
        <v>9607417.446</v>
      </c>
      <c r="AG259" s="6"/>
      <c r="AH259" s="6"/>
      <c r="AI259" s="6"/>
      <c r="AJ259" s="6"/>
      <c r="AK259" s="6"/>
      <c r="AL259" s="6"/>
      <c r="AM259" s="6"/>
      <c r="AN259" s="6"/>
      <c r="AO259" s="6"/>
      <c r="AP259" s="6"/>
    </row>
    <row r="260" ht="11.25" customHeight="1">
      <c r="A260" s="7"/>
      <c r="B260" s="68">
        <f t="shared" si="16"/>
        <v>255</v>
      </c>
      <c r="C260" s="86">
        <f t="shared" si="20"/>
        <v>17945.22926</v>
      </c>
      <c r="D260" s="84">
        <f t="shared" si="5"/>
        <v>3556136.172</v>
      </c>
      <c r="E260" s="78"/>
      <c r="F260" s="79"/>
      <c r="G260" s="78"/>
      <c r="H260" s="78">
        <v>1621713.0</v>
      </c>
      <c r="I260" s="78"/>
      <c r="J260" s="103">
        <v>3160000.0</v>
      </c>
      <c r="K260" s="78"/>
      <c r="L260" s="103"/>
      <c r="M260" s="6"/>
      <c r="N260" s="97"/>
      <c r="O260" s="6"/>
      <c r="P260" s="6"/>
      <c r="Q260" s="6"/>
      <c r="R260" s="6"/>
      <c r="S260" s="78">
        <f>IFERROR(__xludf.DUMMYFUNCTION("""COMPUTED_VALUE"""),7512.697906359099)</f>
        <v>7512.697906</v>
      </c>
      <c r="T260" s="9">
        <f>IFERROR(__xludf.DUMMYFUNCTION("""COMPUTED_VALUE"""),10537.30495823198)</f>
        <v>10537.30496</v>
      </c>
      <c r="U260" s="79"/>
      <c r="V260" s="79">
        <f t="shared" si="15"/>
        <v>18050.00286</v>
      </c>
      <c r="W260" s="80">
        <f t="shared" si="7"/>
        <v>4402305.601</v>
      </c>
      <c r="X260" s="81">
        <f t="shared" si="2"/>
        <v>0.2164827223</v>
      </c>
      <c r="Y260" s="82">
        <f t="shared" si="19"/>
        <v>9542186.174</v>
      </c>
      <c r="Z260" s="6"/>
      <c r="AA260" s="83">
        <f t="shared" si="8"/>
        <v>23958.647</v>
      </c>
      <c r="AB260" s="84">
        <f t="shared" si="9"/>
        <v>4825704.446</v>
      </c>
      <c r="AC260" s="79">
        <f t="shared" si="12"/>
        <v>24018.54361</v>
      </c>
      <c r="AD260" s="85">
        <f t="shared" si="10"/>
        <v>4800197.989</v>
      </c>
      <c r="AE260" s="81">
        <v>0.25</v>
      </c>
      <c r="AF260" s="82">
        <f t="shared" si="17"/>
        <v>9631435.989</v>
      </c>
      <c r="AG260" s="6"/>
      <c r="AH260" s="6"/>
      <c r="AI260" s="6"/>
      <c r="AJ260" s="6"/>
      <c r="AK260" s="6"/>
      <c r="AL260" s="6"/>
      <c r="AM260" s="6"/>
      <c r="AN260" s="6"/>
      <c r="AO260" s="6"/>
      <c r="AP260" s="6"/>
    </row>
    <row r="261" ht="11.25" customHeight="1">
      <c r="A261" s="7"/>
      <c r="B261" s="68">
        <f t="shared" si="16"/>
        <v>256</v>
      </c>
      <c r="C261" s="86">
        <f t="shared" si="20"/>
        <v>18050.00286</v>
      </c>
      <c r="D261" s="84">
        <f t="shared" si="5"/>
        <v>3574186.174</v>
      </c>
      <c r="E261" s="78"/>
      <c r="F261" s="79"/>
      <c r="G261" s="78"/>
      <c r="H261" s="78">
        <v>1621713.0</v>
      </c>
      <c r="I261" s="78"/>
      <c r="J261" s="103">
        <v>3160000.0</v>
      </c>
      <c r="K261" s="78"/>
      <c r="L261" s="103"/>
      <c r="M261" s="6"/>
      <c r="N261" s="97"/>
      <c r="O261" s="6"/>
      <c r="P261" s="6"/>
      <c r="Q261" s="6"/>
      <c r="R261" s="6"/>
      <c r="S261" s="78">
        <f>IFERROR(__xludf.DUMMYFUNCTION("""COMPUTED_VALUE"""),7557.253624621313)</f>
        <v>7557.253625</v>
      </c>
      <c r="T261" s="78">
        <f>IFERROR(__xludf.DUMMYFUNCTION("""COMPUTED_VALUE"""),10597.958972986089)</f>
        <v>10597.95897</v>
      </c>
      <c r="U261" s="79"/>
      <c r="V261" s="79">
        <f t="shared" si="15"/>
        <v>18155.2126</v>
      </c>
      <c r="W261" s="80">
        <f t="shared" si="7"/>
        <v>4420460.813</v>
      </c>
      <c r="X261" s="81">
        <f t="shared" si="2"/>
        <v>0.2172741942</v>
      </c>
      <c r="Y261" s="82">
        <f t="shared" si="19"/>
        <v>9560341.387</v>
      </c>
      <c r="Z261" s="6"/>
      <c r="AA261" s="83">
        <f t="shared" si="8"/>
        <v>24018.54361</v>
      </c>
      <c r="AB261" s="84">
        <f t="shared" si="9"/>
        <v>4849722.989</v>
      </c>
      <c r="AC261" s="79">
        <f t="shared" si="12"/>
        <v>24078.58997</v>
      </c>
      <c r="AD261" s="85">
        <f t="shared" si="10"/>
        <v>4824276.579</v>
      </c>
      <c r="AE261" s="81">
        <v>0.25</v>
      </c>
      <c r="AF261" s="82">
        <f t="shared" si="17"/>
        <v>9655514.579</v>
      </c>
      <c r="AG261" s="6"/>
      <c r="AH261" s="6"/>
      <c r="AI261" s="6"/>
      <c r="AJ261" s="6"/>
      <c r="AK261" s="6"/>
      <c r="AL261" s="6"/>
      <c r="AM261" s="6"/>
      <c r="AN261" s="6"/>
      <c r="AO261" s="6"/>
      <c r="AP261" s="6"/>
    </row>
    <row r="262" ht="11.25" customHeight="1">
      <c r="A262" s="7"/>
      <c r="B262" s="68">
        <f t="shared" si="16"/>
        <v>257</v>
      </c>
      <c r="C262" s="86">
        <f t="shared" si="20"/>
        <v>18155.2126</v>
      </c>
      <c r="D262" s="84">
        <f t="shared" si="5"/>
        <v>3592341.387</v>
      </c>
      <c r="E262" s="78"/>
      <c r="F262" s="79"/>
      <c r="G262" s="78"/>
      <c r="H262" s="78">
        <v>1621713.0</v>
      </c>
      <c r="I262" s="78"/>
      <c r="J262" s="103">
        <v>3160000.0</v>
      </c>
      <c r="K262" s="78"/>
      <c r="L262" s="103"/>
      <c r="M262" s="6"/>
      <c r="N262" s="97"/>
      <c r="O262" s="6"/>
      <c r="P262" s="6"/>
      <c r="Q262" s="6"/>
      <c r="R262" s="6"/>
      <c r="S262" s="78">
        <f>IFERROR(__xludf.DUMMYFUNCTION("""COMPUTED_VALUE"""),7602.041403916199)</f>
        <v>7602.041404</v>
      </c>
      <c r="T262" s="78">
        <f>IFERROR(__xludf.DUMMYFUNCTION("""COMPUTED_VALUE"""),10658.818958665011)</f>
        <v>10658.81896</v>
      </c>
      <c r="U262" s="79"/>
      <c r="V262" s="79">
        <f t="shared" si="15"/>
        <v>18260.86036</v>
      </c>
      <c r="W262" s="80">
        <f t="shared" si="7"/>
        <v>4438721.674</v>
      </c>
      <c r="X262" s="81">
        <f t="shared" si="2"/>
        <v>0.2180647452</v>
      </c>
      <c r="Y262" s="82">
        <f t="shared" si="19"/>
        <v>9578602.247</v>
      </c>
      <c r="Z262" s="6"/>
      <c r="AA262" s="83">
        <f t="shared" si="8"/>
        <v>24078.58997</v>
      </c>
      <c r="AB262" s="84">
        <f t="shared" si="9"/>
        <v>4873801.579</v>
      </c>
      <c r="AC262" s="79">
        <f t="shared" si="12"/>
        <v>24138.78645</v>
      </c>
      <c r="AD262" s="85">
        <f t="shared" si="10"/>
        <v>4848415.366</v>
      </c>
      <c r="AE262" s="81">
        <v>0.25</v>
      </c>
      <c r="AF262" s="82">
        <f t="shared" si="17"/>
        <v>9679653.366</v>
      </c>
      <c r="AG262" s="6"/>
      <c r="AH262" s="6"/>
      <c r="AI262" s="6"/>
      <c r="AJ262" s="6"/>
      <c r="AK262" s="6"/>
      <c r="AL262" s="6"/>
      <c r="AM262" s="6"/>
      <c r="AN262" s="6"/>
      <c r="AO262" s="6"/>
      <c r="AP262" s="6"/>
    </row>
    <row r="263" ht="11.25" customHeight="1">
      <c r="A263" s="7"/>
      <c r="B263" s="68">
        <f t="shared" si="16"/>
        <v>258</v>
      </c>
      <c r="C263" s="86">
        <f t="shared" si="20"/>
        <v>18260.86036</v>
      </c>
      <c r="D263" s="84">
        <f t="shared" si="5"/>
        <v>3610602.247</v>
      </c>
      <c r="E263" s="78"/>
      <c r="F263" s="79"/>
      <c r="G263" s="78"/>
      <c r="H263" s="78">
        <v>1621713.0</v>
      </c>
      <c r="I263" s="78"/>
      <c r="J263" s="103">
        <v>3160000.0</v>
      </c>
      <c r="K263" s="78"/>
      <c r="L263" s="103"/>
      <c r="M263" s="6"/>
      <c r="N263" s="97"/>
      <c r="O263" s="6"/>
      <c r="P263" s="6"/>
      <c r="Q263" s="6"/>
      <c r="R263" s="6"/>
      <c r="S263" s="78">
        <f>IFERROR(__xludf.DUMMYFUNCTION("""COMPUTED_VALUE"""),7647.062452894868)</f>
        <v>7647.062453</v>
      </c>
      <c r="T263" s="78">
        <f>IFERROR(__xludf.DUMMYFUNCTION("""COMPUTED_VALUE"""),10719.885614712257)</f>
        <v>10719.88561</v>
      </c>
      <c r="U263" s="79"/>
      <c r="V263" s="79">
        <f t="shared" si="15"/>
        <v>18366.94807</v>
      </c>
      <c r="W263" s="80">
        <f t="shared" si="7"/>
        <v>4457088.622</v>
      </c>
      <c r="X263" s="81">
        <f t="shared" si="2"/>
        <v>0.2188543629</v>
      </c>
      <c r="Y263" s="82">
        <f t="shared" si="19"/>
        <v>9596969.195</v>
      </c>
      <c r="Z263" s="6"/>
      <c r="AA263" s="83">
        <f t="shared" si="8"/>
        <v>24138.78645</v>
      </c>
      <c r="AB263" s="84">
        <f t="shared" si="9"/>
        <v>4897940.366</v>
      </c>
      <c r="AC263" s="79">
        <f t="shared" si="12"/>
        <v>24199.13341</v>
      </c>
      <c r="AD263" s="85">
        <f t="shared" si="10"/>
        <v>4872614.499</v>
      </c>
      <c r="AE263" s="81">
        <v>0.25</v>
      </c>
      <c r="AF263" s="82">
        <f t="shared" si="17"/>
        <v>9703852.499</v>
      </c>
      <c r="AG263" s="6"/>
      <c r="AH263" s="6"/>
      <c r="AI263" s="6"/>
      <c r="AJ263" s="6"/>
      <c r="AK263" s="6"/>
      <c r="AL263" s="6"/>
      <c r="AM263" s="6"/>
      <c r="AN263" s="6"/>
      <c r="AO263" s="6"/>
      <c r="AP263" s="6"/>
    </row>
    <row r="264" ht="11.25" customHeight="1">
      <c r="A264" s="7"/>
      <c r="B264" s="68">
        <f t="shared" si="16"/>
        <v>259</v>
      </c>
      <c r="C264" s="86">
        <f t="shared" si="20"/>
        <v>18366.94807</v>
      </c>
      <c r="D264" s="84">
        <f t="shared" si="5"/>
        <v>3628969.195</v>
      </c>
      <c r="E264" s="78"/>
      <c r="F264" s="79"/>
      <c r="G264" s="78"/>
      <c r="H264" s="78">
        <v>1621713.0</v>
      </c>
      <c r="I264" s="78"/>
      <c r="J264" s="103">
        <v>3160000.0</v>
      </c>
      <c r="K264" s="78"/>
      <c r="L264" s="103"/>
      <c r="M264" s="6"/>
      <c r="N264" s="97"/>
      <c r="O264" s="6"/>
      <c r="P264" s="6"/>
      <c r="Q264" s="6"/>
      <c r="R264" s="6"/>
      <c r="S264" s="78">
        <f>IFERROR(__xludf.DUMMYFUNCTION("""COMPUTED_VALUE"""),7692.317986503709)</f>
        <v>7692.317987</v>
      </c>
      <c r="T264" s="78">
        <f>IFERROR(__xludf.DUMMYFUNCTION("""COMPUTED_VALUE"""),10781.15964294551)</f>
        <v>10781.15964</v>
      </c>
      <c r="U264" s="79"/>
      <c r="V264" s="79">
        <f t="shared" si="15"/>
        <v>18473.47763</v>
      </c>
      <c r="W264" s="80">
        <f t="shared" si="7"/>
        <v>4475562.099</v>
      </c>
      <c r="X264" s="81">
        <f t="shared" si="2"/>
        <v>0.2196430349</v>
      </c>
      <c r="Y264" s="82">
        <f t="shared" si="19"/>
        <v>9615442.673</v>
      </c>
      <c r="Z264" s="6"/>
      <c r="AA264" s="83">
        <f t="shared" si="8"/>
        <v>24199.13341</v>
      </c>
      <c r="AB264" s="84">
        <f t="shared" si="9"/>
        <v>4922139.499</v>
      </c>
      <c r="AC264" s="79">
        <f t="shared" si="12"/>
        <v>24259.63125</v>
      </c>
      <c r="AD264" s="85">
        <f t="shared" si="10"/>
        <v>4896874.13</v>
      </c>
      <c r="AE264" s="81">
        <v>0.25</v>
      </c>
      <c r="AF264" s="82">
        <f t="shared" si="17"/>
        <v>9728112.13</v>
      </c>
      <c r="AG264" s="6"/>
      <c r="AH264" s="6"/>
      <c r="AI264" s="6"/>
      <c r="AJ264" s="6"/>
      <c r="AK264" s="6"/>
      <c r="AL264" s="6"/>
      <c r="AM264" s="6"/>
      <c r="AN264" s="6"/>
      <c r="AO264" s="6"/>
      <c r="AP264" s="6"/>
    </row>
    <row r="265" ht="11.25" customHeight="1">
      <c r="A265" s="7"/>
      <c r="B265" s="68">
        <f t="shared" si="16"/>
        <v>260</v>
      </c>
      <c r="C265" s="86">
        <f t="shared" si="20"/>
        <v>18473.47763</v>
      </c>
      <c r="D265" s="84">
        <f t="shared" si="5"/>
        <v>3647442.673</v>
      </c>
      <c r="E265" s="78"/>
      <c r="F265" s="79"/>
      <c r="G265" s="78"/>
      <c r="H265" s="78">
        <v>1621713.0</v>
      </c>
      <c r="I265" s="78"/>
      <c r="J265" s="103">
        <v>3160000.0</v>
      </c>
      <c r="K265" s="78"/>
      <c r="L265" s="103"/>
      <c r="M265" s="6"/>
      <c r="N265" s="97"/>
      <c r="O265" s="6"/>
      <c r="P265" s="6"/>
      <c r="Q265" s="6"/>
      <c r="R265" s="6"/>
      <c r="S265" s="78">
        <f>IFERROR(__xludf.DUMMYFUNCTION("""COMPUTED_VALUE"""),7737.809226016747)</f>
        <v>7737.809226</v>
      </c>
      <c r="T265" s="78">
        <f>IFERROR(__xludf.DUMMYFUNCTION("""COMPUTED_VALUE"""),10842.641747566173)</f>
        <v>10842.64175</v>
      </c>
      <c r="U265" s="79"/>
      <c r="V265" s="79">
        <f t="shared" si="15"/>
        <v>18580.45097</v>
      </c>
      <c r="W265" s="80">
        <f t="shared" si="7"/>
        <v>4494142.55</v>
      </c>
      <c r="X265" s="81">
        <f t="shared" si="2"/>
        <v>0.2204307489</v>
      </c>
      <c r="Y265" s="82">
        <f t="shared" si="19"/>
        <v>9634023.124</v>
      </c>
      <c r="Z265" s="6"/>
      <c r="AA265" s="83">
        <f t="shared" si="8"/>
        <v>24259.63125</v>
      </c>
      <c r="AB265" s="84">
        <f t="shared" si="9"/>
        <v>4946399.13</v>
      </c>
      <c r="AC265" s="79">
        <f t="shared" si="12"/>
        <v>24320.28033</v>
      </c>
      <c r="AD265" s="85">
        <f t="shared" si="10"/>
        <v>4921194.411</v>
      </c>
      <c r="AE265" s="81">
        <v>0.25</v>
      </c>
      <c r="AF265" s="82">
        <f t="shared" si="17"/>
        <v>9752432.411</v>
      </c>
      <c r="AG265" s="6"/>
      <c r="AH265" s="6"/>
      <c r="AI265" s="6"/>
      <c r="AJ265" s="6"/>
      <c r="AK265" s="6"/>
      <c r="AL265" s="6"/>
      <c r="AM265" s="6"/>
      <c r="AN265" s="6"/>
      <c r="AO265" s="6"/>
      <c r="AP265" s="6"/>
    </row>
    <row r="266" ht="11.25" customHeight="1">
      <c r="A266" s="7"/>
      <c r="B266" s="68">
        <f t="shared" si="16"/>
        <v>261</v>
      </c>
      <c r="C266" s="86">
        <f t="shared" si="20"/>
        <v>18580.45097</v>
      </c>
      <c r="D266" s="84">
        <f t="shared" si="5"/>
        <v>3666023.124</v>
      </c>
      <c r="E266" s="78"/>
      <c r="F266" s="79"/>
      <c r="G266" s="78"/>
      <c r="H266" s="78">
        <v>1621713.0</v>
      </c>
      <c r="I266" s="78"/>
      <c r="J266" s="103">
        <v>3160000.0</v>
      </c>
      <c r="K266" s="78"/>
      <c r="L266" s="103"/>
      <c r="M266" s="6"/>
      <c r="N266" s="97"/>
      <c r="O266" s="6"/>
      <c r="P266" s="6"/>
      <c r="Q266" s="6"/>
      <c r="R266" s="6"/>
      <c r="S266" s="78">
        <f>IFERROR(__xludf.DUMMYFUNCTION("""COMPUTED_VALUE"""),7783.53739906894)</f>
        <v>7783.537399</v>
      </c>
      <c r="T266" s="78">
        <f>IFERROR(__xludf.DUMMYFUNCTION("""COMPUTED_VALUE"""),10904.332635167986)</f>
        <v>10904.33264</v>
      </c>
      <c r="U266" s="79"/>
      <c r="V266" s="79">
        <f t="shared" si="15"/>
        <v>18687.87003</v>
      </c>
      <c r="W266" s="80">
        <f t="shared" si="7"/>
        <v>4512830.42</v>
      </c>
      <c r="X266" s="81">
        <f t="shared" si="2"/>
        <v>0.2212174926</v>
      </c>
      <c r="Y266" s="82">
        <f t="shared" si="19"/>
        <v>9652710.994</v>
      </c>
      <c r="Z266" s="6"/>
      <c r="AA266" s="83">
        <f t="shared" si="8"/>
        <v>24320.28033</v>
      </c>
      <c r="AB266" s="84">
        <f t="shared" si="9"/>
        <v>4970719.411</v>
      </c>
      <c r="AC266" s="79">
        <f t="shared" si="12"/>
        <v>24381.08103</v>
      </c>
      <c r="AD266" s="85">
        <f t="shared" si="10"/>
        <v>4945575.492</v>
      </c>
      <c r="AE266" s="81">
        <v>0.25</v>
      </c>
      <c r="AF266" s="82">
        <f t="shared" si="17"/>
        <v>9776813.492</v>
      </c>
      <c r="AG266" s="6"/>
      <c r="AH266" s="6"/>
      <c r="AI266" s="6"/>
      <c r="AJ266" s="6"/>
      <c r="AK266" s="6"/>
      <c r="AL266" s="6"/>
      <c r="AM266" s="6"/>
      <c r="AN266" s="6"/>
      <c r="AO266" s="6"/>
      <c r="AP266" s="6"/>
    </row>
    <row r="267" ht="11.25" customHeight="1">
      <c r="A267" s="7"/>
      <c r="B267" s="68">
        <f t="shared" si="16"/>
        <v>262</v>
      </c>
      <c r="C267" s="86">
        <f t="shared" si="20"/>
        <v>18687.87003</v>
      </c>
      <c r="D267" s="84">
        <f t="shared" si="5"/>
        <v>3684710.994</v>
      </c>
      <c r="E267" s="78"/>
      <c r="F267" s="79"/>
      <c r="G267" s="78"/>
      <c r="H267" s="78">
        <v>1621713.0</v>
      </c>
      <c r="I267" s="78"/>
      <c r="J267" s="103">
        <v>3160000.0</v>
      </c>
      <c r="K267" s="78"/>
      <c r="L267" s="103"/>
      <c r="M267" s="6"/>
      <c r="N267" s="97"/>
      <c r="O267" s="6"/>
      <c r="P267" s="6"/>
      <c r="Q267" s="6"/>
      <c r="R267" s="6"/>
      <c r="S267" s="78">
        <f>IFERROR(__xludf.DUMMYFUNCTION("""COMPUTED_VALUE"""),7829.503739689244)</f>
        <v>7829.50374</v>
      </c>
      <c r="T267" s="78">
        <f>IFERROR(__xludf.DUMMYFUNCTION("""COMPUTED_VALUE"""),10966.233014740981)</f>
        <v>10966.23301</v>
      </c>
      <c r="U267" s="79"/>
      <c r="V267" s="79">
        <f t="shared" si="15"/>
        <v>18795.73675</v>
      </c>
      <c r="W267" s="80">
        <f t="shared" si="7"/>
        <v>4531626.157</v>
      </c>
      <c r="X267" s="81">
        <f t="shared" si="2"/>
        <v>0.2220032539</v>
      </c>
      <c r="Y267" s="82">
        <f t="shared" si="19"/>
        <v>9671506.731</v>
      </c>
      <c r="Z267" s="6"/>
      <c r="AA267" s="83">
        <f t="shared" si="8"/>
        <v>24381.08103</v>
      </c>
      <c r="AB267" s="84">
        <f t="shared" si="9"/>
        <v>4995100.492</v>
      </c>
      <c r="AC267" s="79">
        <f t="shared" si="12"/>
        <v>24442.03373</v>
      </c>
      <c r="AD267" s="85">
        <f t="shared" si="10"/>
        <v>4970017.525</v>
      </c>
      <c r="AE267" s="81">
        <v>0.25</v>
      </c>
      <c r="AF267" s="82">
        <f t="shared" si="17"/>
        <v>9801255.525</v>
      </c>
      <c r="AG267" s="6"/>
      <c r="AH267" s="6"/>
      <c r="AI267" s="6"/>
      <c r="AJ267" s="6"/>
      <c r="AK267" s="6"/>
      <c r="AL267" s="6"/>
      <c r="AM267" s="6"/>
      <c r="AN267" s="6"/>
      <c r="AO267" s="6"/>
      <c r="AP267" s="6"/>
    </row>
    <row r="268" ht="11.25" customHeight="1">
      <c r="A268" s="7"/>
      <c r="B268" s="68">
        <f t="shared" si="16"/>
        <v>263</v>
      </c>
      <c r="C268" s="86">
        <f t="shared" si="20"/>
        <v>18795.73675</v>
      </c>
      <c r="D268" s="84">
        <f t="shared" si="5"/>
        <v>3703506.731</v>
      </c>
      <c r="E268" s="78"/>
      <c r="F268" s="79"/>
      <c r="G268" s="78"/>
      <c r="H268" s="78">
        <v>1621713.0</v>
      </c>
      <c r="I268" s="78"/>
      <c r="J268" s="103">
        <v>3160000.0</v>
      </c>
      <c r="K268" s="78"/>
      <c r="L268" s="103"/>
      <c r="M268" s="6"/>
      <c r="N268" s="97"/>
      <c r="O268" s="6"/>
      <c r="P268" s="6"/>
      <c r="Q268" s="6"/>
      <c r="R268" s="6"/>
      <c r="S268" s="78">
        <f>IFERROR(__xludf.DUMMYFUNCTION("""COMPUTED_VALUE"""),7875.709488333436)</f>
        <v>7875.709488</v>
      </c>
      <c r="T268" s="78">
        <f>IFERROR(__xludf.DUMMYFUNCTION("""COMPUTED_VALUE"""),11028.34359768685)</f>
        <v>11028.3436</v>
      </c>
      <c r="U268" s="78"/>
      <c r="V268" s="79">
        <f t="shared" si="15"/>
        <v>18904.05309</v>
      </c>
      <c r="W268" s="80">
        <f t="shared" si="7"/>
        <v>4550530.21</v>
      </c>
      <c r="X268" s="81">
        <f t="shared" si="2"/>
        <v>0.2227880206</v>
      </c>
      <c r="Y268" s="82">
        <f t="shared" si="19"/>
        <v>9690410.784</v>
      </c>
      <c r="Z268" s="6"/>
      <c r="AA268" s="83">
        <f t="shared" si="8"/>
        <v>24442.03373</v>
      </c>
      <c r="AB268" s="84">
        <f t="shared" si="9"/>
        <v>5019542.525</v>
      </c>
      <c r="AC268" s="79">
        <f t="shared" si="12"/>
        <v>24503.13881</v>
      </c>
      <c r="AD268" s="85">
        <f t="shared" si="10"/>
        <v>4994520.664</v>
      </c>
      <c r="AE268" s="81">
        <v>0.25</v>
      </c>
      <c r="AF268" s="82">
        <f t="shared" si="17"/>
        <v>9825758.664</v>
      </c>
      <c r="AG268" s="6"/>
      <c r="AH268" s="6"/>
      <c r="AI268" s="6"/>
      <c r="AJ268" s="6"/>
      <c r="AK268" s="6"/>
      <c r="AL268" s="6"/>
      <c r="AM268" s="6"/>
      <c r="AN268" s="6"/>
      <c r="AO268" s="6"/>
      <c r="AP268" s="6"/>
    </row>
    <row r="269" ht="11.25" customHeight="1">
      <c r="A269" s="71"/>
      <c r="B269" s="72">
        <f t="shared" si="16"/>
        <v>264</v>
      </c>
      <c r="C269" s="86">
        <f t="shared" si="20"/>
        <v>18904.05309</v>
      </c>
      <c r="D269" s="88">
        <f t="shared" si="5"/>
        <v>3722410.784</v>
      </c>
      <c r="E269" s="89"/>
      <c r="F269" s="90"/>
      <c r="G269" s="89"/>
      <c r="H269" s="89">
        <v>1621713.0</v>
      </c>
      <c r="I269" s="89"/>
      <c r="J269" s="104">
        <v>3160000.0</v>
      </c>
      <c r="K269" s="89"/>
      <c r="L269" s="104"/>
      <c r="M269" s="6"/>
      <c r="N269" s="99"/>
      <c r="O269" s="10"/>
      <c r="P269" s="10"/>
      <c r="Q269" s="10"/>
      <c r="R269" s="10"/>
      <c r="S269" s="89">
        <f>IFERROR(__xludf.DUMMYFUNCTION("""COMPUTED_VALUE"""),7922.155891918344)</f>
        <v>7922.155892</v>
      </c>
      <c r="T269" s="89">
        <f>IFERROR(__xludf.DUMMYFUNCTION("""COMPUTED_VALUE"""),11090.665097820573)</f>
        <v>11090.6651</v>
      </c>
      <c r="U269" s="89"/>
      <c r="V269" s="90">
        <f t="shared" si="15"/>
        <v>19012.82099</v>
      </c>
      <c r="W269" s="91">
        <f t="shared" si="7"/>
        <v>4569543.031</v>
      </c>
      <c r="X269" s="81">
        <f t="shared" si="2"/>
        <v>0.2235717809</v>
      </c>
      <c r="Y269" s="82">
        <f t="shared" si="19"/>
        <v>9709423.605</v>
      </c>
      <c r="Z269" s="6"/>
      <c r="AA269" s="83">
        <f t="shared" si="8"/>
        <v>24503.13881</v>
      </c>
      <c r="AB269" s="88">
        <f t="shared" si="9"/>
        <v>5044045.664</v>
      </c>
      <c r="AC269" s="90">
        <f t="shared" si="12"/>
        <v>24564.39666</v>
      </c>
      <c r="AD269" s="94">
        <f t="shared" si="10"/>
        <v>5019085.061</v>
      </c>
      <c r="AE269" s="81">
        <v>0.25</v>
      </c>
      <c r="AF269" s="82">
        <f t="shared" si="17"/>
        <v>9850323.061</v>
      </c>
      <c r="AG269" s="6"/>
      <c r="AH269" s="6"/>
      <c r="AI269" s="6"/>
      <c r="AJ269" s="6"/>
      <c r="AK269" s="6"/>
      <c r="AL269" s="6"/>
      <c r="AM269" s="6"/>
      <c r="AN269" s="6"/>
      <c r="AO269" s="6"/>
      <c r="AP269" s="6"/>
    </row>
    <row r="270" ht="11.25" customHeight="1">
      <c r="A270" s="100">
        <v>23.0</v>
      </c>
      <c r="B270" s="66">
        <f t="shared" si="16"/>
        <v>265</v>
      </c>
      <c r="C270" s="86">
        <f t="shared" si="20"/>
        <v>19012.82099</v>
      </c>
      <c r="D270" s="84">
        <f t="shared" si="5"/>
        <v>3741423.605</v>
      </c>
      <c r="E270" s="78"/>
      <c r="F270" s="79"/>
      <c r="G270" s="78"/>
      <c r="H270" s="78">
        <v>1621713.0</v>
      </c>
      <c r="I270" s="78"/>
      <c r="J270" s="103">
        <v>3160000.0</v>
      </c>
      <c r="K270" s="78"/>
      <c r="L270" s="103"/>
      <c r="M270" s="6"/>
      <c r="N270" s="97"/>
      <c r="O270" s="6"/>
      <c r="P270" s="6"/>
      <c r="Q270" s="6"/>
      <c r="R270" s="6"/>
      <c r="S270" s="102">
        <f>IFERROR(__xludf.DUMMYFUNCTION("""COMPUTED_VALUE"""),7968.8442038556095)</f>
        <v>7968.844204</v>
      </c>
      <c r="T270" s="9">
        <f>IFERROR(__xludf.DUMMYFUNCTION("""COMPUTED_VALUE"""),11153.198231382295)</f>
        <v>11153.19823</v>
      </c>
      <c r="U270" s="78"/>
      <c r="V270" s="79">
        <f t="shared" si="15"/>
        <v>19122.04244</v>
      </c>
      <c r="W270" s="80">
        <f t="shared" si="7"/>
        <v>4588665.074</v>
      </c>
      <c r="X270" s="81">
        <f t="shared" si="2"/>
        <v>0.2243545225</v>
      </c>
      <c r="Y270" s="82">
        <f t="shared" si="19"/>
        <v>9728545.647</v>
      </c>
      <c r="Z270" s="6"/>
      <c r="AA270" s="83">
        <f t="shared" si="8"/>
        <v>24564.39666</v>
      </c>
      <c r="AB270" s="84">
        <f t="shared" si="9"/>
        <v>5068610.061</v>
      </c>
      <c r="AC270" s="79">
        <f t="shared" si="12"/>
        <v>24625.80765</v>
      </c>
      <c r="AD270" s="95">
        <f t="shared" si="10"/>
        <v>5043710.869</v>
      </c>
      <c r="AE270" s="81">
        <v>0.25</v>
      </c>
      <c r="AF270" s="82">
        <f t="shared" si="17"/>
        <v>9874948.869</v>
      </c>
      <c r="AG270" s="6"/>
      <c r="AH270" s="6"/>
      <c r="AI270" s="6"/>
      <c r="AJ270" s="6"/>
      <c r="AK270" s="6"/>
      <c r="AL270" s="6"/>
      <c r="AM270" s="6"/>
      <c r="AN270" s="6"/>
      <c r="AO270" s="6"/>
      <c r="AP270" s="6"/>
    </row>
    <row r="271" ht="11.25" customHeight="1">
      <c r="A271" s="7"/>
      <c r="B271" s="68">
        <f t="shared" si="16"/>
        <v>266</v>
      </c>
      <c r="C271" s="86">
        <f t="shared" si="20"/>
        <v>19122.04244</v>
      </c>
      <c r="D271" s="84">
        <f t="shared" si="5"/>
        <v>3760545.647</v>
      </c>
      <c r="E271" s="78"/>
      <c r="F271" s="79"/>
      <c r="G271" s="78"/>
      <c r="H271" s="78">
        <v>1621713.0</v>
      </c>
      <c r="I271" s="78"/>
      <c r="J271" s="103">
        <v>3160000.0</v>
      </c>
      <c r="K271" s="78"/>
      <c r="L271" s="103"/>
      <c r="M271" s="6"/>
      <c r="N271" s="97"/>
      <c r="O271" s="6"/>
      <c r="P271" s="6"/>
      <c r="Q271" s="6"/>
      <c r="R271" s="6"/>
      <c r="S271" s="78">
        <f>IFERROR(__xludf.DUMMYFUNCTION("""COMPUTED_VALUE"""),8015.775684083812)</f>
        <v>8015.775684</v>
      </c>
      <c r="T271" s="9">
        <f>IFERROR(__xludf.DUMMYFUNCTION("""COMPUTED_VALUE"""),11215.943717042916)</f>
        <v>11215.94372</v>
      </c>
      <c r="U271" s="78"/>
      <c r="V271" s="79">
        <f t="shared" si="15"/>
        <v>19231.7194</v>
      </c>
      <c r="W271" s="80">
        <f t="shared" si="7"/>
        <v>4607896.793</v>
      </c>
      <c r="X271" s="81">
        <f t="shared" si="2"/>
        <v>0.2251362338</v>
      </c>
      <c r="Y271" s="82">
        <f t="shared" si="19"/>
        <v>9747777.367</v>
      </c>
      <c r="Z271" s="6"/>
      <c r="AA271" s="83">
        <f t="shared" si="8"/>
        <v>24625.80765</v>
      </c>
      <c r="AB271" s="84">
        <f t="shared" si="9"/>
        <v>5093235.869</v>
      </c>
      <c r="AC271" s="79">
        <f t="shared" si="12"/>
        <v>24687.37217</v>
      </c>
      <c r="AD271" s="85">
        <f t="shared" si="10"/>
        <v>5068398.241</v>
      </c>
      <c r="AE271" s="81">
        <v>0.25</v>
      </c>
      <c r="AF271" s="82">
        <f t="shared" si="17"/>
        <v>9899636.241</v>
      </c>
      <c r="AG271" s="6"/>
      <c r="AH271" s="6"/>
      <c r="AI271" s="6"/>
      <c r="AJ271" s="6"/>
      <c r="AK271" s="6"/>
      <c r="AL271" s="6"/>
      <c r="AM271" s="6"/>
      <c r="AN271" s="6"/>
      <c r="AO271" s="6"/>
      <c r="AP271" s="6"/>
    </row>
    <row r="272" ht="11.25" customHeight="1">
      <c r="A272" s="7"/>
      <c r="B272" s="68">
        <f t="shared" si="16"/>
        <v>267</v>
      </c>
      <c r="C272" s="86">
        <f t="shared" si="20"/>
        <v>19231.7194</v>
      </c>
      <c r="D272" s="84">
        <f t="shared" si="5"/>
        <v>3779777.367</v>
      </c>
      <c r="E272" s="78"/>
      <c r="F272" s="79"/>
      <c r="G272" s="78"/>
      <c r="H272" s="78">
        <v>1621713.0</v>
      </c>
      <c r="I272" s="78"/>
      <c r="J272" s="103">
        <v>3160000.0</v>
      </c>
      <c r="K272" s="78"/>
      <c r="L272" s="103"/>
      <c r="M272" s="6"/>
      <c r="N272" s="97"/>
      <c r="O272" s="6"/>
      <c r="P272" s="6"/>
      <c r="Q272" s="6"/>
      <c r="R272" s="6"/>
      <c r="S272" s="78">
        <f>IFERROR(__xludf.DUMMYFUNCTION("""COMPUTED_VALUE"""),8062.951599105261)</f>
        <v>8062.951599</v>
      </c>
      <c r="T272" s="9">
        <f>IFERROR(__xludf.DUMMYFUNCTION("""COMPUTED_VALUE"""),11278.902275915258)</f>
        <v>11278.90228</v>
      </c>
      <c r="U272" s="78"/>
      <c r="V272" s="79">
        <f t="shared" si="15"/>
        <v>19341.85388</v>
      </c>
      <c r="W272" s="80">
        <f t="shared" si="7"/>
        <v>4627238.647</v>
      </c>
      <c r="X272" s="81">
        <f t="shared" si="2"/>
        <v>0.2259169029</v>
      </c>
      <c r="Y272" s="82">
        <f t="shared" si="19"/>
        <v>9767119.221</v>
      </c>
      <c r="Z272" s="6"/>
      <c r="AA272" s="83">
        <f t="shared" si="8"/>
        <v>24687.37217</v>
      </c>
      <c r="AB272" s="84">
        <f t="shared" si="9"/>
        <v>5117923.241</v>
      </c>
      <c r="AC272" s="79">
        <f t="shared" si="12"/>
        <v>24749.0906</v>
      </c>
      <c r="AD272" s="85">
        <f t="shared" si="10"/>
        <v>5093147.331</v>
      </c>
      <c r="AE272" s="81">
        <v>0.25</v>
      </c>
      <c r="AF272" s="82">
        <f t="shared" si="17"/>
        <v>9924385.331</v>
      </c>
      <c r="AG272" s="6"/>
      <c r="AH272" s="6"/>
      <c r="AI272" s="6"/>
      <c r="AJ272" s="6"/>
      <c r="AK272" s="6"/>
      <c r="AL272" s="6"/>
      <c r="AM272" s="6"/>
      <c r="AN272" s="6"/>
      <c r="AO272" s="6"/>
      <c r="AP272" s="6"/>
    </row>
    <row r="273" ht="11.25" customHeight="1">
      <c r="A273" s="7"/>
      <c r="B273" s="68">
        <f t="shared" si="16"/>
        <v>268</v>
      </c>
      <c r="C273" s="86">
        <f t="shared" si="20"/>
        <v>19341.85388</v>
      </c>
      <c r="D273" s="84">
        <f t="shared" si="5"/>
        <v>3799119.221</v>
      </c>
      <c r="E273" s="78"/>
      <c r="F273" s="79"/>
      <c r="G273" s="78"/>
      <c r="H273" s="78">
        <v>1621713.0</v>
      </c>
      <c r="I273" s="78"/>
      <c r="J273" s="103">
        <v>3160000.0</v>
      </c>
      <c r="K273" s="78"/>
      <c r="L273" s="103"/>
      <c r="M273" s="6"/>
      <c r="N273" s="97"/>
      <c r="O273" s="6"/>
      <c r="P273" s="6"/>
      <c r="Q273" s="6"/>
      <c r="R273" s="6"/>
      <c r="S273" s="78">
        <f>IFERROR(__xludf.DUMMYFUNCTION("""COMPUTED_VALUE"""),8110.373222017195)</f>
        <v>8110.373222</v>
      </c>
      <c r="T273" s="78">
        <f>IFERROR(__xludf.DUMMYFUNCTION("""COMPUTED_VALUE"""),11342.074631560594)</f>
        <v>11342.07463</v>
      </c>
      <c r="U273" s="78"/>
      <c r="V273" s="79">
        <f t="shared" si="15"/>
        <v>19452.44785</v>
      </c>
      <c r="W273" s="80">
        <f t="shared" si="7"/>
        <v>4646691.095</v>
      </c>
      <c r="X273" s="81">
        <f t="shared" si="2"/>
        <v>0.2266965179</v>
      </c>
      <c r="Y273" s="82">
        <f t="shared" si="19"/>
        <v>9786571.668</v>
      </c>
      <c r="Z273" s="6"/>
      <c r="AA273" s="83">
        <f t="shared" si="8"/>
        <v>24749.0906</v>
      </c>
      <c r="AB273" s="84">
        <f t="shared" si="9"/>
        <v>5142672.331</v>
      </c>
      <c r="AC273" s="79">
        <f t="shared" si="12"/>
        <v>24810.96333</v>
      </c>
      <c r="AD273" s="85">
        <f t="shared" si="10"/>
        <v>5117958.295</v>
      </c>
      <c r="AE273" s="81">
        <v>0.25</v>
      </c>
      <c r="AF273" s="82">
        <f t="shared" si="17"/>
        <v>9949196.295</v>
      </c>
      <c r="AG273" s="6"/>
      <c r="AH273" s="6"/>
      <c r="AI273" s="6"/>
      <c r="AJ273" s="6"/>
      <c r="AK273" s="6"/>
      <c r="AL273" s="6"/>
      <c r="AM273" s="6"/>
      <c r="AN273" s="6"/>
      <c r="AO273" s="6"/>
      <c r="AP273" s="6"/>
    </row>
    <row r="274" ht="11.25" customHeight="1">
      <c r="A274" s="7"/>
      <c r="B274" s="68">
        <f t="shared" si="16"/>
        <v>269</v>
      </c>
      <c r="C274" s="86">
        <f t="shared" si="20"/>
        <v>19452.44785</v>
      </c>
      <c r="D274" s="84">
        <f t="shared" si="5"/>
        <v>3818571.668</v>
      </c>
      <c r="E274" s="78"/>
      <c r="F274" s="79"/>
      <c r="G274" s="78"/>
      <c r="H274" s="78">
        <v>1621713.0</v>
      </c>
      <c r="I274" s="78"/>
      <c r="J274" s="103">
        <v>3160000.0</v>
      </c>
      <c r="K274" s="78"/>
      <c r="L274" s="103"/>
      <c r="M274" s="6"/>
      <c r="N274" s="97"/>
      <c r="O274" s="6"/>
      <c r="P274" s="6"/>
      <c r="Q274" s="6"/>
      <c r="R274" s="6"/>
      <c r="S274" s="78">
        <f>IFERROR(__xludf.DUMMYFUNCTION("""COMPUTED_VALUE"""),8158.041832548566)</f>
        <v>8158.041833</v>
      </c>
      <c r="T274" s="78">
        <f>IFERROR(__xludf.DUMMYFUNCTION("""COMPUTED_VALUE"""),11405.461509997025)</f>
        <v>11405.46151</v>
      </c>
      <c r="U274" s="78"/>
      <c r="V274" s="79">
        <f t="shared" si="15"/>
        <v>19563.50334</v>
      </c>
      <c r="W274" s="80">
        <f t="shared" si="7"/>
        <v>4666254.598</v>
      </c>
      <c r="X274" s="81">
        <f t="shared" si="2"/>
        <v>0.2274750674</v>
      </c>
      <c r="Y274" s="82">
        <f t="shared" si="19"/>
        <v>9806135.172</v>
      </c>
      <c r="Z274" s="6"/>
      <c r="AA274" s="83">
        <f t="shared" si="8"/>
        <v>24810.96333</v>
      </c>
      <c r="AB274" s="84">
        <f t="shared" si="9"/>
        <v>5167483.295</v>
      </c>
      <c r="AC274" s="79">
        <f t="shared" si="12"/>
        <v>24872.99074</v>
      </c>
      <c r="AD274" s="85">
        <f t="shared" si="10"/>
        <v>5142831.285</v>
      </c>
      <c r="AE274" s="81">
        <v>0.25</v>
      </c>
      <c r="AF274" s="82">
        <f t="shared" si="17"/>
        <v>9974069.285</v>
      </c>
      <c r="AG274" s="6"/>
      <c r="AH274" s="6"/>
      <c r="AI274" s="6"/>
      <c r="AJ274" s="6"/>
      <c r="AK274" s="6"/>
      <c r="AL274" s="6"/>
      <c r="AM274" s="6"/>
      <c r="AN274" s="6"/>
      <c r="AO274" s="6"/>
      <c r="AP274" s="6"/>
    </row>
    <row r="275" ht="11.25" customHeight="1">
      <c r="A275" s="7"/>
      <c r="B275" s="68">
        <f t="shared" si="16"/>
        <v>270</v>
      </c>
      <c r="C275" s="86">
        <f t="shared" si="20"/>
        <v>19563.50334</v>
      </c>
      <c r="D275" s="84">
        <f t="shared" si="5"/>
        <v>3838135.172</v>
      </c>
      <c r="E275" s="78"/>
      <c r="F275" s="79"/>
      <c r="G275" s="78"/>
      <c r="H275" s="78">
        <v>1621713.0</v>
      </c>
      <c r="I275" s="78"/>
      <c r="J275" s="103">
        <v>3160000.0</v>
      </c>
      <c r="K275" s="78"/>
      <c r="L275" s="103"/>
      <c r="M275" s="6"/>
      <c r="N275" s="97"/>
      <c r="O275" s="6"/>
      <c r="P275" s="6"/>
      <c r="Q275" s="6"/>
      <c r="R275" s="6"/>
      <c r="S275" s="78">
        <f>IFERROR(__xludf.DUMMYFUNCTION("""COMPUTED_VALUE"""),8205.958717093104)</f>
        <v>8205.958717</v>
      </c>
      <c r="T275" s="78">
        <f>IFERROR(__xludf.DUMMYFUNCTION("""COMPUTED_VALUE"""),11469.063639707863)</f>
        <v>11469.06364</v>
      </c>
      <c r="U275" s="78"/>
      <c r="V275" s="79">
        <f t="shared" si="15"/>
        <v>19675.02236</v>
      </c>
      <c r="W275" s="80">
        <f t="shared" si="7"/>
        <v>4685929.62</v>
      </c>
      <c r="X275" s="81">
        <f t="shared" si="2"/>
        <v>0.2282525395</v>
      </c>
      <c r="Y275" s="82">
        <f t="shared" si="19"/>
        <v>9825810.194</v>
      </c>
      <c r="Z275" s="6"/>
      <c r="AA275" s="83">
        <f t="shared" si="8"/>
        <v>24872.99074</v>
      </c>
      <c r="AB275" s="84">
        <f t="shared" si="9"/>
        <v>5192356.285</v>
      </c>
      <c r="AC275" s="79">
        <f t="shared" si="12"/>
        <v>24935.17321</v>
      </c>
      <c r="AD275" s="85">
        <f t="shared" si="10"/>
        <v>5167766.459</v>
      </c>
      <c r="AE275" s="81">
        <v>0.25</v>
      </c>
      <c r="AF275" s="82">
        <f t="shared" si="17"/>
        <v>9999004.459</v>
      </c>
      <c r="AG275" s="6"/>
      <c r="AH275" s="6"/>
      <c r="AI275" s="6"/>
      <c r="AJ275" s="6"/>
      <c r="AK275" s="6"/>
      <c r="AL275" s="6"/>
      <c r="AM275" s="6"/>
      <c r="AN275" s="6"/>
      <c r="AO275" s="6"/>
      <c r="AP275" s="6"/>
    </row>
    <row r="276" ht="11.25" customHeight="1">
      <c r="A276" s="7"/>
      <c r="B276" s="68">
        <f t="shared" si="16"/>
        <v>271</v>
      </c>
      <c r="C276" s="86">
        <f t="shared" si="20"/>
        <v>19675.02236</v>
      </c>
      <c r="D276" s="84">
        <f t="shared" si="5"/>
        <v>3857810.194</v>
      </c>
      <c r="E276" s="78"/>
      <c r="F276" s="79"/>
      <c r="G276" s="78"/>
      <c r="H276" s="78">
        <v>1621713.0</v>
      </c>
      <c r="I276" s="78"/>
      <c r="J276" s="103">
        <v>3160000.0</v>
      </c>
      <c r="K276" s="78"/>
      <c r="L276" s="103"/>
      <c r="M276" s="6"/>
      <c r="N276" s="97"/>
      <c r="O276" s="6"/>
      <c r="P276" s="6"/>
      <c r="Q276" s="6"/>
      <c r="R276" s="6"/>
      <c r="S276" s="78">
        <f>IFERROR(__xludf.DUMMYFUNCTION("""COMPUTED_VALUE"""),8254.125168744475)</f>
        <v>8254.125169</v>
      </c>
      <c r="T276" s="78">
        <f>IFERROR(__xludf.DUMMYFUNCTION("""COMPUTED_VALUE"""),11532.881751650944)</f>
        <v>11532.88175</v>
      </c>
      <c r="U276" s="78"/>
      <c r="V276" s="79">
        <f t="shared" si="15"/>
        <v>19787.00692</v>
      </c>
      <c r="W276" s="80">
        <f t="shared" si="7"/>
        <v>4705716.627</v>
      </c>
      <c r="X276" s="81">
        <f t="shared" si="2"/>
        <v>0.229028923</v>
      </c>
      <c r="Y276" s="82">
        <f t="shared" si="19"/>
        <v>9845597.201</v>
      </c>
      <c r="Z276" s="6"/>
      <c r="AA276" s="83">
        <f t="shared" si="8"/>
        <v>24935.17321</v>
      </c>
      <c r="AB276" s="84">
        <f t="shared" si="9"/>
        <v>5217291.459</v>
      </c>
      <c r="AC276" s="79">
        <f t="shared" si="12"/>
        <v>24997.51115</v>
      </c>
      <c r="AD276" s="85">
        <f t="shared" si="10"/>
        <v>5192763.97</v>
      </c>
      <c r="AE276" s="81">
        <v>0.25</v>
      </c>
      <c r="AF276" s="82">
        <f t="shared" si="17"/>
        <v>10024001.97</v>
      </c>
      <c r="AG276" s="6"/>
      <c r="AH276" s="6"/>
      <c r="AI276" s="6"/>
      <c r="AJ276" s="6"/>
      <c r="AK276" s="6"/>
      <c r="AL276" s="6"/>
      <c r="AM276" s="6"/>
      <c r="AN276" s="6"/>
      <c r="AO276" s="6"/>
      <c r="AP276" s="6"/>
    </row>
    <row r="277" ht="11.25" customHeight="1">
      <c r="A277" s="7"/>
      <c r="B277" s="68">
        <f t="shared" si="16"/>
        <v>272</v>
      </c>
      <c r="C277" s="86">
        <f t="shared" si="20"/>
        <v>19787.00692</v>
      </c>
      <c r="D277" s="84">
        <f t="shared" si="5"/>
        <v>3877597.201</v>
      </c>
      <c r="E277" s="78"/>
      <c r="F277" s="79"/>
      <c r="G277" s="78"/>
      <c r="H277" s="78">
        <v>1621713.0</v>
      </c>
      <c r="I277" s="78"/>
      <c r="J277" s="103">
        <v>3160000.0</v>
      </c>
      <c r="K277" s="78"/>
      <c r="L277" s="103"/>
      <c r="M277" s="6"/>
      <c r="N277" s="97"/>
      <c r="O277" s="6"/>
      <c r="P277" s="6"/>
      <c r="Q277" s="6"/>
      <c r="R277" s="6"/>
      <c r="S277" s="78">
        <f>IFERROR(__xludf.DUMMYFUNCTION("""COMPUTED_VALUE"""),8302.542487331899)</f>
        <v>8302.542487</v>
      </c>
      <c r="T277" s="78">
        <f>IFERROR(__xludf.DUMMYFUNCTION("""COMPUTED_VALUE"""),11596.916579266079)</f>
        <v>11596.91658</v>
      </c>
      <c r="U277" s="78"/>
      <c r="V277" s="79">
        <f t="shared" si="15"/>
        <v>19899.45907</v>
      </c>
      <c r="W277" s="80">
        <f t="shared" si="7"/>
        <v>4725616.086</v>
      </c>
      <c r="X277" s="81">
        <f t="shared" si="2"/>
        <v>0.2298042062</v>
      </c>
      <c r="Y277" s="82">
        <f t="shared" si="19"/>
        <v>9865496.66</v>
      </c>
      <c r="Z277" s="6"/>
      <c r="AA277" s="83">
        <f t="shared" si="8"/>
        <v>24997.51115</v>
      </c>
      <c r="AB277" s="84">
        <f t="shared" si="9"/>
        <v>5242288.97</v>
      </c>
      <c r="AC277" s="79">
        <f t="shared" si="12"/>
        <v>25060.00492</v>
      </c>
      <c r="AD277" s="85">
        <f t="shared" si="10"/>
        <v>5217823.975</v>
      </c>
      <c r="AE277" s="81">
        <v>0.25</v>
      </c>
      <c r="AF277" s="82">
        <f t="shared" si="17"/>
        <v>10049061.97</v>
      </c>
      <c r="AG277" s="6"/>
      <c r="AH277" s="6"/>
      <c r="AI277" s="6"/>
      <c r="AJ277" s="6"/>
      <c r="AK277" s="6"/>
      <c r="AL277" s="6"/>
      <c r="AM277" s="6"/>
      <c r="AN277" s="6"/>
      <c r="AO277" s="6"/>
      <c r="AP277" s="6"/>
    </row>
    <row r="278" ht="11.25" customHeight="1">
      <c r="A278" s="7"/>
      <c r="B278" s="68">
        <f t="shared" si="16"/>
        <v>273</v>
      </c>
      <c r="C278" s="86">
        <f t="shared" si="20"/>
        <v>19899.45907</v>
      </c>
      <c r="D278" s="84">
        <f t="shared" si="5"/>
        <v>3897496.66</v>
      </c>
      <c r="E278" s="78"/>
      <c r="F278" s="79"/>
      <c r="G278" s="78"/>
      <c r="H278" s="78">
        <v>1621713.0</v>
      </c>
      <c r="I278" s="78"/>
      <c r="J278" s="103">
        <v>3160000.0</v>
      </c>
      <c r="K278" s="78"/>
      <c r="L278" s="103"/>
      <c r="M278" s="6"/>
      <c r="N278" s="97"/>
      <c r="O278" s="6"/>
      <c r="P278" s="6"/>
      <c r="Q278" s="6"/>
      <c r="R278" s="6"/>
      <c r="S278" s="78">
        <f>IFERROR(__xludf.DUMMYFUNCTION("""COMPUTED_VALUE"""),8351.21197945322)</f>
        <v>8351.211979</v>
      </c>
      <c r="T278" s="78">
        <f>IFERROR(__xludf.DUMMYFUNCTION("""COMPUTED_VALUE"""),11661.168858483434)</f>
        <v>11661.16886</v>
      </c>
      <c r="U278" s="78"/>
      <c r="V278" s="79">
        <f t="shared" si="15"/>
        <v>20012.38084</v>
      </c>
      <c r="W278" s="80">
        <f t="shared" si="7"/>
        <v>4745628.467</v>
      </c>
      <c r="X278" s="81">
        <f t="shared" si="2"/>
        <v>0.2305783778</v>
      </c>
      <c r="Y278" s="82">
        <f t="shared" si="19"/>
        <v>9885509.041</v>
      </c>
      <c r="Z278" s="6"/>
      <c r="AA278" s="83">
        <f t="shared" si="8"/>
        <v>25060.00492</v>
      </c>
      <c r="AB278" s="84">
        <f t="shared" si="9"/>
        <v>5267348.975</v>
      </c>
      <c r="AC278" s="79">
        <f t="shared" si="12"/>
        <v>25122.65494</v>
      </c>
      <c r="AD278" s="85">
        <f t="shared" si="10"/>
        <v>5242946.63</v>
      </c>
      <c r="AE278" s="81">
        <v>0.25</v>
      </c>
      <c r="AF278" s="82">
        <f t="shared" si="17"/>
        <v>10074184.63</v>
      </c>
      <c r="AG278" s="6"/>
      <c r="AH278" s="6"/>
      <c r="AI278" s="6"/>
      <c r="AJ278" s="6"/>
      <c r="AK278" s="6"/>
      <c r="AL278" s="6"/>
      <c r="AM278" s="6"/>
      <c r="AN278" s="6"/>
      <c r="AO278" s="6"/>
      <c r="AP278" s="6"/>
    </row>
    <row r="279" ht="11.25" customHeight="1">
      <c r="A279" s="7"/>
      <c r="B279" s="68">
        <f t="shared" si="16"/>
        <v>274</v>
      </c>
      <c r="C279" s="86">
        <f t="shared" si="20"/>
        <v>20012.38084</v>
      </c>
      <c r="D279" s="84">
        <f t="shared" si="5"/>
        <v>3917509.041</v>
      </c>
      <c r="E279" s="78"/>
      <c r="F279" s="79"/>
      <c r="G279" s="78"/>
      <c r="H279" s="78">
        <v>1621713.0</v>
      </c>
      <c r="I279" s="78"/>
      <c r="J279" s="103">
        <v>3160000.0</v>
      </c>
      <c r="K279" s="78"/>
      <c r="L279" s="103"/>
      <c r="M279" s="6"/>
      <c r="N279" s="97"/>
      <c r="O279" s="6"/>
      <c r="P279" s="6"/>
      <c r="Q279" s="6"/>
      <c r="R279" s="6"/>
      <c r="S279" s="78">
        <f>IFERROR(__xludf.DUMMYFUNCTION("""COMPUTED_VALUE"""),8400.134958513081)</f>
        <v>8400.134959</v>
      </c>
      <c r="T279" s="78">
        <f>IFERROR(__xludf.DUMMYFUNCTION("""COMPUTED_VALUE"""),11725.639327731915)</f>
        <v>11725.63933</v>
      </c>
      <c r="U279" s="78"/>
      <c r="V279" s="79">
        <f t="shared" si="15"/>
        <v>20125.77429</v>
      </c>
      <c r="W279" s="80">
        <f t="shared" si="7"/>
        <v>4765754.242</v>
      </c>
      <c r="X279" s="81">
        <f t="shared" si="2"/>
        <v>0.2313514265</v>
      </c>
      <c r="Y279" s="82">
        <f t="shared" si="19"/>
        <v>9905634.815</v>
      </c>
      <c r="Z279" s="6"/>
      <c r="AA279" s="83">
        <f t="shared" si="8"/>
        <v>25122.65494</v>
      </c>
      <c r="AB279" s="84">
        <f t="shared" si="9"/>
        <v>5292471.63</v>
      </c>
      <c r="AC279" s="79">
        <f t="shared" si="12"/>
        <v>25185.46157</v>
      </c>
      <c r="AD279" s="85">
        <f t="shared" si="10"/>
        <v>5268132.091</v>
      </c>
      <c r="AE279" s="81">
        <v>0.25</v>
      </c>
      <c r="AF279" s="82">
        <f t="shared" si="17"/>
        <v>10099370.09</v>
      </c>
      <c r="AG279" s="6"/>
      <c r="AH279" s="6"/>
      <c r="AI279" s="6"/>
      <c r="AJ279" s="6"/>
      <c r="AK279" s="6"/>
      <c r="AL279" s="6"/>
      <c r="AM279" s="6"/>
      <c r="AN279" s="6"/>
      <c r="AO279" s="6"/>
      <c r="AP279" s="6"/>
    </row>
    <row r="280" ht="11.25" customHeight="1">
      <c r="A280" s="7"/>
      <c r="B280" s="68">
        <f t="shared" si="16"/>
        <v>275</v>
      </c>
      <c r="C280" s="86">
        <f t="shared" si="20"/>
        <v>20125.77429</v>
      </c>
      <c r="D280" s="84">
        <f t="shared" si="5"/>
        <v>3937634.815</v>
      </c>
      <c r="E280" s="78"/>
      <c r="F280" s="79"/>
      <c r="G280" s="78"/>
      <c r="H280" s="78">
        <v>1621713.0</v>
      </c>
      <c r="I280" s="78"/>
      <c r="J280" s="103">
        <v>3160000.0</v>
      </c>
      <c r="K280" s="78"/>
      <c r="L280" s="103"/>
      <c r="M280" s="6"/>
      <c r="N280" s="97"/>
      <c r="O280" s="6"/>
      <c r="P280" s="6"/>
      <c r="Q280" s="6"/>
      <c r="R280" s="6"/>
      <c r="S280" s="78">
        <f>IFERROR(__xludf.DUMMYFUNCTION("""COMPUTED_VALUE"""),8449.312744755298)</f>
        <v>8449.312745</v>
      </c>
      <c r="T280" s="78">
        <f>IFERROR(__xludf.DUMMYFUNCTION("""COMPUTED_VALUE"""),11790.32872794848)</f>
        <v>11790.32873</v>
      </c>
      <c r="U280" s="78"/>
      <c r="V280" s="79">
        <f t="shared" si="15"/>
        <v>20239.64147</v>
      </c>
      <c r="W280" s="80">
        <f t="shared" si="7"/>
        <v>4785993.883</v>
      </c>
      <c r="X280" s="81">
        <f t="shared" si="2"/>
        <v>0.2321233411</v>
      </c>
      <c r="Y280" s="82">
        <f t="shared" si="19"/>
        <v>9925874.457</v>
      </c>
      <c r="Z280" s="6"/>
      <c r="AA280" s="83">
        <f t="shared" si="8"/>
        <v>25185.46157</v>
      </c>
      <c r="AB280" s="84">
        <f t="shared" si="9"/>
        <v>5317657.091</v>
      </c>
      <c r="AC280" s="79">
        <f t="shared" si="12"/>
        <v>25248.42523</v>
      </c>
      <c r="AD280" s="85">
        <f t="shared" si="10"/>
        <v>5293380.516</v>
      </c>
      <c r="AE280" s="81">
        <v>0.25</v>
      </c>
      <c r="AF280" s="82">
        <f t="shared" si="17"/>
        <v>10124618.52</v>
      </c>
      <c r="AG280" s="6"/>
      <c r="AH280" s="6"/>
      <c r="AI280" s="6"/>
      <c r="AJ280" s="6"/>
      <c r="AK280" s="6"/>
      <c r="AL280" s="6"/>
      <c r="AM280" s="6"/>
      <c r="AN280" s="6"/>
      <c r="AO280" s="6"/>
      <c r="AP280" s="6"/>
    </row>
    <row r="281" ht="11.25" customHeight="1">
      <c r="A281" s="71"/>
      <c r="B281" s="72">
        <f t="shared" si="16"/>
        <v>276</v>
      </c>
      <c r="C281" s="86">
        <f t="shared" si="20"/>
        <v>20239.64147</v>
      </c>
      <c r="D281" s="88">
        <f t="shared" si="5"/>
        <v>3957874.457</v>
      </c>
      <c r="E281" s="89"/>
      <c r="F281" s="90"/>
      <c r="G281" s="89"/>
      <c r="H281" s="89">
        <v>1621713.0</v>
      </c>
      <c r="I281" s="89"/>
      <c r="J281" s="104">
        <v>3160000.0</v>
      </c>
      <c r="K281" s="89"/>
      <c r="L281" s="104"/>
      <c r="M281" s="6"/>
      <c r="N281" s="99"/>
      <c r="O281" s="10"/>
      <c r="P281" s="10"/>
      <c r="Q281" s="10"/>
      <c r="R281" s="10"/>
      <c r="S281" s="89">
        <f>IFERROR(__xludf.DUMMYFUNCTION("""COMPUTED_VALUE"""),8498.746665300801)</f>
        <v>8498.746665</v>
      </c>
      <c r="T281" s="89">
        <f>IFERROR(__xludf.DUMMYFUNCTION("""COMPUTED_VALUE"""),11855.237802587915)</f>
        <v>11855.2378</v>
      </c>
      <c r="U281" s="89"/>
      <c r="V281" s="90">
        <f t="shared" si="15"/>
        <v>20353.98447</v>
      </c>
      <c r="W281" s="91">
        <f t="shared" si="7"/>
        <v>4806347.867</v>
      </c>
      <c r="X281" s="81">
        <f t="shared" si="2"/>
        <v>0.2328941105</v>
      </c>
      <c r="Y281" s="82">
        <f t="shared" si="19"/>
        <v>9946228.441</v>
      </c>
      <c r="Z281" s="6"/>
      <c r="AA281" s="83">
        <f t="shared" si="8"/>
        <v>25248.42523</v>
      </c>
      <c r="AB281" s="88">
        <f t="shared" si="9"/>
        <v>5342905.516</v>
      </c>
      <c r="AC281" s="90">
        <f t="shared" si="12"/>
        <v>25311.54629</v>
      </c>
      <c r="AD281" s="94">
        <f t="shared" si="10"/>
        <v>5318692.063</v>
      </c>
      <c r="AE281" s="81">
        <v>0.25</v>
      </c>
      <c r="AF281" s="82">
        <f t="shared" si="17"/>
        <v>10149930.06</v>
      </c>
      <c r="AG281" s="6"/>
      <c r="AH281" s="6"/>
      <c r="AI281" s="6"/>
      <c r="AJ281" s="6"/>
      <c r="AK281" s="6"/>
      <c r="AL281" s="6"/>
      <c r="AM281" s="6"/>
      <c r="AN281" s="6"/>
      <c r="AO281" s="6"/>
      <c r="AP281" s="6"/>
    </row>
    <row r="282" ht="11.25" customHeight="1">
      <c r="A282" s="100">
        <v>24.0</v>
      </c>
      <c r="B282" s="66">
        <f t="shared" si="16"/>
        <v>277</v>
      </c>
      <c r="C282" s="86">
        <f t="shared" si="20"/>
        <v>20353.98447</v>
      </c>
      <c r="D282" s="84">
        <f t="shared" si="5"/>
        <v>3978228.441</v>
      </c>
      <c r="E282" s="78"/>
      <c r="F282" s="79"/>
      <c r="G282" s="78"/>
      <c r="H282" s="78">
        <v>1621713.0</v>
      </c>
      <c r="I282" s="78"/>
      <c r="J282" s="103">
        <v>3160000.0</v>
      </c>
      <c r="K282" s="78"/>
      <c r="L282" s="103"/>
      <c r="M282" s="6"/>
      <c r="N282" s="97"/>
      <c r="O282" s="6"/>
      <c r="P282" s="6"/>
      <c r="Q282" s="6"/>
      <c r="R282" s="6"/>
      <c r="S282" s="102">
        <f>IFERROR(__xludf.DUMMYFUNCTION("""COMPUTED_VALUE"""),8548.438054182567)</f>
        <v>8548.438054</v>
      </c>
      <c r="T282" s="9">
        <f>IFERROR(__xludf.DUMMYFUNCTION("""COMPUTED_VALUE"""),11920.367297625635)</f>
        <v>11920.3673</v>
      </c>
      <c r="U282" s="78"/>
      <c r="V282" s="79">
        <f t="shared" si="15"/>
        <v>20468.80535</v>
      </c>
      <c r="W282" s="80">
        <f t="shared" si="7"/>
        <v>4826816.673</v>
      </c>
      <c r="X282" s="81">
        <f t="shared" si="2"/>
        <v>0.2336637235</v>
      </c>
      <c r="Y282" s="82">
        <f t="shared" si="19"/>
        <v>9966697.247</v>
      </c>
      <c r="Z282" s="6"/>
      <c r="AA282" s="83">
        <f t="shared" si="8"/>
        <v>25311.54629</v>
      </c>
      <c r="AB282" s="84">
        <f t="shared" si="9"/>
        <v>5368217.063</v>
      </c>
      <c r="AC282" s="79">
        <f t="shared" si="12"/>
        <v>25374.82516</v>
      </c>
      <c r="AD282" s="95">
        <f t="shared" si="10"/>
        <v>5344066.888</v>
      </c>
      <c r="AE282" s="81">
        <v>0.25</v>
      </c>
      <c r="AF282" s="82">
        <f t="shared" si="17"/>
        <v>10175304.89</v>
      </c>
      <c r="AG282" s="6"/>
      <c r="AH282" s="6"/>
      <c r="AI282" s="6"/>
      <c r="AJ282" s="6"/>
      <c r="AK282" s="6"/>
      <c r="AL282" s="6"/>
      <c r="AM282" s="6"/>
      <c r="AN282" s="6"/>
      <c r="AO282" s="6"/>
      <c r="AP282" s="6"/>
    </row>
    <row r="283" ht="11.25" customHeight="1">
      <c r="A283" s="7"/>
      <c r="B283" s="68">
        <f t="shared" si="16"/>
        <v>278</v>
      </c>
      <c r="C283" s="86">
        <f t="shared" si="20"/>
        <v>20468.80535</v>
      </c>
      <c r="D283" s="84">
        <f t="shared" si="5"/>
        <v>3998697.247</v>
      </c>
      <c r="E283" s="78"/>
      <c r="F283" s="79"/>
      <c r="G283" s="78"/>
      <c r="H283" s="78">
        <v>1621713.0</v>
      </c>
      <c r="I283" s="78"/>
      <c r="J283" s="103">
        <v>3160000.0</v>
      </c>
      <c r="K283" s="78"/>
      <c r="L283" s="103"/>
      <c r="M283" s="6"/>
      <c r="N283" s="97"/>
      <c r="O283" s="6"/>
      <c r="P283" s="6"/>
      <c r="Q283" s="6"/>
      <c r="R283" s="6"/>
      <c r="S283" s="78">
        <f>IFERROR(__xludf.DUMMYFUNCTION("""COMPUTED_VALUE"""),8598.388252381468)</f>
        <v>8598.388252</v>
      </c>
      <c r="T283" s="9">
        <f>IFERROR(__xludf.DUMMYFUNCTION("""COMPUTED_VALUE"""),11985.717961573973)</f>
        <v>11985.71796</v>
      </c>
      <c r="U283" s="78"/>
      <c r="V283" s="79">
        <f t="shared" si="15"/>
        <v>20584.10621</v>
      </c>
      <c r="W283" s="80">
        <f t="shared" si="7"/>
        <v>4847400.779</v>
      </c>
      <c r="X283" s="81">
        <f t="shared" si="2"/>
        <v>0.2344321693</v>
      </c>
      <c r="Y283" s="82">
        <f t="shared" si="19"/>
        <v>9987281.353</v>
      </c>
      <c r="Z283" s="6"/>
      <c r="AA283" s="83">
        <f t="shared" si="8"/>
        <v>25374.82516</v>
      </c>
      <c r="AB283" s="84">
        <f t="shared" si="9"/>
        <v>5393591.888</v>
      </c>
      <c r="AC283" s="79">
        <f t="shared" si="12"/>
        <v>25438.26222</v>
      </c>
      <c r="AD283" s="85">
        <f t="shared" si="10"/>
        <v>5369505.15</v>
      </c>
      <c r="AE283" s="81">
        <v>0.25</v>
      </c>
      <c r="AF283" s="82">
        <f t="shared" si="17"/>
        <v>10200743.15</v>
      </c>
      <c r="AG283" s="6"/>
      <c r="AH283" s="6"/>
      <c r="AI283" s="6"/>
      <c r="AJ283" s="6"/>
      <c r="AK283" s="6"/>
      <c r="AL283" s="6"/>
      <c r="AM283" s="6"/>
      <c r="AN283" s="6"/>
      <c r="AO283" s="6"/>
      <c r="AP283" s="6"/>
    </row>
    <row r="284" ht="11.25" customHeight="1">
      <c r="A284" s="7"/>
      <c r="B284" s="68">
        <f t="shared" si="16"/>
        <v>279</v>
      </c>
      <c r="C284" s="86">
        <f t="shared" si="20"/>
        <v>20584.10621</v>
      </c>
      <c r="D284" s="84">
        <f t="shared" si="5"/>
        <v>4019281.353</v>
      </c>
      <c r="E284" s="78"/>
      <c r="F284" s="79"/>
      <c r="G284" s="78"/>
      <c r="H284" s="78">
        <v>1621713.0</v>
      </c>
      <c r="I284" s="78"/>
      <c r="J284" s="103">
        <v>3160000.0</v>
      </c>
      <c r="K284" s="78"/>
      <c r="L284" s="103"/>
      <c r="M284" s="6"/>
      <c r="N284" s="97"/>
      <c r="O284" s="6"/>
      <c r="P284" s="6"/>
      <c r="Q284" s="6"/>
      <c r="R284" s="6"/>
      <c r="S284" s="78">
        <f>IFERROR(__xludf.DUMMYFUNCTION("""COMPUTED_VALUE"""),8648.598607862601)</f>
        <v>8648.598608</v>
      </c>
      <c r="T284" s="9">
        <f>IFERROR(__xludf.DUMMYFUNCTION("""COMPUTED_VALUE"""),12051.290545484982)</f>
        <v>12051.29055</v>
      </c>
      <c r="U284" s="78"/>
      <c r="V284" s="79">
        <f t="shared" si="15"/>
        <v>20699.88915</v>
      </c>
      <c r="W284" s="80">
        <f t="shared" si="7"/>
        <v>4868100.668</v>
      </c>
      <c r="X284" s="81">
        <f t="shared" si="2"/>
        <v>0.2351994368</v>
      </c>
      <c r="Y284" s="82">
        <f t="shared" si="19"/>
        <v>10007981.24</v>
      </c>
      <c r="Z284" s="6"/>
      <c r="AA284" s="83">
        <f t="shared" si="8"/>
        <v>25438.26222</v>
      </c>
      <c r="AB284" s="84">
        <f t="shared" si="9"/>
        <v>5419030.15</v>
      </c>
      <c r="AC284" s="79">
        <f t="shared" si="12"/>
        <v>25501.85788</v>
      </c>
      <c r="AD284" s="85">
        <f t="shared" si="10"/>
        <v>5395007.008</v>
      </c>
      <c r="AE284" s="81">
        <v>0.25</v>
      </c>
      <c r="AF284" s="82">
        <f t="shared" si="17"/>
        <v>10226245.01</v>
      </c>
      <c r="AG284" s="6"/>
      <c r="AH284" s="6"/>
      <c r="AI284" s="6"/>
      <c r="AJ284" s="6"/>
      <c r="AK284" s="6"/>
      <c r="AL284" s="6"/>
      <c r="AM284" s="6"/>
      <c r="AN284" s="6"/>
      <c r="AO284" s="6"/>
      <c r="AP284" s="6"/>
    </row>
    <row r="285" ht="11.25" customHeight="1">
      <c r="A285" s="7"/>
      <c r="B285" s="68">
        <f t="shared" si="16"/>
        <v>280</v>
      </c>
      <c r="C285" s="86">
        <f t="shared" si="20"/>
        <v>20699.88915</v>
      </c>
      <c r="D285" s="84">
        <f t="shared" si="5"/>
        <v>4039981.242</v>
      </c>
      <c r="E285" s="78"/>
      <c r="F285" s="79"/>
      <c r="G285" s="78"/>
      <c r="H285" s="78">
        <v>1621713.0</v>
      </c>
      <c r="I285" s="78"/>
      <c r="J285" s="103">
        <v>3160000.0</v>
      </c>
      <c r="K285" s="78"/>
      <c r="L285" s="103"/>
      <c r="M285" s="6"/>
      <c r="N285" s="97"/>
      <c r="O285" s="6"/>
      <c r="P285" s="6"/>
      <c r="Q285" s="6"/>
      <c r="R285" s="6"/>
      <c r="S285" s="78">
        <f>IFERROR(__xludf.DUMMYFUNCTION("""COMPUTED_VALUE"""),8699.070475611836)</f>
        <v>8699.070476</v>
      </c>
      <c r="T285" s="78">
        <f>IFERROR(__xludf.DUMMYFUNCTION("""COMPUTED_VALUE"""),12117.085802962072)</f>
        <v>12117.0858</v>
      </c>
      <c r="U285" s="78"/>
      <c r="V285" s="79">
        <f t="shared" si="15"/>
        <v>20816.15628</v>
      </c>
      <c r="W285" s="80">
        <f t="shared" si="7"/>
        <v>4888916.824</v>
      </c>
      <c r="X285" s="81">
        <f t="shared" si="2"/>
        <v>0.2359655153</v>
      </c>
      <c r="Y285" s="82">
        <f t="shared" si="19"/>
        <v>10028797.4</v>
      </c>
      <c r="Z285" s="6"/>
      <c r="AA285" s="83">
        <f t="shared" si="8"/>
        <v>25501.85788</v>
      </c>
      <c r="AB285" s="84">
        <f t="shared" si="9"/>
        <v>5444532.008</v>
      </c>
      <c r="AC285" s="79">
        <f t="shared" si="12"/>
        <v>25565.61252</v>
      </c>
      <c r="AD285" s="85">
        <f t="shared" si="10"/>
        <v>5420572.621</v>
      </c>
      <c r="AE285" s="81">
        <v>0.25</v>
      </c>
      <c r="AF285" s="82">
        <f t="shared" si="17"/>
        <v>10251810.62</v>
      </c>
      <c r="AG285" s="6"/>
      <c r="AH285" s="6"/>
      <c r="AI285" s="6"/>
      <c r="AJ285" s="6"/>
      <c r="AK285" s="6"/>
      <c r="AL285" s="6"/>
      <c r="AM285" s="6"/>
      <c r="AN285" s="6"/>
      <c r="AO285" s="6"/>
      <c r="AP285" s="6"/>
    </row>
    <row r="286" ht="11.25" customHeight="1">
      <c r="A286" s="7"/>
      <c r="B286" s="68">
        <f t="shared" si="16"/>
        <v>281</v>
      </c>
      <c r="C286" s="86">
        <f t="shared" si="20"/>
        <v>20816.15628</v>
      </c>
      <c r="D286" s="84">
        <f t="shared" si="5"/>
        <v>4060797.398</v>
      </c>
      <c r="E286" s="78"/>
      <c r="F286" s="79"/>
      <c r="G286" s="78"/>
      <c r="H286" s="78">
        <v>1621713.0</v>
      </c>
      <c r="I286" s="78"/>
      <c r="J286" s="103">
        <v>3160000.0</v>
      </c>
      <c r="K286" s="78"/>
      <c r="L286" s="103"/>
      <c r="M286" s="6"/>
      <c r="N286" s="97"/>
      <c r="O286" s="6"/>
      <c r="P286" s="6"/>
      <c r="Q286" s="6"/>
      <c r="R286" s="6"/>
      <c r="S286" s="78">
        <f>IFERROR(__xludf.DUMMYFUNCTION("""COMPUTED_VALUE"""),8749.805217672372)</f>
        <v>8749.805218</v>
      </c>
      <c r="T286" s="78">
        <f>IFERROR(__xludf.DUMMYFUNCTION("""COMPUTED_VALUE"""),12183.104490168393)</f>
        <v>12183.10449</v>
      </c>
      <c r="U286" s="78"/>
      <c r="V286" s="79">
        <f t="shared" si="15"/>
        <v>20932.90971</v>
      </c>
      <c r="W286" s="80">
        <f t="shared" si="7"/>
        <v>4909849.734</v>
      </c>
      <c r="X286" s="81">
        <f t="shared" si="2"/>
        <v>0.236730394</v>
      </c>
      <c r="Y286" s="82">
        <f t="shared" si="19"/>
        <v>10049730.31</v>
      </c>
      <c r="Z286" s="6"/>
      <c r="AA286" s="83">
        <f t="shared" si="8"/>
        <v>25565.61252</v>
      </c>
      <c r="AB286" s="84">
        <f t="shared" si="9"/>
        <v>5470097.621</v>
      </c>
      <c r="AC286" s="79">
        <f t="shared" si="12"/>
        <v>25629.52655</v>
      </c>
      <c r="AD286" s="85">
        <f t="shared" si="10"/>
        <v>5446202.147</v>
      </c>
      <c r="AE286" s="81">
        <v>0.25</v>
      </c>
      <c r="AF286" s="82">
        <f t="shared" si="17"/>
        <v>10277440.15</v>
      </c>
      <c r="AG286" s="6"/>
      <c r="AH286" s="6"/>
      <c r="AI286" s="6"/>
      <c r="AJ286" s="6"/>
      <c r="AK286" s="6"/>
      <c r="AL286" s="6"/>
      <c r="AM286" s="6"/>
      <c r="AN286" s="6"/>
      <c r="AO286" s="6"/>
      <c r="AP286" s="6"/>
    </row>
    <row r="287" ht="11.25" customHeight="1">
      <c r="A287" s="7"/>
      <c r="B287" s="68">
        <f t="shared" si="16"/>
        <v>282</v>
      </c>
      <c r="C287" s="86">
        <f t="shared" si="20"/>
        <v>20932.90971</v>
      </c>
      <c r="D287" s="84">
        <f t="shared" si="5"/>
        <v>4081730.308</v>
      </c>
      <c r="E287" s="78"/>
      <c r="F287" s="79"/>
      <c r="G287" s="78"/>
      <c r="H287" s="78">
        <v>1621713.0</v>
      </c>
      <c r="I287" s="78"/>
      <c r="J287" s="103">
        <v>3160000.0</v>
      </c>
      <c r="K287" s="78"/>
      <c r="L287" s="103"/>
      <c r="M287" s="6"/>
      <c r="N287" s="97"/>
      <c r="O287" s="6"/>
      <c r="P287" s="6"/>
      <c r="Q287" s="6"/>
      <c r="R287" s="6"/>
      <c r="S287" s="78">
        <f>IFERROR(__xludf.DUMMYFUNCTION("""COMPUTED_VALUE"""),8800.804203181062)</f>
        <v>8800.804203</v>
      </c>
      <c r="T287" s="78">
        <f>IFERROR(__xludf.DUMMYFUNCTION("""COMPUTED_VALUE"""),12249.347365832422)</f>
        <v>12249.34737</v>
      </c>
      <c r="U287" s="78"/>
      <c r="V287" s="79">
        <f t="shared" si="15"/>
        <v>21050.15157</v>
      </c>
      <c r="W287" s="80">
        <f t="shared" si="7"/>
        <v>4930899.886</v>
      </c>
      <c r="X287" s="81">
        <f t="shared" si="2"/>
        <v>0.2374940623</v>
      </c>
      <c r="Y287" s="82">
        <f t="shared" si="19"/>
        <v>10070780.46</v>
      </c>
      <c r="Z287" s="6"/>
      <c r="AA287" s="83">
        <f t="shared" si="8"/>
        <v>25629.52655</v>
      </c>
      <c r="AB287" s="84">
        <f t="shared" si="9"/>
        <v>5495727.147</v>
      </c>
      <c r="AC287" s="79">
        <f t="shared" si="12"/>
        <v>25693.60037</v>
      </c>
      <c r="AD287" s="85">
        <f t="shared" si="10"/>
        <v>5471895.747</v>
      </c>
      <c r="AE287" s="81">
        <v>0.25</v>
      </c>
      <c r="AF287" s="82">
        <f t="shared" si="17"/>
        <v>10303133.75</v>
      </c>
      <c r="AG287" s="6"/>
      <c r="AH287" s="6"/>
      <c r="AI287" s="6"/>
      <c r="AJ287" s="6"/>
      <c r="AK287" s="6"/>
      <c r="AL287" s="6"/>
      <c r="AM287" s="6"/>
      <c r="AN287" s="6"/>
      <c r="AO287" s="6"/>
      <c r="AP287" s="6"/>
    </row>
    <row r="288" ht="11.25" customHeight="1">
      <c r="A288" s="7"/>
      <c r="B288" s="68">
        <f t="shared" si="16"/>
        <v>283</v>
      </c>
      <c r="C288" s="86">
        <f t="shared" si="20"/>
        <v>21050.15157</v>
      </c>
      <c r="D288" s="84">
        <f t="shared" si="5"/>
        <v>4102780.459</v>
      </c>
      <c r="E288" s="78"/>
      <c r="F288" s="79"/>
      <c r="G288" s="78"/>
      <c r="H288" s="78">
        <v>1621713.0</v>
      </c>
      <c r="I288" s="78"/>
      <c r="J288" s="103">
        <v>3160000.0</v>
      </c>
      <c r="K288" s="78"/>
      <c r="L288" s="103"/>
      <c r="M288" s="6"/>
      <c r="N288" s="97"/>
      <c r="O288" s="6"/>
      <c r="P288" s="6"/>
      <c r="Q288" s="6"/>
      <c r="R288" s="6"/>
      <c r="S288" s="78">
        <f>IFERROR(__xludf.DUMMYFUNCTION("""COMPUTED_VALUE"""),8852.068808405893)</f>
        <v>8852.068808</v>
      </c>
      <c r="T288" s="78">
        <f>IFERROR(__xludf.DUMMYFUNCTION("""COMPUTED_VALUE"""),12315.815191262402)</f>
        <v>12315.81519</v>
      </c>
      <c r="U288" s="78"/>
      <c r="V288" s="79">
        <f t="shared" si="15"/>
        <v>21167.884</v>
      </c>
      <c r="W288" s="80">
        <f t="shared" si="7"/>
        <v>4952067.77</v>
      </c>
      <c r="X288" s="81">
        <f t="shared" si="2"/>
        <v>0.2382565095</v>
      </c>
      <c r="Y288" s="82">
        <f t="shared" si="19"/>
        <v>10091948.34</v>
      </c>
      <c r="Z288" s="6"/>
      <c r="AA288" s="83">
        <f t="shared" si="8"/>
        <v>25693.60037</v>
      </c>
      <c r="AB288" s="84">
        <f t="shared" si="9"/>
        <v>5521420.747</v>
      </c>
      <c r="AC288" s="79">
        <f t="shared" si="12"/>
        <v>25757.83437</v>
      </c>
      <c r="AD288" s="85">
        <f t="shared" si="10"/>
        <v>5497653.582</v>
      </c>
      <c r="AE288" s="81">
        <v>0.25</v>
      </c>
      <c r="AF288" s="82">
        <f t="shared" si="17"/>
        <v>10328891.58</v>
      </c>
      <c r="AG288" s="6"/>
      <c r="AH288" s="6"/>
      <c r="AI288" s="6"/>
      <c r="AJ288" s="6"/>
      <c r="AK288" s="6"/>
      <c r="AL288" s="6"/>
      <c r="AM288" s="6"/>
      <c r="AN288" s="6"/>
      <c r="AO288" s="6"/>
      <c r="AP288" s="6"/>
    </row>
    <row r="289" ht="11.25" customHeight="1">
      <c r="A289" s="7"/>
      <c r="B289" s="68">
        <f t="shared" si="16"/>
        <v>284</v>
      </c>
      <c r="C289" s="86">
        <f t="shared" si="20"/>
        <v>21167.884</v>
      </c>
      <c r="D289" s="84">
        <f t="shared" si="5"/>
        <v>4123948.343</v>
      </c>
      <c r="E289" s="78"/>
      <c r="F289" s="79"/>
      <c r="G289" s="78"/>
      <c r="H289" s="78">
        <v>1621713.0</v>
      </c>
      <c r="I289" s="78"/>
      <c r="J289" s="103">
        <v>3160000.0</v>
      </c>
      <c r="K289" s="78"/>
      <c r="L289" s="103"/>
      <c r="M289" s="6"/>
      <c r="N289" s="97"/>
      <c r="O289" s="6"/>
      <c r="P289" s="6"/>
      <c r="Q289" s="6"/>
      <c r="R289" s="6"/>
      <c r="S289" s="78">
        <f>IFERROR(__xludf.DUMMYFUNCTION("""COMPUTED_VALUE"""),8903.60041678301)</f>
        <v>8903.600417</v>
      </c>
      <c r="T289" s="78">
        <f>IFERROR(__xludf.DUMMYFUNCTION("""COMPUTED_VALUE"""),12382.508730349597)</f>
        <v>12382.50873</v>
      </c>
      <c r="U289" s="78"/>
      <c r="V289" s="79">
        <f t="shared" si="15"/>
        <v>21286.10915</v>
      </c>
      <c r="W289" s="80">
        <f t="shared" si="7"/>
        <v>4973353.879</v>
      </c>
      <c r="X289" s="81">
        <f t="shared" si="2"/>
        <v>0.2390177251</v>
      </c>
      <c r="Y289" s="82">
        <f t="shared" si="19"/>
        <v>10113234.45</v>
      </c>
      <c r="Z289" s="6"/>
      <c r="AA289" s="83">
        <f t="shared" si="8"/>
        <v>25757.83437</v>
      </c>
      <c r="AB289" s="84">
        <f t="shared" si="9"/>
        <v>5547178.582</v>
      </c>
      <c r="AC289" s="79">
        <f t="shared" si="12"/>
        <v>25822.22895</v>
      </c>
      <c r="AD289" s="85">
        <f t="shared" si="10"/>
        <v>5523475.811</v>
      </c>
      <c r="AE289" s="81">
        <v>0.25</v>
      </c>
      <c r="AF289" s="82">
        <f t="shared" si="17"/>
        <v>10354713.81</v>
      </c>
      <c r="AG289" s="6"/>
      <c r="AH289" s="6"/>
      <c r="AI289" s="6"/>
      <c r="AJ289" s="6"/>
      <c r="AK289" s="6"/>
      <c r="AL289" s="6"/>
      <c r="AM289" s="6"/>
      <c r="AN289" s="6"/>
      <c r="AO289" s="6"/>
      <c r="AP289" s="6"/>
    </row>
    <row r="290" ht="11.25" customHeight="1">
      <c r="A290" s="7"/>
      <c r="B290" s="68">
        <f t="shared" si="16"/>
        <v>285</v>
      </c>
      <c r="C290" s="86">
        <f t="shared" si="20"/>
        <v>21286.10915</v>
      </c>
      <c r="D290" s="84">
        <f t="shared" si="5"/>
        <v>4145234.453</v>
      </c>
      <c r="E290" s="78"/>
      <c r="F290" s="79"/>
      <c r="G290" s="78"/>
      <c r="H290" s="78">
        <v>1621713.0</v>
      </c>
      <c r="I290" s="78"/>
      <c r="J290" s="103">
        <v>3160000.0</v>
      </c>
      <c r="K290" s="78"/>
      <c r="L290" s="103"/>
      <c r="M290" s="6"/>
      <c r="N290" s="97"/>
      <c r="O290" s="6"/>
      <c r="P290" s="6"/>
      <c r="Q290" s="6"/>
      <c r="R290" s="6"/>
      <c r="S290" s="78">
        <f>IFERROR(__xludf.DUMMYFUNCTION("""COMPUTED_VALUE"""),8955.400418953737)</f>
        <v>8955.400419</v>
      </c>
      <c r="T290" s="78">
        <f>IFERROR(__xludf.DUMMYFUNCTION("""COMPUTED_VALUE"""),12449.428749579936)</f>
        <v>12449.42875</v>
      </c>
      <c r="U290" s="78"/>
      <c r="V290" s="79">
        <f t="shared" si="15"/>
        <v>21404.82917</v>
      </c>
      <c r="W290" s="80">
        <f t="shared" si="7"/>
        <v>4994758.708</v>
      </c>
      <c r="X290" s="81">
        <f t="shared" si="2"/>
        <v>0.2397776987</v>
      </c>
      <c r="Y290" s="82">
        <f t="shared" si="19"/>
        <v>10134639.28</v>
      </c>
      <c r="Z290" s="6"/>
      <c r="AA290" s="83">
        <f t="shared" si="8"/>
        <v>25822.22895</v>
      </c>
      <c r="AB290" s="84">
        <f t="shared" si="9"/>
        <v>5573000.811</v>
      </c>
      <c r="AC290" s="79">
        <f t="shared" si="12"/>
        <v>25886.78453</v>
      </c>
      <c r="AD290" s="85">
        <f t="shared" si="10"/>
        <v>5549362.595</v>
      </c>
      <c r="AE290" s="81">
        <v>0.25</v>
      </c>
      <c r="AF290" s="82">
        <f t="shared" si="17"/>
        <v>10380600.6</v>
      </c>
      <c r="AG290" s="6"/>
      <c r="AH290" s="6"/>
      <c r="AI290" s="6"/>
      <c r="AJ290" s="6"/>
      <c r="AK290" s="6"/>
      <c r="AL290" s="6"/>
      <c r="AM290" s="6"/>
      <c r="AN290" s="6"/>
      <c r="AO290" s="6"/>
      <c r="AP290" s="6"/>
    </row>
    <row r="291" ht="11.25" customHeight="1">
      <c r="A291" s="7"/>
      <c r="B291" s="68">
        <f t="shared" si="16"/>
        <v>286</v>
      </c>
      <c r="C291" s="86">
        <f t="shared" si="20"/>
        <v>21404.82917</v>
      </c>
      <c r="D291" s="84">
        <f t="shared" si="5"/>
        <v>4166639.282</v>
      </c>
      <c r="E291" s="78"/>
      <c r="F291" s="79"/>
      <c r="G291" s="78"/>
      <c r="H291" s="78">
        <v>1621713.0</v>
      </c>
      <c r="I291" s="78"/>
      <c r="J291" s="103">
        <v>3160000.0</v>
      </c>
      <c r="K291" s="78"/>
      <c r="L291" s="103"/>
      <c r="M291" s="6"/>
      <c r="N291" s="97"/>
      <c r="O291" s="6"/>
      <c r="P291" s="6"/>
      <c r="Q291" s="6"/>
      <c r="R291" s="6"/>
      <c r="S291" s="78">
        <f>IFERROR(__xludf.DUMMYFUNCTION("""COMPUTED_VALUE"""),9007.470212802524)</f>
        <v>9007.470213</v>
      </c>
      <c r="T291" s="78">
        <f>IFERROR(__xludf.DUMMYFUNCTION("""COMPUTED_VALUE"""),12516.576018041465)</f>
        <v>12516.57602</v>
      </c>
      <c r="U291" s="78"/>
      <c r="V291" s="79">
        <f t="shared" si="15"/>
        <v>21524.04623</v>
      </c>
      <c r="W291" s="80">
        <f t="shared" si="7"/>
        <v>5016282.754</v>
      </c>
      <c r="X291" s="81">
        <f t="shared" si="2"/>
        <v>0.24053642</v>
      </c>
      <c r="Y291" s="82">
        <f t="shared" si="19"/>
        <v>10156163.33</v>
      </c>
      <c r="Z291" s="6"/>
      <c r="AA291" s="83">
        <f t="shared" si="8"/>
        <v>25886.78453</v>
      </c>
      <c r="AB291" s="84">
        <f t="shared" si="9"/>
        <v>5598887.595</v>
      </c>
      <c r="AC291" s="79">
        <f t="shared" si="12"/>
        <v>25951.50149</v>
      </c>
      <c r="AD291" s="85">
        <f t="shared" si="10"/>
        <v>5575314.097</v>
      </c>
      <c r="AE291" s="81">
        <v>0.25</v>
      </c>
      <c r="AF291" s="82">
        <f t="shared" si="17"/>
        <v>10406552.1</v>
      </c>
      <c r="AG291" s="6"/>
      <c r="AH291" s="6"/>
      <c r="AI291" s="6"/>
      <c r="AJ291" s="6"/>
      <c r="AK291" s="6"/>
      <c r="AL291" s="6"/>
      <c r="AM291" s="6"/>
      <c r="AN291" s="6"/>
      <c r="AO291" s="6"/>
      <c r="AP291" s="6"/>
    </row>
    <row r="292" ht="11.25" customHeight="1">
      <c r="A292" s="7"/>
      <c r="B292" s="68">
        <f t="shared" si="16"/>
        <v>287</v>
      </c>
      <c r="C292" s="86">
        <f t="shared" si="20"/>
        <v>21524.04623</v>
      </c>
      <c r="D292" s="84">
        <f t="shared" si="5"/>
        <v>4188163.328</v>
      </c>
      <c r="E292" s="78"/>
      <c r="F292" s="79"/>
      <c r="G292" s="78"/>
      <c r="H292" s="78">
        <v>1621713.0</v>
      </c>
      <c r="I292" s="78"/>
      <c r="J292" s="103">
        <v>3160000.0</v>
      </c>
      <c r="K292" s="78"/>
      <c r="L292" s="103"/>
      <c r="M292" s="6"/>
      <c r="N292" s="97"/>
      <c r="O292" s="6"/>
      <c r="P292" s="6"/>
      <c r="Q292" s="6"/>
      <c r="R292" s="6"/>
      <c r="S292" s="78">
        <f>IFERROR(__xludf.DUMMYFUNCTION("""COMPUTED_VALUE"""),9059.811203494202)</f>
        <v>9059.811203</v>
      </c>
      <c r="T292" s="78">
        <f>IFERROR(__xludf.DUMMYFUNCTION("""COMPUTED_VALUE"""),12583.951307436451)</f>
        <v>12583.95131</v>
      </c>
      <c r="U292" s="78"/>
      <c r="V292" s="79">
        <f t="shared" si="15"/>
        <v>21643.76251</v>
      </c>
      <c r="W292" s="80">
        <f t="shared" si="7"/>
        <v>5037926.517</v>
      </c>
      <c r="X292" s="81">
        <f t="shared" si="2"/>
        <v>0.2412938787</v>
      </c>
      <c r="Y292" s="82">
        <f t="shared" si="19"/>
        <v>10177807.09</v>
      </c>
      <c r="Z292" s="6"/>
      <c r="AA292" s="83">
        <f t="shared" si="8"/>
        <v>25951.50149</v>
      </c>
      <c r="AB292" s="84">
        <f t="shared" si="9"/>
        <v>5624839.097</v>
      </c>
      <c r="AC292" s="79">
        <f t="shared" si="12"/>
        <v>26016.38024</v>
      </c>
      <c r="AD292" s="85">
        <f t="shared" si="10"/>
        <v>5601330.477</v>
      </c>
      <c r="AE292" s="81">
        <v>0.25</v>
      </c>
      <c r="AF292" s="82">
        <f t="shared" si="17"/>
        <v>10432568.48</v>
      </c>
      <c r="AG292" s="6"/>
      <c r="AH292" s="6"/>
      <c r="AI292" s="6"/>
      <c r="AJ292" s="6"/>
      <c r="AK292" s="6"/>
      <c r="AL292" s="6"/>
      <c r="AM292" s="6"/>
      <c r="AN292" s="6"/>
      <c r="AO292" s="6"/>
      <c r="AP292" s="6"/>
    </row>
    <row r="293" ht="11.25" customHeight="1">
      <c r="A293" s="71"/>
      <c r="B293" s="72">
        <f t="shared" si="16"/>
        <v>288</v>
      </c>
      <c r="C293" s="86">
        <f t="shared" si="20"/>
        <v>21643.76251</v>
      </c>
      <c r="D293" s="88">
        <f t="shared" si="5"/>
        <v>4209807.091</v>
      </c>
      <c r="E293" s="89"/>
      <c r="F293" s="90"/>
      <c r="G293" s="89"/>
      <c r="H293" s="89">
        <v>1621713.0</v>
      </c>
      <c r="I293" s="89"/>
      <c r="J293" s="104">
        <v>3160000.0</v>
      </c>
      <c r="K293" s="89"/>
      <c r="L293" s="104"/>
      <c r="M293" s="6"/>
      <c r="N293" s="99"/>
      <c r="O293" s="10"/>
      <c r="P293" s="10"/>
      <c r="Q293" s="10"/>
      <c r="R293" s="10"/>
      <c r="S293" s="89">
        <f>IFERROR(__xludf.DUMMYFUNCTION("""COMPUTED_VALUE"""),9112.424803512404)</f>
        <v>9112.424804</v>
      </c>
      <c r="T293" s="89">
        <f>IFERROR(__xludf.DUMMYFUNCTION("""COMPUTED_VALUE"""),12651.555392084178)</f>
        <v>12651.55539</v>
      </c>
      <c r="U293" s="89"/>
      <c r="V293" s="90">
        <f t="shared" si="15"/>
        <v>21763.9802</v>
      </c>
      <c r="W293" s="91">
        <f t="shared" si="7"/>
        <v>5059690.497</v>
      </c>
      <c r="X293" s="81">
        <f t="shared" si="2"/>
        <v>0.2420500647</v>
      </c>
      <c r="Y293" s="82">
        <f t="shared" si="19"/>
        <v>10199571.07</v>
      </c>
      <c r="Z293" s="6"/>
      <c r="AA293" s="83">
        <f t="shared" si="8"/>
        <v>26016.38024</v>
      </c>
      <c r="AB293" s="88">
        <f t="shared" si="9"/>
        <v>5650855.477</v>
      </c>
      <c r="AC293" s="90">
        <f t="shared" si="12"/>
        <v>26081.42119</v>
      </c>
      <c r="AD293" s="94">
        <f t="shared" si="10"/>
        <v>5627411.898</v>
      </c>
      <c r="AE293" s="81">
        <v>0.25</v>
      </c>
      <c r="AF293" s="82">
        <f t="shared" si="17"/>
        <v>10458649.9</v>
      </c>
      <c r="AG293" s="6"/>
      <c r="AH293" s="6"/>
      <c r="AI293" s="6"/>
      <c r="AJ293" s="6"/>
      <c r="AK293" s="6"/>
      <c r="AL293" s="6"/>
      <c r="AM293" s="6"/>
      <c r="AN293" s="6"/>
      <c r="AO293" s="6"/>
      <c r="AP293" s="6"/>
    </row>
    <row r="294" ht="11.25" customHeight="1">
      <c r="A294" s="100">
        <v>25.0</v>
      </c>
      <c r="B294" s="66">
        <f t="shared" si="16"/>
        <v>289</v>
      </c>
      <c r="C294" s="86">
        <f t="shared" si="20"/>
        <v>21763.9802</v>
      </c>
      <c r="D294" s="84">
        <f t="shared" si="5"/>
        <v>4231571.071</v>
      </c>
      <c r="E294" s="78"/>
      <c r="F294" s="79"/>
      <c r="G294" s="78"/>
      <c r="H294" s="78">
        <v>1621713.0</v>
      </c>
      <c r="I294" s="78"/>
      <c r="J294" s="103">
        <v>3160000.0</v>
      </c>
      <c r="K294" s="78"/>
      <c r="L294" s="103"/>
      <c r="M294" s="6"/>
      <c r="N294" s="97"/>
      <c r="O294" s="6"/>
      <c r="P294" s="6"/>
      <c r="Q294" s="6"/>
      <c r="R294" s="6"/>
      <c r="S294" s="102">
        <f>IFERROR(__xludf.DUMMYFUNCTION("""COMPUTED_VALUE"""),9165.312432697508)</f>
        <v>9165.312433</v>
      </c>
      <c r="T294" s="9">
        <f>IFERROR(__xludf.DUMMYFUNCTION("""COMPUTED_VALUE"""),12719.389048936777)</f>
        <v>12719.38905</v>
      </c>
      <c r="U294" s="78"/>
      <c r="V294" s="79">
        <f t="shared" si="15"/>
        <v>21884.70148</v>
      </c>
      <c r="W294" s="80">
        <f t="shared" si="7"/>
        <v>5081575.198</v>
      </c>
      <c r="X294" s="81">
        <f t="shared" si="2"/>
        <v>0.2428049678</v>
      </c>
      <c r="Y294" s="82">
        <f t="shared" si="19"/>
        <v>10221455.77</v>
      </c>
      <c r="Z294" s="6"/>
      <c r="AA294" s="83">
        <f t="shared" si="8"/>
        <v>26081.42119</v>
      </c>
      <c r="AB294" s="84">
        <f t="shared" si="9"/>
        <v>5676936.898</v>
      </c>
      <c r="AC294" s="79">
        <f t="shared" si="12"/>
        <v>26146.62475</v>
      </c>
      <c r="AD294" s="95">
        <f t="shared" si="10"/>
        <v>5653558.523</v>
      </c>
      <c r="AE294" s="81">
        <v>0.25</v>
      </c>
      <c r="AF294" s="82">
        <f t="shared" si="17"/>
        <v>10484796.52</v>
      </c>
      <c r="AG294" s="6"/>
      <c r="AH294" s="6"/>
      <c r="AI294" s="6"/>
      <c r="AJ294" s="6"/>
      <c r="AK294" s="6"/>
      <c r="AL294" s="6"/>
      <c r="AM294" s="6"/>
      <c r="AN294" s="6"/>
      <c r="AO294" s="6"/>
      <c r="AP294" s="6"/>
    </row>
    <row r="295" ht="11.25" customHeight="1">
      <c r="A295" s="7"/>
      <c r="B295" s="68">
        <f t="shared" si="16"/>
        <v>290</v>
      </c>
      <c r="C295" s="86">
        <f t="shared" si="20"/>
        <v>21884.70148</v>
      </c>
      <c r="D295" s="84">
        <f t="shared" si="5"/>
        <v>4253455.772</v>
      </c>
      <c r="E295" s="78"/>
      <c r="F295" s="79"/>
      <c r="G295" s="78"/>
      <c r="H295" s="78">
        <v>1621713.0</v>
      </c>
      <c r="I295" s="78"/>
      <c r="J295" s="103">
        <v>3160000.0</v>
      </c>
      <c r="K295" s="78"/>
      <c r="L295" s="103"/>
      <c r="M295" s="6"/>
      <c r="N295" s="97"/>
      <c r="O295" s="6"/>
      <c r="P295" s="6"/>
      <c r="Q295" s="6"/>
      <c r="R295" s="6"/>
      <c r="S295" s="78">
        <f>IFERROR(__xludf.DUMMYFUNCTION("""COMPUTED_VALUE"""),9218.475518284366)</f>
        <v>9218.475518</v>
      </c>
      <c r="T295" s="9">
        <f>IFERROR(__xludf.DUMMYFUNCTION("""COMPUTED_VALUE"""),12787.45305758249)</f>
        <v>12787.45306</v>
      </c>
      <c r="U295" s="78"/>
      <c r="V295" s="79">
        <f t="shared" si="15"/>
        <v>22005.92858</v>
      </c>
      <c r="W295" s="80">
        <f t="shared" si="7"/>
        <v>5103581.127</v>
      </c>
      <c r="X295" s="81">
        <f t="shared" si="2"/>
        <v>0.2435585779</v>
      </c>
      <c r="Y295" s="82">
        <f t="shared" si="19"/>
        <v>10243461.7</v>
      </c>
      <c r="Z295" s="6"/>
      <c r="AA295" s="83">
        <f t="shared" si="8"/>
        <v>26146.62475</v>
      </c>
      <c r="AB295" s="84">
        <f t="shared" si="9"/>
        <v>5703083.523</v>
      </c>
      <c r="AC295" s="79">
        <f t="shared" si="12"/>
        <v>26211.99131</v>
      </c>
      <c r="AD295" s="85">
        <f t="shared" si="10"/>
        <v>5679770.514</v>
      </c>
      <c r="AE295" s="81">
        <v>0.25</v>
      </c>
      <c r="AF295" s="82">
        <f t="shared" si="17"/>
        <v>10511008.51</v>
      </c>
      <c r="AG295" s="6"/>
      <c r="AH295" s="6"/>
      <c r="AI295" s="6"/>
      <c r="AJ295" s="6"/>
      <c r="AK295" s="6"/>
      <c r="AL295" s="6"/>
      <c r="AM295" s="6"/>
      <c r="AN295" s="6"/>
      <c r="AO295" s="6"/>
      <c r="AP295" s="6"/>
    </row>
    <row r="296" ht="11.25" customHeight="1">
      <c r="A296" s="7"/>
      <c r="B296" s="68">
        <f t="shared" si="16"/>
        <v>291</v>
      </c>
      <c r="C296" s="86">
        <f t="shared" si="20"/>
        <v>22005.92858</v>
      </c>
      <c r="D296" s="84">
        <f t="shared" si="5"/>
        <v>4275461.701</v>
      </c>
      <c r="E296" s="78"/>
      <c r="F296" s="79"/>
      <c r="G296" s="78"/>
      <c r="H296" s="78">
        <v>1621713.0</v>
      </c>
      <c r="I296" s="78"/>
      <c r="J296" s="103">
        <v>3160000.0</v>
      </c>
      <c r="K296" s="78"/>
      <c r="L296" s="103"/>
      <c r="M296" s="6"/>
      <c r="N296" s="97"/>
      <c r="O296" s="6"/>
      <c r="P296" s="6"/>
      <c r="Q296" s="6"/>
      <c r="R296" s="6"/>
      <c r="S296" s="78">
        <f>IFERROR(__xludf.DUMMYFUNCTION("""COMPUTED_VALUE"""),9271.915494942106)</f>
        <v>9271.915495</v>
      </c>
      <c r="T296" s="9">
        <f>IFERROR(__xludf.DUMMYFUNCTION("""COMPUTED_VALUE"""),12855.748200256843)</f>
        <v>12855.7482</v>
      </c>
      <c r="U296" s="78"/>
      <c r="V296" s="79">
        <f t="shared" si="15"/>
        <v>22127.6637</v>
      </c>
      <c r="W296" s="80">
        <f t="shared" si="7"/>
        <v>5125708.791</v>
      </c>
      <c r="X296" s="81">
        <f t="shared" si="2"/>
        <v>0.2443108853</v>
      </c>
      <c r="Y296" s="82">
        <f t="shared" si="19"/>
        <v>10265589.36</v>
      </c>
      <c r="Z296" s="6"/>
      <c r="AA296" s="83">
        <f t="shared" si="8"/>
        <v>26211.99131</v>
      </c>
      <c r="AB296" s="84">
        <f t="shared" si="9"/>
        <v>5729295.514</v>
      </c>
      <c r="AC296" s="79">
        <f t="shared" si="12"/>
        <v>26277.52129</v>
      </c>
      <c r="AD296" s="85">
        <f t="shared" si="10"/>
        <v>5706048.036</v>
      </c>
      <c r="AE296" s="81">
        <v>0.25</v>
      </c>
      <c r="AF296" s="82">
        <f t="shared" si="17"/>
        <v>10537286.04</v>
      </c>
      <c r="AG296" s="6"/>
      <c r="AH296" s="6"/>
      <c r="AI296" s="6"/>
      <c r="AJ296" s="6"/>
      <c r="AK296" s="6"/>
      <c r="AL296" s="6"/>
      <c r="AM296" s="6"/>
      <c r="AN296" s="6"/>
      <c r="AO296" s="6"/>
      <c r="AP296" s="6"/>
    </row>
    <row r="297" ht="11.25" customHeight="1">
      <c r="A297" s="7"/>
      <c r="B297" s="68">
        <f t="shared" si="16"/>
        <v>292</v>
      </c>
      <c r="C297" s="86">
        <f t="shared" si="20"/>
        <v>22127.6637</v>
      </c>
      <c r="D297" s="84">
        <f t="shared" si="5"/>
        <v>4297589.364</v>
      </c>
      <c r="E297" s="78"/>
      <c r="F297" s="79"/>
      <c r="G297" s="78"/>
      <c r="H297" s="78">
        <v>1621713.0</v>
      </c>
      <c r="I297" s="78"/>
      <c r="J297" s="103">
        <v>3160000.0</v>
      </c>
      <c r="K297" s="78"/>
      <c r="L297" s="103"/>
      <c r="M297" s="6"/>
      <c r="N297" s="97"/>
      <c r="O297" s="6"/>
      <c r="P297" s="6"/>
      <c r="Q297" s="6"/>
      <c r="R297" s="6"/>
      <c r="S297" s="78">
        <f>IFERROR(__xludf.DUMMYFUNCTION("""COMPUTED_VALUE"""),9325.63380481163)</f>
        <v>9325.633805</v>
      </c>
      <c r="T297" s="78">
        <f>IFERROR(__xludf.DUMMYFUNCTION("""COMPUTED_VALUE"""),12924.275261853356)</f>
        <v>12924.27526</v>
      </c>
      <c r="U297" s="78"/>
      <c r="V297" s="79">
        <f t="shared" si="15"/>
        <v>22249.90907</v>
      </c>
      <c r="W297" s="80">
        <f t="shared" si="7"/>
        <v>5147958.7</v>
      </c>
      <c r="X297" s="81">
        <f t="shared" si="2"/>
        <v>0.24506188</v>
      </c>
      <c r="Y297" s="82">
        <f t="shared" si="19"/>
        <v>10287839.27</v>
      </c>
      <c r="Z297" s="6"/>
      <c r="AA297" s="83">
        <f t="shared" si="8"/>
        <v>26277.52129</v>
      </c>
      <c r="AB297" s="84">
        <f t="shared" si="9"/>
        <v>5755573.036</v>
      </c>
      <c r="AC297" s="79">
        <f t="shared" si="12"/>
        <v>26343.21509</v>
      </c>
      <c r="AD297" s="85">
        <f t="shared" si="10"/>
        <v>5732391.251</v>
      </c>
      <c r="AE297" s="81">
        <v>0.25</v>
      </c>
      <c r="AF297" s="82">
        <f t="shared" si="17"/>
        <v>10563629.25</v>
      </c>
      <c r="AG297" s="6"/>
      <c r="AH297" s="6"/>
      <c r="AI297" s="6"/>
      <c r="AJ297" s="6"/>
      <c r="AK297" s="6"/>
      <c r="AL297" s="6"/>
      <c r="AM297" s="6"/>
      <c r="AN297" s="6"/>
      <c r="AO297" s="6"/>
      <c r="AP297" s="6"/>
    </row>
    <row r="298" ht="11.25" customHeight="1">
      <c r="A298" s="7"/>
      <c r="B298" s="68">
        <f t="shared" si="16"/>
        <v>293</v>
      </c>
      <c r="C298" s="86">
        <f t="shared" si="20"/>
        <v>22249.90907</v>
      </c>
      <c r="D298" s="84">
        <f t="shared" si="5"/>
        <v>4319839.274</v>
      </c>
      <c r="E298" s="78"/>
      <c r="F298" s="79"/>
      <c r="G298" s="78"/>
      <c r="H298" s="78">
        <v>1621713.0</v>
      </c>
      <c r="I298" s="78"/>
      <c r="J298" s="103">
        <v>3160000.0</v>
      </c>
      <c r="K298" s="78"/>
      <c r="L298" s="103"/>
      <c r="M298" s="6"/>
      <c r="N298" s="97"/>
      <c r="O298" s="6"/>
      <c r="P298" s="6"/>
      <c r="Q298" s="6"/>
      <c r="R298" s="6"/>
      <c r="S298" s="78">
        <f>IFERROR(__xludf.DUMMYFUNCTION("""COMPUTED_VALUE"""),9379.631897544954)</f>
        <v>9379.631898</v>
      </c>
      <c r="T298" s="78">
        <f>IFERROR(__xludf.DUMMYFUNCTION("""COMPUTED_VALUE"""),12993.035029930528)</f>
        <v>12993.03503</v>
      </c>
      <c r="U298" s="78"/>
      <c r="V298" s="79">
        <f t="shared" si="15"/>
        <v>22372.66693</v>
      </c>
      <c r="W298" s="80">
        <f t="shared" si="7"/>
        <v>5170331.367</v>
      </c>
      <c r="X298" s="81">
        <f t="shared" si="2"/>
        <v>0.2458115523</v>
      </c>
      <c r="Y298" s="82">
        <f t="shared" si="19"/>
        <v>10310211.94</v>
      </c>
      <c r="Z298" s="6"/>
      <c r="AA298" s="83">
        <f t="shared" si="8"/>
        <v>26343.21509</v>
      </c>
      <c r="AB298" s="84">
        <f t="shared" si="9"/>
        <v>5781916.251</v>
      </c>
      <c r="AC298" s="79">
        <f t="shared" si="12"/>
        <v>26409.07313</v>
      </c>
      <c r="AD298" s="85">
        <f t="shared" si="10"/>
        <v>5758800.324</v>
      </c>
      <c r="AE298" s="81">
        <v>0.25</v>
      </c>
      <c r="AF298" s="82">
        <f t="shared" si="17"/>
        <v>10590038.32</v>
      </c>
      <c r="AG298" s="6"/>
      <c r="AH298" s="6"/>
      <c r="AI298" s="6"/>
      <c r="AJ298" s="6"/>
      <c r="AK298" s="6"/>
      <c r="AL298" s="6"/>
      <c r="AM298" s="6"/>
      <c r="AN298" s="6"/>
      <c r="AO298" s="6"/>
      <c r="AP298" s="6"/>
    </row>
    <row r="299" ht="11.25" customHeight="1">
      <c r="A299" s="7"/>
      <c r="B299" s="68">
        <f t="shared" si="16"/>
        <v>294</v>
      </c>
      <c r="C299" s="86">
        <f t="shared" si="20"/>
        <v>22372.66693</v>
      </c>
      <c r="D299" s="84">
        <f t="shared" si="5"/>
        <v>4342211.94</v>
      </c>
      <c r="E299" s="78"/>
      <c r="F299" s="79"/>
      <c r="G299" s="78"/>
      <c r="H299" s="78">
        <v>1621713.0</v>
      </c>
      <c r="I299" s="78"/>
      <c r="J299" s="103">
        <v>3160000.0</v>
      </c>
      <c r="K299" s="78"/>
      <c r="L299" s="103"/>
      <c r="M299" s="6"/>
      <c r="N299" s="97"/>
      <c r="O299" s="6"/>
      <c r="P299" s="6"/>
      <c r="Q299" s="6"/>
      <c r="R299" s="6"/>
      <c r="S299" s="78">
        <f>IFERROR(__xludf.DUMMYFUNCTION("""COMPUTED_VALUE"""),9433.911230344791)</f>
        <v>9433.91123</v>
      </c>
      <c r="T299" s="78">
        <f>IFERROR(__xludf.DUMMYFUNCTION("""COMPUTED_VALUE"""),13062.02829471929)</f>
        <v>13062.02829</v>
      </c>
      <c r="U299" s="78"/>
      <c r="V299" s="79">
        <f t="shared" si="15"/>
        <v>22495.93953</v>
      </c>
      <c r="W299" s="80">
        <f t="shared" si="7"/>
        <v>5192827.306</v>
      </c>
      <c r="X299" s="81">
        <f t="shared" si="2"/>
        <v>0.2465598925</v>
      </c>
      <c r="Y299" s="82">
        <f t="shared" si="19"/>
        <v>10332707.88</v>
      </c>
      <c r="Z299" s="6"/>
      <c r="AA299" s="83">
        <f t="shared" si="8"/>
        <v>26409.07313</v>
      </c>
      <c r="AB299" s="84">
        <f t="shared" si="9"/>
        <v>5808325.324</v>
      </c>
      <c r="AC299" s="79">
        <f t="shared" si="12"/>
        <v>26475.09581</v>
      </c>
      <c r="AD299" s="85">
        <f t="shared" si="10"/>
        <v>5785275.42</v>
      </c>
      <c r="AE299" s="81">
        <v>0.25</v>
      </c>
      <c r="AF299" s="82">
        <f t="shared" si="17"/>
        <v>10616513.42</v>
      </c>
      <c r="AG299" s="6"/>
      <c r="AH299" s="6"/>
      <c r="AI299" s="6"/>
      <c r="AJ299" s="6"/>
      <c r="AK299" s="6"/>
      <c r="AL299" s="6"/>
      <c r="AM299" s="6"/>
      <c r="AN299" s="6"/>
      <c r="AO299" s="6"/>
      <c r="AP299" s="6"/>
    </row>
    <row r="300" ht="11.25" customHeight="1">
      <c r="A300" s="7"/>
      <c r="B300" s="68">
        <f t="shared" si="16"/>
        <v>295</v>
      </c>
      <c r="C300" s="86">
        <f t="shared" si="20"/>
        <v>22495.93953</v>
      </c>
      <c r="D300" s="84">
        <f t="shared" si="5"/>
        <v>4364707.88</v>
      </c>
      <c r="E300" s="78"/>
      <c r="F300" s="79"/>
      <c r="G300" s="78"/>
      <c r="H300" s="78">
        <v>1621713.0</v>
      </c>
      <c r="I300" s="78"/>
      <c r="J300" s="103">
        <v>3160000.0</v>
      </c>
      <c r="K300" s="78"/>
      <c r="L300" s="103"/>
      <c r="M300" s="6"/>
      <c r="N300" s="97"/>
      <c r="O300" s="6"/>
      <c r="P300" s="6"/>
      <c r="Q300" s="6"/>
      <c r="R300" s="6"/>
      <c r="S300" s="78">
        <f>IFERROR(__xludf.DUMMYFUNCTION("""COMPUTED_VALUE"""),9488.473268002737)</f>
        <v>9488.473268</v>
      </c>
      <c r="T300" s="78">
        <f>IFERROR(__xludf.DUMMYFUNCTION("""COMPUTED_VALUE"""),13131.255849136971)</f>
        <v>13131.25585</v>
      </c>
      <c r="U300" s="78"/>
      <c r="V300" s="79">
        <f t="shared" si="15"/>
        <v>22619.72912</v>
      </c>
      <c r="W300" s="80">
        <f t="shared" si="7"/>
        <v>5215447.035</v>
      </c>
      <c r="X300" s="81">
        <f t="shared" si="2"/>
        <v>0.247306891</v>
      </c>
      <c r="Y300" s="82">
        <f t="shared" si="19"/>
        <v>10355327.61</v>
      </c>
      <c r="Z300" s="6"/>
      <c r="AA300" s="83">
        <f t="shared" si="8"/>
        <v>26475.09581</v>
      </c>
      <c r="AB300" s="84">
        <f t="shared" si="9"/>
        <v>5834800.42</v>
      </c>
      <c r="AC300" s="79">
        <f t="shared" si="12"/>
        <v>26541.28355</v>
      </c>
      <c r="AD300" s="85">
        <f t="shared" si="10"/>
        <v>5811816.703</v>
      </c>
      <c r="AE300" s="81">
        <v>0.25</v>
      </c>
      <c r="AF300" s="82">
        <f t="shared" si="17"/>
        <v>10643054.7</v>
      </c>
      <c r="AG300" s="6"/>
      <c r="AH300" s="6"/>
      <c r="AI300" s="6"/>
      <c r="AJ300" s="6"/>
      <c r="AK300" s="6"/>
      <c r="AL300" s="6"/>
      <c r="AM300" s="6"/>
      <c r="AN300" s="6"/>
      <c r="AO300" s="6"/>
      <c r="AP300" s="6"/>
    </row>
    <row r="301" ht="11.25" customHeight="1">
      <c r="A301" s="7"/>
      <c r="B301" s="68">
        <f t="shared" si="16"/>
        <v>296</v>
      </c>
      <c r="C301" s="86">
        <f t="shared" si="20"/>
        <v>22619.72912</v>
      </c>
      <c r="D301" s="84">
        <f t="shared" si="5"/>
        <v>4387327.609</v>
      </c>
      <c r="E301" s="78"/>
      <c r="F301" s="79"/>
      <c r="G301" s="78"/>
      <c r="H301" s="78">
        <v>1621713.0</v>
      </c>
      <c r="I301" s="78"/>
      <c r="J301" s="103">
        <v>3160000.0</v>
      </c>
      <c r="K301" s="78"/>
      <c r="L301" s="103"/>
      <c r="M301" s="6"/>
      <c r="N301" s="97"/>
      <c r="O301" s="6"/>
      <c r="P301" s="6"/>
      <c r="Q301" s="6"/>
      <c r="R301" s="6"/>
      <c r="S301" s="78">
        <f>IFERROR(__xludf.DUMMYFUNCTION("""COMPUTED_VALUE"""),9543.31948294025)</f>
        <v>9543.319483</v>
      </c>
      <c r="T301" s="78">
        <f>IFERROR(__xludf.DUMMYFUNCTION("""COMPUTED_VALUE"""),13200.718488791492)</f>
        <v>13200.71849</v>
      </c>
      <c r="U301" s="78"/>
      <c r="V301" s="79">
        <f t="shared" si="15"/>
        <v>22744.03797</v>
      </c>
      <c r="W301" s="80">
        <f t="shared" si="7"/>
        <v>5238191.073</v>
      </c>
      <c r="X301" s="81">
        <f t="shared" si="2"/>
        <v>0.2480525383</v>
      </c>
      <c r="Y301" s="82">
        <f t="shared" si="19"/>
        <v>10378071.65</v>
      </c>
      <c r="Z301" s="6"/>
      <c r="AA301" s="83">
        <f t="shared" si="8"/>
        <v>26541.28355</v>
      </c>
      <c r="AB301" s="84">
        <f t="shared" si="9"/>
        <v>5861341.703</v>
      </c>
      <c r="AC301" s="79">
        <f t="shared" si="12"/>
        <v>26607.63676</v>
      </c>
      <c r="AD301" s="85">
        <f t="shared" si="10"/>
        <v>5838424.34</v>
      </c>
      <c r="AE301" s="81">
        <v>0.25</v>
      </c>
      <c r="AF301" s="82">
        <f t="shared" si="17"/>
        <v>10669662.34</v>
      </c>
      <c r="AG301" s="6"/>
      <c r="AH301" s="6"/>
      <c r="AI301" s="6"/>
      <c r="AJ301" s="6"/>
      <c r="AK301" s="6"/>
      <c r="AL301" s="6"/>
      <c r="AM301" s="6"/>
      <c r="AN301" s="6"/>
      <c r="AO301" s="6"/>
      <c r="AP301" s="6"/>
    </row>
    <row r="302" ht="11.25" customHeight="1">
      <c r="A302" s="7"/>
      <c r="B302" s="68">
        <f t="shared" si="16"/>
        <v>297</v>
      </c>
      <c r="C302" s="86">
        <f t="shared" si="20"/>
        <v>22744.03797</v>
      </c>
      <c r="D302" s="84">
        <f t="shared" si="5"/>
        <v>4410071.647</v>
      </c>
      <c r="E302" s="78"/>
      <c r="F302" s="79"/>
      <c r="G302" s="78"/>
      <c r="H302" s="78">
        <v>1621713.0</v>
      </c>
      <c r="I302" s="78"/>
      <c r="J302" s="103">
        <v>3160000.0</v>
      </c>
      <c r="K302" s="78"/>
      <c r="L302" s="103"/>
      <c r="M302" s="6"/>
      <c r="N302" s="97"/>
      <c r="O302" s="6"/>
      <c r="P302" s="6"/>
      <c r="Q302" s="6"/>
      <c r="R302" s="6"/>
      <c r="S302" s="78">
        <f>IFERROR(__xludf.DUMMYFUNCTION("""COMPUTED_VALUE"""),9598.451355247293)</f>
        <v>9598.451355</v>
      </c>
      <c r="T302" s="78">
        <f>IFERROR(__xludf.DUMMYFUNCTION("""COMPUTED_VALUE"""),13270.41701199254)</f>
        <v>13270.41701</v>
      </c>
      <c r="U302" s="78"/>
      <c r="V302" s="79">
        <f t="shared" si="15"/>
        <v>22868.86837</v>
      </c>
      <c r="W302" s="80">
        <f t="shared" si="7"/>
        <v>5261059.942</v>
      </c>
      <c r="X302" s="81">
        <f t="shared" si="2"/>
        <v>0.248796825</v>
      </c>
      <c r="Y302" s="82">
        <f t="shared" si="19"/>
        <v>10400940.52</v>
      </c>
      <c r="Z302" s="6"/>
      <c r="AA302" s="83">
        <f t="shared" si="8"/>
        <v>26607.63676</v>
      </c>
      <c r="AB302" s="84">
        <f t="shared" si="9"/>
        <v>5887949.34</v>
      </c>
      <c r="AC302" s="79">
        <f t="shared" si="12"/>
        <v>26674.15585</v>
      </c>
      <c r="AD302" s="85">
        <f t="shared" si="10"/>
        <v>5865098.496</v>
      </c>
      <c r="AE302" s="81">
        <v>0.25</v>
      </c>
      <c r="AF302" s="82">
        <f t="shared" si="17"/>
        <v>10696336.5</v>
      </c>
      <c r="AG302" s="6"/>
      <c r="AH302" s="6"/>
      <c r="AI302" s="6"/>
      <c r="AJ302" s="6"/>
      <c r="AK302" s="6"/>
      <c r="AL302" s="6"/>
      <c r="AM302" s="6"/>
      <c r="AN302" s="6"/>
      <c r="AO302" s="6"/>
      <c r="AP302" s="6"/>
    </row>
    <row r="303" ht="11.25" customHeight="1">
      <c r="A303" s="7"/>
      <c r="B303" s="68">
        <f t="shared" si="16"/>
        <v>298</v>
      </c>
      <c r="C303" s="86">
        <f t="shared" si="20"/>
        <v>22868.86837</v>
      </c>
      <c r="D303" s="84">
        <f t="shared" si="5"/>
        <v>4432940.515</v>
      </c>
      <c r="E303" s="78"/>
      <c r="F303" s="79"/>
      <c r="G303" s="78"/>
      <c r="H303" s="78">
        <v>1621713.0</v>
      </c>
      <c r="I303" s="78"/>
      <c r="J303" s="103">
        <v>3160000.0</v>
      </c>
      <c r="K303" s="78"/>
      <c r="L303" s="103"/>
      <c r="M303" s="6"/>
      <c r="N303" s="97"/>
      <c r="O303" s="6"/>
      <c r="P303" s="6"/>
      <c r="Q303" s="6"/>
      <c r="R303" s="6"/>
      <c r="S303" s="78">
        <f>IFERROR(__xludf.DUMMYFUNCTION("""COMPUTED_VALUE"""),9653.870372722391)</f>
        <v>9653.870373</v>
      </c>
      <c r="T303" s="78">
        <f>IFERROR(__xludf.DUMMYFUNCTION("""COMPUTED_VALUE"""),13340.352219763212)</f>
        <v>13340.35222</v>
      </c>
      <c r="U303" s="78"/>
      <c r="V303" s="79">
        <f t="shared" si="15"/>
        <v>22994.22259</v>
      </c>
      <c r="W303" s="80">
        <f t="shared" si="7"/>
        <v>5284054.164</v>
      </c>
      <c r="X303" s="81">
        <f t="shared" si="2"/>
        <v>0.2495397418</v>
      </c>
      <c r="Y303" s="82">
        <f t="shared" si="19"/>
        <v>10423934.74</v>
      </c>
      <c r="Z303" s="6"/>
      <c r="AA303" s="83">
        <f t="shared" si="8"/>
        <v>26674.15585</v>
      </c>
      <c r="AB303" s="84">
        <f t="shared" si="9"/>
        <v>5914623.496</v>
      </c>
      <c r="AC303" s="79">
        <f t="shared" si="12"/>
        <v>26740.84124</v>
      </c>
      <c r="AD303" s="85">
        <f t="shared" si="10"/>
        <v>5891839.337</v>
      </c>
      <c r="AE303" s="81">
        <v>0.25</v>
      </c>
      <c r="AF303" s="82">
        <f t="shared" si="17"/>
        <v>10723077.34</v>
      </c>
      <c r="AG303" s="6"/>
      <c r="AH303" s="6"/>
      <c r="AI303" s="6"/>
      <c r="AJ303" s="6"/>
      <c r="AK303" s="6"/>
      <c r="AL303" s="6"/>
      <c r="AM303" s="6"/>
      <c r="AN303" s="6"/>
      <c r="AO303" s="6"/>
      <c r="AP303" s="6"/>
    </row>
    <row r="304" ht="11.25" customHeight="1">
      <c r="A304" s="7"/>
      <c r="B304" s="68">
        <f t="shared" si="16"/>
        <v>299</v>
      </c>
      <c r="C304" s="86">
        <f t="shared" si="20"/>
        <v>22994.22259</v>
      </c>
      <c r="D304" s="84">
        <f t="shared" si="5"/>
        <v>4455934.738</v>
      </c>
      <c r="E304" s="78"/>
      <c r="F304" s="79"/>
      <c r="G304" s="78"/>
      <c r="H304" s="78">
        <v>1621713.0</v>
      </c>
      <c r="I304" s="78"/>
      <c r="J304" s="103">
        <v>3160000.0</v>
      </c>
      <c r="K304" s="78"/>
      <c r="L304" s="103"/>
      <c r="M304" s="6"/>
      <c r="N304" s="97"/>
      <c r="O304" s="6"/>
      <c r="P304" s="6"/>
      <c r="Q304" s="6"/>
      <c r="R304" s="6"/>
      <c r="S304" s="78">
        <f>IFERROR(__xludf.DUMMYFUNCTION("""COMPUTED_VALUE"""),9709.578030913835)</f>
        <v>9709.578031</v>
      </c>
      <c r="T304" s="78">
        <f>IFERROR(__xludf.DUMMYFUNCTION("""COMPUTED_VALUE"""),13410.52491584234)</f>
        <v>13410.52492</v>
      </c>
      <c r="U304" s="78"/>
      <c r="V304" s="79">
        <f t="shared" si="15"/>
        <v>23120.10295</v>
      </c>
      <c r="W304" s="80">
        <f t="shared" si="7"/>
        <v>5307174.267</v>
      </c>
      <c r="X304" s="81">
        <f t="shared" si="2"/>
        <v>0.2502812794</v>
      </c>
      <c r="Y304" s="82">
        <f t="shared" si="19"/>
        <v>10447054.84</v>
      </c>
      <c r="Z304" s="6"/>
      <c r="AA304" s="83">
        <f t="shared" si="8"/>
        <v>26740.84124</v>
      </c>
      <c r="AB304" s="84">
        <f t="shared" si="9"/>
        <v>5941364.337</v>
      </c>
      <c r="AC304" s="79">
        <f t="shared" si="12"/>
        <v>26807.69334</v>
      </c>
      <c r="AD304" s="85">
        <f t="shared" si="10"/>
        <v>5918647.03</v>
      </c>
      <c r="AE304" s="81">
        <v>0.25</v>
      </c>
      <c r="AF304" s="82">
        <f t="shared" si="17"/>
        <v>10749885.03</v>
      </c>
      <c r="AG304" s="6"/>
      <c r="AH304" s="6"/>
      <c r="AI304" s="6"/>
      <c r="AJ304" s="6"/>
      <c r="AK304" s="6"/>
      <c r="AL304" s="6"/>
      <c r="AM304" s="6"/>
      <c r="AN304" s="6"/>
      <c r="AO304" s="6"/>
      <c r="AP304" s="6"/>
    </row>
    <row r="305" ht="11.25" customHeight="1">
      <c r="A305" s="71"/>
      <c r="B305" s="72">
        <f t="shared" si="16"/>
        <v>300</v>
      </c>
      <c r="C305" s="86">
        <f t="shared" si="20"/>
        <v>23120.10295</v>
      </c>
      <c r="D305" s="88">
        <f t="shared" si="5"/>
        <v>4479054.841</v>
      </c>
      <c r="E305" s="89"/>
      <c r="F305" s="90"/>
      <c r="G305" s="89"/>
      <c r="H305" s="89">
        <v>1621713.0</v>
      </c>
      <c r="I305" s="89"/>
      <c r="J305" s="104">
        <v>3160000.0</v>
      </c>
      <c r="K305" s="89"/>
      <c r="L305" s="104"/>
      <c r="M305" s="6"/>
      <c r="N305" s="99"/>
      <c r="O305" s="10"/>
      <c r="P305" s="10"/>
      <c r="Q305" s="10"/>
      <c r="R305" s="10"/>
      <c r="S305" s="89">
        <f>IFERROR(__xludf.DUMMYFUNCTION("""COMPUTED_VALUE"""),9765.575833158102)</f>
        <v>9765.575833</v>
      </c>
      <c r="T305" s="89">
        <f>IFERROR(__xludf.DUMMYFUNCTION("""COMPUTED_VALUE"""),13480.935906702187)</f>
        <v>13480.93591</v>
      </c>
      <c r="U305" s="89"/>
      <c r="V305" s="90">
        <f t="shared" si="15"/>
        <v>23246.51174</v>
      </c>
      <c r="W305" s="91">
        <f t="shared" si="7"/>
        <v>5330420.779</v>
      </c>
      <c r="X305" s="81">
        <f t="shared" si="2"/>
        <v>0.2510214287</v>
      </c>
      <c r="Y305" s="82">
        <f t="shared" si="19"/>
        <v>10470301.35</v>
      </c>
      <c r="Z305" s="6"/>
      <c r="AA305" s="83">
        <f t="shared" si="8"/>
        <v>26807.69334</v>
      </c>
      <c r="AB305" s="88">
        <f t="shared" si="9"/>
        <v>5968172.03</v>
      </c>
      <c r="AC305" s="90">
        <f t="shared" si="12"/>
        <v>26874.71258</v>
      </c>
      <c r="AD305" s="94">
        <f t="shared" si="10"/>
        <v>5945521.743</v>
      </c>
      <c r="AE305" s="81">
        <v>0.25</v>
      </c>
      <c r="AF305" s="82">
        <f t="shared" si="17"/>
        <v>10776759.74</v>
      </c>
      <c r="AG305" s="6"/>
      <c r="AH305" s="6"/>
      <c r="AI305" s="6"/>
      <c r="AJ305" s="6"/>
      <c r="AK305" s="6"/>
      <c r="AL305" s="6"/>
      <c r="AM305" s="6"/>
      <c r="AN305" s="6"/>
      <c r="AO305" s="6"/>
      <c r="AP305" s="6"/>
    </row>
    <row r="306" ht="11.25" customHeight="1">
      <c r="A306" s="100">
        <v>26.0</v>
      </c>
      <c r="B306" s="66">
        <f t="shared" si="16"/>
        <v>301</v>
      </c>
      <c r="C306" s="86">
        <f t="shared" si="20"/>
        <v>23246.51174</v>
      </c>
      <c r="D306" s="84">
        <f t="shared" si="5"/>
        <v>4502301.353</v>
      </c>
      <c r="E306" s="78"/>
      <c r="F306" s="79"/>
      <c r="G306" s="78"/>
      <c r="H306" s="78">
        <v>1621713.0</v>
      </c>
      <c r="I306" s="78"/>
      <c r="J306" s="103">
        <v>3160000.0</v>
      </c>
      <c r="K306" s="78"/>
      <c r="L306" s="103"/>
      <c r="M306" s="6"/>
      <c r="N306" s="97"/>
      <c r="O306" s="6"/>
      <c r="P306" s="6"/>
      <c r="Q306" s="6"/>
      <c r="R306" s="6"/>
      <c r="S306" s="102">
        <f>IFERROR(__xludf.DUMMYFUNCTION("""COMPUTED_VALUE"""),9821.86529062246)</f>
        <v>9821.865291</v>
      </c>
      <c r="T306" s="9">
        <f>IFERROR(__xludf.DUMMYFUNCTION("""COMPUTED_VALUE"""),13551.586001552176)</f>
        <v>13551.586</v>
      </c>
      <c r="U306" s="78"/>
      <c r="V306" s="79">
        <f t="shared" si="15"/>
        <v>23373.45129</v>
      </c>
      <c r="W306" s="80">
        <f t="shared" si="7"/>
        <v>5353794.23</v>
      </c>
      <c r="X306" s="81">
        <f t="shared" si="2"/>
        <v>0.2517601805</v>
      </c>
      <c r="Y306" s="82">
        <f t="shared" si="19"/>
        <v>10493674.8</v>
      </c>
      <c r="Z306" s="6"/>
      <c r="AA306" s="83">
        <f t="shared" si="8"/>
        <v>26874.71258</v>
      </c>
      <c r="AB306" s="84">
        <f t="shared" si="9"/>
        <v>5995046.743</v>
      </c>
      <c r="AC306" s="79">
        <f t="shared" si="12"/>
        <v>26941.89936</v>
      </c>
      <c r="AD306" s="95">
        <f t="shared" si="10"/>
        <v>5972463.642</v>
      </c>
      <c r="AE306" s="81">
        <v>0.25</v>
      </c>
      <c r="AF306" s="82">
        <f t="shared" si="17"/>
        <v>10803701.64</v>
      </c>
      <c r="AG306" s="6"/>
      <c r="AH306" s="6"/>
      <c r="AI306" s="6"/>
      <c r="AJ306" s="6"/>
      <c r="AK306" s="6"/>
      <c r="AL306" s="6"/>
      <c r="AM306" s="6"/>
      <c r="AN306" s="6"/>
      <c r="AO306" s="6"/>
      <c r="AP306" s="6"/>
    </row>
    <row r="307" ht="11.25" customHeight="1">
      <c r="A307" s="7"/>
      <c r="B307" s="68">
        <f t="shared" si="16"/>
        <v>302</v>
      </c>
      <c r="C307" s="86">
        <f t="shared" si="20"/>
        <v>23373.45129</v>
      </c>
      <c r="D307" s="84">
        <f t="shared" si="5"/>
        <v>4525674.804</v>
      </c>
      <c r="E307" s="78"/>
      <c r="F307" s="79"/>
      <c r="G307" s="78"/>
      <c r="H307" s="78">
        <v>1621713.0</v>
      </c>
      <c r="I307" s="78"/>
      <c r="J307" s="103">
        <v>3160000.0</v>
      </c>
      <c r="K307" s="78"/>
      <c r="L307" s="103"/>
      <c r="M307" s="6"/>
      <c r="N307" s="97"/>
      <c r="O307" s="6"/>
      <c r="P307" s="6"/>
      <c r="Q307" s="6"/>
      <c r="R307" s="6"/>
      <c r="S307" s="78">
        <f>IFERROR(__xludf.DUMMYFUNCTION("""COMPUTED_VALUE"""),9878.447922344552)</f>
        <v>9878.447922</v>
      </c>
      <c r="T307" s="9">
        <f>IFERROR(__xludf.DUMMYFUNCTION("""COMPUTED_VALUE"""),13622.476012349129)</f>
        <v>13622.47601</v>
      </c>
      <c r="U307" s="78"/>
      <c r="V307" s="79">
        <f t="shared" si="15"/>
        <v>23500.92393</v>
      </c>
      <c r="W307" s="80">
        <f t="shared" si="7"/>
        <v>5377295.154</v>
      </c>
      <c r="X307" s="81">
        <f t="shared" si="2"/>
        <v>0.2524975259</v>
      </c>
      <c r="Y307" s="82">
        <f t="shared" si="19"/>
        <v>10517175.73</v>
      </c>
      <c r="Z307" s="6"/>
      <c r="AA307" s="83">
        <f t="shared" si="8"/>
        <v>26941.89936</v>
      </c>
      <c r="AB307" s="84">
        <f t="shared" si="9"/>
        <v>6021988.642</v>
      </c>
      <c r="AC307" s="79">
        <f t="shared" si="12"/>
        <v>27009.25411</v>
      </c>
      <c r="AD307" s="85">
        <f t="shared" si="10"/>
        <v>5999472.896</v>
      </c>
      <c r="AE307" s="81">
        <v>0.25</v>
      </c>
      <c r="AF307" s="82">
        <f t="shared" si="17"/>
        <v>10830710.9</v>
      </c>
      <c r="AG307" s="6"/>
      <c r="AH307" s="6"/>
      <c r="AI307" s="6"/>
      <c r="AJ307" s="6"/>
      <c r="AK307" s="6"/>
      <c r="AL307" s="6"/>
      <c r="AM307" s="6"/>
      <c r="AN307" s="6"/>
      <c r="AO307" s="6"/>
      <c r="AP307" s="6"/>
    </row>
    <row r="308" ht="11.25" customHeight="1">
      <c r="A308" s="7"/>
      <c r="B308" s="68">
        <f t="shared" si="16"/>
        <v>303</v>
      </c>
      <c r="C308" s="86">
        <f t="shared" si="20"/>
        <v>23500.92393</v>
      </c>
      <c r="D308" s="84">
        <f t="shared" si="5"/>
        <v>4549175.728</v>
      </c>
      <c r="E308" s="78"/>
      <c r="F308" s="79"/>
      <c r="G308" s="78"/>
      <c r="H308" s="78">
        <v>1621713.0</v>
      </c>
      <c r="I308" s="78"/>
      <c r="J308" s="103">
        <v>3160000.0</v>
      </c>
      <c r="K308" s="78"/>
      <c r="L308" s="103"/>
      <c r="M308" s="6"/>
      <c r="N308" s="97"/>
      <c r="O308" s="6"/>
      <c r="P308" s="6"/>
      <c r="Q308" s="6"/>
      <c r="R308" s="6"/>
      <c r="S308" s="78">
        <f>IFERROR(__xludf.DUMMYFUNCTION("""COMPUTED_VALUE"""),9935.325255273376)</f>
        <v>9935.325255</v>
      </c>
      <c r="T308" s="9">
        <f>IFERROR(__xludf.DUMMYFUNCTION("""COMPUTED_VALUE"""),13693.606753807515)</f>
        <v>13693.60675</v>
      </c>
      <c r="U308" s="78"/>
      <c r="V308" s="79">
        <f t="shared" si="15"/>
        <v>23628.93201</v>
      </c>
      <c r="W308" s="80">
        <f t="shared" si="7"/>
        <v>5400924.086</v>
      </c>
      <c r="X308" s="81">
        <f t="shared" si="2"/>
        <v>0.2532334561</v>
      </c>
      <c r="Y308" s="82">
        <f t="shared" si="19"/>
        <v>10540804.66</v>
      </c>
      <c r="Z308" s="6"/>
      <c r="AA308" s="83">
        <f t="shared" si="8"/>
        <v>27009.25411</v>
      </c>
      <c r="AB308" s="84">
        <f t="shared" si="9"/>
        <v>6048997.896</v>
      </c>
      <c r="AC308" s="79">
        <f t="shared" si="12"/>
        <v>27076.77724</v>
      </c>
      <c r="AD308" s="85">
        <f t="shared" si="10"/>
        <v>6026549.674</v>
      </c>
      <c r="AE308" s="81">
        <v>0.25</v>
      </c>
      <c r="AF308" s="82">
        <f t="shared" si="17"/>
        <v>10857787.67</v>
      </c>
      <c r="AG308" s="6"/>
      <c r="AH308" s="6"/>
      <c r="AI308" s="6"/>
      <c r="AJ308" s="6"/>
      <c r="AK308" s="6"/>
      <c r="AL308" s="6"/>
      <c r="AM308" s="6"/>
      <c r="AN308" s="6"/>
      <c r="AO308" s="6"/>
      <c r="AP308" s="6"/>
    </row>
    <row r="309" ht="11.25" customHeight="1">
      <c r="A309" s="7"/>
      <c r="B309" s="68">
        <f t="shared" si="16"/>
        <v>304</v>
      </c>
      <c r="C309" s="86">
        <f t="shared" si="20"/>
        <v>23628.93201</v>
      </c>
      <c r="D309" s="84">
        <f t="shared" si="5"/>
        <v>4572804.66</v>
      </c>
      <c r="E309" s="78"/>
      <c r="F309" s="79"/>
      <c r="G309" s="78"/>
      <c r="H309" s="78">
        <v>1621713.0</v>
      </c>
      <c r="I309" s="78"/>
      <c r="J309" s="103">
        <v>3160000.0</v>
      </c>
      <c r="K309" s="78"/>
      <c r="L309" s="103"/>
      <c r="M309" s="6"/>
      <c r="N309" s="97"/>
      <c r="O309" s="6"/>
      <c r="P309" s="6"/>
      <c r="Q309" s="6"/>
      <c r="R309" s="6"/>
      <c r="S309" s="78">
        <f>IFERROR(__xludf.DUMMYFUNCTION("""COMPUTED_VALUE"""),9992.498824311187)</f>
        <v>9992.498824</v>
      </c>
      <c r="T309" s="78">
        <f>IFERROR(__xludf.DUMMYFUNCTION("""COMPUTED_VALUE"""),13764.979043409228)</f>
        <v>13764.97904</v>
      </c>
      <c r="U309" s="78"/>
      <c r="V309" s="79">
        <f t="shared" si="15"/>
        <v>23757.47787</v>
      </c>
      <c r="W309" s="80">
        <f t="shared" si="7"/>
        <v>5424681.564</v>
      </c>
      <c r="X309" s="81">
        <f t="shared" si="2"/>
        <v>0.2539679621</v>
      </c>
      <c r="Y309" s="82">
        <f t="shared" si="19"/>
        <v>10564562.14</v>
      </c>
      <c r="Z309" s="6"/>
      <c r="AA309" s="83">
        <f t="shared" si="8"/>
        <v>27076.77724</v>
      </c>
      <c r="AB309" s="84">
        <f t="shared" si="9"/>
        <v>6076074.674</v>
      </c>
      <c r="AC309" s="79">
        <f t="shared" si="12"/>
        <v>27144.46918</v>
      </c>
      <c r="AD309" s="85">
        <f t="shared" si="10"/>
        <v>6053694.143</v>
      </c>
      <c r="AE309" s="81">
        <v>0.25</v>
      </c>
      <c r="AF309" s="82">
        <f t="shared" si="17"/>
        <v>10884932.14</v>
      </c>
      <c r="AG309" s="6"/>
      <c r="AH309" s="6"/>
      <c r="AI309" s="6"/>
      <c r="AJ309" s="6"/>
      <c r="AK309" s="6"/>
      <c r="AL309" s="6"/>
      <c r="AM309" s="6"/>
      <c r="AN309" s="6"/>
      <c r="AO309" s="6"/>
      <c r="AP309" s="6"/>
    </row>
    <row r="310" ht="11.25" customHeight="1">
      <c r="A310" s="7"/>
      <c r="B310" s="68">
        <f t="shared" si="16"/>
        <v>305</v>
      </c>
      <c r="C310" s="86">
        <f t="shared" si="20"/>
        <v>23757.47787</v>
      </c>
      <c r="D310" s="84">
        <f t="shared" si="5"/>
        <v>4596562.138</v>
      </c>
      <c r="E310" s="78"/>
      <c r="F310" s="79"/>
      <c r="G310" s="78"/>
      <c r="H310" s="78">
        <v>1621713.0</v>
      </c>
      <c r="I310" s="78"/>
      <c r="J310" s="103">
        <v>3160000.0</v>
      </c>
      <c r="K310" s="78"/>
      <c r="L310" s="103"/>
      <c r="M310" s="6"/>
      <c r="N310" s="97"/>
      <c r="O310" s="6"/>
      <c r="P310" s="6"/>
      <c r="Q310" s="6"/>
      <c r="R310" s="6"/>
      <c r="S310" s="78">
        <f>IFERROR(__xludf.DUMMYFUNCTION("""COMPUTED_VALUE"""),10049.970172354719)</f>
        <v>10049.97017</v>
      </c>
      <c r="T310" s="78">
        <f>IFERROR(__xludf.DUMMYFUNCTION("""COMPUTED_VALUE"""),13836.593701411039)</f>
        <v>13836.5937</v>
      </c>
      <c r="U310" s="78"/>
      <c r="V310" s="79">
        <f t="shared" si="15"/>
        <v>23886.56387</v>
      </c>
      <c r="W310" s="80">
        <f t="shared" si="7"/>
        <v>5448568.128</v>
      </c>
      <c r="X310" s="81">
        <f t="shared" si="2"/>
        <v>0.2547010353</v>
      </c>
      <c r="Y310" s="82">
        <f t="shared" si="19"/>
        <v>10588448.7</v>
      </c>
      <c r="Z310" s="6"/>
      <c r="AA310" s="83">
        <f t="shared" si="8"/>
        <v>27144.46918</v>
      </c>
      <c r="AB310" s="84">
        <f t="shared" si="9"/>
        <v>6103219.143</v>
      </c>
      <c r="AC310" s="79">
        <f t="shared" si="12"/>
        <v>27212.33036</v>
      </c>
      <c r="AD310" s="85">
        <f t="shared" si="10"/>
        <v>6080906.473</v>
      </c>
      <c r="AE310" s="81">
        <v>0.25</v>
      </c>
      <c r="AF310" s="82">
        <f t="shared" si="17"/>
        <v>10912144.47</v>
      </c>
      <c r="AG310" s="6"/>
      <c r="AH310" s="6"/>
      <c r="AI310" s="6"/>
      <c r="AJ310" s="6"/>
      <c r="AK310" s="6"/>
      <c r="AL310" s="6"/>
      <c r="AM310" s="6"/>
      <c r="AN310" s="6"/>
      <c r="AO310" s="6"/>
      <c r="AP310" s="6"/>
    </row>
    <row r="311" ht="11.25" customHeight="1">
      <c r="A311" s="7"/>
      <c r="B311" s="68">
        <f t="shared" si="16"/>
        <v>306</v>
      </c>
      <c r="C311" s="86">
        <f t="shared" si="20"/>
        <v>23886.56387</v>
      </c>
      <c r="D311" s="84">
        <f t="shared" si="5"/>
        <v>4620448.702</v>
      </c>
      <c r="E311" s="78"/>
      <c r="F311" s="79"/>
      <c r="G311" s="78"/>
      <c r="H311" s="78">
        <v>1621713.0</v>
      </c>
      <c r="I311" s="78"/>
      <c r="J311" s="103">
        <v>3160000.0</v>
      </c>
      <c r="K311" s="78"/>
      <c r="L311" s="103"/>
      <c r="M311" s="6"/>
      <c r="N311" s="97"/>
      <c r="O311" s="6"/>
      <c r="P311" s="6"/>
      <c r="Q311" s="6"/>
      <c r="R311" s="6"/>
      <c r="S311" s="78">
        <f>IFERROR(__xludf.DUMMYFUNCTION("""COMPUTED_VALUE"""),10107.740850334987)</f>
        <v>10107.74085</v>
      </c>
      <c r="T311" s="78">
        <f>IFERROR(__xludf.DUMMYFUNCTION("""COMPUTED_VALUE"""),13908.451550855301)</f>
        <v>13908.45155</v>
      </c>
      <c r="U311" s="78"/>
      <c r="V311" s="79">
        <f t="shared" si="15"/>
        <v>24016.1924</v>
      </c>
      <c r="W311" s="80">
        <f t="shared" si="7"/>
        <v>5472584.32</v>
      </c>
      <c r="X311" s="81">
        <f t="shared" si="2"/>
        <v>0.2554326671</v>
      </c>
      <c r="Y311" s="82">
        <f t="shared" si="19"/>
        <v>10612464.89</v>
      </c>
      <c r="Z311" s="6"/>
      <c r="AA311" s="83">
        <f t="shared" si="8"/>
        <v>27212.33036</v>
      </c>
      <c r="AB311" s="84">
        <f t="shared" si="9"/>
        <v>6130431.473</v>
      </c>
      <c r="AC311" s="79">
        <f t="shared" si="12"/>
        <v>27280.36118</v>
      </c>
      <c r="AD311" s="85">
        <f t="shared" si="10"/>
        <v>6108186.834</v>
      </c>
      <c r="AE311" s="81">
        <v>0.25</v>
      </c>
      <c r="AF311" s="82">
        <f t="shared" si="17"/>
        <v>10939424.83</v>
      </c>
      <c r="AG311" s="6"/>
      <c r="AH311" s="6"/>
      <c r="AI311" s="6"/>
      <c r="AJ311" s="6"/>
      <c r="AK311" s="6"/>
      <c r="AL311" s="6"/>
      <c r="AM311" s="6"/>
      <c r="AN311" s="6"/>
      <c r="AO311" s="6"/>
      <c r="AP311" s="6"/>
    </row>
    <row r="312" ht="11.25" customHeight="1">
      <c r="A312" s="7"/>
      <c r="B312" s="68">
        <f t="shared" si="16"/>
        <v>307</v>
      </c>
      <c r="C312" s="86">
        <f t="shared" si="20"/>
        <v>24016.1924</v>
      </c>
      <c r="D312" s="84">
        <f t="shared" si="5"/>
        <v>4644464.894</v>
      </c>
      <c r="E312" s="78"/>
      <c r="F312" s="79"/>
      <c r="G312" s="78"/>
      <c r="H312" s="78">
        <v>1621713.0</v>
      </c>
      <c r="I312" s="78"/>
      <c r="J312" s="103">
        <v>3160000.0</v>
      </c>
      <c r="K312" s="78"/>
      <c r="L312" s="103"/>
      <c r="M312" s="6"/>
      <c r="N312" s="97"/>
      <c r="O312" s="6"/>
      <c r="P312" s="6"/>
      <c r="Q312" s="6"/>
      <c r="R312" s="6"/>
      <c r="S312" s="78">
        <f>IFERROR(__xludf.DUMMYFUNCTION("""COMPUTED_VALUE"""),10165.812417264562)</f>
        <v>10165.81242</v>
      </c>
      <c r="T312" s="78">
        <f>IFERROR(__xludf.DUMMYFUNCTION("""COMPUTED_VALUE"""),13980.553417579737)</f>
        <v>13980.55342</v>
      </c>
      <c r="U312" s="78"/>
      <c r="V312" s="79">
        <f t="shared" si="15"/>
        <v>24146.36583</v>
      </c>
      <c r="W312" s="80">
        <f t="shared" si="7"/>
        <v>5496730.686</v>
      </c>
      <c r="X312" s="81">
        <f t="shared" si="2"/>
        <v>0.2561628489</v>
      </c>
      <c r="Y312" s="82">
        <f t="shared" si="19"/>
        <v>10636611.26</v>
      </c>
      <c r="Z312" s="6"/>
      <c r="AA312" s="83">
        <f t="shared" si="8"/>
        <v>27280.36118</v>
      </c>
      <c r="AB312" s="84">
        <f t="shared" si="9"/>
        <v>6157711.834</v>
      </c>
      <c r="AC312" s="79">
        <f t="shared" si="12"/>
        <v>27348.56209</v>
      </c>
      <c r="AD312" s="85">
        <f t="shared" si="10"/>
        <v>6135535.396</v>
      </c>
      <c r="AE312" s="81">
        <v>0.25</v>
      </c>
      <c r="AF312" s="82">
        <f t="shared" si="17"/>
        <v>10966773.4</v>
      </c>
      <c r="AG312" s="6"/>
      <c r="AH312" s="6"/>
      <c r="AI312" s="6"/>
      <c r="AJ312" s="6"/>
      <c r="AK312" s="6"/>
      <c r="AL312" s="6"/>
      <c r="AM312" s="6"/>
      <c r="AN312" s="6"/>
      <c r="AO312" s="6"/>
      <c r="AP312" s="6"/>
    </row>
    <row r="313" ht="11.25" customHeight="1">
      <c r="A313" s="7"/>
      <c r="B313" s="68">
        <f t="shared" si="16"/>
        <v>308</v>
      </c>
      <c r="C313" s="86">
        <f t="shared" si="20"/>
        <v>24146.36583</v>
      </c>
      <c r="D313" s="84">
        <f t="shared" si="5"/>
        <v>4668611.26</v>
      </c>
      <c r="E313" s="78"/>
      <c r="F313" s="79"/>
      <c r="G313" s="78"/>
      <c r="H313" s="78">
        <v>1621713.0</v>
      </c>
      <c r="I313" s="78"/>
      <c r="J313" s="103">
        <v>3160000.0</v>
      </c>
      <c r="K313" s="78"/>
      <c r="L313" s="103"/>
      <c r="M313" s="6"/>
      <c r="N313" s="97"/>
      <c r="O313" s="6"/>
      <c r="P313" s="6"/>
      <c r="Q313" s="6"/>
      <c r="R313" s="6"/>
      <c r="S313" s="78">
        <f>IFERROR(__xludf.DUMMYFUNCTION("""COMPUTED_VALUE"""),10224.18644027086)</f>
        <v>10224.18644</v>
      </c>
      <c r="T313" s="78">
        <f>IFERROR(__xludf.DUMMYFUNCTION("""COMPUTED_VALUE"""),14052.900130227208)</f>
        <v>14052.90013</v>
      </c>
      <c r="U313" s="78"/>
      <c r="V313" s="79">
        <f t="shared" si="15"/>
        <v>24277.08657</v>
      </c>
      <c r="W313" s="80">
        <f t="shared" si="7"/>
        <v>5521007.773</v>
      </c>
      <c r="X313" s="81">
        <f t="shared" si="2"/>
        <v>0.2568915722</v>
      </c>
      <c r="Y313" s="82">
        <f t="shared" si="19"/>
        <v>10660888.35</v>
      </c>
      <c r="Z313" s="6"/>
      <c r="AA313" s="83">
        <f t="shared" si="8"/>
        <v>27348.56209</v>
      </c>
      <c r="AB313" s="84">
        <f t="shared" si="9"/>
        <v>6185060.396</v>
      </c>
      <c r="AC313" s="79">
        <f t="shared" si="12"/>
        <v>27416.93349</v>
      </c>
      <c r="AD313" s="85">
        <f t="shared" si="10"/>
        <v>6162952.33</v>
      </c>
      <c r="AE313" s="81">
        <v>0.25</v>
      </c>
      <c r="AF313" s="82">
        <f t="shared" si="17"/>
        <v>10994190.33</v>
      </c>
      <c r="AG313" s="6"/>
      <c r="AH313" s="6"/>
      <c r="AI313" s="6"/>
      <c r="AJ313" s="6"/>
      <c r="AK313" s="6"/>
      <c r="AL313" s="6"/>
      <c r="AM313" s="6"/>
      <c r="AN313" s="6"/>
      <c r="AO313" s="6"/>
      <c r="AP313" s="6"/>
    </row>
    <row r="314" ht="11.25" customHeight="1">
      <c r="A314" s="7"/>
      <c r="B314" s="68">
        <f t="shared" si="16"/>
        <v>309</v>
      </c>
      <c r="C314" s="86">
        <f t="shared" si="20"/>
        <v>24277.08657</v>
      </c>
      <c r="D314" s="84">
        <f t="shared" si="5"/>
        <v>4692888.347</v>
      </c>
      <c r="E314" s="78"/>
      <c r="F314" s="79"/>
      <c r="G314" s="78"/>
      <c r="H314" s="78">
        <v>1621713.0</v>
      </c>
      <c r="I314" s="78"/>
      <c r="J314" s="103">
        <v>3160000.0</v>
      </c>
      <c r="K314" s="78"/>
      <c r="L314" s="103"/>
      <c r="M314" s="6"/>
      <c r="N314" s="97"/>
      <c r="O314" s="6"/>
      <c r="P314" s="6"/>
      <c r="Q314" s="6"/>
      <c r="R314" s="6"/>
      <c r="S314" s="78">
        <f>IFERROR(__xludf.DUMMYFUNCTION("""COMPUTED_VALUE"""),10282.864494647365)</f>
        <v>10282.86449</v>
      </c>
      <c r="T314" s="78">
        <f>IFERROR(__xludf.DUMMYFUNCTION("""COMPUTED_VALUE"""),14125.492520252708)</f>
        <v>14125.49252</v>
      </c>
      <c r="U314" s="78"/>
      <c r="V314" s="79">
        <f t="shared" si="15"/>
        <v>24408.35701</v>
      </c>
      <c r="W314" s="80">
        <f t="shared" si="7"/>
        <v>5545416.13</v>
      </c>
      <c r="X314" s="81">
        <f t="shared" si="2"/>
        <v>0.2576188287</v>
      </c>
      <c r="Y314" s="82">
        <f t="shared" si="19"/>
        <v>10685296.7</v>
      </c>
      <c r="Z314" s="6"/>
      <c r="AA314" s="83">
        <f t="shared" si="8"/>
        <v>27416.93349</v>
      </c>
      <c r="AB314" s="84">
        <f t="shared" si="9"/>
        <v>6212477.33</v>
      </c>
      <c r="AC314" s="79">
        <f t="shared" si="12"/>
        <v>27485.47582</v>
      </c>
      <c r="AD314" s="85">
        <f t="shared" si="10"/>
        <v>6190437.806</v>
      </c>
      <c r="AE314" s="81">
        <v>0.25</v>
      </c>
      <c r="AF314" s="82">
        <f t="shared" si="17"/>
        <v>11021675.81</v>
      </c>
      <c r="AG314" s="6"/>
      <c r="AH314" s="6"/>
      <c r="AI314" s="6"/>
      <c r="AJ314" s="6"/>
      <c r="AK314" s="6"/>
      <c r="AL314" s="6"/>
      <c r="AM314" s="6"/>
      <c r="AN314" s="6"/>
      <c r="AO314" s="6"/>
      <c r="AP314" s="6"/>
    </row>
    <row r="315" ht="11.25" customHeight="1">
      <c r="A315" s="7"/>
      <c r="B315" s="68">
        <f t="shared" si="16"/>
        <v>310</v>
      </c>
      <c r="C315" s="86">
        <f t="shared" si="20"/>
        <v>24408.35701</v>
      </c>
      <c r="D315" s="84">
        <f t="shared" si="5"/>
        <v>4717296.704</v>
      </c>
      <c r="E315" s="78"/>
      <c r="F315" s="79"/>
      <c r="G315" s="78"/>
      <c r="H315" s="78">
        <v>1621713.0</v>
      </c>
      <c r="I315" s="78"/>
      <c r="J315" s="103">
        <v>3160000.0</v>
      </c>
      <c r="K315" s="78"/>
      <c r="L315" s="103"/>
      <c r="M315" s="6"/>
      <c r="N315" s="97"/>
      <c r="O315" s="6"/>
      <c r="P315" s="6"/>
      <c r="Q315" s="6"/>
      <c r="R315" s="6"/>
      <c r="S315" s="78">
        <f>IFERROR(__xludf.DUMMYFUNCTION("""COMPUTED_VALUE"""),10341.848163890187)</f>
        <v>10341.84816</v>
      </c>
      <c r="T315" s="78">
        <f>IFERROR(__xludf.DUMMYFUNCTION("""COMPUTED_VALUE"""),14198.33142193593)</f>
        <v>14198.33142</v>
      </c>
      <c r="U315" s="78"/>
      <c r="V315" s="79">
        <f t="shared" si="15"/>
        <v>24540.17959</v>
      </c>
      <c r="W315" s="80">
        <f t="shared" si="7"/>
        <v>5569956.309</v>
      </c>
      <c r="X315" s="81">
        <f t="shared" si="2"/>
        <v>0.2583446101</v>
      </c>
      <c r="Y315" s="82">
        <f t="shared" si="19"/>
        <v>10709836.88</v>
      </c>
      <c r="Z315" s="6"/>
      <c r="AA315" s="83">
        <f t="shared" si="8"/>
        <v>27485.47582</v>
      </c>
      <c r="AB315" s="84">
        <f t="shared" si="9"/>
        <v>6239962.806</v>
      </c>
      <c r="AC315" s="79">
        <f t="shared" si="12"/>
        <v>27554.18951</v>
      </c>
      <c r="AD315" s="85">
        <f t="shared" si="10"/>
        <v>6217991.995</v>
      </c>
      <c r="AE315" s="81">
        <v>0.25</v>
      </c>
      <c r="AF315" s="82">
        <f t="shared" si="17"/>
        <v>11049230</v>
      </c>
      <c r="AG315" s="6"/>
      <c r="AH315" s="6"/>
      <c r="AI315" s="6"/>
      <c r="AJ315" s="6"/>
      <c r="AK315" s="6"/>
      <c r="AL315" s="6"/>
      <c r="AM315" s="6"/>
      <c r="AN315" s="6"/>
      <c r="AO315" s="6"/>
      <c r="AP315" s="6"/>
    </row>
    <row r="316" ht="11.25" customHeight="1">
      <c r="A316" s="7"/>
      <c r="B316" s="68">
        <f t="shared" si="16"/>
        <v>311</v>
      </c>
      <c r="C316" s="86">
        <f t="shared" si="20"/>
        <v>24540.17959</v>
      </c>
      <c r="D316" s="84">
        <f t="shared" si="5"/>
        <v>4741836.883</v>
      </c>
      <c r="E316" s="78"/>
      <c r="F316" s="79"/>
      <c r="G316" s="78"/>
      <c r="H316" s="78">
        <v>1621713.0</v>
      </c>
      <c r="I316" s="78"/>
      <c r="J316" s="103">
        <v>3160000.0</v>
      </c>
      <c r="K316" s="78"/>
      <c r="L316" s="103"/>
      <c r="M316" s="6"/>
      <c r="N316" s="97"/>
      <c r="O316" s="6"/>
      <c r="P316" s="6"/>
      <c r="Q316" s="6"/>
      <c r="R316" s="6"/>
      <c r="S316" s="78">
        <f>IFERROR(__xludf.DUMMYFUNCTION("""COMPUTED_VALUE"""),10401.139039743692)</f>
        <v>10401.13904</v>
      </c>
      <c r="T316" s="78">
        <f>IFERROR(__xludf.DUMMYFUNCTION("""COMPUTED_VALUE"""),14271.417672389653)</f>
        <v>14271.41767</v>
      </c>
      <c r="U316" s="78"/>
      <c r="V316" s="79">
        <f t="shared" si="15"/>
        <v>24672.55671</v>
      </c>
      <c r="W316" s="80">
        <f t="shared" si="7"/>
        <v>5594628.866</v>
      </c>
      <c r="X316" s="81">
        <f t="shared" si="2"/>
        <v>0.2590689083</v>
      </c>
      <c r="Y316" s="82">
        <f t="shared" si="19"/>
        <v>10734509.44</v>
      </c>
      <c r="Z316" s="6"/>
      <c r="AA316" s="83">
        <f t="shared" si="8"/>
        <v>27554.18951</v>
      </c>
      <c r="AB316" s="84">
        <f t="shared" si="9"/>
        <v>6267516.995</v>
      </c>
      <c r="AC316" s="79">
        <f t="shared" si="12"/>
        <v>27623.07499</v>
      </c>
      <c r="AD316" s="85">
        <f t="shared" si="10"/>
        <v>6245615.07</v>
      </c>
      <c r="AE316" s="81">
        <v>0.25</v>
      </c>
      <c r="AF316" s="82">
        <f t="shared" si="17"/>
        <v>11076853.07</v>
      </c>
      <c r="AG316" s="6"/>
      <c r="AH316" s="6"/>
      <c r="AI316" s="6"/>
      <c r="AJ316" s="6"/>
      <c r="AK316" s="6"/>
      <c r="AL316" s="6"/>
      <c r="AM316" s="6"/>
      <c r="AN316" s="6"/>
      <c r="AO316" s="6"/>
      <c r="AP316" s="6"/>
    </row>
    <row r="317" ht="11.25" customHeight="1">
      <c r="A317" s="71"/>
      <c r="B317" s="72">
        <f t="shared" si="16"/>
        <v>312</v>
      </c>
      <c r="C317" s="86">
        <f t="shared" si="20"/>
        <v>24672.55671</v>
      </c>
      <c r="D317" s="88">
        <f t="shared" si="5"/>
        <v>4766509.44</v>
      </c>
      <c r="E317" s="89"/>
      <c r="F317" s="90"/>
      <c r="G317" s="89"/>
      <c r="H317" s="89">
        <v>1621713.0</v>
      </c>
      <c r="I317" s="89"/>
      <c r="J317" s="104">
        <v>3160000.0</v>
      </c>
      <c r="K317" s="89"/>
      <c r="L317" s="104"/>
      <c r="M317" s="6"/>
      <c r="N317" s="99"/>
      <c r="O317" s="10"/>
      <c r="P317" s="10"/>
      <c r="Q317" s="10"/>
      <c r="R317" s="10"/>
      <c r="S317" s="89">
        <f>IFERROR(__xludf.DUMMYFUNCTION("""COMPUTED_VALUE"""),10460.73872224288)</f>
        <v>10460.73872</v>
      </c>
      <c r="T317" s="89">
        <f>IFERROR(__xludf.DUMMYFUNCTION("""COMPUTED_VALUE"""),14344.752111568581)</f>
        <v>14344.75211</v>
      </c>
      <c r="U317" s="89"/>
      <c r="V317" s="90">
        <f t="shared" si="15"/>
        <v>24805.49083</v>
      </c>
      <c r="W317" s="91">
        <f t="shared" si="7"/>
        <v>5619434.357</v>
      </c>
      <c r="X317" s="81">
        <f t="shared" si="2"/>
        <v>0.2597917151</v>
      </c>
      <c r="Y317" s="82">
        <f t="shared" si="19"/>
        <v>10759314.93</v>
      </c>
      <c r="Z317" s="6"/>
      <c r="AA317" s="83">
        <f t="shared" si="8"/>
        <v>27623.07499</v>
      </c>
      <c r="AB317" s="88">
        <f t="shared" si="9"/>
        <v>6295140.07</v>
      </c>
      <c r="AC317" s="90">
        <f t="shared" si="12"/>
        <v>27692.13268</v>
      </c>
      <c r="AD317" s="94">
        <f t="shared" si="10"/>
        <v>6273307.203</v>
      </c>
      <c r="AE317" s="81">
        <v>0.25</v>
      </c>
      <c r="AF317" s="82">
        <f t="shared" si="17"/>
        <v>11104545.2</v>
      </c>
      <c r="AG317" s="6"/>
      <c r="AH317" s="6"/>
      <c r="AI317" s="6"/>
      <c r="AJ317" s="6"/>
      <c r="AK317" s="6"/>
      <c r="AL317" s="6"/>
      <c r="AM317" s="6"/>
      <c r="AN317" s="6"/>
      <c r="AO317" s="6"/>
      <c r="AP317" s="6"/>
    </row>
    <row r="318" ht="11.25" customHeight="1">
      <c r="A318" s="100">
        <v>27.0</v>
      </c>
      <c r="B318" s="66">
        <f t="shared" si="16"/>
        <v>313</v>
      </c>
      <c r="C318" s="86">
        <f t="shared" si="20"/>
        <v>24805.49083</v>
      </c>
      <c r="D318" s="84">
        <f t="shared" si="5"/>
        <v>4791314.931</v>
      </c>
      <c r="E318" s="78"/>
      <c r="F318" s="79"/>
      <c r="G318" s="78"/>
      <c r="H318" s="78">
        <v>1621713.0</v>
      </c>
      <c r="I318" s="78"/>
      <c r="J318" s="103">
        <v>3160000.0</v>
      </c>
      <c r="K318" s="78"/>
      <c r="L318" s="103"/>
      <c r="M318" s="6"/>
      <c r="N318" s="97"/>
      <c r="O318" s="6"/>
      <c r="P318" s="6"/>
      <c r="Q318" s="6"/>
      <c r="R318" s="6"/>
      <c r="S318" s="102">
        <f>IFERROR(__xludf.DUMMYFUNCTION("""COMPUTED_VALUE"""),10520.648819754366)</f>
        <v>10520.64882</v>
      </c>
      <c r="T318" s="9">
        <f>IFERROR(__xludf.DUMMYFUNCTION("""COMPUTED_VALUE"""),14418.335582281463)</f>
        <v>14418.33558</v>
      </c>
      <c r="U318" s="78"/>
      <c r="V318" s="79">
        <f t="shared" si="15"/>
        <v>24938.9844</v>
      </c>
      <c r="W318" s="80">
        <f t="shared" si="7"/>
        <v>5644373.341</v>
      </c>
      <c r="X318" s="81">
        <f t="shared" si="2"/>
        <v>0.2605130224</v>
      </c>
      <c r="Y318" s="82">
        <f t="shared" si="19"/>
        <v>10784253.92</v>
      </c>
      <c r="Z318" s="6"/>
      <c r="AA318" s="83">
        <f t="shared" si="8"/>
        <v>27692.13268</v>
      </c>
      <c r="AB318" s="84">
        <f t="shared" si="9"/>
        <v>6322832.203</v>
      </c>
      <c r="AC318" s="79">
        <f t="shared" si="12"/>
        <v>27761.36301</v>
      </c>
      <c r="AD318" s="95">
        <f t="shared" si="10"/>
        <v>6301068.566</v>
      </c>
      <c r="AE318" s="81">
        <v>0.25</v>
      </c>
      <c r="AF318" s="82">
        <f t="shared" si="17"/>
        <v>11132306.57</v>
      </c>
      <c r="AG318" s="6"/>
      <c r="AH318" s="6"/>
      <c r="AI318" s="6"/>
      <c r="AJ318" s="6"/>
      <c r="AK318" s="6"/>
      <c r="AL318" s="6"/>
      <c r="AM318" s="6"/>
      <c r="AN318" s="6"/>
      <c r="AO318" s="6"/>
      <c r="AP318" s="6"/>
    </row>
    <row r="319" ht="11.25" customHeight="1">
      <c r="A319" s="7"/>
      <c r="B319" s="68">
        <f t="shared" si="16"/>
        <v>314</v>
      </c>
      <c r="C319" s="86">
        <f t="shared" si="20"/>
        <v>24938.9844</v>
      </c>
      <c r="D319" s="84">
        <f t="shared" si="5"/>
        <v>4816253.915</v>
      </c>
      <c r="E319" s="78"/>
      <c r="F319" s="79"/>
      <c r="G319" s="78"/>
      <c r="H319" s="78">
        <v>1621713.0</v>
      </c>
      <c r="I319" s="78"/>
      <c r="J319" s="103">
        <v>3160000.0</v>
      </c>
      <c r="K319" s="78"/>
      <c r="L319" s="103"/>
      <c r="M319" s="6"/>
      <c r="N319" s="97"/>
      <c r="O319" s="6"/>
      <c r="P319" s="6"/>
      <c r="Q319" s="6"/>
      <c r="R319" s="6"/>
      <c r="S319" s="78">
        <f>IFERROR(__xludf.DUMMYFUNCTION("""COMPUTED_VALUE"""),10580.870949023403)</f>
        <v>10580.87095</v>
      </c>
      <c r="T319" s="9">
        <f>IFERROR(__xludf.DUMMYFUNCTION("""COMPUTED_VALUE"""),14492.168930195738)</f>
        <v>14492.16893</v>
      </c>
      <c r="U319" s="78"/>
      <c r="V319" s="79">
        <f t="shared" si="15"/>
        <v>25073.03988</v>
      </c>
      <c r="W319" s="80">
        <f t="shared" si="7"/>
        <v>5669446.381</v>
      </c>
      <c r="X319" s="81">
        <f t="shared" si="2"/>
        <v>0.2612328225</v>
      </c>
      <c r="Y319" s="82">
        <f t="shared" si="19"/>
        <v>10809326.95</v>
      </c>
      <c r="Z319" s="6"/>
      <c r="AA319" s="83">
        <f t="shared" si="8"/>
        <v>27761.36301</v>
      </c>
      <c r="AB319" s="84">
        <f t="shared" si="9"/>
        <v>6350593.566</v>
      </c>
      <c r="AC319" s="79">
        <f t="shared" si="12"/>
        <v>27830.76641</v>
      </c>
      <c r="AD319" s="85">
        <f t="shared" si="10"/>
        <v>6328899.332</v>
      </c>
      <c r="AE319" s="81">
        <v>0.25</v>
      </c>
      <c r="AF319" s="82">
        <f t="shared" si="17"/>
        <v>11160137.33</v>
      </c>
      <c r="AG319" s="6"/>
      <c r="AH319" s="6"/>
      <c r="AI319" s="6"/>
      <c r="AJ319" s="6"/>
      <c r="AK319" s="6"/>
      <c r="AL319" s="6"/>
      <c r="AM319" s="6"/>
      <c r="AN319" s="6"/>
      <c r="AO319" s="6"/>
      <c r="AP319" s="6"/>
    </row>
    <row r="320" ht="11.25" customHeight="1">
      <c r="A320" s="7"/>
      <c r="B320" s="68">
        <f t="shared" si="16"/>
        <v>315</v>
      </c>
      <c r="C320" s="86">
        <f t="shared" si="20"/>
        <v>25073.03988</v>
      </c>
      <c r="D320" s="84">
        <f t="shared" si="5"/>
        <v>4841326.955</v>
      </c>
      <c r="E320" s="78"/>
      <c r="F320" s="79"/>
      <c r="G320" s="78"/>
      <c r="H320" s="78">
        <v>1621713.0</v>
      </c>
      <c r="I320" s="78"/>
      <c r="J320" s="103">
        <v>3160000.0</v>
      </c>
      <c r="K320" s="78"/>
      <c r="L320" s="103"/>
      <c r="M320" s="6"/>
      <c r="N320" s="97"/>
      <c r="O320" s="6"/>
      <c r="P320" s="6"/>
      <c r="Q320" s="6"/>
      <c r="R320" s="6"/>
      <c r="S320" s="78">
        <f>IFERROR(__xludf.DUMMYFUNCTION("""COMPUTED_VALUE"""),10641.406735217199)</f>
        <v>10641.40674</v>
      </c>
      <c r="T320" s="9">
        <f>IFERROR(__xludf.DUMMYFUNCTION("""COMPUTED_VALUE"""),14566.25300385477)</f>
        <v>14566.253</v>
      </c>
      <c r="U320" s="78"/>
      <c r="V320" s="79">
        <f t="shared" si="15"/>
        <v>25207.65974</v>
      </c>
      <c r="W320" s="80">
        <f t="shared" si="7"/>
        <v>5694654.041</v>
      </c>
      <c r="X320" s="81">
        <f t="shared" si="2"/>
        <v>0.2619511075</v>
      </c>
      <c r="Y320" s="82">
        <f t="shared" si="19"/>
        <v>10834534.61</v>
      </c>
      <c r="Z320" s="6"/>
      <c r="AA320" s="83">
        <f t="shared" si="8"/>
        <v>27830.76641</v>
      </c>
      <c r="AB320" s="84">
        <f t="shared" si="9"/>
        <v>6378424.332</v>
      </c>
      <c r="AC320" s="79">
        <f t="shared" si="12"/>
        <v>27900.34333</v>
      </c>
      <c r="AD320" s="85">
        <f t="shared" si="10"/>
        <v>6356799.676</v>
      </c>
      <c r="AE320" s="81">
        <v>0.25</v>
      </c>
      <c r="AF320" s="82">
        <f t="shared" si="17"/>
        <v>11188037.68</v>
      </c>
      <c r="AG320" s="6"/>
      <c r="AH320" s="6"/>
      <c r="AI320" s="6"/>
      <c r="AJ320" s="6"/>
      <c r="AK320" s="6"/>
      <c r="AL320" s="6"/>
      <c r="AM320" s="6"/>
      <c r="AN320" s="6"/>
      <c r="AO320" s="6"/>
      <c r="AP320" s="6"/>
    </row>
    <row r="321" ht="11.25" customHeight="1">
      <c r="A321" s="7"/>
      <c r="B321" s="68">
        <f t="shared" si="16"/>
        <v>316</v>
      </c>
      <c r="C321" s="86">
        <f t="shared" si="20"/>
        <v>25207.65974</v>
      </c>
      <c r="D321" s="84">
        <f t="shared" si="5"/>
        <v>4866534.615</v>
      </c>
      <c r="E321" s="78"/>
      <c r="F321" s="79"/>
      <c r="G321" s="78"/>
      <c r="H321" s="78">
        <v>1621713.0</v>
      </c>
      <c r="I321" s="78"/>
      <c r="J321" s="103">
        <v>3160000.0</v>
      </c>
      <c r="K321" s="78"/>
      <c r="L321" s="103"/>
      <c r="M321" s="6"/>
      <c r="N321" s="97"/>
      <c r="O321" s="6"/>
      <c r="P321" s="6"/>
      <c r="Q321" s="6"/>
      <c r="R321" s="6"/>
      <c r="S321" s="78">
        <f>IFERROR(__xludf.DUMMYFUNCTION("""COMPUTED_VALUE"""),10702.257811962627)</f>
        <v>10702.25781</v>
      </c>
      <c r="T321" s="78">
        <f>IFERROR(__xludf.DUMMYFUNCTION("""COMPUTED_VALUE"""),14640.588654680178)</f>
        <v>14640.58865</v>
      </c>
      <c r="U321" s="78"/>
      <c r="V321" s="79">
        <f t="shared" si="15"/>
        <v>25342.84647</v>
      </c>
      <c r="W321" s="80">
        <f t="shared" si="7"/>
        <v>5719996.887</v>
      </c>
      <c r="X321" s="81">
        <f t="shared" si="2"/>
        <v>0.2626678696</v>
      </c>
      <c r="Y321" s="82">
        <f t="shared" si="19"/>
        <v>10859877.46</v>
      </c>
      <c r="Z321" s="6"/>
      <c r="AA321" s="83">
        <f t="shared" si="8"/>
        <v>27900.34333</v>
      </c>
      <c r="AB321" s="84">
        <f t="shared" si="9"/>
        <v>6406324.676</v>
      </c>
      <c r="AC321" s="79">
        <f t="shared" si="12"/>
        <v>27970.09419</v>
      </c>
      <c r="AD321" s="85">
        <f t="shared" si="10"/>
        <v>6384769.77</v>
      </c>
      <c r="AE321" s="81">
        <v>0.25</v>
      </c>
      <c r="AF321" s="82">
        <f t="shared" si="17"/>
        <v>11216007.77</v>
      </c>
      <c r="AG321" s="6"/>
      <c r="AH321" s="6"/>
      <c r="AI321" s="6"/>
      <c r="AJ321" s="6"/>
      <c r="AK321" s="6"/>
      <c r="AL321" s="6"/>
      <c r="AM321" s="6"/>
      <c r="AN321" s="6"/>
      <c r="AO321" s="6"/>
      <c r="AP321" s="6"/>
    </row>
    <row r="322" ht="11.25" customHeight="1">
      <c r="A322" s="7"/>
      <c r="B322" s="68">
        <f t="shared" si="16"/>
        <v>317</v>
      </c>
      <c r="C322" s="86">
        <f t="shared" si="20"/>
        <v>25342.84647</v>
      </c>
      <c r="D322" s="84">
        <f t="shared" si="5"/>
        <v>4891877.461</v>
      </c>
      <c r="E322" s="78"/>
      <c r="F322" s="79"/>
      <c r="G322" s="78"/>
      <c r="H322" s="78">
        <v>1621713.0</v>
      </c>
      <c r="I322" s="78"/>
      <c r="J322" s="103">
        <v>3160000.0</v>
      </c>
      <c r="K322" s="78"/>
      <c r="L322" s="103"/>
      <c r="M322" s="6"/>
      <c r="N322" s="97"/>
      <c r="O322" s="6"/>
      <c r="P322" s="6"/>
      <c r="Q322" s="6"/>
      <c r="R322" s="6"/>
      <c r="S322" s="78">
        <f>IFERROR(__xludf.DUMMYFUNCTION("""COMPUTED_VALUE"""),10763.425821399316)</f>
        <v>10763.42582</v>
      </c>
      <c r="T322" s="78">
        <f>IFERROR(__xludf.DUMMYFUNCTION("""COMPUTED_VALUE"""),14715.17673698673)</f>
        <v>14715.17674</v>
      </c>
      <c r="U322" s="78"/>
      <c r="V322" s="79">
        <f t="shared" si="15"/>
        <v>25478.60256</v>
      </c>
      <c r="W322" s="80">
        <f t="shared" si="7"/>
        <v>5745475.49</v>
      </c>
      <c r="X322" s="81">
        <f t="shared" si="2"/>
        <v>0.2633831012</v>
      </c>
      <c r="Y322" s="82">
        <f t="shared" si="19"/>
        <v>10885356.06</v>
      </c>
      <c r="Z322" s="6"/>
      <c r="AA322" s="83">
        <f t="shared" si="8"/>
        <v>27970.09419</v>
      </c>
      <c r="AB322" s="84">
        <f t="shared" si="9"/>
        <v>6434294.77</v>
      </c>
      <c r="AC322" s="79">
        <f t="shared" si="12"/>
        <v>28040.01942</v>
      </c>
      <c r="AD322" s="85">
        <f t="shared" si="10"/>
        <v>6412809.789</v>
      </c>
      <c r="AE322" s="81">
        <v>0.25</v>
      </c>
      <c r="AF322" s="82">
        <f t="shared" si="17"/>
        <v>11244047.79</v>
      </c>
      <c r="AG322" s="6"/>
      <c r="AH322" s="6"/>
      <c r="AI322" s="6"/>
      <c r="AJ322" s="6"/>
      <c r="AK322" s="6"/>
      <c r="AL322" s="6"/>
      <c r="AM322" s="6"/>
      <c r="AN322" s="6"/>
      <c r="AO322" s="6"/>
      <c r="AP322" s="6"/>
    </row>
    <row r="323" ht="11.25" customHeight="1">
      <c r="A323" s="7"/>
      <c r="B323" s="68">
        <f t="shared" si="16"/>
        <v>318</v>
      </c>
      <c r="C323" s="86">
        <f t="shared" si="20"/>
        <v>25478.60256</v>
      </c>
      <c r="D323" s="84">
        <f t="shared" si="5"/>
        <v>4917356.064</v>
      </c>
      <c r="E323" s="78"/>
      <c r="F323" s="79"/>
      <c r="G323" s="78"/>
      <c r="H323" s="78">
        <v>1621713.0</v>
      </c>
      <c r="I323" s="78"/>
      <c r="J323" s="103">
        <v>3160000.0</v>
      </c>
      <c r="K323" s="78"/>
      <c r="L323" s="103"/>
      <c r="M323" s="6"/>
      <c r="N323" s="97"/>
      <c r="O323" s="6"/>
      <c r="P323" s="6"/>
      <c r="Q323" s="6"/>
      <c r="R323" s="6"/>
      <c r="S323" s="78">
        <f>IFERROR(__xludf.DUMMYFUNCTION("""COMPUTED_VALUE"""),10824.912414220162)</f>
        <v>10824.91241</v>
      </c>
      <c r="T323" s="78">
        <f>IFERROR(__xludf.DUMMYFUNCTION("""COMPUTED_VALUE"""),14790.018107989337)</f>
        <v>14790.01811</v>
      </c>
      <c r="U323" s="78"/>
      <c r="V323" s="79">
        <f t="shared" si="15"/>
        <v>25614.93052</v>
      </c>
      <c r="W323" s="80">
        <f t="shared" si="7"/>
        <v>5771090.42</v>
      </c>
      <c r="X323" s="81">
        <f t="shared" si="2"/>
        <v>0.2640967948</v>
      </c>
      <c r="Y323" s="82">
        <f t="shared" si="19"/>
        <v>10910970.99</v>
      </c>
      <c r="Z323" s="6"/>
      <c r="AA323" s="83">
        <f t="shared" si="8"/>
        <v>28040.01942</v>
      </c>
      <c r="AB323" s="84">
        <f t="shared" si="9"/>
        <v>6462334.789</v>
      </c>
      <c r="AC323" s="79">
        <f t="shared" si="12"/>
        <v>28110.11947</v>
      </c>
      <c r="AD323" s="85">
        <f t="shared" si="10"/>
        <v>6440919.909</v>
      </c>
      <c r="AE323" s="81">
        <v>0.25</v>
      </c>
      <c r="AF323" s="82">
        <f t="shared" si="17"/>
        <v>11272157.91</v>
      </c>
      <c r="AG323" s="6"/>
      <c r="AH323" s="6"/>
      <c r="AI323" s="6"/>
      <c r="AJ323" s="6"/>
      <c r="AK323" s="6"/>
      <c r="AL323" s="6"/>
      <c r="AM323" s="6"/>
      <c r="AN323" s="6"/>
      <c r="AO323" s="6"/>
      <c r="AP323" s="6"/>
    </row>
    <row r="324" ht="11.25" customHeight="1">
      <c r="A324" s="7"/>
      <c r="B324" s="68">
        <f t="shared" si="16"/>
        <v>319</v>
      </c>
      <c r="C324" s="86">
        <f t="shared" si="20"/>
        <v>25614.93052</v>
      </c>
      <c r="D324" s="84">
        <f t="shared" si="5"/>
        <v>4942970.994</v>
      </c>
      <c r="E324" s="78"/>
      <c r="F324" s="79"/>
      <c r="G324" s="78"/>
      <c r="H324" s="78">
        <v>1621713.0</v>
      </c>
      <c r="I324" s="78"/>
      <c r="J324" s="103">
        <v>3160000.0</v>
      </c>
      <c r="K324" s="78"/>
      <c r="L324" s="103"/>
      <c r="M324" s="6"/>
      <c r="N324" s="97"/>
      <c r="O324" s="6"/>
      <c r="P324" s="6"/>
      <c r="Q324" s="6"/>
      <c r="R324" s="6"/>
      <c r="S324" s="78">
        <f>IFERROR(__xludf.DUMMYFUNCTION("""COMPUTED_VALUE"""),10886.71924971044)</f>
        <v>10886.71925</v>
      </c>
      <c r="T324" s="78">
        <f>IFERROR(__xludf.DUMMYFUNCTION("""COMPUTED_VALUE"""),14865.113627814688)</f>
        <v>14865.11363</v>
      </c>
      <c r="U324" s="78"/>
      <c r="V324" s="79">
        <f t="shared" si="15"/>
        <v>25751.83288</v>
      </c>
      <c r="W324" s="80">
        <f t="shared" si="7"/>
        <v>5796842.253</v>
      </c>
      <c r="X324" s="81">
        <f t="shared" si="2"/>
        <v>0.2648089428</v>
      </c>
      <c r="Y324" s="82">
        <f t="shared" si="19"/>
        <v>10936722.83</v>
      </c>
      <c r="Z324" s="6"/>
      <c r="AA324" s="83">
        <f t="shared" si="8"/>
        <v>28110.11947</v>
      </c>
      <c r="AB324" s="84">
        <f t="shared" si="9"/>
        <v>6490444.909</v>
      </c>
      <c r="AC324" s="79">
        <f t="shared" si="12"/>
        <v>28180.39477</v>
      </c>
      <c r="AD324" s="85">
        <f t="shared" si="10"/>
        <v>6469100.303</v>
      </c>
      <c r="AE324" s="81">
        <v>0.25</v>
      </c>
      <c r="AF324" s="82">
        <f t="shared" si="17"/>
        <v>11300338.3</v>
      </c>
      <c r="AG324" s="6"/>
      <c r="AH324" s="6"/>
      <c r="AI324" s="6"/>
      <c r="AJ324" s="6"/>
      <c r="AK324" s="6"/>
      <c r="AL324" s="6"/>
      <c r="AM324" s="6"/>
      <c r="AN324" s="6"/>
      <c r="AO324" s="6"/>
      <c r="AP324" s="6"/>
    </row>
    <row r="325" ht="11.25" customHeight="1">
      <c r="A325" s="7"/>
      <c r="B325" s="68">
        <f t="shared" si="16"/>
        <v>320</v>
      </c>
      <c r="C325" s="86">
        <f t="shared" si="20"/>
        <v>25751.83288</v>
      </c>
      <c r="D325" s="84">
        <f t="shared" si="5"/>
        <v>4968722.827</v>
      </c>
      <c r="E325" s="78"/>
      <c r="F325" s="79"/>
      <c r="G325" s="78"/>
      <c r="H325" s="78">
        <v>1621713.0</v>
      </c>
      <c r="I325" s="78"/>
      <c r="J325" s="103">
        <v>3160000.0</v>
      </c>
      <c r="K325" s="78"/>
      <c r="L325" s="103"/>
      <c r="M325" s="6"/>
      <c r="N325" s="97"/>
      <c r="O325" s="6"/>
      <c r="P325" s="6"/>
      <c r="Q325" s="6"/>
      <c r="R325" s="6"/>
      <c r="S325" s="78">
        <f>IFERROR(__xludf.DUMMYFUNCTION("""COMPUTED_VALUE"""),10948.847995802294)</f>
        <v>10948.848</v>
      </c>
      <c r="T325" s="78">
        <f>IFERROR(__xludf.DUMMYFUNCTION("""COMPUTED_VALUE"""),14940.464159509167)</f>
        <v>14940.46416</v>
      </c>
      <c r="U325" s="78"/>
      <c r="V325" s="79">
        <f t="shared" si="15"/>
        <v>25889.31216</v>
      </c>
      <c r="W325" s="80">
        <f t="shared" si="7"/>
        <v>5822731.566</v>
      </c>
      <c r="X325" s="81">
        <f t="shared" si="2"/>
        <v>0.2655195379</v>
      </c>
      <c r="Y325" s="82">
        <f t="shared" si="19"/>
        <v>10962612.14</v>
      </c>
      <c r="Z325" s="6"/>
      <c r="AA325" s="83">
        <f t="shared" si="8"/>
        <v>28180.39477</v>
      </c>
      <c r="AB325" s="84">
        <f t="shared" si="9"/>
        <v>6518625.303</v>
      </c>
      <c r="AC325" s="79">
        <f t="shared" si="12"/>
        <v>28250.84576</v>
      </c>
      <c r="AD325" s="85">
        <f t="shared" si="10"/>
        <v>6497351.149</v>
      </c>
      <c r="AE325" s="81">
        <v>0.25</v>
      </c>
      <c r="AF325" s="82">
        <f t="shared" si="17"/>
        <v>11328589.15</v>
      </c>
      <c r="AG325" s="6"/>
      <c r="AH325" s="6"/>
      <c r="AI325" s="6"/>
      <c r="AJ325" s="6"/>
      <c r="AK325" s="6"/>
      <c r="AL325" s="6"/>
      <c r="AM325" s="6"/>
      <c r="AN325" s="6"/>
      <c r="AO325" s="6"/>
      <c r="AP325" s="6"/>
    </row>
    <row r="326" ht="11.25" customHeight="1">
      <c r="A326" s="7"/>
      <c r="B326" s="68">
        <f t="shared" si="16"/>
        <v>321</v>
      </c>
      <c r="C326" s="86">
        <f t="shared" si="20"/>
        <v>25889.31216</v>
      </c>
      <c r="D326" s="84">
        <f t="shared" si="5"/>
        <v>4994612.139</v>
      </c>
      <c r="E326" s="78"/>
      <c r="F326" s="79"/>
      <c r="G326" s="78"/>
      <c r="H326" s="78">
        <v>1621713.0</v>
      </c>
      <c r="I326" s="78"/>
      <c r="J326" s="103">
        <v>3160000.0</v>
      </c>
      <c r="K326" s="78"/>
      <c r="L326" s="103"/>
      <c r="M326" s="6"/>
      <c r="N326" s="97"/>
      <c r="O326" s="6"/>
      <c r="P326" s="6"/>
      <c r="Q326" s="6"/>
      <c r="R326" s="6"/>
      <c r="S326" s="78">
        <f>IFERROR(__xludf.DUMMYFUNCTION("""COMPUTED_VALUE"""),11011.300329113845)</f>
        <v>11011.30033</v>
      </c>
      <c r="T326" s="78">
        <f>IFERROR(__xludf.DUMMYFUNCTION("""COMPUTED_VALUE"""),15016.070569050498)</f>
        <v>15016.07057</v>
      </c>
      <c r="U326" s="78"/>
      <c r="V326" s="79">
        <f t="shared" si="15"/>
        <v>26027.3709</v>
      </c>
      <c r="W326" s="80">
        <f t="shared" si="7"/>
        <v>5848758.936</v>
      </c>
      <c r="X326" s="81">
        <f t="shared" si="2"/>
        <v>0.2662285729</v>
      </c>
      <c r="Y326" s="82">
        <f t="shared" si="19"/>
        <v>10988639.51</v>
      </c>
      <c r="Z326" s="6"/>
      <c r="AA326" s="83">
        <f t="shared" si="8"/>
        <v>28250.84576</v>
      </c>
      <c r="AB326" s="84">
        <f t="shared" si="9"/>
        <v>6546876.149</v>
      </c>
      <c r="AC326" s="79">
        <f t="shared" si="12"/>
        <v>28321.47287</v>
      </c>
      <c r="AD326" s="85">
        <f t="shared" si="10"/>
        <v>6525672.622</v>
      </c>
      <c r="AE326" s="81">
        <v>0.25</v>
      </c>
      <c r="AF326" s="82">
        <f t="shared" si="17"/>
        <v>11356910.62</v>
      </c>
      <c r="AG326" s="6"/>
      <c r="AH326" s="6"/>
      <c r="AI326" s="6"/>
      <c r="AJ326" s="6"/>
      <c r="AK326" s="6"/>
      <c r="AL326" s="6"/>
      <c r="AM326" s="6"/>
      <c r="AN326" s="6"/>
      <c r="AO326" s="6"/>
      <c r="AP326" s="6"/>
    </row>
    <row r="327" ht="11.25" customHeight="1">
      <c r="A327" s="7"/>
      <c r="B327" s="68">
        <f t="shared" si="16"/>
        <v>322</v>
      </c>
      <c r="C327" s="86">
        <f t="shared" si="20"/>
        <v>26027.3709</v>
      </c>
      <c r="D327" s="84">
        <f t="shared" si="5"/>
        <v>5020639.51</v>
      </c>
      <c r="E327" s="78"/>
      <c r="F327" s="79"/>
      <c r="G327" s="78"/>
      <c r="H327" s="78">
        <v>1621713.0</v>
      </c>
      <c r="I327" s="78"/>
      <c r="J327" s="103">
        <v>3160000.0</v>
      </c>
      <c r="K327" s="78"/>
      <c r="L327" s="103"/>
      <c r="M327" s="6"/>
      <c r="N327" s="97"/>
      <c r="O327" s="6"/>
      <c r="P327" s="6"/>
      <c r="Q327" s="6"/>
      <c r="R327" s="6"/>
      <c r="S327" s="78">
        <f>IFERROR(__xludf.DUMMYFUNCTION("""COMPUTED_VALUE"""),11074.077934995294)</f>
        <v>11074.07793</v>
      </c>
      <c r="T327" s="78">
        <f>IFERROR(__xludf.DUMMYFUNCTION("""COMPUTED_VALUE"""),15091.933725357987)</f>
        <v>15091.93373</v>
      </c>
      <c r="U327" s="78"/>
      <c r="V327" s="79">
        <f t="shared" si="15"/>
        <v>26166.01166</v>
      </c>
      <c r="W327" s="80">
        <f t="shared" si="7"/>
        <v>5874924.948</v>
      </c>
      <c r="X327" s="81">
        <f t="shared" si="2"/>
        <v>0.2669360404</v>
      </c>
      <c r="Y327" s="82">
        <f t="shared" si="19"/>
        <v>11014805.52</v>
      </c>
      <c r="Z327" s="6"/>
      <c r="AA327" s="83">
        <f t="shared" si="8"/>
        <v>28321.47287</v>
      </c>
      <c r="AB327" s="84">
        <f t="shared" si="9"/>
        <v>6575197.622</v>
      </c>
      <c r="AC327" s="79">
        <f t="shared" si="12"/>
        <v>28392.27656</v>
      </c>
      <c r="AD327" s="85">
        <f t="shared" si="10"/>
        <v>6554064.899</v>
      </c>
      <c r="AE327" s="81">
        <v>0.25</v>
      </c>
      <c r="AF327" s="82">
        <f t="shared" si="17"/>
        <v>11385302.9</v>
      </c>
      <c r="AG327" s="6"/>
      <c r="AH327" s="6"/>
      <c r="AI327" s="6"/>
      <c r="AJ327" s="6"/>
      <c r="AK327" s="6"/>
      <c r="AL327" s="6"/>
      <c r="AM327" s="6"/>
      <c r="AN327" s="6"/>
      <c r="AO327" s="6"/>
      <c r="AP327" s="6"/>
    </row>
    <row r="328" ht="11.25" customHeight="1">
      <c r="A328" s="7"/>
      <c r="B328" s="68">
        <f t="shared" si="16"/>
        <v>323</v>
      </c>
      <c r="C328" s="86">
        <f t="shared" si="20"/>
        <v>26166.01166</v>
      </c>
      <c r="D328" s="84">
        <f t="shared" si="5"/>
        <v>5046805.522</v>
      </c>
      <c r="E328" s="78"/>
      <c r="F328" s="79"/>
      <c r="G328" s="78"/>
      <c r="H328" s="78">
        <v>1621713.0</v>
      </c>
      <c r="I328" s="78"/>
      <c r="J328" s="103">
        <v>3160000.0</v>
      </c>
      <c r="K328" s="78"/>
      <c r="L328" s="103"/>
      <c r="M328" s="6"/>
      <c r="N328" s="97"/>
      <c r="O328" s="6"/>
      <c r="P328" s="6"/>
      <c r="Q328" s="6"/>
      <c r="R328" s="6"/>
      <c r="S328" s="78">
        <f>IFERROR(__xludf.DUMMYFUNCTION("""COMPUTED_VALUE"""),11137.182507572696)</f>
        <v>11137.18251</v>
      </c>
      <c r="T328" s="78">
        <f>IFERROR(__xludf.DUMMYFUNCTION("""COMPUTED_VALUE"""),15168.054500300437)</f>
        <v>15168.0545</v>
      </c>
      <c r="U328" s="78"/>
      <c r="V328" s="79">
        <f t="shared" si="15"/>
        <v>26305.23701</v>
      </c>
      <c r="W328" s="80">
        <f t="shared" si="7"/>
        <v>5901230.185</v>
      </c>
      <c r="X328" s="81">
        <f t="shared" si="2"/>
        <v>0.2676419335</v>
      </c>
      <c r="Y328" s="82">
        <f t="shared" si="19"/>
        <v>11041110.76</v>
      </c>
      <c r="Z328" s="6"/>
      <c r="AA328" s="83">
        <f t="shared" si="8"/>
        <v>28392.27656</v>
      </c>
      <c r="AB328" s="84">
        <f t="shared" si="9"/>
        <v>6603589.899</v>
      </c>
      <c r="AC328" s="79">
        <f t="shared" si="12"/>
        <v>28463.25725</v>
      </c>
      <c r="AD328" s="85">
        <f t="shared" si="10"/>
        <v>6582528.156</v>
      </c>
      <c r="AE328" s="81">
        <v>0.25</v>
      </c>
      <c r="AF328" s="82">
        <f t="shared" si="17"/>
        <v>11413766.16</v>
      </c>
      <c r="AG328" s="6"/>
      <c r="AH328" s="6"/>
      <c r="AI328" s="6"/>
      <c r="AJ328" s="6"/>
      <c r="AK328" s="6"/>
      <c r="AL328" s="6"/>
      <c r="AM328" s="6"/>
      <c r="AN328" s="6"/>
      <c r="AO328" s="6"/>
      <c r="AP328" s="6"/>
    </row>
    <row r="329" ht="11.25" customHeight="1">
      <c r="A329" s="71"/>
      <c r="B329" s="72">
        <f t="shared" si="16"/>
        <v>324</v>
      </c>
      <c r="C329" s="86">
        <f t="shared" si="20"/>
        <v>26305.23701</v>
      </c>
      <c r="D329" s="88">
        <f t="shared" si="5"/>
        <v>5073110.759</v>
      </c>
      <c r="E329" s="89"/>
      <c r="F329" s="90"/>
      <c r="G329" s="89"/>
      <c r="H329" s="89">
        <v>1621713.0</v>
      </c>
      <c r="I329" s="89"/>
      <c r="J329" s="104">
        <v>3160000.0</v>
      </c>
      <c r="K329" s="89"/>
      <c r="L329" s="104"/>
      <c r="M329" s="6"/>
      <c r="N329" s="99"/>
      <c r="O329" s="10"/>
      <c r="P329" s="10"/>
      <c r="Q329" s="10"/>
      <c r="R329" s="10"/>
      <c r="S329" s="89">
        <f>IFERROR(__xludf.DUMMYFUNCTION("""COMPUTED_VALUE"""),11200.615749799646)</f>
        <v>11200.61575</v>
      </c>
      <c r="T329" s="89">
        <f>IFERROR(__xludf.DUMMYFUNCTION("""COMPUTED_VALUE"""),15244.433768707328)</f>
        <v>15244.43377</v>
      </c>
      <c r="U329" s="89"/>
      <c r="V329" s="90">
        <f t="shared" si="15"/>
        <v>26445.04952</v>
      </c>
      <c r="W329" s="91">
        <f t="shared" si="7"/>
        <v>5927675.235</v>
      </c>
      <c r="X329" s="81">
        <f t="shared" si="2"/>
        <v>0.2683462451</v>
      </c>
      <c r="Y329" s="82">
        <f t="shared" si="19"/>
        <v>11067555.81</v>
      </c>
      <c r="Z329" s="6"/>
      <c r="AA329" s="83">
        <f t="shared" si="8"/>
        <v>28463.25725</v>
      </c>
      <c r="AB329" s="88">
        <f t="shared" si="9"/>
        <v>6632053.156</v>
      </c>
      <c r="AC329" s="90">
        <f t="shared" si="12"/>
        <v>28534.41539</v>
      </c>
      <c r="AD329" s="94">
        <f t="shared" si="10"/>
        <v>6611062.571</v>
      </c>
      <c r="AE329" s="81">
        <v>0.25</v>
      </c>
      <c r="AF329" s="82">
        <f t="shared" si="17"/>
        <v>11442300.57</v>
      </c>
      <c r="AG329" s="6"/>
      <c r="AH329" s="6"/>
      <c r="AI329" s="6"/>
      <c r="AJ329" s="6"/>
      <c r="AK329" s="6"/>
      <c r="AL329" s="6"/>
      <c r="AM329" s="6"/>
      <c r="AN329" s="6"/>
      <c r="AO329" s="6"/>
      <c r="AP329" s="6"/>
    </row>
    <row r="330" ht="11.25" customHeight="1">
      <c r="A330" s="100">
        <v>28.0</v>
      </c>
      <c r="B330" s="66">
        <f t="shared" si="16"/>
        <v>325</v>
      </c>
      <c r="C330" s="86">
        <f t="shared" si="20"/>
        <v>26445.04952</v>
      </c>
      <c r="D330" s="84">
        <f t="shared" si="5"/>
        <v>5099555.808</v>
      </c>
      <c r="E330" s="78"/>
      <c r="F330" s="79"/>
      <c r="G330" s="78"/>
      <c r="H330" s="78">
        <v>1621713.0</v>
      </c>
      <c r="I330" s="78"/>
      <c r="J330" s="103">
        <v>3160000.0</v>
      </c>
      <c r="K330" s="78"/>
      <c r="L330" s="103"/>
      <c r="M330" s="6"/>
      <c r="N330" s="97"/>
      <c r="O330" s="6"/>
      <c r="P330" s="6"/>
      <c r="Q330" s="6"/>
      <c r="R330" s="6"/>
      <c r="S330" s="102"/>
      <c r="T330" s="9">
        <f>IFERROR(__xludf.DUMMYFUNCTION("""COMPUTED_VALUE"""),15321.072408380918)</f>
        <v>15321.07241</v>
      </c>
      <c r="U330" s="78"/>
      <c r="V330" s="79">
        <f t="shared" si="15"/>
        <v>15321.07241</v>
      </c>
      <c r="W330" s="80">
        <f t="shared" si="7"/>
        <v>5942996.307</v>
      </c>
      <c r="X330" s="81">
        <f t="shared" si="2"/>
        <v>0.1550516711</v>
      </c>
      <c r="Y330" s="82">
        <f t="shared" si="19"/>
        <v>11082876.88</v>
      </c>
      <c r="Z330" s="6"/>
      <c r="AA330" s="83">
        <f t="shared" si="8"/>
        <v>28534.41539</v>
      </c>
      <c r="AB330" s="84">
        <f t="shared" si="9"/>
        <v>6660587.571</v>
      </c>
      <c r="AC330" s="79">
        <f t="shared" si="12"/>
        <v>28605.75143</v>
      </c>
      <c r="AD330" s="95">
        <f t="shared" si="10"/>
        <v>6639668.323</v>
      </c>
      <c r="AE330" s="81">
        <v>0.25</v>
      </c>
      <c r="AF330" s="82">
        <f t="shared" si="17"/>
        <v>11470906.32</v>
      </c>
      <c r="AG330" s="6"/>
      <c r="AH330" s="6"/>
      <c r="AI330" s="6"/>
      <c r="AJ330" s="6"/>
      <c r="AK330" s="6"/>
      <c r="AL330" s="6"/>
      <c r="AM330" s="6"/>
      <c r="AN330" s="6"/>
      <c r="AO330" s="6"/>
      <c r="AP330" s="6"/>
    </row>
    <row r="331" ht="11.25" customHeight="1">
      <c r="A331" s="7"/>
      <c r="B331" s="68">
        <f t="shared" si="16"/>
        <v>326</v>
      </c>
      <c r="C331" s="86">
        <f t="shared" si="20"/>
        <v>15321.07241</v>
      </c>
      <c r="D331" s="84">
        <f t="shared" si="5"/>
        <v>5114876.881</v>
      </c>
      <c r="E331" s="78"/>
      <c r="F331" s="79"/>
      <c r="G331" s="78"/>
      <c r="H331" s="78">
        <v>1621713.0</v>
      </c>
      <c r="I331" s="78"/>
      <c r="J331" s="103">
        <v>3160000.0</v>
      </c>
      <c r="K331" s="78"/>
      <c r="L331" s="103"/>
      <c r="M331" s="6"/>
      <c r="N331" s="97"/>
      <c r="O331" s="6"/>
      <c r="P331" s="6"/>
      <c r="Q331" s="6"/>
      <c r="R331" s="6"/>
      <c r="S331" s="78"/>
      <c r="T331" s="9">
        <f>IFERROR(__xludf.DUMMYFUNCTION("""COMPUTED_VALUE"""),15397.971300100442)</f>
        <v>15397.9713</v>
      </c>
      <c r="U331" s="78"/>
      <c r="V331" s="79">
        <f t="shared" si="15"/>
        <v>15397.9713</v>
      </c>
      <c r="W331" s="80">
        <f t="shared" si="7"/>
        <v>5958394.278</v>
      </c>
      <c r="X331" s="81">
        <f t="shared" si="2"/>
        <v>0.1555886572</v>
      </c>
      <c r="Y331" s="82">
        <f t="shared" si="19"/>
        <v>11098274.85</v>
      </c>
      <c r="Z331" s="6"/>
      <c r="AA331" s="83">
        <f t="shared" si="8"/>
        <v>28605.75143</v>
      </c>
      <c r="AB331" s="84">
        <f t="shared" si="9"/>
        <v>6689193.323</v>
      </c>
      <c r="AC331" s="79">
        <f t="shared" si="12"/>
        <v>28677.26581</v>
      </c>
      <c r="AD331" s="85">
        <f t="shared" si="10"/>
        <v>6668345.589</v>
      </c>
      <c r="AE331" s="81">
        <v>0.25</v>
      </c>
      <c r="AF331" s="82">
        <f t="shared" si="17"/>
        <v>11499583.59</v>
      </c>
      <c r="AG331" s="6"/>
      <c r="AH331" s="6"/>
      <c r="AI331" s="6"/>
      <c r="AJ331" s="6"/>
      <c r="AK331" s="6"/>
      <c r="AL331" s="6"/>
      <c r="AM331" s="6"/>
      <c r="AN331" s="6"/>
      <c r="AO331" s="6"/>
      <c r="AP331" s="6"/>
    </row>
    <row r="332" ht="11.25" customHeight="1">
      <c r="A332" s="7"/>
      <c r="B332" s="68">
        <f t="shared" si="16"/>
        <v>327</v>
      </c>
      <c r="C332" s="86">
        <f t="shared" si="20"/>
        <v>15397.9713</v>
      </c>
      <c r="D332" s="84">
        <f t="shared" si="5"/>
        <v>5130274.852</v>
      </c>
      <c r="E332" s="78"/>
      <c r="F332" s="79"/>
      <c r="G332" s="78"/>
      <c r="H332" s="78">
        <v>1621713.0</v>
      </c>
      <c r="I332" s="78"/>
      <c r="J332" s="103">
        <v>3160000.0</v>
      </c>
      <c r="K332" s="78"/>
      <c r="L332" s="103"/>
      <c r="M332" s="6"/>
      <c r="N332" s="97"/>
      <c r="O332" s="6"/>
      <c r="P332" s="6"/>
      <c r="Q332" s="6"/>
      <c r="R332" s="6"/>
      <c r="S332" s="78"/>
      <c r="T332" s="9">
        <f>IFERROR(__xludf.DUMMYFUNCTION("""COMPUTED_VALUE"""),15475.13132764073)</f>
        <v>15475.13133</v>
      </c>
      <c r="U332" s="78"/>
      <c r="V332" s="79">
        <f t="shared" si="15"/>
        <v>15475.13133</v>
      </c>
      <c r="W332" s="80">
        <f t="shared" si="7"/>
        <v>5973869.41</v>
      </c>
      <c r="X332" s="81">
        <f t="shared" si="2"/>
        <v>0.1561254065</v>
      </c>
      <c r="Y332" s="82">
        <f t="shared" si="19"/>
        <v>11113749.98</v>
      </c>
      <c r="Z332" s="6"/>
      <c r="AA332" s="83">
        <f t="shared" si="8"/>
        <v>28677.26581</v>
      </c>
      <c r="AB332" s="84">
        <f t="shared" si="9"/>
        <v>6717870.589</v>
      </c>
      <c r="AC332" s="79">
        <f t="shared" si="12"/>
        <v>28748.95897</v>
      </c>
      <c r="AD332" s="85">
        <f t="shared" si="10"/>
        <v>6697094.548</v>
      </c>
      <c r="AE332" s="81">
        <v>0.25</v>
      </c>
      <c r="AF332" s="82">
        <f t="shared" si="17"/>
        <v>11528332.55</v>
      </c>
      <c r="AG332" s="6"/>
      <c r="AH332" s="6"/>
      <c r="AI332" s="6"/>
      <c r="AJ332" s="6"/>
      <c r="AK332" s="6"/>
      <c r="AL332" s="6"/>
      <c r="AM332" s="6"/>
      <c r="AN332" s="6"/>
      <c r="AO332" s="6"/>
      <c r="AP332" s="6"/>
    </row>
    <row r="333" ht="11.25" customHeight="1">
      <c r="A333" s="7"/>
      <c r="B333" s="68">
        <f t="shared" si="16"/>
        <v>328</v>
      </c>
      <c r="C333" s="86">
        <f t="shared" si="20"/>
        <v>15475.13133</v>
      </c>
      <c r="D333" s="84">
        <f t="shared" si="5"/>
        <v>5145749.983</v>
      </c>
      <c r="E333" s="78"/>
      <c r="F333" s="79"/>
      <c r="G333" s="78"/>
      <c r="H333" s="78">
        <v>1621713.0</v>
      </c>
      <c r="I333" s="78"/>
      <c r="J333" s="103">
        <v>3160000.0</v>
      </c>
      <c r="K333" s="78"/>
      <c r="L333" s="103"/>
      <c r="M333" s="6"/>
      <c r="N333" s="97"/>
      <c r="O333" s="6"/>
      <c r="P333" s="6"/>
      <c r="Q333" s="6"/>
      <c r="R333" s="6"/>
      <c r="S333" s="78"/>
      <c r="T333" s="78">
        <f>IFERROR(__xludf.DUMMYFUNCTION("""COMPUTED_VALUE"""),15552.553377773613)</f>
        <v>15552.55338</v>
      </c>
      <c r="U333" s="78"/>
      <c r="V333" s="79">
        <f t="shared" si="15"/>
        <v>15552.55338</v>
      </c>
      <c r="W333" s="80">
        <f t="shared" si="7"/>
        <v>5989421.963</v>
      </c>
      <c r="X333" s="81">
        <f t="shared" si="2"/>
        <v>0.1566619126</v>
      </c>
      <c r="Y333" s="82">
        <f t="shared" si="19"/>
        <v>11129302.54</v>
      </c>
      <c r="Z333" s="6"/>
      <c r="AA333" s="83">
        <f t="shared" si="8"/>
        <v>28748.95897</v>
      </c>
      <c r="AB333" s="84">
        <f t="shared" si="9"/>
        <v>6746619.548</v>
      </c>
      <c r="AC333" s="79">
        <f t="shared" si="12"/>
        <v>28820.83137</v>
      </c>
      <c r="AD333" s="85">
        <f t="shared" si="10"/>
        <v>6725915.379</v>
      </c>
      <c r="AE333" s="81">
        <v>0.25</v>
      </c>
      <c r="AF333" s="82">
        <f t="shared" si="17"/>
        <v>11557153.38</v>
      </c>
      <c r="AG333" s="6"/>
      <c r="AH333" s="6"/>
      <c r="AI333" s="6"/>
      <c r="AJ333" s="6"/>
      <c r="AK333" s="6"/>
      <c r="AL333" s="6"/>
      <c r="AM333" s="6"/>
      <c r="AN333" s="6"/>
      <c r="AO333" s="6"/>
      <c r="AP333" s="6"/>
    </row>
    <row r="334" ht="11.25" customHeight="1">
      <c r="A334" s="7"/>
      <c r="B334" s="68">
        <f t="shared" si="16"/>
        <v>329</v>
      </c>
      <c r="C334" s="86">
        <f t="shared" si="20"/>
        <v>15552.55338</v>
      </c>
      <c r="D334" s="84">
        <f t="shared" si="5"/>
        <v>5161302.537</v>
      </c>
      <c r="E334" s="78"/>
      <c r="F334" s="79"/>
      <c r="G334" s="78"/>
      <c r="H334" s="78">
        <v>1621713.0</v>
      </c>
      <c r="I334" s="78"/>
      <c r="J334" s="103">
        <v>3160000.0</v>
      </c>
      <c r="K334" s="78"/>
      <c r="L334" s="103"/>
      <c r="M334" s="6"/>
      <c r="N334" s="97"/>
      <c r="O334" s="6"/>
      <c r="P334" s="6"/>
      <c r="Q334" s="6"/>
      <c r="R334" s="6"/>
      <c r="S334" s="78"/>
      <c r="T334" s="78">
        <f>IFERROR(__xludf.DUMMYFUNCTION("""COMPUTED_VALUE"""),15630.238340286538)</f>
        <v>15630.23834</v>
      </c>
      <c r="U334" s="78"/>
      <c r="V334" s="79">
        <f t="shared" si="15"/>
        <v>15630.23834</v>
      </c>
      <c r="W334" s="80">
        <f t="shared" si="7"/>
        <v>6005052.201</v>
      </c>
      <c r="X334" s="81">
        <f t="shared" si="2"/>
        <v>0.1571981687</v>
      </c>
      <c r="Y334" s="82">
        <f t="shared" si="19"/>
        <v>11144932.78</v>
      </c>
      <c r="Z334" s="6"/>
      <c r="AA334" s="83">
        <f t="shared" si="8"/>
        <v>28820.83137</v>
      </c>
      <c r="AB334" s="84">
        <f t="shared" si="9"/>
        <v>6775440.379</v>
      </c>
      <c r="AC334" s="79">
        <f t="shared" si="12"/>
        <v>28892.88345</v>
      </c>
      <c r="AD334" s="85">
        <f t="shared" si="10"/>
        <v>6754808.262</v>
      </c>
      <c r="AE334" s="81">
        <v>0.25</v>
      </c>
      <c r="AF334" s="82">
        <f t="shared" si="17"/>
        <v>11586046.26</v>
      </c>
      <c r="AG334" s="6"/>
      <c r="AH334" s="6"/>
      <c r="AI334" s="6"/>
      <c r="AJ334" s="6"/>
      <c r="AK334" s="6"/>
      <c r="AL334" s="6"/>
      <c r="AM334" s="6"/>
      <c r="AN334" s="6"/>
      <c r="AO334" s="6"/>
      <c r="AP334" s="6"/>
    </row>
    <row r="335" ht="11.25" customHeight="1">
      <c r="A335" s="7"/>
      <c r="B335" s="68">
        <f t="shared" si="16"/>
        <v>330</v>
      </c>
      <c r="C335" s="86">
        <f t="shared" si="20"/>
        <v>15630.23834</v>
      </c>
      <c r="D335" s="84">
        <f t="shared" si="5"/>
        <v>5176932.775</v>
      </c>
      <c r="E335" s="78"/>
      <c r="F335" s="79"/>
      <c r="G335" s="78"/>
      <c r="H335" s="78">
        <v>1621713.0</v>
      </c>
      <c r="I335" s="78"/>
      <c r="J335" s="103">
        <v>3160000.0</v>
      </c>
      <c r="K335" s="78"/>
      <c r="L335" s="103"/>
      <c r="M335" s="6"/>
      <c r="N335" s="97"/>
      <c r="O335" s="6"/>
      <c r="P335" s="6"/>
      <c r="Q335" s="6"/>
      <c r="R335" s="6"/>
      <c r="S335" s="78"/>
      <c r="T335" s="78">
        <f>IFERROR(__xludf.DUMMYFUNCTION("""COMPUTED_VALUE"""),15708.187107983045)</f>
        <v>15708.18711</v>
      </c>
      <c r="U335" s="78"/>
      <c r="V335" s="79">
        <f t="shared" si="15"/>
        <v>15708.18711</v>
      </c>
      <c r="W335" s="80">
        <f t="shared" si="7"/>
        <v>6020760.388</v>
      </c>
      <c r="X335" s="81">
        <f t="shared" si="2"/>
        <v>0.1577341685</v>
      </c>
      <c r="Y335" s="82">
        <f t="shared" si="19"/>
        <v>11160640.96</v>
      </c>
      <c r="Z335" s="6"/>
      <c r="AA335" s="83">
        <f t="shared" si="8"/>
        <v>28892.88345</v>
      </c>
      <c r="AB335" s="84">
        <f t="shared" si="9"/>
        <v>6804333.262</v>
      </c>
      <c r="AC335" s="79">
        <f t="shared" si="12"/>
        <v>28965.11566</v>
      </c>
      <c r="AD335" s="85">
        <f t="shared" si="10"/>
        <v>6783773.378</v>
      </c>
      <c r="AE335" s="81">
        <v>0.25</v>
      </c>
      <c r="AF335" s="82">
        <f t="shared" si="17"/>
        <v>11615011.38</v>
      </c>
      <c r="AG335" s="6"/>
      <c r="AH335" s="6"/>
      <c r="AI335" s="6"/>
      <c r="AJ335" s="6"/>
      <c r="AK335" s="6"/>
      <c r="AL335" s="6"/>
      <c r="AM335" s="6"/>
      <c r="AN335" s="6"/>
      <c r="AO335" s="6"/>
      <c r="AP335" s="6"/>
    </row>
    <row r="336" ht="11.25" customHeight="1">
      <c r="A336" s="7"/>
      <c r="B336" s="68">
        <f t="shared" si="16"/>
        <v>331</v>
      </c>
      <c r="C336" s="86">
        <f t="shared" si="20"/>
        <v>15708.18711</v>
      </c>
      <c r="D336" s="84">
        <f t="shared" si="5"/>
        <v>5192640.962</v>
      </c>
      <c r="E336" s="78"/>
      <c r="F336" s="79"/>
      <c r="G336" s="78"/>
      <c r="H336" s="78">
        <v>1621713.0</v>
      </c>
      <c r="I336" s="78"/>
      <c r="J336" s="103">
        <v>3160000.0</v>
      </c>
      <c r="K336" s="78"/>
      <c r="L336" s="103"/>
      <c r="M336" s="6"/>
      <c r="N336" s="97"/>
      <c r="O336" s="6"/>
      <c r="P336" s="6"/>
      <c r="Q336" s="6"/>
      <c r="R336" s="6"/>
      <c r="S336" s="78"/>
      <c r="T336" s="78">
        <f>IFERROR(__xludf.DUMMYFUNCTION("""COMPUTED_VALUE"""),15786.400576704182)</f>
        <v>15786.40058</v>
      </c>
      <c r="U336" s="78"/>
      <c r="V336" s="79">
        <f t="shared" si="15"/>
        <v>15786.40058</v>
      </c>
      <c r="W336" s="80">
        <f t="shared" si="7"/>
        <v>6036546.789</v>
      </c>
      <c r="X336" s="81">
        <f t="shared" si="2"/>
        <v>0.1582699054</v>
      </c>
      <c r="Y336" s="82">
        <f t="shared" si="19"/>
        <v>11176427.36</v>
      </c>
      <c r="Z336" s="6"/>
      <c r="AA336" s="83">
        <f t="shared" si="8"/>
        <v>28965.11566</v>
      </c>
      <c r="AB336" s="84">
        <f t="shared" si="9"/>
        <v>6833298.378</v>
      </c>
      <c r="AC336" s="79">
        <f t="shared" si="12"/>
        <v>29037.52844</v>
      </c>
      <c r="AD336" s="85">
        <f t="shared" si="10"/>
        <v>6812810.906</v>
      </c>
      <c r="AE336" s="81">
        <v>0.25</v>
      </c>
      <c r="AF336" s="82">
        <f t="shared" si="17"/>
        <v>11644048.91</v>
      </c>
      <c r="AG336" s="6"/>
      <c r="AH336" s="6"/>
      <c r="AI336" s="6"/>
      <c r="AJ336" s="6"/>
      <c r="AK336" s="6"/>
      <c r="AL336" s="6"/>
      <c r="AM336" s="6"/>
      <c r="AN336" s="6"/>
      <c r="AO336" s="6"/>
      <c r="AP336" s="6"/>
    </row>
    <row r="337" ht="11.25" customHeight="1">
      <c r="A337" s="7"/>
      <c r="B337" s="68">
        <f t="shared" si="16"/>
        <v>332</v>
      </c>
      <c r="C337" s="86">
        <f t="shared" si="20"/>
        <v>15786.40058</v>
      </c>
      <c r="D337" s="84">
        <f t="shared" si="5"/>
        <v>5208427.363</v>
      </c>
      <c r="E337" s="78"/>
      <c r="F337" s="79"/>
      <c r="G337" s="78"/>
      <c r="H337" s="78">
        <v>1621713.0</v>
      </c>
      <c r="I337" s="78"/>
      <c r="J337" s="103">
        <v>3160000.0</v>
      </c>
      <c r="K337" s="78"/>
      <c r="L337" s="103"/>
      <c r="M337" s="6"/>
      <c r="N337" s="97"/>
      <c r="O337" s="6"/>
      <c r="P337" s="6"/>
      <c r="Q337" s="6"/>
      <c r="R337" s="6"/>
      <c r="S337" s="78"/>
      <c r="T337" s="78">
        <f>IFERROR(__xludf.DUMMYFUNCTION("""COMPUTED_VALUE"""),15864.879645328969)</f>
        <v>15864.87965</v>
      </c>
      <c r="U337" s="78"/>
      <c r="V337" s="79">
        <f t="shared" si="15"/>
        <v>15864.87965</v>
      </c>
      <c r="W337" s="80">
        <f t="shared" si="7"/>
        <v>6052411.669</v>
      </c>
      <c r="X337" s="81">
        <f t="shared" si="2"/>
        <v>0.1588053728</v>
      </c>
      <c r="Y337" s="82">
        <f t="shared" si="19"/>
        <v>11192292.24</v>
      </c>
      <c r="Z337" s="6"/>
      <c r="AA337" s="83">
        <f t="shared" si="8"/>
        <v>29037.52844</v>
      </c>
      <c r="AB337" s="84">
        <f t="shared" si="9"/>
        <v>6862335.906</v>
      </c>
      <c r="AC337" s="79">
        <f t="shared" si="12"/>
        <v>29110.12227</v>
      </c>
      <c r="AD337" s="85">
        <f t="shared" si="10"/>
        <v>6841921.029</v>
      </c>
      <c r="AE337" s="81">
        <v>0.25</v>
      </c>
      <c r="AF337" s="82">
        <f t="shared" si="17"/>
        <v>11673159.03</v>
      </c>
      <c r="AG337" s="6"/>
      <c r="AH337" s="6"/>
      <c r="AI337" s="6"/>
      <c r="AJ337" s="6"/>
      <c r="AK337" s="6"/>
      <c r="AL337" s="6"/>
      <c r="AM337" s="6"/>
      <c r="AN337" s="6"/>
      <c r="AO337" s="6"/>
      <c r="AP337" s="6"/>
    </row>
    <row r="338" ht="11.25" customHeight="1">
      <c r="A338" s="7"/>
      <c r="B338" s="68">
        <f t="shared" si="16"/>
        <v>333</v>
      </c>
      <c r="C338" s="86">
        <f t="shared" si="20"/>
        <v>15864.87965</v>
      </c>
      <c r="D338" s="84">
        <f t="shared" si="5"/>
        <v>5224292.242</v>
      </c>
      <c r="E338" s="78"/>
      <c r="F338" s="79"/>
      <c r="G338" s="78"/>
      <c r="H338" s="78">
        <v>1621713.0</v>
      </c>
      <c r="I338" s="78"/>
      <c r="J338" s="103">
        <v>3160000.0</v>
      </c>
      <c r="K338" s="78"/>
      <c r="L338" s="103"/>
      <c r="M338" s="6"/>
      <c r="N338" s="97"/>
      <c r="O338" s="6"/>
      <c r="P338" s="6"/>
      <c r="Q338" s="6"/>
      <c r="R338" s="6"/>
      <c r="S338" s="78"/>
      <c r="T338" s="78">
        <f>IFERROR(__xludf.DUMMYFUNCTION("""COMPUTED_VALUE"""),15943.625215791631)</f>
        <v>15943.62522</v>
      </c>
      <c r="U338" s="78"/>
      <c r="V338" s="79">
        <f t="shared" si="15"/>
        <v>15943.62522</v>
      </c>
      <c r="W338" s="80">
        <f t="shared" si="7"/>
        <v>6068355.294</v>
      </c>
      <c r="X338" s="81">
        <f t="shared" si="2"/>
        <v>0.1593405643</v>
      </c>
      <c r="Y338" s="82">
        <f t="shared" si="19"/>
        <v>11208235.87</v>
      </c>
      <c r="Z338" s="6"/>
      <c r="AA338" s="83">
        <f t="shared" si="8"/>
        <v>29110.12227</v>
      </c>
      <c r="AB338" s="84">
        <f t="shared" si="9"/>
        <v>6891446.029</v>
      </c>
      <c r="AC338" s="79">
        <f t="shared" si="12"/>
        <v>29182.89757</v>
      </c>
      <c r="AD338" s="85">
        <f t="shared" si="10"/>
        <v>6871103.926</v>
      </c>
      <c r="AE338" s="81">
        <v>0.25</v>
      </c>
      <c r="AF338" s="82">
        <f t="shared" si="17"/>
        <v>11702341.93</v>
      </c>
      <c r="AG338" s="6"/>
      <c r="AH338" s="6"/>
      <c r="AI338" s="6"/>
      <c r="AJ338" s="6"/>
      <c r="AK338" s="6"/>
      <c r="AL338" s="6"/>
      <c r="AM338" s="6"/>
      <c r="AN338" s="6"/>
      <c r="AO338" s="6"/>
      <c r="AP338" s="6"/>
    </row>
    <row r="339" ht="11.25" customHeight="1">
      <c r="A339" s="7"/>
      <c r="B339" s="68">
        <f t="shared" si="16"/>
        <v>334</v>
      </c>
      <c r="C339" s="86">
        <f t="shared" si="20"/>
        <v>15943.62522</v>
      </c>
      <c r="D339" s="84">
        <f t="shared" si="5"/>
        <v>5240235.868</v>
      </c>
      <c r="E339" s="78"/>
      <c r="F339" s="79"/>
      <c r="G339" s="78"/>
      <c r="H339" s="78">
        <v>1621713.0</v>
      </c>
      <c r="I339" s="78"/>
      <c r="J339" s="103">
        <v>3160000.0</v>
      </c>
      <c r="K339" s="78"/>
      <c r="L339" s="103"/>
      <c r="M339" s="6"/>
      <c r="N339" s="97"/>
      <c r="O339" s="6"/>
      <c r="P339" s="6"/>
      <c r="Q339" s="6"/>
      <c r="R339" s="6"/>
      <c r="S339" s="78"/>
      <c r="T339" s="78">
        <f>IFERROR(__xludf.DUMMYFUNCTION("""COMPUTED_VALUE"""),16022.638193086721)</f>
        <v>16022.63819</v>
      </c>
      <c r="U339" s="78"/>
      <c r="V339" s="79">
        <f t="shared" si="15"/>
        <v>16022.63819</v>
      </c>
      <c r="W339" s="80">
        <f t="shared" si="7"/>
        <v>6084377.932</v>
      </c>
      <c r="X339" s="81">
        <f t="shared" si="2"/>
        <v>0.1598754734</v>
      </c>
      <c r="Y339" s="82">
        <f t="shared" si="19"/>
        <v>11224258.51</v>
      </c>
      <c r="Z339" s="6"/>
      <c r="AA339" s="83">
        <f t="shared" si="8"/>
        <v>29182.89757</v>
      </c>
      <c r="AB339" s="84">
        <f t="shared" si="9"/>
        <v>6920628.926</v>
      </c>
      <c r="AC339" s="79">
        <f t="shared" si="12"/>
        <v>29255.85482</v>
      </c>
      <c r="AD339" s="85">
        <f t="shared" si="10"/>
        <v>6900359.781</v>
      </c>
      <c r="AE339" s="81">
        <v>0.25</v>
      </c>
      <c r="AF339" s="82">
        <f t="shared" si="17"/>
        <v>11731597.78</v>
      </c>
      <c r="AG339" s="6"/>
      <c r="AH339" s="6"/>
      <c r="AI339" s="6"/>
      <c r="AJ339" s="6"/>
      <c r="AK339" s="6"/>
      <c r="AL339" s="6"/>
      <c r="AM339" s="6"/>
      <c r="AN339" s="6"/>
      <c r="AO339" s="6"/>
      <c r="AP339" s="6"/>
    </row>
    <row r="340" ht="11.25" customHeight="1">
      <c r="A340" s="7"/>
      <c r="B340" s="68">
        <f t="shared" si="16"/>
        <v>335</v>
      </c>
      <c r="C340" s="86">
        <f t="shared" si="20"/>
        <v>16022.63819</v>
      </c>
      <c r="D340" s="84">
        <f t="shared" si="5"/>
        <v>5256258.506</v>
      </c>
      <c r="E340" s="78"/>
      <c r="F340" s="79"/>
      <c r="G340" s="78"/>
      <c r="H340" s="78">
        <v>1621713.0</v>
      </c>
      <c r="I340" s="78"/>
      <c r="J340" s="103">
        <v>3160000.0</v>
      </c>
      <c r="K340" s="78"/>
      <c r="L340" s="103"/>
      <c r="M340" s="6"/>
      <c r="N340" s="97"/>
      <c r="O340" s="6"/>
      <c r="P340" s="6"/>
      <c r="Q340" s="6"/>
      <c r="R340" s="6"/>
      <c r="S340" s="78"/>
      <c r="T340" s="78">
        <f>IFERROR(__xludf.DUMMYFUNCTION("""COMPUTED_VALUE"""),16101.919485284481)</f>
        <v>16101.91949</v>
      </c>
      <c r="U340" s="78"/>
      <c r="V340" s="79">
        <f t="shared" si="15"/>
        <v>16101.91949</v>
      </c>
      <c r="W340" s="80">
        <f t="shared" si="7"/>
        <v>6100479.852</v>
      </c>
      <c r="X340" s="81">
        <f t="shared" si="2"/>
        <v>0.1604100936</v>
      </c>
      <c r="Y340" s="82">
        <f t="shared" si="19"/>
        <v>11240360.43</v>
      </c>
      <c r="Z340" s="6"/>
      <c r="AA340" s="83">
        <f t="shared" si="8"/>
        <v>29255.85482</v>
      </c>
      <c r="AB340" s="84">
        <f t="shared" si="9"/>
        <v>6949884.781</v>
      </c>
      <c r="AC340" s="79">
        <f t="shared" si="12"/>
        <v>29328.99445</v>
      </c>
      <c r="AD340" s="85">
        <f t="shared" si="10"/>
        <v>6929688.776</v>
      </c>
      <c r="AE340" s="81">
        <v>0.25</v>
      </c>
      <c r="AF340" s="82">
        <f t="shared" si="17"/>
        <v>11760926.78</v>
      </c>
      <c r="AG340" s="6"/>
      <c r="AH340" s="6"/>
      <c r="AI340" s="6"/>
      <c r="AJ340" s="6"/>
      <c r="AK340" s="6"/>
      <c r="AL340" s="6"/>
      <c r="AM340" s="6"/>
      <c r="AN340" s="6"/>
      <c r="AO340" s="6"/>
      <c r="AP340" s="6"/>
    </row>
    <row r="341" ht="11.25" customHeight="1">
      <c r="A341" s="71"/>
      <c r="B341" s="72">
        <f t="shared" si="16"/>
        <v>336</v>
      </c>
      <c r="C341" s="86">
        <f t="shared" si="20"/>
        <v>16101.91949</v>
      </c>
      <c r="D341" s="88">
        <f t="shared" si="5"/>
        <v>5272360.425</v>
      </c>
      <c r="E341" s="89"/>
      <c r="F341" s="90"/>
      <c r="G341" s="89"/>
      <c r="H341" s="89">
        <v>1621713.0</v>
      </c>
      <c r="I341" s="89"/>
      <c r="J341" s="104">
        <v>3160000.0</v>
      </c>
      <c r="K341" s="89"/>
      <c r="L341" s="104"/>
      <c r="M341" s="6"/>
      <c r="N341" s="99"/>
      <c r="O341" s="10"/>
      <c r="P341" s="10"/>
      <c r="Q341" s="10"/>
      <c r="R341" s="10"/>
      <c r="S341" s="89"/>
      <c r="T341" s="89"/>
      <c r="U341" s="89"/>
      <c r="V341" s="90">
        <f t="shared" si="15"/>
        <v>0</v>
      </c>
      <c r="W341" s="91">
        <f t="shared" si="7"/>
        <v>6100479.852</v>
      </c>
      <c r="X341" s="81">
        <f t="shared" si="2"/>
        <v>0</v>
      </c>
      <c r="Y341" s="82">
        <f t="shared" si="19"/>
        <v>11240360.43</v>
      </c>
      <c r="Z341" s="6"/>
      <c r="AA341" s="83">
        <f t="shared" si="8"/>
        <v>29328.99445</v>
      </c>
      <c r="AB341" s="88">
        <f t="shared" si="9"/>
        <v>6979213.776</v>
      </c>
      <c r="AC341" s="90">
        <f t="shared" si="12"/>
        <v>29402.31694</v>
      </c>
      <c r="AD341" s="94">
        <f t="shared" si="10"/>
        <v>6959091.092</v>
      </c>
      <c r="AE341" s="81">
        <v>0.25</v>
      </c>
      <c r="AF341" s="82">
        <f t="shared" si="17"/>
        <v>11790329.09</v>
      </c>
      <c r="AG341" s="6"/>
      <c r="AH341" s="6"/>
      <c r="AI341" s="6"/>
      <c r="AJ341" s="6"/>
      <c r="AK341" s="6"/>
      <c r="AL341" s="6"/>
      <c r="AM341" s="6"/>
      <c r="AN341" s="6"/>
      <c r="AO341" s="6"/>
      <c r="AP341" s="6"/>
    </row>
    <row r="342" ht="11.25" customHeight="1">
      <c r="A342" s="100">
        <v>29.0</v>
      </c>
      <c r="B342" s="66">
        <f t="shared" si="16"/>
        <v>337</v>
      </c>
      <c r="C342" s="86">
        <f t="shared" si="20"/>
        <v>0</v>
      </c>
      <c r="D342" s="84">
        <f t="shared" si="5"/>
        <v>5272360.425</v>
      </c>
      <c r="E342" s="78"/>
      <c r="F342" s="79"/>
      <c r="G342" s="78"/>
      <c r="H342" s="78">
        <v>1621713.0</v>
      </c>
      <c r="I342" s="78"/>
      <c r="J342" s="103">
        <v>3160000.0</v>
      </c>
      <c r="K342" s="78"/>
      <c r="L342" s="103"/>
      <c r="M342" s="6"/>
      <c r="N342" s="97"/>
      <c r="O342" s="6"/>
      <c r="P342" s="6"/>
      <c r="Q342" s="6"/>
      <c r="R342" s="6"/>
      <c r="S342" s="102"/>
      <c r="T342" s="9"/>
      <c r="U342" s="78"/>
      <c r="V342" s="79">
        <f t="shared" si="15"/>
        <v>0</v>
      </c>
      <c r="W342" s="80">
        <f t="shared" si="7"/>
        <v>6100479.852</v>
      </c>
      <c r="X342" s="81">
        <f t="shared" si="2"/>
        <v>0</v>
      </c>
      <c r="Y342" s="82">
        <f t="shared" si="19"/>
        <v>11240360.43</v>
      </c>
      <c r="Z342" s="6"/>
      <c r="AA342" s="83">
        <f t="shared" si="8"/>
        <v>29402.31694</v>
      </c>
      <c r="AB342" s="84">
        <f t="shared" si="9"/>
        <v>7008616.092</v>
      </c>
      <c r="AC342" s="79">
        <f t="shared" si="12"/>
        <v>29475.82273</v>
      </c>
      <c r="AD342" s="95">
        <f t="shared" si="10"/>
        <v>6988566.915</v>
      </c>
      <c r="AE342" s="81">
        <v>0.25</v>
      </c>
      <c r="AF342" s="82">
        <f t="shared" si="17"/>
        <v>11819804.92</v>
      </c>
      <c r="AG342" s="6"/>
      <c r="AH342" s="6"/>
      <c r="AI342" s="6"/>
      <c r="AJ342" s="6"/>
      <c r="AK342" s="6"/>
      <c r="AL342" s="6"/>
      <c r="AM342" s="6"/>
      <c r="AN342" s="6"/>
      <c r="AO342" s="6"/>
      <c r="AP342" s="6"/>
    </row>
    <row r="343" ht="11.25" customHeight="1">
      <c r="A343" s="7"/>
      <c r="B343" s="68">
        <f t="shared" si="16"/>
        <v>338</v>
      </c>
      <c r="C343" s="86">
        <f t="shared" si="20"/>
        <v>0</v>
      </c>
      <c r="D343" s="84">
        <f t="shared" si="5"/>
        <v>5272360.425</v>
      </c>
      <c r="E343" s="78"/>
      <c r="F343" s="79"/>
      <c r="G343" s="78"/>
      <c r="H343" s="78">
        <v>1621713.0</v>
      </c>
      <c r="I343" s="78"/>
      <c r="J343" s="103">
        <v>3160000.0</v>
      </c>
      <c r="K343" s="78"/>
      <c r="L343" s="103"/>
      <c r="M343" s="6"/>
      <c r="N343" s="97"/>
      <c r="O343" s="6"/>
      <c r="P343" s="6"/>
      <c r="Q343" s="6"/>
      <c r="R343" s="6"/>
      <c r="S343" s="78"/>
      <c r="T343" s="9"/>
      <c r="U343" s="78"/>
      <c r="V343" s="79">
        <f t="shared" si="15"/>
        <v>0</v>
      </c>
      <c r="W343" s="80">
        <f t="shared" si="7"/>
        <v>6100479.852</v>
      </c>
      <c r="X343" s="81">
        <f t="shared" si="2"/>
        <v>0</v>
      </c>
      <c r="Y343" s="82">
        <f t="shared" si="19"/>
        <v>11240360.43</v>
      </c>
      <c r="Z343" s="6"/>
      <c r="AA343" s="83">
        <f t="shared" si="8"/>
        <v>29475.82273</v>
      </c>
      <c r="AB343" s="84">
        <f t="shared" si="9"/>
        <v>7038091.915</v>
      </c>
      <c r="AC343" s="79">
        <f t="shared" si="12"/>
        <v>29549.51229</v>
      </c>
      <c r="AD343" s="85">
        <f t="shared" si="10"/>
        <v>7018116.427</v>
      </c>
      <c r="AE343" s="81">
        <v>0.25</v>
      </c>
      <c r="AF343" s="82">
        <f t="shared" si="17"/>
        <v>11849354.43</v>
      </c>
      <c r="AG343" s="6"/>
      <c r="AH343" s="6"/>
      <c r="AI343" s="6"/>
      <c r="AJ343" s="6"/>
      <c r="AK343" s="6"/>
      <c r="AL343" s="6"/>
      <c r="AM343" s="6"/>
      <c r="AN343" s="6"/>
      <c r="AO343" s="6"/>
      <c r="AP343" s="6"/>
    </row>
    <row r="344" ht="11.25" customHeight="1">
      <c r="A344" s="7"/>
      <c r="B344" s="68">
        <f t="shared" si="16"/>
        <v>339</v>
      </c>
      <c r="C344" s="86">
        <f t="shared" si="20"/>
        <v>0</v>
      </c>
      <c r="D344" s="84">
        <f t="shared" si="5"/>
        <v>5272360.425</v>
      </c>
      <c r="E344" s="78"/>
      <c r="F344" s="79"/>
      <c r="G344" s="78"/>
      <c r="H344" s="78">
        <v>1621713.0</v>
      </c>
      <c r="I344" s="78"/>
      <c r="J344" s="103">
        <v>3160000.0</v>
      </c>
      <c r="K344" s="78"/>
      <c r="L344" s="103"/>
      <c r="M344" s="6"/>
      <c r="N344" s="97"/>
      <c r="O344" s="6"/>
      <c r="P344" s="6"/>
      <c r="Q344" s="6"/>
      <c r="R344" s="6"/>
      <c r="S344" s="78"/>
      <c r="T344" s="9"/>
      <c r="U344" s="78"/>
      <c r="V344" s="79">
        <f t="shared" si="15"/>
        <v>0</v>
      </c>
      <c r="W344" s="80">
        <f t="shared" si="7"/>
        <v>6100479.852</v>
      </c>
      <c r="X344" s="81">
        <f t="shared" si="2"/>
        <v>0</v>
      </c>
      <c r="Y344" s="82">
        <f t="shared" si="19"/>
        <v>11240360.43</v>
      </c>
      <c r="Z344" s="6"/>
      <c r="AA344" s="83">
        <f t="shared" si="8"/>
        <v>29549.51229</v>
      </c>
      <c r="AB344" s="84">
        <f t="shared" si="9"/>
        <v>7067641.427</v>
      </c>
      <c r="AC344" s="79">
        <f t="shared" si="12"/>
        <v>29623.38607</v>
      </c>
      <c r="AD344" s="85">
        <f t="shared" si="10"/>
        <v>7047739.814</v>
      </c>
      <c r="AE344" s="81">
        <v>0.25</v>
      </c>
      <c r="AF344" s="82">
        <f t="shared" si="17"/>
        <v>11878977.81</v>
      </c>
      <c r="AG344" s="6"/>
      <c r="AH344" s="6"/>
      <c r="AI344" s="6"/>
      <c r="AJ344" s="6"/>
      <c r="AK344" s="6"/>
      <c r="AL344" s="6"/>
      <c r="AM344" s="6"/>
      <c r="AN344" s="6"/>
      <c r="AO344" s="6"/>
      <c r="AP344" s="6"/>
    </row>
    <row r="345" ht="11.25" customHeight="1">
      <c r="A345" s="7"/>
      <c r="B345" s="68">
        <f t="shared" si="16"/>
        <v>340</v>
      </c>
      <c r="C345" s="86">
        <f t="shared" si="20"/>
        <v>0</v>
      </c>
      <c r="D345" s="84">
        <f t="shared" si="5"/>
        <v>5272360.425</v>
      </c>
      <c r="E345" s="78"/>
      <c r="F345" s="79"/>
      <c r="G345" s="78"/>
      <c r="H345" s="78">
        <v>1621713.0</v>
      </c>
      <c r="I345" s="78"/>
      <c r="J345" s="103">
        <v>3160000.0</v>
      </c>
      <c r="K345" s="78"/>
      <c r="L345" s="103"/>
      <c r="M345" s="6"/>
      <c r="N345" s="97"/>
      <c r="O345" s="6"/>
      <c r="P345" s="6"/>
      <c r="Q345" s="6"/>
      <c r="R345" s="6"/>
      <c r="S345" s="78"/>
      <c r="T345" s="78"/>
      <c r="U345" s="78"/>
      <c r="V345" s="79">
        <f t="shared" si="15"/>
        <v>0</v>
      </c>
      <c r="W345" s="80">
        <f t="shared" si="7"/>
        <v>6100479.852</v>
      </c>
      <c r="X345" s="81">
        <f t="shared" si="2"/>
        <v>0</v>
      </c>
      <c r="Y345" s="82">
        <f t="shared" si="19"/>
        <v>11240360.43</v>
      </c>
      <c r="Z345" s="6"/>
      <c r="AA345" s="83">
        <f t="shared" si="8"/>
        <v>29623.38607</v>
      </c>
      <c r="AB345" s="84">
        <f t="shared" si="9"/>
        <v>7097264.814</v>
      </c>
      <c r="AC345" s="79">
        <f t="shared" si="12"/>
        <v>29697.44453</v>
      </c>
      <c r="AD345" s="85">
        <f t="shared" si="10"/>
        <v>7077437.258</v>
      </c>
      <c r="AE345" s="81">
        <v>0.25</v>
      </c>
      <c r="AF345" s="82">
        <f t="shared" si="17"/>
        <v>11908675.26</v>
      </c>
      <c r="AG345" s="6"/>
      <c r="AH345" s="6"/>
      <c r="AI345" s="6"/>
      <c r="AJ345" s="6"/>
      <c r="AK345" s="6"/>
      <c r="AL345" s="6"/>
      <c r="AM345" s="6"/>
      <c r="AN345" s="6"/>
      <c r="AO345" s="6"/>
      <c r="AP345" s="6"/>
    </row>
    <row r="346" ht="11.25" customHeight="1">
      <c r="A346" s="7"/>
      <c r="B346" s="68">
        <f t="shared" si="16"/>
        <v>341</v>
      </c>
      <c r="C346" s="86">
        <f t="shared" si="20"/>
        <v>0</v>
      </c>
      <c r="D346" s="84">
        <f t="shared" si="5"/>
        <v>5272360.425</v>
      </c>
      <c r="E346" s="78"/>
      <c r="F346" s="79"/>
      <c r="G346" s="78"/>
      <c r="H346" s="78">
        <v>1621713.0</v>
      </c>
      <c r="I346" s="78"/>
      <c r="J346" s="103">
        <v>3160000.0</v>
      </c>
      <c r="K346" s="78"/>
      <c r="L346" s="103"/>
      <c r="M346" s="6"/>
      <c r="N346" s="97"/>
      <c r="O346" s="6"/>
      <c r="P346" s="6"/>
      <c r="Q346" s="6"/>
      <c r="R346" s="6"/>
      <c r="S346" s="78"/>
      <c r="T346" s="78"/>
      <c r="U346" s="78"/>
      <c r="V346" s="79">
        <f t="shared" si="15"/>
        <v>0</v>
      </c>
      <c r="W346" s="80">
        <f t="shared" si="7"/>
        <v>6100479.852</v>
      </c>
      <c r="X346" s="81">
        <f t="shared" si="2"/>
        <v>0</v>
      </c>
      <c r="Y346" s="82">
        <f t="shared" si="19"/>
        <v>11240360.43</v>
      </c>
      <c r="Z346" s="6"/>
      <c r="AA346" s="83">
        <f t="shared" si="8"/>
        <v>29697.44453</v>
      </c>
      <c r="AB346" s="84">
        <f t="shared" si="9"/>
        <v>7126962.258</v>
      </c>
      <c r="AC346" s="79">
        <f t="shared" si="12"/>
        <v>29771.68815</v>
      </c>
      <c r="AD346" s="85">
        <f t="shared" si="10"/>
        <v>7107208.946</v>
      </c>
      <c r="AE346" s="81">
        <v>0.25</v>
      </c>
      <c r="AF346" s="82">
        <f t="shared" si="17"/>
        <v>11938446.95</v>
      </c>
      <c r="AG346" s="6"/>
      <c r="AH346" s="6"/>
      <c r="AI346" s="6"/>
      <c r="AJ346" s="6"/>
      <c r="AK346" s="6"/>
      <c r="AL346" s="6"/>
      <c r="AM346" s="6"/>
      <c r="AN346" s="6"/>
      <c r="AO346" s="6"/>
      <c r="AP346" s="6"/>
    </row>
    <row r="347" ht="11.25" customHeight="1">
      <c r="A347" s="7"/>
      <c r="B347" s="68">
        <f t="shared" si="16"/>
        <v>342</v>
      </c>
      <c r="C347" s="86">
        <f t="shared" si="20"/>
        <v>0</v>
      </c>
      <c r="D347" s="84">
        <f t="shared" si="5"/>
        <v>5272360.425</v>
      </c>
      <c r="E347" s="78"/>
      <c r="F347" s="79"/>
      <c r="G347" s="78"/>
      <c r="H347" s="78">
        <v>1621713.0</v>
      </c>
      <c r="I347" s="78"/>
      <c r="J347" s="103">
        <v>3160000.0</v>
      </c>
      <c r="K347" s="78"/>
      <c r="L347" s="103"/>
      <c r="M347" s="6"/>
      <c r="N347" s="97"/>
      <c r="O347" s="6"/>
      <c r="P347" s="6"/>
      <c r="Q347" s="6"/>
      <c r="R347" s="6"/>
      <c r="S347" s="78"/>
      <c r="T347" s="78"/>
      <c r="U347" s="78"/>
      <c r="V347" s="79">
        <f t="shared" si="15"/>
        <v>0</v>
      </c>
      <c r="W347" s="80">
        <f t="shared" si="7"/>
        <v>6100479.852</v>
      </c>
      <c r="X347" s="81">
        <f t="shared" si="2"/>
        <v>0</v>
      </c>
      <c r="Y347" s="82">
        <f t="shared" si="19"/>
        <v>11240360.43</v>
      </c>
      <c r="Z347" s="6"/>
      <c r="AA347" s="83">
        <f t="shared" si="8"/>
        <v>29771.68815</v>
      </c>
      <c r="AB347" s="84">
        <f t="shared" si="9"/>
        <v>7156733.946</v>
      </c>
      <c r="AC347" s="79">
        <f t="shared" si="12"/>
        <v>29846.11737</v>
      </c>
      <c r="AD347" s="85">
        <f t="shared" si="10"/>
        <v>7137055.064</v>
      </c>
      <c r="AE347" s="81">
        <v>0.25</v>
      </c>
      <c r="AF347" s="82">
        <f t="shared" si="17"/>
        <v>11968293.06</v>
      </c>
      <c r="AG347" s="6"/>
      <c r="AH347" s="6"/>
      <c r="AI347" s="6"/>
      <c r="AJ347" s="6"/>
      <c r="AK347" s="6"/>
      <c r="AL347" s="6"/>
      <c r="AM347" s="6"/>
      <c r="AN347" s="6"/>
      <c r="AO347" s="6"/>
      <c r="AP347" s="6"/>
    </row>
    <row r="348" ht="11.25" customHeight="1">
      <c r="A348" s="7"/>
      <c r="B348" s="68">
        <f t="shared" si="16"/>
        <v>343</v>
      </c>
      <c r="C348" s="86">
        <f t="shared" si="20"/>
        <v>0</v>
      </c>
      <c r="D348" s="84">
        <f t="shared" si="5"/>
        <v>5272360.425</v>
      </c>
      <c r="E348" s="78"/>
      <c r="F348" s="79"/>
      <c r="G348" s="78"/>
      <c r="H348" s="78">
        <v>1621713.0</v>
      </c>
      <c r="I348" s="78"/>
      <c r="J348" s="103">
        <v>3160000.0</v>
      </c>
      <c r="K348" s="78"/>
      <c r="L348" s="103"/>
      <c r="M348" s="6"/>
      <c r="N348" s="97"/>
      <c r="O348" s="6"/>
      <c r="P348" s="6"/>
      <c r="Q348" s="6"/>
      <c r="R348" s="6"/>
      <c r="S348" s="78"/>
      <c r="T348" s="78"/>
      <c r="U348" s="78"/>
      <c r="V348" s="79">
        <f t="shared" si="15"/>
        <v>0</v>
      </c>
      <c r="W348" s="80">
        <f t="shared" si="7"/>
        <v>6100479.852</v>
      </c>
      <c r="X348" s="81">
        <f t="shared" si="2"/>
        <v>0</v>
      </c>
      <c r="Y348" s="82">
        <f t="shared" si="19"/>
        <v>11240360.43</v>
      </c>
      <c r="Z348" s="6"/>
      <c r="AA348" s="83">
        <f t="shared" si="8"/>
        <v>29846.11737</v>
      </c>
      <c r="AB348" s="84">
        <f t="shared" si="9"/>
        <v>7186580.064</v>
      </c>
      <c r="AC348" s="79">
        <f t="shared" si="12"/>
        <v>29920.73266</v>
      </c>
      <c r="AD348" s="85">
        <f t="shared" si="10"/>
        <v>7166975.796</v>
      </c>
      <c r="AE348" s="81">
        <v>0.25</v>
      </c>
      <c r="AF348" s="82">
        <f t="shared" si="17"/>
        <v>11998213.8</v>
      </c>
      <c r="AG348" s="6"/>
      <c r="AH348" s="6"/>
      <c r="AI348" s="6"/>
      <c r="AJ348" s="6"/>
      <c r="AK348" s="6"/>
      <c r="AL348" s="6"/>
      <c r="AM348" s="6"/>
      <c r="AN348" s="6"/>
      <c r="AO348" s="6"/>
      <c r="AP348" s="6"/>
    </row>
    <row r="349" ht="11.25" customHeight="1">
      <c r="A349" s="7"/>
      <c r="B349" s="68">
        <f t="shared" si="16"/>
        <v>344</v>
      </c>
      <c r="C349" s="86">
        <f t="shared" si="20"/>
        <v>0</v>
      </c>
      <c r="D349" s="84">
        <f t="shared" si="5"/>
        <v>5272360.425</v>
      </c>
      <c r="E349" s="78"/>
      <c r="F349" s="79"/>
      <c r="G349" s="78"/>
      <c r="H349" s="78">
        <v>1621713.0</v>
      </c>
      <c r="I349" s="78"/>
      <c r="J349" s="103">
        <v>3160000.0</v>
      </c>
      <c r="K349" s="78"/>
      <c r="L349" s="103"/>
      <c r="M349" s="6"/>
      <c r="N349" s="97"/>
      <c r="O349" s="6"/>
      <c r="P349" s="6"/>
      <c r="Q349" s="6"/>
      <c r="R349" s="6"/>
      <c r="S349" s="78"/>
      <c r="T349" s="78"/>
      <c r="U349" s="78"/>
      <c r="V349" s="79">
        <f t="shared" si="15"/>
        <v>0</v>
      </c>
      <c r="W349" s="80">
        <f t="shared" si="7"/>
        <v>6100479.852</v>
      </c>
      <c r="X349" s="81">
        <f t="shared" si="2"/>
        <v>0</v>
      </c>
      <c r="Y349" s="82">
        <f t="shared" si="19"/>
        <v>11240360.43</v>
      </c>
      <c r="Z349" s="6"/>
      <c r="AA349" s="83">
        <f t="shared" si="8"/>
        <v>29920.73266</v>
      </c>
      <c r="AB349" s="84">
        <f t="shared" si="9"/>
        <v>7216500.796</v>
      </c>
      <c r="AC349" s="79">
        <f t="shared" si="12"/>
        <v>29995.53449</v>
      </c>
      <c r="AD349" s="85">
        <f t="shared" si="10"/>
        <v>7196971.331</v>
      </c>
      <c r="AE349" s="81">
        <v>0.25</v>
      </c>
      <c r="AF349" s="82">
        <f t="shared" si="17"/>
        <v>12028209.33</v>
      </c>
      <c r="AG349" s="6"/>
      <c r="AH349" s="6"/>
      <c r="AI349" s="6"/>
      <c r="AJ349" s="6"/>
      <c r="AK349" s="6"/>
      <c r="AL349" s="6"/>
      <c r="AM349" s="6"/>
      <c r="AN349" s="6"/>
      <c r="AO349" s="6"/>
      <c r="AP349" s="6"/>
    </row>
    <row r="350" ht="11.25" customHeight="1">
      <c r="A350" s="7"/>
      <c r="B350" s="68">
        <f t="shared" si="16"/>
        <v>345</v>
      </c>
      <c r="C350" s="86">
        <f t="shared" si="20"/>
        <v>0</v>
      </c>
      <c r="D350" s="84">
        <f t="shared" si="5"/>
        <v>5272360.425</v>
      </c>
      <c r="E350" s="78"/>
      <c r="F350" s="79"/>
      <c r="G350" s="78"/>
      <c r="H350" s="78">
        <v>1621713.0</v>
      </c>
      <c r="I350" s="78"/>
      <c r="J350" s="103">
        <v>3160000.0</v>
      </c>
      <c r="K350" s="78"/>
      <c r="L350" s="103"/>
      <c r="M350" s="6"/>
      <c r="N350" s="97"/>
      <c r="O350" s="6"/>
      <c r="P350" s="6"/>
      <c r="Q350" s="6"/>
      <c r="R350" s="6"/>
      <c r="S350" s="78"/>
      <c r="T350" s="78"/>
      <c r="U350" s="78"/>
      <c r="V350" s="79">
        <f t="shared" si="15"/>
        <v>0</v>
      </c>
      <c r="W350" s="80">
        <f t="shared" si="7"/>
        <v>6100479.852</v>
      </c>
      <c r="X350" s="81">
        <f t="shared" si="2"/>
        <v>0</v>
      </c>
      <c r="Y350" s="82">
        <f t="shared" si="19"/>
        <v>11240360.43</v>
      </c>
      <c r="Z350" s="6"/>
      <c r="AA350" s="83">
        <f t="shared" si="8"/>
        <v>29995.53449</v>
      </c>
      <c r="AB350" s="84">
        <f t="shared" si="9"/>
        <v>7246496.331</v>
      </c>
      <c r="AC350" s="79">
        <f t="shared" si="12"/>
        <v>30070.52333</v>
      </c>
      <c r="AD350" s="85">
        <f t="shared" si="10"/>
        <v>7227041.854</v>
      </c>
      <c r="AE350" s="81">
        <v>0.25</v>
      </c>
      <c r="AF350" s="82">
        <f t="shared" si="17"/>
        <v>12058279.85</v>
      </c>
      <c r="AG350" s="6"/>
      <c r="AH350" s="6"/>
      <c r="AI350" s="6"/>
      <c r="AJ350" s="6"/>
      <c r="AK350" s="6"/>
      <c r="AL350" s="6"/>
      <c r="AM350" s="6"/>
      <c r="AN350" s="6"/>
      <c r="AO350" s="6"/>
      <c r="AP350" s="6"/>
    </row>
    <row r="351" ht="11.25" customHeight="1">
      <c r="A351" s="7"/>
      <c r="B351" s="68">
        <f t="shared" si="16"/>
        <v>346</v>
      </c>
      <c r="C351" s="86">
        <f t="shared" si="20"/>
        <v>0</v>
      </c>
      <c r="D351" s="84">
        <f t="shared" si="5"/>
        <v>5272360.425</v>
      </c>
      <c r="E351" s="78"/>
      <c r="F351" s="79"/>
      <c r="G351" s="78"/>
      <c r="H351" s="78">
        <v>1621713.0</v>
      </c>
      <c r="I351" s="78"/>
      <c r="J351" s="103">
        <v>3160000.0</v>
      </c>
      <c r="K351" s="78"/>
      <c r="L351" s="103"/>
      <c r="M351" s="6"/>
      <c r="N351" s="97"/>
      <c r="O351" s="6"/>
      <c r="P351" s="6"/>
      <c r="Q351" s="6"/>
      <c r="R351" s="6"/>
      <c r="S351" s="78"/>
      <c r="T351" s="78"/>
      <c r="U351" s="78"/>
      <c r="V351" s="79">
        <f t="shared" si="15"/>
        <v>0</v>
      </c>
      <c r="W351" s="80">
        <f t="shared" si="7"/>
        <v>6100479.852</v>
      </c>
      <c r="X351" s="81">
        <f t="shared" si="2"/>
        <v>0</v>
      </c>
      <c r="Y351" s="82">
        <f t="shared" si="19"/>
        <v>11240360.43</v>
      </c>
      <c r="Z351" s="6"/>
      <c r="AA351" s="83">
        <f t="shared" si="8"/>
        <v>30070.52333</v>
      </c>
      <c r="AB351" s="84">
        <f t="shared" si="9"/>
        <v>7276566.854</v>
      </c>
      <c r="AC351" s="79">
        <f t="shared" si="12"/>
        <v>30145.69964</v>
      </c>
      <c r="AD351" s="85">
        <f t="shared" si="10"/>
        <v>7257187.554</v>
      </c>
      <c r="AE351" s="81">
        <v>0.25</v>
      </c>
      <c r="AF351" s="82">
        <f t="shared" si="17"/>
        <v>12088425.55</v>
      </c>
      <c r="AG351" s="6"/>
      <c r="AH351" s="6"/>
      <c r="AI351" s="6"/>
      <c r="AJ351" s="6"/>
      <c r="AK351" s="6"/>
      <c r="AL351" s="6"/>
      <c r="AM351" s="6"/>
      <c r="AN351" s="6"/>
      <c r="AO351" s="6"/>
      <c r="AP351" s="6"/>
    </row>
    <row r="352" ht="11.25" customHeight="1">
      <c r="A352" s="7"/>
      <c r="B352" s="68">
        <f t="shared" si="16"/>
        <v>347</v>
      </c>
      <c r="C352" s="86">
        <f t="shared" si="20"/>
        <v>0</v>
      </c>
      <c r="D352" s="84">
        <f t="shared" si="5"/>
        <v>5272360.425</v>
      </c>
      <c r="E352" s="78"/>
      <c r="F352" s="79"/>
      <c r="G352" s="78"/>
      <c r="H352" s="78">
        <v>1621713.0</v>
      </c>
      <c r="I352" s="78"/>
      <c r="J352" s="103">
        <v>3160000.0</v>
      </c>
      <c r="K352" s="78"/>
      <c r="L352" s="103"/>
      <c r="M352" s="6"/>
      <c r="N352" s="97"/>
      <c r="O352" s="6"/>
      <c r="P352" s="6"/>
      <c r="Q352" s="6"/>
      <c r="R352" s="6"/>
      <c r="S352" s="78"/>
      <c r="T352" s="78"/>
      <c r="U352" s="78"/>
      <c r="V352" s="79">
        <f t="shared" si="15"/>
        <v>0</v>
      </c>
      <c r="W352" s="80">
        <f t="shared" si="7"/>
        <v>6100479.852</v>
      </c>
      <c r="X352" s="81">
        <f t="shared" si="2"/>
        <v>0</v>
      </c>
      <c r="Y352" s="82">
        <f t="shared" si="19"/>
        <v>11240360.43</v>
      </c>
      <c r="Z352" s="6"/>
      <c r="AA352" s="83">
        <f t="shared" si="8"/>
        <v>30145.69964</v>
      </c>
      <c r="AB352" s="84">
        <f t="shared" si="9"/>
        <v>7306712.554</v>
      </c>
      <c r="AC352" s="79">
        <f t="shared" si="12"/>
        <v>30221.06388</v>
      </c>
      <c r="AD352" s="85">
        <f t="shared" si="10"/>
        <v>7287408.618</v>
      </c>
      <c r="AE352" s="81">
        <v>0.25</v>
      </c>
      <c r="AF352" s="82">
        <f t="shared" si="17"/>
        <v>12118646.62</v>
      </c>
      <c r="AG352" s="6"/>
      <c r="AH352" s="6"/>
      <c r="AI352" s="6"/>
      <c r="AJ352" s="6"/>
      <c r="AK352" s="6"/>
      <c r="AL352" s="6"/>
      <c r="AM352" s="6"/>
      <c r="AN352" s="6"/>
      <c r="AO352" s="6"/>
      <c r="AP352" s="6"/>
    </row>
    <row r="353" ht="11.25" customHeight="1">
      <c r="A353" s="71"/>
      <c r="B353" s="72">
        <f t="shared" si="16"/>
        <v>348</v>
      </c>
      <c r="C353" s="86">
        <f t="shared" si="20"/>
        <v>0</v>
      </c>
      <c r="D353" s="88">
        <f t="shared" si="5"/>
        <v>5272360.425</v>
      </c>
      <c r="E353" s="89"/>
      <c r="F353" s="90"/>
      <c r="G353" s="89"/>
      <c r="H353" s="89">
        <v>1621713.0</v>
      </c>
      <c r="I353" s="89"/>
      <c r="J353" s="104">
        <v>3160000.0</v>
      </c>
      <c r="K353" s="89"/>
      <c r="L353" s="104"/>
      <c r="M353" s="6"/>
      <c r="N353" s="99"/>
      <c r="O353" s="10"/>
      <c r="P353" s="10"/>
      <c r="Q353" s="10"/>
      <c r="R353" s="10"/>
      <c r="S353" s="89"/>
      <c r="T353" s="89"/>
      <c r="U353" s="89"/>
      <c r="V353" s="90">
        <f t="shared" si="15"/>
        <v>0</v>
      </c>
      <c r="W353" s="91">
        <f t="shared" si="7"/>
        <v>6100479.852</v>
      </c>
      <c r="X353" s="81">
        <f t="shared" si="2"/>
        <v>0</v>
      </c>
      <c r="Y353" s="82">
        <f t="shared" si="19"/>
        <v>11240360.43</v>
      </c>
      <c r="Z353" s="6"/>
      <c r="AA353" s="83">
        <f t="shared" si="8"/>
        <v>30221.06388</v>
      </c>
      <c r="AB353" s="88">
        <f t="shared" si="9"/>
        <v>7336933.618</v>
      </c>
      <c r="AC353" s="90">
        <f t="shared" si="12"/>
        <v>30296.61654</v>
      </c>
      <c r="AD353" s="94">
        <f t="shared" si="10"/>
        <v>7317705.234</v>
      </c>
      <c r="AE353" s="81">
        <v>0.25</v>
      </c>
      <c r="AF353" s="82">
        <f t="shared" si="17"/>
        <v>12148943.23</v>
      </c>
      <c r="AG353" s="6"/>
      <c r="AH353" s="6"/>
      <c r="AI353" s="6"/>
      <c r="AJ353" s="6"/>
      <c r="AK353" s="6"/>
      <c r="AL353" s="6"/>
      <c r="AM353" s="6"/>
      <c r="AN353" s="6"/>
      <c r="AO353" s="6"/>
      <c r="AP353" s="6"/>
    </row>
    <row r="354" ht="11.25" customHeight="1">
      <c r="A354" s="105">
        <v>54392.0</v>
      </c>
      <c r="B354" s="68">
        <f t="shared" si="16"/>
        <v>349</v>
      </c>
      <c r="C354" s="86">
        <f t="shared" si="20"/>
        <v>0</v>
      </c>
      <c r="D354" s="84">
        <f t="shared" si="5"/>
        <v>5272360.425</v>
      </c>
      <c r="E354" s="78"/>
      <c r="F354" s="79"/>
      <c r="G354" s="78"/>
      <c r="H354" s="78">
        <v>1621713.0</v>
      </c>
      <c r="I354" s="78"/>
      <c r="J354" s="103">
        <v>3160000.0</v>
      </c>
      <c r="K354" s="78"/>
      <c r="L354" s="103"/>
      <c r="M354" s="6"/>
      <c r="N354" s="97"/>
      <c r="O354" s="6"/>
      <c r="P354" s="6"/>
      <c r="Q354" s="6"/>
      <c r="R354" s="6"/>
      <c r="S354" s="102"/>
      <c r="T354" s="9"/>
      <c r="U354" s="78"/>
      <c r="V354" s="79">
        <f t="shared" si="15"/>
        <v>0</v>
      </c>
      <c r="W354" s="80">
        <f t="shared" si="7"/>
        <v>6100479.852</v>
      </c>
      <c r="X354" s="81">
        <f t="shared" si="2"/>
        <v>0</v>
      </c>
      <c r="Y354" s="82">
        <f t="shared" si="19"/>
        <v>11240360.43</v>
      </c>
      <c r="Z354" s="6"/>
      <c r="AA354" s="83">
        <f t="shared" si="8"/>
        <v>30296.61654</v>
      </c>
      <c r="AB354" s="84">
        <f t="shared" si="9"/>
        <v>7367230.234</v>
      </c>
      <c r="AC354" s="79">
        <f t="shared" si="12"/>
        <v>30372.35809</v>
      </c>
      <c r="AD354" s="85">
        <f t="shared" si="10"/>
        <v>7348077.592</v>
      </c>
      <c r="AE354" s="81">
        <v>0.25</v>
      </c>
      <c r="AF354" s="82">
        <f t="shared" si="17"/>
        <v>12179315.59</v>
      </c>
      <c r="AG354" s="6"/>
      <c r="AH354" s="6"/>
      <c r="AI354" s="6"/>
      <c r="AJ354" s="6"/>
      <c r="AK354" s="6"/>
      <c r="AL354" s="6"/>
      <c r="AM354" s="6"/>
      <c r="AN354" s="6"/>
      <c r="AO354" s="6"/>
      <c r="AP354" s="6"/>
    </row>
    <row r="355" ht="11.25" customHeight="1">
      <c r="A355" s="7"/>
      <c r="B355" s="68">
        <f t="shared" si="16"/>
        <v>350</v>
      </c>
      <c r="C355" s="86">
        <f t="shared" si="20"/>
        <v>0</v>
      </c>
      <c r="D355" s="84">
        <f t="shared" si="5"/>
        <v>5272360.425</v>
      </c>
      <c r="E355" s="78"/>
      <c r="F355" s="79"/>
      <c r="G355" s="78"/>
      <c r="H355" s="78">
        <v>1621713.0</v>
      </c>
      <c r="I355" s="78"/>
      <c r="J355" s="103">
        <v>3160000.0</v>
      </c>
      <c r="K355" s="78"/>
      <c r="L355" s="103"/>
      <c r="M355" s="6"/>
      <c r="N355" s="97"/>
      <c r="O355" s="6"/>
      <c r="P355" s="6"/>
      <c r="Q355" s="6"/>
      <c r="R355" s="6"/>
      <c r="S355" s="78"/>
      <c r="T355" s="9"/>
      <c r="U355" s="78"/>
      <c r="V355" s="79">
        <f t="shared" si="15"/>
        <v>0</v>
      </c>
      <c r="W355" s="80">
        <f t="shared" si="7"/>
        <v>6100479.852</v>
      </c>
      <c r="X355" s="81">
        <f t="shared" si="2"/>
        <v>0</v>
      </c>
      <c r="Y355" s="82">
        <f t="shared" si="19"/>
        <v>11240360.43</v>
      </c>
      <c r="Z355" s="6"/>
      <c r="AA355" s="83">
        <f t="shared" si="8"/>
        <v>30372.35809</v>
      </c>
      <c r="AB355" s="84">
        <f t="shared" si="9"/>
        <v>7397602.592</v>
      </c>
      <c r="AC355" s="79">
        <f t="shared" si="12"/>
        <v>30448.28898</v>
      </c>
      <c r="AD355" s="85">
        <f t="shared" si="10"/>
        <v>7378525.881</v>
      </c>
      <c r="AE355" s="81">
        <v>0.25</v>
      </c>
      <c r="AF355" s="82">
        <f t="shared" si="17"/>
        <v>12209763.88</v>
      </c>
      <c r="AG355" s="6"/>
      <c r="AH355" s="6"/>
      <c r="AI355" s="6"/>
      <c r="AJ355" s="6"/>
      <c r="AK355" s="6"/>
      <c r="AL355" s="6"/>
      <c r="AM355" s="6"/>
      <c r="AN355" s="6"/>
      <c r="AO355" s="6"/>
      <c r="AP355" s="6"/>
    </row>
    <row r="356" ht="11.25" customHeight="1">
      <c r="A356" s="7"/>
      <c r="B356" s="68">
        <f t="shared" si="16"/>
        <v>351</v>
      </c>
      <c r="C356" s="86">
        <f t="shared" si="20"/>
        <v>0</v>
      </c>
      <c r="D356" s="84">
        <f t="shared" si="5"/>
        <v>5272360.425</v>
      </c>
      <c r="E356" s="78"/>
      <c r="F356" s="79"/>
      <c r="G356" s="78"/>
      <c r="H356" s="78">
        <v>1621713.0</v>
      </c>
      <c r="I356" s="78"/>
      <c r="J356" s="103">
        <v>3160000.0</v>
      </c>
      <c r="K356" s="78"/>
      <c r="L356" s="103"/>
      <c r="M356" s="6"/>
      <c r="N356" s="97"/>
      <c r="O356" s="6"/>
      <c r="P356" s="6"/>
      <c r="Q356" s="6"/>
      <c r="R356" s="6"/>
      <c r="S356" s="78"/>
      <c r="T356" s="9"/>
      <c r="U356" s="78"/>
      <c r="V356" s="79">
        <f t="shared" si="15"/>
        <v>0</v>
      </c>
      <c r="W356" s="80">
        <f t="shared" si="7"/>
        <v>6100479.852</v>
      </c>
      <c r="X356" s="81">
        <f t="shared" si="2"/>
        <v>0</v>
      </c>
      <c r="Y356" s="82">
        <f t="shared" si="19"/>
        <v>11240360.43</v>
      </c>
      <c r="Z356" s="6"/>
      <c r="AA356" s="83">
        <f t="shared" si="8"/>
        <v>30448.28898</v>
      </c>
      <c r="AB356" s="84">
        <f t="shared" si="9"/>
        <v>7428050.881</v>
      </c>
      <c r="AC356" s="79">
        <f t="shared" si="12"/>
        <v>30524.4097</v>
      </c>
      <c r="AD356" s="85">
        <f t="shared" si="10"/>
        <v>7409050.291</v>
      </c>
      <c r="AE356" s="81">
        <v>0.25</v>
      </c>
      <c r="AF356" s="82">
        <f t="shared" si="17"/>
        <v>12240288.29</v>
      </c>
      <c r="AG356" s="6"/>
      <c r="AH356" s="6"/>
      <c r="AI356" s="6"/>
      <c r="AJ356" s="6"/>
      <c r="AK356" s="6"/>
      <c r="AL356" s="6"/>
      <c r="AM356" s="6"/>
      <c r="AN356" s="6"/>
      <c r="AO356" s="6"/>
      <c r="AP356" s="6"/>
    </row>
    <row r="357" ht="11.25" customHeight="1">
      <c r="A357" s="7"/>
      <c r="B357" s="68">
        <f t="shared" si="16"/>
        <v>352</v>
      </c>
      <c r="C357" s="86">
        <f t="shared" si="20"/>
        <v>0</v>
      </c>
      <c r="D357" s="84">
        <f t="shared" si="5"/>
        <v>5272360.425</v>
      </c>
      <c r="E357" s="78"/>
      <c r="F357" s="79"/>
      <c r="G357" s="78"/>
      <c r="H357" s="78">
        <v>1621713.0</v>
      </c>
      <c r="I357" s="78"/>
      <c r="J357" s="103">
        <v>3160000.0</v>
      </c>
      <c r="K357" s="78"/>
      <c r="L357" s="103"/>
      <c r="M357" s="6"/>
      <c r="N357" s="97"/>
      <c r="O357" s="6"/>
      <c r="P357" s="6"/>
      <c r="Q357" s="6"/>
      <c r="R357" s="6"/>
      <c r="S357" s="78"/>
      <c r="T357" s="78"/>
      <c r="U357" s="78"/>
      <c r="V357" s="79">
        <f t="shared" si="15"/>
        <v>0</v>
      </c>
      <c r="W357" s="80">
        <f t="shared" si="7"/>
        <v>6100479.852</v>
      </c>
      <c r="X357" s="81">
        <f t="shared" si="2"/>
        <v>0</v>
      </c>
      <c r="Y357" s="82">
        <f t="shared" si="19"/>
        <v>11240360.43</v>
      </c>
      <c r="Z357" s="6"/>
      <c r="AA357" s="83">
        <f t="shared" si="8"/>
        <v>30524.4097</v>
      </c>
      <c r="AB357" s="84">
        <f t="shared" si="9"/>
        <v>7458575.291</v>
      </c>
      <c r="AC357" s="79">
        <f t="shared" si="12"/>
        <v>30600.72073</v>
      </c>
      <c r="AD357" s="85">
        <f t="shared" si="10"/>
        <v>7439651.012</v>
      </c>
      <c r="AE357" s="81">
        <v>0.25</v>
      </c>
      <c r="AF357" s="82">
        <f t="shared" si="17"/>
        <v>12270889.01</v>
      </c>
      <c r="AG357" s="6"/>
      <c r="AH357" s="6"/>
      <c r="AI357" s="6"/>
      <c r="AJ357" s="6"/>
      <c r="AK357" s="6"/>
      <c r="AL357" s="6"/>
      <c r="AM357" s="6"/>
      <c r="AN357" s="6"/>
      <c r="AO357" s="6"/>
      <c r="AP357" s="6"/>
    </row>
    <row r="358" ht="11.25" customHeight="1">
      <c r="A358" s="7"/>
      <c r="B358" s="68">
        <f t="shared" si="16"/>
        <v>353</v>
      </c>
      <c r="C358" s="86">
        <f t="shared" si="20"/>
        <v>0</v>
      </c>
      <c r="D358" s="84">
        <f t="shared" si="5"/>
        <v>5272360.425</v>
      </c>
      <c r="E358" s="78"/>
      <c r="F358" s="79"/>
      <c r="G358" s="78"/>
      <c r="H358" s="78">
        <v>1621713.0</v>
      </c>
      <c r="I358" s="78"/>
      <c r="J358" s="103">
        <v>3160000.0</v>
      </c>
      <c r="K358" s="78"/>
      <c r="L358" s="103"/>
      <c r="M358" s="6"/>
      <c r="N358" s="97"/>
      <c r="O358" s="6"/>
      <c r="P358" s="6"/>
      <c r="Q358" s="6"/>
      <c r="R358" s="6"/>
      <c r="S358" s="78"/>
      <c r="T358" s="78"/>
      <c r="U358" s="78"/>
      <c r="V358" s="79">
        <f t="shared" si="15"/>
        <v>0</v>
      </c>
      <c r="W358" s="80">
        <f t="shared" si="7"/>
        <v>6100479.852</v>
      </c>
      <c r="X358" s="81">
        <f t="shared" si="2"/>
        <v>0</v>
      </c>
      <c r="Y358" s="82">
        <f t="shared" si="19"/>
        <v>11240360.43</v>
      </c>
      <c r="Z358" s="6"/>
      <c r="AA358" s="83">
        <f t="shared" si="8"/>
        <v>30600.72073</v>
      </c>
      <c r="AB358" s="84">
        <f t="shared" si="9"/>
        <v>7489176.012</v>
      </c>
      <c r="AC358" s="79">
        <f t="shared" si="12"/>
        <v>30677.22253</v>
      </c>
      <c r="AD358" s="85">
        <f t="shared" si="10"/>
        <v>7470328.234</v>
      </c>
      <c r="AE358" s="81">
        <v>0.25</v>
      </c>
      <c r="AF358" s="82">
        <f t="shared" si="17"/>
        <v>12301566.23</v>
      </c>
      <c r="AG358" s="6"/>
      <c r="AH358" s="6"/>
      <c r="AI358" s="6"/>
      <c r="AJ358" s="6"/>
      <c r="AK358" s="6"/>
      <c r="AL358" s="6"/>
      <c r="AM358" s="6"/>
      <c r="AN358" s="6"/>
      <c r="AO358" s="6"/>
      <c r="AP358" s="6"/>
    </row>
    <row r="359" ht="11.25" customHeight="1">
      <c r="A359" s="7"/>
      <c r="B359" s="68">
        <f t="shared" si="16"/>
        <v>354</v>
      </c>
      <c r="C359" s="86">
        <f t="shared" si="20"/>
        <v>0</v>
      </c>
      <c r="D359" s="84">
        <f t="shared" si="5"/>
        <v>5272360.425</v>
      </c>
      <c r="E359" s="78"/>
      <c r="F359" s="79"/>
      <c r="G359" s="78"/>
      <c r="H359" s="78">
        <v>1621713.0</v>
      </c>
      <c r="I359" s="78"/>
      <c r="J359" s="103">
        <v>3160000.0</v>
      </c>
      <c r="K359" s="78"/>
      <c r="L359" s="103"/>
      <c r="M359" s="6"/>
      <c r="N359" s="97"/>
      <c r="O359" s="6"/>
      <c r="P359" s="6"/>
      <c r="Q359" s="6"/>
      <c r="R359" s="6"/>
      <c r="S359" s="78"/>
      <c r="T359" s="78"/>
      <c r="U359" s="78"/>
      <c r="V359" s="79">
        <f t="shared" si="15"/>
        <v>0</v>
      </c>
      <c r="W359" s="80">
        <f t="shared" si="7"/>
        <v>6100479.852</v>
      </c>
      <c r="X359" s="81">
        <f t="shared" si="2"/>
        <v>0</v>
      </c>
      <c r="Y359" s="82">
        <f t="shared" si="19"/>
        <v>11240360.43</v>
      </c>
      <c r="Z359" s="6"/>
      <c r="AA359" s="83">
        <f t="shared" si="8"/>
        <v>30677.22253</v>
      </c>
      <c r="AB359" s="84">
        <f t="shared" si="9"/>
        <v>7519853.234</v>
      </c>
      <c r="AC359" s="79">
        <f t="shared" si="12"/>
        <v>30753.91559</v>
      </c>
      <c r="AD359" s="85">
        <f t="shared" si="10"/>
        <v>7501082.15</v>
      </c>
      <c r="AE359" s="81">
        <v>0.25</v>
      </c>
      <c r="AF359" s="82">
        <f t="shared" si="17"/>
        <v>12332320.15</v>
      </c>
      <c r="AG359" s="6"/>
      <c r="AH359" s="6"/>
      <c r="AI359" s="6"/>
      <c r="AJ359" s="6"/>
      <c r="AK359" s="6"/>
      <c r="AL359" s="6"/>
      <c r="AM359" s="6"/>
      <c r="AN359" s="6"/>
      <c r="AO359" s="6"/>
      <c r="AP359" s="6"/>
    </row>
    <row r="360" ht="11.25" customHeight="1">
      <c r="A360" s="7"/>
      <c r="B360" s="68">
        <f t="shared" si="16"/>
        <v>355</v>
      </c>
      <c r="C360" s="86">
        <f t="shared" si="20"/>
        <v>0</v>
      </c>
      <c r="D360" s="84">
        <f t="shared" si="5"/>
        <v>5272360.425</v>
      </c>
      <c r="E360" s="78"/>
      <c r="F360" s="79"/>
      <c r="G360" s="78"/>
      <c r="H360" s="78">
        <v>1621713.0</v>
      </c>
      <c r="I360" s="78"/>
      <c r="J360" s="103">
        <v>3160000.0</v>
      </c>
      <c r="K360" s="78"/>
      <c r="L360" s="103"/>
      <c r="M360" s="6"/>
      <c r="N360" s="97"/>
      <c r="O360" s="6"/>
      <c r="P360" s="6"/>
      <c r="Q360" s="6"/>
      <c r="R360" s="6"/>
      <c r="S360" s="78"/>
      <c r="T360" s="78"/>
      <c r="U360" s="78"/>
      <c r="V360" s="79">
        <f t="shared" si="15"/>
        <v>0</v>
      </c>
      <c r="W360" s="80">
        <f t="shared" si="7"/>
        <v>6100479.852</v>
      </c>
      <c r="X360" s="81">
        <f t="shared" si="2"/>
        <v>0</v>
      </c>
      <c r="Y360" s="82">
        <f t="shared" si="19"/>
        <v>11240360.43</v>
      </c>
      <c r="Z360" s="6"/>
      <c r="AA360" s="83">
        <f t="shared" si="8"/>
        <v>30753.91559</v>
      </c>
      <c r="AB360" s="84">
        <f t="shared" si="9"/>
        <v>7550607.15</v>
      </c>
      <c r="AC360" s="79">
        <f t="shared" si="12"/>
        <v>30830.80037</v>
      </c>
      <c r="AD360" s="85">
        <f t="shared" si="10"/>
        <v>7531912.95</v>
      </c>
      <c r="AE360" s="81">
        <v>0.25</v>
      </c>
      <c r="AF360" s="82">
        <f t="shared" si="17"/>
        <v>12363150.95</v>
      </c>
      <c r="AG360" s="6"/>
      <c r="AH360" s="6"/>
      <c r="AI360" s="6"/>
      <c r="AJ360" s="6"/>
      <c r="AK360" s="6"/>
      <c r="AL360" s="6"/>
      <c r="AM360" s="6"/>
      <c r="AN360" s="6"/>
      <c r="AO360" s="6"/>
      <c r="AP360" s="6"/>
    </row>
    <row r="361" ht="11.25" customHeight="1">
      <c r="A361" s="7"/>
      <c r="B361" s="68">
        <f t="shared" si="16"/>
        <v>356</v>
      </c>
      <c r="C361" s="86">
        <f t="shared" si="20"/>
        <v>0</v>
      </c>
      <c r="D361" s="84">
        <f t="shared" si="5"/>
        <v>5272360.425</v>
      </c>
      <c r="E361" s="78"/>
      <c r="F361" s="79"/>
      <c r="G361" s="78"/>
      <c r="H361" s="78">
        <v>1621713.0</v>
      </c>
      <c r="I361" s="78"/>
      <c r="J361" s="103">
        <v>3160000.0</v>
      </c>
      <c r="K361" s="78"/>
      <c r="L361" s="103"/>
      <c r="M361" s="6"/>
      <c r="N361" s="97"/>
      <c r="O361" s="6"/>
      <c r="P361" s="6"/>
      <c r="Q361" s="6"/>
      <c r="R361" s="6"/>
      <c r="S361" s="78"/>
      <c r="T361" s="78"/>
      <c r="U361" s="78"/>
      <c r="V361" s="79">
        <f t="shared" si="15"/>
        <v>0</v>
      </c>
      <c r="W361" s="80">
        <f t="shared" si="7"/>
        <v>6100479.852</v>
      </c>
      <c r="X361" s="81">
        <f t="shared" si="2"/>
        <v>0</v>
      </c>
      <c r="Y361" s="82">
        <f t="shared" si="19"/>
        <v>11240360.43</v>
      </c>
      <c r="Z361" s="6"/>
      <c r="AA361" s="83">
        <f t="shared" si="8"/>
        <v>30830.80037</v>
      </c>
      <c r="AB361" s="84">
        <f t="shared" si="9"/>
        <v>7581437.95</v>
      </c>
      <c r="AC361" s="79">
        <f t="shared" si="12"/>
        <v>30907.87738</v>
      </c>
      <c r="AD361" s="85">
        <f t="shared" si="10"/>
        <v>7562820.828</v>
      </c>
      <c r="AE361" s="81">
        <v>0.25</v>
      </c>
      <c r="AF361" s="82">
        <f t="shared" si="17"/>
        <v>12394058.83</v>
      </c>
      <c r="AG361" s="6"/>
      <c r="AH361" s="6"/>
      <c r="AI361" s="6"/>
      <c r="AJ361" s="6"/>
      <c r="AK361" s="6"/>
      <c r="AL361" s="6"/>
      <c r="AM361" s="6"/>
      <c r="AN361" s="6"/>
      <c r="AO361" s="6"/>
      <c r="AP361" s="6"/>
    </row>
    <row r="362" ht="11.25" customHeight="1">
      <c r="A362" s="7"/>
      <c r="B362" s="68">
        <f t="shared" si="16"/>
        <v>357</v>
      </c>
      <c r="C362" s="86">
        <f t="shared" si="20"/>
        <v>0</v>
      </c>
      <c r="D362" s="84">
        <f t="shared" si="5"/>
        <v>5272360.425</v>
      </c>
      <c r="E362" s="78"/>
      <c r="F362" s="79"/>
      <c r="G362" s="78"/>
      <c r="H362" s="78">
        <v>1621713.0</v>
      </c>
      <c r="I362" s="78"/>
      <c r="J362" s="103">
        <v>3160000.0</v>
      </c>
      <c r="K362" s="78"/>
      <c r="L362" s="103"/>
      <c r="M362" s="6"/>
      <c r="N362" s="97"/>
      <c r="O362" s="6"/>
      <c r="P362" s="6"/>
      <c r="Q362" s="6"/>
      <c r="R362" s="6"/>
      <c r="S362" s="78"/>
      <c r="T362" s="78"/>
      <c r="U362" s="78"/>
      <c r="V362" s="79">
        <f t="shared" si="15"/>
        <v>0</v>
      </c>
      <c r="W362" s="80">
        <f t="shared" si="7"/>
        <v>6100479.852</v>
      </c>
      <c r="X362" s="81">
        <f t="shared" si="2"/>
        <v>0</v>
      </c>
      <c r="Y362" s="82">
        <f t="shared" si="19"/>
        <v>11240360.43</v>
      </c>
      <c r="Z362" s="6"/>
      <c r="AA362" s="83">
        <f t="shared" si="8"/>
        <v>30907.87738</v>
      </c>
      <c r="AB362" s="84">
        <f t="shared" si="9"/>
        <v>7612345.828</v>
      </c>
      <c r="AC362" s="79">
        <f t="shared" si="12"/>
        <v>30985.14707</v>
      </c>
      <c r="AD362" s="85">
        <f t="shared" si="10"/>
        <v>7593805.975</v>
      </c>
      <c r="AE362" s="81">
        <v>0.25</v>
      </c>
      <c r="AF362" s="82">
        <f t="shared" si="17"/>
        <v>12425043.97</v>
      </c>
      <c r="AG362" s="6"/>
      <c r="AH362" s="6"/>
      <c r="AI362" s="6"/>
      <c r="AJ362" s="6"/>
      <c r="AK362" s="6"/>
      <c r="AL362" s="6"/>
      <c r="AM362" s="6"/>
      <c r="AN362" s="6"/>
      <c r="AO362" s="6"/>
      <c r="AP362" s="6"/>
    </row>
    <row r="363" ht="11.25" customHeight="1">
      <c r="A363" s="7"/>
      <c r="B363" s="68">
        <f t="shared" si="16"/>
        <v>358</v>
      </c>
      <c r="C363" s="86">
        <f t="shared" si="20"/>
        <v>0</v>
      </c>
      <c r="D363" s="84">
        <f t="shared" si="5"/>
        <v>5272360.425</v>
      </c>
      <c r="E363" s="78"/>
      <c r="F363" s="79"/>
      <c r="G363" s="78"/>
      <c r="H363" s="78">
        <v>1621713.0</v>
      </c>
      <c r="I363" s="78"/>
      <c r="J363" s="103">
        <v>3160000.0</v>
      </c>
      <c r="K363" s="78"/>
      <c r="L363" s="103"/>
      <c r="M363" s="6"/>
      <c r="N363" s="97"/>
      <c r="O363" s="6"/>
      <c r="P363" s="6"/>
      <c r="Q363" s="6"/>
      <c r="R363" s="6"/>
      <c r="S363" s="78"/>
      <c r="T363" s="78"/>
      <c r="U363" s="78"/>
      <c r="V363" s="79">
        <f t="shared" si="15"/>
        <v>0</v>
      </c>
      <c r="W363" s="80">
        <f t="shared" si="7"/>
        <v>6100479.852</v>
      </c>
      <c r="X363" s="81">
        <f t="shared" si="2"/>
        <v>0</v>
      </c>
      <c r="Y363" s="82">
        <f t="shared" si="19"/>
        <v>11240360.43</v>
      </c>
      <c r="Z363" s="6"/>
      <c r="AA363" s="83">
        <f t="shared" si="8"/>
        <v>30985.14707</v>
      </c>
      <c r="AB363" s="84">
        <f t="shared" si="9"/>
        <v>7643330.975</v>
      </c>
      <c r="AC363" s="79">
        <f t="shared" si="12"/>
        <v>31062.60994</v>
      </c>
      <c r="AD363" s="85">
        <f t="shared" si="10"/>
        <v>7624868.585</v>
      </c>
      <c r="AE363" s="81">
        <v>0.25</v>
      </c>
      <c r="AF363" s="82">
        <f t="shared" si="17"/>
        <v>12456106.58</v>
      </c>
      <c r="AG363" s="6"/>
      <c r="AH363" s="6"/>
      <c r="AI363" s="6"/>
      <c r="AJ363" s="6"/>
      <c r="AK363" s="6"/>
      <c r="AL363" s="6"/>
      <c r="AM363" s="6"/>
      <c r="AN363" s="6"/>
      <c r="AO363" s="6"/>
      <c r="AP363" s="6"/>
    </row>
    <row r="364" ht="11.25" customHeight="1">
      <c r="A364" s="7"/>
      <c r="B364" s="68">
        <f t="shared" si="16"/>
        <v>359</v>
      </c>
      <c r="C364" s="86">
        <f t="shared" si="20"/>
        <v>0</v>
      </c>
      <c r="D364" s="84">
        <f t="shared" si="5"/>
        <v>5272360.425</v>
      </c>
      <c r="E364" s="78"/>
      <c r="F364" s="79"/>
      <c r="G364" s="78"/>
      <c r="H364" s="78">
        <v>1621713.0</v>
      </c>
      <c r="I364" s="78"/>
      <c r="J364" s="103">
        <v>3160000.0</v>
      </c>
      <c r="K364" s="78"/>
      <c r="L364" s="103"/>
      <c r="M364" s="6"/>
      <c r="N364" s="97"/>
      <c r="O364" s="6"/>
      <c r="P364" s="6"/>
      <c r="Q364" s="6"/>
      <c r="R364" s="6"/>
      <c r="S364" s="78"/>
      <c r="T364" s="78"/>
      <c r="U364" s="78"/>
      <c r="V364" s="79">
        <f t="shared" si="15"/>
        <v>0</v>
      </c>
      <c r="W364" s="80">
        <f t="shared" si="7"/>
        <v>6100479.852</v>
      </c>
      <c r="X364" s="81">
        <f t="shared" si="2"/>
        <v>0</v>
      </c>
      <c r="Y364" s="82">
        <f t="shared" si="19"/>
        <v>11240360.43</v>
      </c>
      <c r="Z364" s="6"/>
      <c r="AA364" s="83">
        <f t="shared" si="8"/>
        <v>31062.60994</v>
      </c>
      <c r="AB364" s="84">
        <f t="shared" si="9"/>
        <v>7674393.585</v>
      </c>
      <c r="AC364" s="79">
        <f t="shared" si="12"/>
        <v>31140.26646</v>
      </c>
      <c r="AD364" s="85">
        <f t="shared" si="10"/>
        <v>7656008.851</v>
      </c>
      <c r="AE364" s="81">
        <v>0.25</v>
      </c>
      <c r="AF364" s="82">
        <f t="shared" si="17"/>
        <v>12487246.85</v>
      </c>
      <c r="AG364" s="6"/>
      <c r="AH364" s="6"/>
      <c r="AI364" s="6"/>
      <c r="AJ364" s="6"/>
      <c r="AK364" s="6"/>
      <c r="AL364" s="6"/>
      <c r="AM364" s="6"/>
      <c r="AN364" s="6"/>
      <c r="AO364" s="6"/>
      <c r="AP364" s="6"/>
    </row>
    <row r="365" ht="12.0" customHeight="1">
      <c r="A365" s="71"/>
      <c r="B365" s="106">
        <f t="shared" si="16"/>
        <v>360</v>
      </c>
      <c r="C365" s="107">
        <f t="shared" si="20"/>
        <v>0</v>
      </c>
      <c r="D365" s="108">
        <f t="shared" si="5"/>
        <v>5272360.425</v>
      </c>
      <c r="E365" s="109"/>
      <c r="F365" s="110"/>
      <c r="G365" s="109"/>
      <c r="H365" s="89">
        <v>1621713.0</v>
      </c>
      <c r="I365" s="109"/>
      <c r="J365" s="111">
        <v>3160000.0</v>
      </c>
      <c r="K365" s="109"/>
      <c r="L365" s="111"/>
      <c r="M365" s="6"/>
      <c r="N365" s="112"/>
      <c r="O365" s="113"/>
      <c r="P365" s="113"/>
      <c r="Q365" s="113"/>
      <c r="R365" s="113"/>
      <c r="S365" s="109"/>
      <c r="T365" s="109"/>
      <c r="U365" s="109"/>
      <c r="V365" s="110">
        <f t="shared" si="15"/>
        <v>0</v>
      </c>
      <c r="W365" s="114">
        <f t="shared" si="7"/>
        <v>6100479.852</v>
      </c>
      <c r="X365" s="115">
        <f t="shared" si="2"/>
        <v>0</v>
      </c>
      <c r="Y365" s="82">
        <f t="shared" si="19"/>
        <v>11240360.43</v>
      </c>
      <c r="Z365" s="6"/>
      <c r="AA365" s="116">
        <f t="shared" si="8"/>
        <v>31140.26646</v>
      </c>
      <c r="AB365" s="108">
        <f t="shared" si="9"/>
        <v>7705533.851</v>
      </c>
      <c r="AC365" s="110">
        <f t="shared" si="12"/>
        <v>31218.11713</v>
      </c>
      <c r="AD365" s="117">
        <f t="shared" si="10"/>
        <v>7687226.968</v>
      </c>
      <c r="AE365" s="81">
        <v>0.25</v>
      </c>
      <c r="AF365" s="82">
        <f t="shared" si="17"/>
        <v>12518464.97</v>
      </c>
      <c r="AG365" s="6"/>
      <c r="AH365" s="6"/>
      <c r="AI365" s="6"/>
      <c r="AJ365" s="6"/>
      <c r="AK365" s="6"/>
      <c r="AL365" s="6"/>
      <c r="AM365" s="6"/>
      <c r="AN365" s="6"/>
      <c r="AO365" s="6"/>
      <c r="AP365" s="6"/>
    </row>
    <row r="366" ht="11.25" customHeight="1">
      <c r="A366" s="7"/>
      <c r="B366" s="5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11"/>
      <c r="Y366" s="6"/>
      <c r="Z366" s="6"/>
      <c r="AA366" s="6"/>
      <c r="AB366" s="6"/>
      <c r="AC366" s="6"/>
      <c r="AD366" s="6"/>
      <c r="AE366" s="11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</row>
    <row r="367" ht="11.25" customHeight="1">
      <c r="A367" s="7"/>
      <c r="B367" s="5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11"/>
      <c r="Y367" s="6"/>
      <c r="Z367" s="6"/>
      <c r="AA367" s="6"/>
      <c r="AB367" s="6"/>
      <c r="AC367" s="6"/>
      <c r="AD367" s="6"/>
      <c r="AE367" s="11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</row>
    <row r="368" ht="11.25" customHeight="1">
      <c r="A368" s="7"/>
      <c r="B368" s="5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11"/>
      <c r="Y368" s="6"/>
      <c r="Z368" s="6"/>
      <c r="AA368" s="6"/>
      <c r="AB368" s="6"/>
      <c r="AC368" s="6"/>
      <c r="AD368" s="6"/>
      <c r="AE368" s="11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</row>
    <row r="369" ht="11.25" customHeight="1">
      <c r="A369" s="7"/>
      <c r="B369" s="5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11"/>
      <c r="Y369" s="6"/>
      <c r="Z369" s="6"/>
      <c r="AA369" s="6"/>
      <c r="AB369" s="6"/>
      <c r="AC369" s="6"/>
      <c r="AD369" s="6"/>
      <c r="AE369" s="11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</row>
    <row r="370" ht="11.25" customHeight="1">
      <c r="A370" s="7"/>
      <c r="B370" s="5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11"/>
      <c r="Y370" s="6"/>
      <c r="Z370" s="6"/>
      <c r="AA370" s="6"/>
      <c r="AB370" s="6"/>
      <c r="AC370" s="6"/>
      <c r="AD370" s="6"/>
      <c r="AE370" s="11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</row>
    <row r="371" ht="11.25" customHeight="1">
      <c r="A371" s="7"/>
      <c r="B371" s="5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11"/>
      <c r="Y371" s="6"/>
      <c r="Z371" s="6"/>
      <c r="AA371" s="6"/>
      <c r="AB371" s="6"/>
      <c r="AC371" s="6"/>
      <c r="AD371" s="6"/>
      <c r="AE371" s="11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</row>
    <row r="372" ht="11.25" customHeight="1">
      <c r="A372" s="7"/>
      <c r="B372" s="5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11"/>
      <c r="Y372" s="6"/>
      <c r="Z372" s="6"/>
      <c r="AA372" s="6"/>
      <c r="AB372" s="6"/>
      <c r="AC372" s="6"/>
      <c r="AD372" s="6"/>
      <c r="AE372" s="11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</row>
    <row r="373" ht="11.25" customHeight="1">
      <c r="A373" s="7"/>
      <c r="B373" s="5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11"/>
      <c r="Y373" s="6"/>
      <c r="Z373" s="6"/>
      <c r="AA373" s="6"/>
      <c r="AB373" s="6"/>
      <c r="AC373" s="6"/>
      <c r="AD373" s="6"/>
      <c r="AE373" s="11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</row>
    <row r="374" ht="11.25" customHeight="1">
      <c r="A374" s="7"/>
      <c r="B374" s="5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11"/>
      <c r="Y374" s="6"/>
      <c r="Z374" s="6"/>
      <c r="AA374" s="6"/>
      <c r="AB374" s="6"/>
      <c r="AC374" s="6"/>
      <c r="AD374" s="6"/>
      <c r="AE374" s="11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</row>
    <row r="375" ht="11.25" customHeight="1">
      <c r="A375" s="7"/>
      <c r="B375" s="5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11"/>
      <c r="Y375" s="6"/>
      <c r="Z375" s="6"/>
      <c r="AA375" s="6"/>
      <c r="AB375" s="6"/>
      <c r="AC375" s="6"/>
      <c r="AD375" s="6"/>
      <c r="AE375" s="11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</row>
    <row r="376" ht="11.25" customHeight="1">
      <c r="A376" s="7"/>
      <c r="B376" s="5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11"/>
      <c r="Y376" s="6"/>
      <c r="Z376" s="6"/>
      <c r="AA376" s="6"/>
      <c r="AB376" s="6"/>
      <c r="AC376" s="6"/>
      <c r="AD376" s="6"/>
      <c r="AE376" s="11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</row>
    <row r="377" ht="11.25" customHeight="1">
      <c r="A377" s="7"/>
      <c r="B377" s="5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11"/>
      <c r="Y377" s="6"/>
      <c r="Z377" s="6"/>
      <c r="AA377" s="6"/>
      <c r="AB377" s="6"/>
      <c r="AC377" s="6"/>
      <c r="AD377" s="6"/>
      <c r="AE377" s="11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</row>
    <row r="378" ht="11.25" customHeight="1">
      <c r="A378" s="7"/>
      <c r="B378" s="5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11"/>
      <c r="Y378" s="6"/>
      <c r="Z378" s="6"/>
      <c r="AA378" s="6"/>
      <c r="AB378" s="6"/>
      <c r="AC378" s="6"/>
      <c r="AD378" s="6"/>
      <c r="AE378" s="11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</row>
    <row r="379" ht="11.25" customHeight="1">
      <c r="A379" s="7"/>
      <c r="B379" s="5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11"/>
      <c r="Y379" s="6"/>
      <c r="Z379" s="6"/>
      <c r="AA379" s="6"/>
      <c r="AB379" s="6"/>
      <c r="AC379" s="6"/>
      <c r="AD379" s="6"/>
      <c r="AE379" s="11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</row>
    <row r="380" ht="11.25" customHeight="1">
      <c r="A380" s="7"/>
      <c r="B380" s="5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11"/>
      <c r="Y380" s="6"/>
      <c r="Z380" s="6"/>
      <c r="AA380" s="6"/>
      <c r="AB380" s="6"/>
      <c r="AC380" s="6"/>
      <c r="AD380" s="6"/>
      <c r="AE380" s="11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</row>
    <row r="381" ht="11.25" customHeight="1">
      <c r="A381" s="7"/>
      <c r="B381" s="5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11"/>
      <c r="Y381" s="6"/>
      <c r="Z381" s="6"/>
      <c r="AA381" s="6"/>
      <c r="AB381" s="6"/>
      <c r="AC381" s="6"/>
      <c r="AD381" s="6"/>
      <c r="AE381" s="11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</row>
    <row r="382" ht="11.25" customHeight="1">
      <c r="A382" s="7"/>
      <c r="B382" s="5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11"/>
      <c r="Y382" s="6"/>
      <c r="Z382" s="6"/>
      <c r="AA382" s="6"/>
      <c r="AB382" s="6"/>
      <c r="AC382" s="6"/>
      <c r="AD382" s="6"/>
      <c r="AE382" s="11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</row>
    <row r="383" ht="11.25" customHeight="1">
      <c r="A383" s="7"/>
      <c r="B383" s="5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11"/>
      <c r="Y383" s="6"/>
      <c r="Z383" s="6"/>
      <c r="AA383" s="6"/>
      <c r="AB383" s="6"/>
      <c r="AC383" s="6"/>
      <c r="AD383" s="6"/>
      <c r="AE383" s="11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</row>
    <row r="384" ht="11.25" customHeight="1">
      <c r="A384" s="7"/>
      <c r="B384" s="5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11"/>
      <c r="Y384" s="6"/>
      <c r="Z384" s="6"/>
      <c r="AA384" s="6"/>
      <c r="AB384" s="6"/>
      <c r="AC384" s="6"/>
      <c r="AD384" s="6"/>
      <c r="AE384" s="11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</row>
    <row r="385" ht="11.25" customHeight="1">
      <c r="A385" s="7"/>
      <c r="B385" s="5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11"/>
      <c r="Y385" s="6"/>
      <c r="Z385" s="6"/>
      <c r="AA385" s="6"/>
      <c r="AB385" s="6"/>
      <c r="AC385" s="6"/>
      <c r="AD385" s="6"/>
      <c r="AE385" s="11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</row>
    <row r="386" ht="11.25" customHeight="1">
      <c r="A386" s="7"/>
      <c r="B386" s="5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11"/>
      <c r="Y386" s="6"/>
      <c r="Z386" s="6"/>
      <c r="AA386" s="6"/>
      <c r="AB386" s="6"/>
      <c r="AC386" s="6"/>
      <c r="AD386" s="6"/>
      <c r="AE386" s="11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</row>
    <row r="387" ht="11.25" customHeight="1">
      <c r="A387" s="7"/>
      <c r="B387" s="5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11"/>
      <c r="Y387" s="6"/>
      <c r="Z387" s="6"/>
      <c r="AA387" s="6"/>
      <c r="AB387" s="6"/>
      <c r="AC387" s="6"/>
      <c r="AD387" s="6"/>
      <c r="AE387" s="11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</row>
    <row r="388" ht="11.25" customHeight="1">
      <c r="A388" s="7"/>
      <c r="B388" s="5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11"/>
      <c r="Y388" s="6"/>
      <c r="Z388" s="6"/>
      <c r="AA388" s="6"/>
      <c r="AB388" s="6"/>
      <c r="AC388" s="6"/>
      <c r="AD388" s="6"/>
      <c r="AE388" s="11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</row>
    <row r="389" ht="11.25" customHeight="1">
      <c r="A389" s="7"/>
      <c r="B389" s="5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11"/>
      <c r="Y389" s="6"/>
      <c r="Z389" s="6"/>
      <c r="AA389" s="6"/>
      <c r="AB389" s="6"/>
      <c r="AC389" s="6"/>
      <c r="AD389" s="6"/>
      <c r="AE389" s="11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</row>
    <row r="390" ht="11.25" customHeight="1">
      <c r="A390" s="7"/>
      <c r="B390" s="5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11"/>
      <c r="Y390" s="6"/>
      <c r="Z390" s="6"/>
      <c r="AA390" s="6"/>
      <c r="AB390" s="6"/>
      <c r="AC390" s="6"/>
      <c r="AD390" s="6"/>
      <c r="AE390" s="11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</row>
    <row r="391" ht="11.25" customHeight="1">
      <c r="A391" s="7"/>
      <c r="B391" s="5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11"/>
      <c r="Y391" s="6"/>
      <c r="Z391" s="6"/>
      <c r="AA391" s="6"/>
      <c r="AB391" s="6"/>
      <c r="AC391" s="6"/>
      <c r="AD391" s="6"/>
      <c r="AE391" s="11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</row>
    <row r="392" ht="11.25" customHeight="1">
      <c r="A392" s="7"/>
      <c r="B392" s="5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11"/>
      <c r="Y392" s="6"/>
      <c r="Z392" s="6"/>
      <c r="AA392" s="6"/>
      <c r="AB392" s="6"/>
      <c r="AC392" s="6"/>
      <c r="AD392" s="6"/>
      <c r="AE392" s="11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</row>
    <row r="393" ht="11.25" customHeight="1">
      <c r="A393" s="7"/>
      <c r="B393" s="5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11"/>
      <c r="Y393" s="6"/>
      <c r="Z393" s="6"/>
      <c r="AA393" s="6"/>
      <c r="AB393" s="6"/>
      <c r="AC393" s="6"/>
      <c r="AD393" s="6"/>
      <c r="AE393" s="11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</row>
    <row r="394" ht="11.25" customHeight="1">
      <c r="A394" s="7"/>
      <c r="B394" s="5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11"/>
      <c r="Y394" s="6"/>
      <c r="Z394" s="6"/>
      <c r="AA394" s="6"/>
      <c r="AB394" s="6"/>
      <c r="AC394" s="6"/>
      <c r="AD394" s="6"/>
      <c r="AE394" s="11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</row>
    <row r="395" ht="11.25" customHeight="1">
      <c r="A395" s="7"/>
      <c r="B395" s="5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11"/>
      <c r="Y395" s="6"/>
      <c r="Z395" s="6"/>
      <c r="AA395" s="6"/>
      <c r="AB395" s="6"/>
      <c r="AC395" s="6"/>
      <c r="AD395" s="6"/>
      <c r="AE395" s="11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</row>
    <row r="396" ht="11.25" customHeight="1">
      <c r="A396" s="7"/>
      <c r="B396" s="5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11"/>
      <c r="Y396" s="6"/>
      <c r="Z396" s="6"/>
      <c r="AA396" s="6"/>
      <c r="AB396" s="6"/>
      <c r="AC396" s="6"/>
      <c r="AD396" s="6"/>
      <c r="AE396" s="11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</row>
    <row r="397" ht="11.25" customHeight="1">
      <c r="A397" s="7"/>
      <c r="B397" s="5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11"/>
      <c r="Y397" s="6"/>
      <c r="Z397" s="6"/>
      <c r="AA397" s="6"/>
      <c r="AB397" s="6"/>
      <c r="AC397" s="6"/>
      <c r="AD397" s="6"/>
      <c r="AE397" s="11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</row>
    <row r="398" ht="11.25" customHeight="1">
      <c r="A398" s="7"/>
      <c r="B398" s="5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11"/>
      <c r="Y398" s="6"/>
      <c r="Z398" s="6"/>
      <c r="AA398" s="6"/>
      <c r="AB398" s="6"/>
      <c r="AC398" s="6"/>
      <c r="AD398" s="6"/>
      <c r="AE398" s="11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</row>
    <row r="399" ht="11.25" customHeight="1">
      <c r="A399" s="7"/>
      <c r="B399" s="5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11"/>
      <c r="Y399" s="6"/>
      <c r="Z399" s="6"/>
      <c r="AA399" s="6"/>
      <c r="AB399" s="6"/>
      <c r="AC399" s="6"/>
      <c r="AD399" s="6"/>
      <c r="AE399" s="11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</row>
    <row r="400" ht="11.25" customHeight="1">
      <c r="A400" s="7"/>
      <c r="B400" s="5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11"/>
      <c r="Y400" s="6"/>
      <c r="Z400" s="6"/>
      <c r="AA400" s="6"/>
      <c r="AB400" s="6"/>
      <c r="AC400" s="6"/>
      <c r="AD400" s="6"/>
      <c r="AE400" s="11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</row>
    <row r="401" ht="11.25" customHeight="1">
      <c r="A401" s="7"/>
      <c r="B401" s="5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11"/>
      <c r="Y401" s="6"/>
      <c r="Z401" s="6"/>
      <c r="AA401" s="6"/>
      <c r="AB401" s="6"/>
      <c r="AC401" s="6"/>
      <c r="AD401" s="6"/>
      <c r="AE401" s="11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</row>
    <row r="402" ht="11.25" customHeight="1">
      <c r="A402" s="7"/>
      <c r="B402" s="5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11"/>
      <c r="Y402" s="6"/>
      <c r="Z402" s="6"/>
      <c r="AA402" s="6"/>
      <c r="AB402" s="6"/>
      <c r="AC402" s="6"/>
      <c r="AD402" s="6"/>
      <c r="AE402" s="11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</row>
    <row r="403" ht="11.25" customHeight="1">
      <c r="A403" s="7"/>
      <c r="B403" s="5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11"/>
      <c r="Y403" s="6"/>
      <c r="Z403" s="6"/>
      <c r="AA403" s="6"/>
      <c r="AB403" s="6"/>
      <c r="AC403" s="6"/>
      <c r="AD403" s="6"/>
      <c r="AE403" s="11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</row>
    <row r="404" ht="11.25" customHeight="1">
      <c r="A404" s="7"/>
      <c r="B404" s="5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11"/>
      <c r="Y404" s="6"/>
      <c r="Z404" s="6"/>
      <c r="AA404" s="6"/>
      <c r="AB404" s="6"/>
      <c r="AC404" s="6"/>
      <c r="AD404" s="6"/>
      <c r="AE404" s="11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</row>
    <row r="405" ht="11.25" customHeight="1">
      <c r="A405" s="7"/>
      <c r="B405" s="5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11"/>
      <c r="Y405" s="6"/>
      <c r="Z405" s="6"/>
      <c r="AA405" s="6"/>
      <c r="AB405" s="6"/>
      <c r="AC405" s="6"/>
      <c r="AD405" s="6"/>
      <c r="AE405" s="11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</row>
    <row r="406" ht="11.25" customHeight="1">
      <c r="A406" s="7"/>
      <c r="B406" s="5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11"/>
      <c r="Y406" s="6"/>
      <c r="Z406" s="6"/>
      <c r="AA406" s="6"/>
      <c r="AB406" s="6"/>
      <c r="AC406" s="6"/>
      <c r="AD406" s="6"/>
      <c r="AE406" s="11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</row>
    <row r="407" ht="11.25" customHeight="1">
      <c r="A407" s="7"/>
      <c r="B407" s="5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11"/>
      <c r="Y407" s="6"/>
      <c r="Z407" s="6"/>
      <c r="AA407" s="6"/>
      <c r="AB407" s="6"/>
      <c r="AC407" s="6"/>
      <c r="AD407" s="6"/>
      <c r="AE407" s="11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</row>
    <row r="408" ht="11.25" customHeight="1">
      <c r="A408" s="7"/>
      <c r="B408" s="5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11"/>
      <c r="Y408" s="6"/>
      <c r="Z408" s="6"/>
      <c r="AA408" s="6"/>
      <c r="AB408" s="6"/>
      <c r="AC408" s="6"/>
      <c r="AD408" s="6"/>
      <c r="AE408" s="11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</row>
    <row r="409" ht="11.25" customHeight="1">
      <c r="A409" s="7"/>
      <c r="B409" s="5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11"/>
      <c r="Y409" s="6"/>
      <c r="Z409" s="6"/>
      <c r="AA409" s="6"/>
      <c r="AB409" s="6"/>
      <c r="AC409" s="6"/>
      <c r="AD409" s="6"/>
      <c r="AE409" s="11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</row>
    <row r="410" ht="11.25" customHeight="1">
      <c r="A410" s="7"/>
      <c r="B410" s="5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11"/>
      <c r="Y410" s="6"/>
      <c r="Z410" s="6"/>
      <c r="AA410" s="6"/>
      <c r="AB410" s="6"/>
      <c r="AC410" s="6"/>
      <c r="AD410" s="6"/>
      <c r="AE410" s="11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</row>
    <row r="411" ht="11.25" customHeight="1">
      <c r="A411" s="7"/>
      <c r="B411" s="5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11"/>
      <c r="Y411" s="6"/>
      <c r="Z411" s="6"/>
      <c r="AA411" s="6"/>
      <c r="AB411" s="6"/>
      <c r="AC411" s="6"/>
      <c r="AD411" s="6"/>
      <c r="AE411" s="11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</row>
    <row r="412" ht="11.25" customHeight="1">
      <c r="A412" s="7"/>
      <c r="B412" s="5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11"/>
      <c r="Y412" s="6"/>
      <c r="Z412" s="6"/>
      <c r="AA412" s="6"/>
      <c r="AB412" s="6"/>
      <c r="AC412" s="6"/>
      <c r="AD412" s="6"/>
      <c r="AE412" s="11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</row>
    <row r="413" ht="11.25" customHeight="1">
      <c r="A413" s="7"/>
      <c r="B413" s="5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11"/>
      <c r="Y413" s="6"/>
      <c r="Z413" s="6"/>
      <c r="AA413" s="6"/>
      <c r="AB413" s="6"/>
      <c r="AC413" s="6"/>
      <c r="AD413" s="6"/>
      <c r="AE413" s="11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</row>
    <row r="414" ht="11.25" customHeight="1">
      <c r="A414" s="7"/>
      <c r="B414" s="5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11"/>
      <c r="Y414" s="6"/>
      <c r="Z414" s="6"/>
      <c r="AA414" s="6"/>
      <c r="AB414" s="6"/>
      <c r="AC414" s="6"/>
      <c r="AD414" s="6"/>
      <c r="AE414" s="11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</row>
    <row r="415" ht="11.25" customHeight="1">
      <c r="A415" s="7"/>
      <c r="B415" s="5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11"/>
      <c r="Y415" s="6"/>
      <c r="Z415" s="6"/>
      <c r="AA415" s="6"/>
      <c r="AB415" s="6"/>
      <c r="AC415" s="6"/>
      <c r="AD415" s="6"/>
      <c r="AE415" s="11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</row>
    <row r="416" ht="11.25" customHeight="1">
      <c r="A416" s="7"/>
      <c r="B416" s="5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11"/>
      <c r="Y416" s="6"/>
      <c r="Z416" s="6"/>
      <c r="AA416" s="6"/>
      <c r="AB416" s="6"/>
      <c r="AC416" s="6"/>
      <c r="AD416" s="6"/>
      <c r="AE416" s="11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</row>
    <row r="417" ht="11.25" customHeight="1">
      <c r="A417" s="7"/>
      <c r="B417" s="5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11"/>
      <c r="Y417" s="6"/>
      <c r="Z417" s="6"/>
      <c r="AA417" s="6"/>
      <c r="AB417" s="6"/>
      <c r="AC417" s="6"/>
      <c r="AD417" s="6"/>
      <c r="AE417" s="11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</row>
    <row r="418" ht="11.25" customHeight="1">
      <c r="A418" s="7"/>
      <c r="B418" s="5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11"/>
      <c r="Y418" s="6"/>
      <c r="Z418" s="6"/>
      <c r="AA418" s="6"/>
      <c r="AB418" s="6"/>
      <c r="AC418" s="6"/>
      <c r="AD418" s="6"/>
      <c r="AE418" s="11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</row>
    <row r="419" ht="11.25" customHeight="1">
      <c r="A419" s="7"/>
      <c r="B419" s="5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11"/>
      <c r="Y419" s="6"/>
      <c r="Z419" s="6"/>
      <c r="AA419" s="6"/>
      <c r="AB419" s="6"/>
      <c r="AC419" s="6"/>
      <c r="AD419" s="6"/>
      <c r="AE419" s="11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</row>
    <row r="420" ht="11.25" customHeight="1">
      <c r="A420" s="7"/>
      <c r="B420" s="5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11"/>
      <c r="Y420" s="6"/>
      <c r="Z420" s="6"/>
      <c r="AA420" s="6"/>
      <c r="AB420" s="6"/>
      <c r="AC420" s="6"/>
      <c r="AD420" s="6"/>
      <c r="AE420" s="11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</row>
    <row r="421" ht="11.25" customHeight="1">
      <c r="A421" s="7"/>
      <c r="B421" s="5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11"/>
      <c r="Y421" s="6"/>
      <c r="Z421" s="6"/>
      <c r="AA421" s="6"/>
      <c r="AB421" s="6"/>
      <c r="AC421" s="6"/>
      <c r="AD421" s="6"/>
      <c r="AE421" s="11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</row>
    <row r="422" ht="11.25" customHeight="1">
      <c r="A422" s="7"/>
      <c r="B422" s="5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11"/>
      <c r="Y422" s="6"/>
      <c r="Z422" s="6"/>
      <c r="AA422" s="6"/>
      <c r="AB422" s="6"/>
      <c r="AC422" s="6"/>
      <c r="AD422" s="6"/>
      <c r="AE422" s="11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</row>
    <row r="423" ht="11.25" customHeight="1">
      <c r="A423" s="7"/>
      <c r="B423" s="5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11"/>
      <c r="Y423" s="6"/>
      <c r="Z423" s="6"/>
      <c r="AA423" s="6"/>
      <c r="AB423" s="6"/>
      <c r="AC423" s="6"/>
      <c r="AD423" s="6"/>
      <c r="AE423" s="11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</row>
    <row r="424" ht="11.25" customHeight="1">
      <c r="A424" s="7"/>
      <c r="B424" s="5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11"/>
      <c r="Y424" s="6"/>
      <c r="Z424" s="6"/>
      <c r="AA424" s="6"/>
      <c r="AB424" s="6"/>
      <c r="AC424" s="6"/>
      <c r="AD424" s="6"/>
      <c r="AE424" s="11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</row>
    <row r="425" ht="11.25" customHeight="1">
      <c r="A425" s="7"/>
      <c r="B425" s="5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11"/>
      <c r="Y425" s="6"/>
      <c r="Z425" s="6"/>
      <c r="AA425" s="6"/>
      <c r="AB425" s="6"/>
      <c r="AC425" s="6"/>
      <c r="AD425" s="6"/>
      <c r="AE425" s="11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</row>
    <row r="426" ht="11.25" customHeight="1">
      <c r="A426" s="7"/>
      <c r="B426" s="5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11"/>
      <c r="Y426" s="6"/>
      <c r="Z426" s="6"/>
      <c r="AA426" s="6"/>
      <c r="AB426" s="6"/>
      <c r="AC426" s="6"/>
      <c r="AD426" s="6"/>
      <c r="AE426" s="11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</row>
    <row r="427" ht="11.25" customHeight="1">
      <c r="A427" s="7"/>
      <c r="B427" s="5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11"/>
      <c r="Y427" s="6"/>
      <c r="Z427" s="6"/>
      <c r="AA427" s="6"/>
      <c r="AB427" s="6"/>
      <c r="AC427" s="6"/>
      <c r="AD427" s="6"/>
      <c r="AE427" s="11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</row>
    <row r="428" ht="11.25" customHeight="1">
      <c r="A428" s="7"/>
      <c r="B428" s="5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11"/>
      <c r="Y428" s="6"/>
      <c r="Z428" s="6"/>
      <c r="AA428" s="6"/>
      <c r="AB428" s="6"/>
      <c r="AC428" s="6"/>
      <c r="AD428" s="6"/>
      <c r="AE428" s="11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</row>
    <row r="429" ht="11.25" customHeight="1">
      <c r="A429" s="7"/>
      <c r="B429" s="5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11"/>
      <c r="Y429" s="6"/>
      <c r="Z429" s="6"/>
      <c r="AA429" s="6"/>
      <c r="AB429" s="6"/>
      <c r="AC429" s="6"/>
      <c r="AD429" s="6"/>
      <c r="AE429" s="11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</row>
    <row r="430" ht="11.25" customHeight="1">
      <c r="A430" s="7"/>
      <c r="B430" s="5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11"/>
      <c r="Y430" s="6"/>
      <c r="Z430" s="6"/>
      <c r="AA430" s="6"/>
      <c r="AB430" s="6"/>
      <c r="AC430" s="6"/>
      <c r="AD430" s="6"/>
      <c r="AE430" s="11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</row>
    <row r="431" ht="11.25" customHeight="1">
      <c r="A431" s="7"/>
      <c r="B431" s="5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11"/>
      <c r="Y431" s="6"/>
      <c r="Z431" s="6"/>
      <c r="AA431" s="6"/>
      <c r="AB431" s="6"/>
      <c r="AC431" s="6"/>
      <c r="AD431" s="6"/>
      <c r="AE431" s="11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</row>
    <row r="432" ht="11.25" customHeight="1">
      <c r="A432" s="7"/>
      <c r="B432" s="5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11"/>
      <c r="Y432" s="6"/>
      <c r="Z432" s="6"/>
      <c r="AA432" s="6"/>
      <c r="AB432" s="6"/>
      <c r="AC432" s="6"/>
      <c r="AD432" s="6"/>
      <c r="AE432" s="11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</row>
    <row r="433" ht="11.25" customHeight="1">
      <c r="A433" s="7"/>
      <c r="B433" s="5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11"/>
      <c r="Y433" s="6"/>
      <c r="Z433" s="6"/>
      <c r="AA433" s="6"/>
      <c r="AB433" s="6"/>
      <c r="AC433" s="6"/>
      <c r="AD433" s="6"/>
      <c r="AE433" s="11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</row>
    <row r="434" ht="11.25" customHeight="1">
      <c r="A434" s="7"/>
      <c r="B434" s="5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11"/>
      <c r="Y434" s="6"/>
      <c r="Z434" s="6"/>
      <c r="AA434" s="6"/>
      <c r="AB434" s="6"/>
      <c r="AC434" s="6"/>
      <c r="AD434" s="6"/>
      <c r="AE434" s="11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</row>
    <row r="435" ht="11.25" customHeight="1">
      <c r="A435" s="7"/>
      <c r="B435" s="5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11"/>
      <c r="Y435" s="6"/>
      <c r="Z435" s="6"/>
      <c r="AA435" s="6"/>
      <c r="AB435" s="6"/>
      <c r="AC435" s="6"/>
      <c r="AD435" s="6"/>
      <c r="AE435" s="11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</row>
    <row r="436" ht="11.25" customHeight="1">
      <c r="A436" s="7"/>
      <c r="B436" s="5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11"/>
      <c r="Y436" s="6"/>
      <c r="Z436" s="6"/>
      <c r="AA436" s="6"/>
      <c r="AB436" s="6"/>
      <c r="AC436" s="6"/>
      <c r="AD436" s="6"/>
      <c r="AE436" s="11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</row>
    <row r="437" ht="11.25" customHeight="1">
      <c r="A437" s="7"/>
      <c r="B437" s="5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11"/>
      <c r="Y437" s="6"/>
      <c r="Z437" s="6"/>
      <c r="AA437" s="6"/>
      <c r="AB437" s="6"/>
      <c r="AC437" s="6"/>
      <c r="AD437" s="6"/>
      <c r="AE437" s="11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</row>
    <row r="438" ht="11.25" customHeight="1">
      <c r="A438" s="7"/>
      <c r="B438" s="5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11"/>
      <c r="Y438" s="6"/>
      <c r="Z438" s="6"/>
      <c r="AA438" s="6"/>
      <c r="AB438" s="6"/>
      <c r="AC438" s="6"/>
      <c r="AD438" s="6"/>
      <c r="AE438" s="11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</row>
    <row r="439" ht="11.25" customHeight="1">
      <c r="A439" s="7"/>
      <c r="B439" s="5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11"/>
      <c r="Y439" s="6"/>
      <c r="Z439" s="6"/>
      <c r="AA439" s="6"/>
      <c r="AB439" s="6"/>
      <c r="AC439" s="6"/>
      <c r="AD439" s="6"/>
      <c r="AE439" s="11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</row>
    <row r="440" ht="11.25" customHeight="1">
      <c r="A440" s="7"/>
      <c r="B440" s="5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11"/>
      <c r="Y440" s="6"/>
      <c r="Z440" s="6"/>
      <c r="AA440" s="6"/>
      <c r="AB440" s="6"/>
      <c r="AC440" s="6"/>
      <c r="AD440" s="6"/>
      <c r="AE440" s="11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</row>
    <row r="441" ht="11.25" customHeight="1">
      <c r="A441" s="7"/>
      <c r="B441" s="5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11"/>
      <c r="Y441" s="6"/>
      <c r="Z441" s="6"/>
      <c r="AA441" s="6"/>
      <c r="AB441" s="6"/>
      <c r="AC441" s="6"/>
      <c r="AD441" s="6"/>
      <c r="AE441" s="11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</row>
    <row r="442" ht="11.25" customHeight="1">
      <c r="A442" s="7"/>
      <c r="B442" s="5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11"/>
      <c r="Y442" s="6"/>
      <c r="Z442" s="6"/>
      <c r="AA442" s="6"/>
      <c r="AB442" s="6"/>
      <c r="AC442" s="6"/>
      <c r="AD442" s="6"/>
      <c r="AE442" s="11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</row>
    <row r="443" ht="11.25" customHeight="1">
      <c r="A443" s="7"/>
      <c r="B443" s="5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11"/>
      <c r="Y443" s="6"/>
      <c r="Z443" s="6"/>
      <c r="AA443" s="6"/>
      <c r="AB443" s="6"/>
      <c r="AC443" s="6"/>
      <c r="AD443" s="6"/>
      <c r="AE443" s="11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</row>
    <row r="444" ht="11.25" customHeight="1">
      <c r="A444" s="7"/>
      <c r="B444" s="5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11"/>
      <c r="Y444" s="6"/>
      <c r="Z444" s="6"/>
      <c r="AA444" s="6"/>
      <c r="AB444" s="6"/>
      <c r="AC444" s="6"/>
      <c r="AD444" s="6"/>
      <c r="AE444" s="11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</row>
    <row r="445" ht="11.25" customHeight="1">
      <c r="A445" s="7"/>
      <c r="B445" s="5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11"/>
      <c r="Y445" s="6"/>
      <c r="Z445" s="6"/>
      <c r="AA445" s="6"/>
      <c r="AB445" s="6"/>
      <c r="AC445" s="6"/>
      <c r="AD445" s="6"/>
      <c r="AE445" s="11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</row>
    <row r="446" ht="11.25" customHeight="1">
      <c r="A446" s="7"/>
      <c r="B446" s="5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11"/>
      <c r="Y446" s="6"/>
      <c r="Z446" s="6"/>
      <c r="AA446" s="6"/>
      <c r="AB446" s="6"/>
      <c r="AC446" s="6"/>
      <c r="AD446" s="6"/>
      <c r="AE446" s="11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</row>
    <row r="447" ht="11.25" customHeight="1">
      <c r="A447" s="7"/>
      <c r="B447" s="5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11"/>
      <c r="Y447" s="6"/>
      <c r="Z447" s="6"/>
      <c r="AA447" s="6"/>
      <c r="AB447" s="6"/>
      <c r="AC447" s="6"/>
      <c r="AD447" s="6"/>
      <c r="AE447" s="11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</row>
    <row r="448" ht="11.25" customHeight="1">
      <c r="A448" s="7"/>
      <c r="B448" s="5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11"/>
      <c r="Y448" s="6"/>
      <c r="Z448" s="6"/>
      <c r="AA448" s="6"/>
      <c r="AB448" s="6"/>
      <c r="AC448" s="6"/>
      <c r="AD448" s="6"/>
      <c r="AE448" s="11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</row>
    <row r="449" ht="11.25" customHeight="1">
      <c r="A449" s="7"/>
      <c r="B449" s="5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11"/>
      <c r="Y449" s="6"/>
      <c r="Z449" s="6"/>
      <c r="AA449" s="6"/>
      <c r="AB449" s="6"/>
      <c r="AC449" s="6"/>
      <c r="AD449" s="6"/>
      <c r="AE449" s="11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</row>
    <row r="450" ht="11.25" customHeight="1">
      <c r="A450" s="7"/>
      <c r="B450" s="5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11"/>
      <c r="Y450" s="6"/>
      <c r="Z450" s="6"/>
      <c r="AA450" s="6"/>
      <c r="AB450" s="6"/>
      <c r="AC450" s="6"/>
      <c r="AD450" s="6"/>
      <c r="AE450" s="11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</row>
    <row r="451" ht="11.25" customHeight="1">
      <c r="A451" s="7"/>
      <c r="B451" s="5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11"/>
      <c r="Y451" s="6"/>
      <c r="Z451" s="6"/>
      <c r="AA451" s="6"/>
      <c r="AB451" s="6"/>
      <c r="AC451" s="6"/>
      <c r="AD451" s="6"/>
      <c r="AE451" s="11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</row>
    <row r="452" ht="11.25" customHeight="1">
      <c r="A452" s="7"/>
      <c r="B452" s="5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11"/>
      <c r="Y452" s="6"/>
      <c r="Z452" s="6"/>
      <c r="AA452" s="6"/>
      <c r="AB452" s="6"/>
      <c r="AC452" s="6"/>
      <c r="AD452" s="6"/>
      <c r="AE452" s="11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</row>
    <row r="453" ht="11.25" customHeight="1">
      <c r="A453" s="7"/>
      <c r="B453" s="5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11"/>
      <c r="Y453" s="6"/>
      <c r="Z453" s="6"/>
      <c r="AA453" s="6"/>
      <c r="AB453" s="6"/>
      <c r="AC453" s="6"/>
      <c r="AD453" s="6"/>
      <c r="AE453" s="11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</row>
    <row r="454" ht="11.25" customHeight="1">
      <c r="A454" s="7"/>
      <c r="B454" s="5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11"/>
      <c r="Y454" s="6"/>
      <c r="Z454" s="6"/>
      <c r="AA454" s="6"/>
      <c r="AB454" s="6"/>
      <c r="AC454" s="6"/>
      <c r="AD454" s="6"/>
      <c r="AE454" s="11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</row>
    <row r="455" ht="11.25" customHeight="1">
      <c r="A455" s="7"/>
      <c r="B455" s="5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11"/>
      <c r="Y455" s="6"/>
      <c r="Z455" s="6"/>
      <c r="AA455" s="6"/>
      <c r="AB455" s="6"/>
      <c r="AC455" s="6"/>
      <c r="AD455" s="6"/>
      <c r="AE455" s="11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</row>
    <row r="456" ht="11.25" customHeight="1">
      <c r="A456" s="7"/>
      <c r="B456" s="5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11"/>
      <c r="Y456" s="6"/>
      <c r="Z456" s="6"/>
      <c r="AA456" s="6"/>
      <c r="AB456" s="6"/>
      <c r="AC456" s="6"/>
      <c r="AD456" s="6"/>
      <c r="AE456" s="11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</row>
    <row r="457" ht="11.25" customHeight="1">
      <c r="A457" s="7"/>
      <c r="B457" s="5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11"/>
      <c r="Y457" s="6"/>
      <c r="Z457" s="6"/>
      <c r="AA457" s="6"/>
      <c r="AB457" s="6"/>
      <c r="AC457" s="6"/>
      <c r="AD457" s="6"/>
      <c r="AE457" s="11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</row>
    <row r="458" ht="11.25" customHeight="1">
      <c r="A458" s="7"/>
      <c r="B458" s="5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11"/>
      <c r="Y458" s="6"/>
      <c r="Z458" s="6"/>
      <c r="AA458" s="6"/>
      <c r="AB458" s="6"/>
      <c r="AC458" s="6"/>
      <c r="AD458" s="6"/>
      <c r="AE458" s="11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</row>
    <row r="459" ht="11.25" customHeight="1">
      <c r="A459" s="7"/>
      <c r="B459" s="5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11"/>
      <c r="Y459" s="6"/>
      <c r="Z459" s="6"/>
      <c r="AA459" s="6"/>
      <c r="AB459" s="6"/>
      <c r="AC459" s="6"/>
      <c r="AD459" s="6"/>
      <c r="AE459" s="11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</row>
    <row r="460" ht="11.25" customHeight="1">
      <c r="A460" s="7"/>
      <c r="B460" s="5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11"/>
      <c r="Y460" s="6"/>
      <c r="Z460" s="6"/>
      <c r="AA460" s="6"/>
      <c r="AB460" s="6"/>
      <c r="AC460" s="6"/>
      <c r="AD460" s="6"/>
      <c r="AE460" s="11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</row>
    <row r="461" ht="11.25" customHeight="1">
      <c r="A461" s="7"/>
      <c r="B461" s="5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11"/>
      <c r="Y461" s="6"/>
      <c r="Z461" s="6"/>
      <c r="AA461" s="6"/>
      <c r="AB461" s="6"/>
      <c r="AC461" s="6"/>
      <c r="AD461" s="6"/>
      <c r="AE461" s="11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</row>
    <row r="462" ht="11.25" customHeight="1">
      <c r="A462" s="7"/>
      <c r="B462" s="5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11"/>
      <c r="Y462" s="6"/>
      <c r="Z462" s="6"/>
      <c r="AA462" s="6"/>
      <c r="AB462" s="6"/>
      <c r="AC462" s="6"/>
      <c r="AD462" s="6"/>
      <c r="AE462" s="11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</row>
    <row r="463" ht="11.25" customHeight="1">
      <c r="A463" s="7"/>
      <c r="B463" s="5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11"/>
      <c r="Y463" s="6"/>
      <c r="Z463" s="6"/>
      <c r="AA463" s="6"/>
      <c r="AB463" s="6"/>
      <c r="AC463" s="6"/>
      <c r="AD463" s="6"/>
      <c r="AE463" s="11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</row>
    <row r="464" ht="11.25" customHeight="1">
      <c r="A464" s="7"/>
      <c r="B464" s="5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11"/>
      <c r="Y464" s="6"/>
      <c r="Z464" s="6"/>
      <c r="AA464" s="6"/>
      <c r="AB464" s="6"/>
      <c r="AC464" s="6"/>
      <c r="AD464" s="6"/>
      <c r="AE464" s="11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</row>
    <row r="465" ht="11.25" customHeight="1">
      <c r="A465" s="7"/>
      <c r="B465" s="5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11"/>
      <c r="Y465" s="6"/>
      <c r="Z465" s="6"/>
      <c r="AA465" s="6"/>
      <c r="AB465" s="6"/>
      <c r="AC465" s="6"/>
      <c r="AD465" s="6"/>
      <c r="AE465" s="11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</row>
    <row r="466" ht="11.25" customHeight="1">
      <c r="A466" s="7"/>
      <c r="B466" s="5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11"/>
      <c r="Y466" s="6"/>
      <c r="Z466" s="6"/>
      <c r="AA466" s="6"/>
      <c r="AB466" s="6"/>
      <c r="AC466" s="6"/>
      <c r="AD466" s="6"/>
      <c r="AE466" s="11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</row>
    <row r="467" ht="11.25" customHeight="1">
      <c r="A467" s="7"/>
      <c r="B467" s="5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11"/>
      <c r="Y467" s="6"/>
      <c r="Z467" s="6"/>
      <c r="AA467" s="6"/>
      <c r="AB467" s="6"/>
      <c r="AC467" s="6"/>
      <c r="AD467" s="6"/>
      <c r="AE467" s="11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</row>
    <row r="468" ht="11.25" customHeight="1">
      <c r="A468" s="7"/>
      <c r="B468" s="5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11"/>
      <c r="Y468" s="6"/>
      <c r="Z468" s="6"/>
      <c r="AA468" s="6"/>
      <c r="AB468" s="6"/>
      <c r="AC468" s="6"/>
      <c r="AD468" s="6"/>
      <c r="AE468" s="11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</row>
    <row r="469" ht="11.25" customHeight="1">
      <c r="A469" s="7"/>
      <c r="B469" s="5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11"/>
      <c r="Y469" s="6"/>
      <c r="Z469" s="6"/>
      <c r="AA469" s="6"/>
      <c r="AB469" s="6"/>
      <c r="AC469" s="6"/>
      <c r="AD469" s="6"/>
      <c r="AE469" s="11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</row>
    <row r="470" ht="11.25" customHeight="1">
      <c r="A470" s="7"/>
      <c r="B470" s="5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11"/>
      <c r="Y470" s="6"/>
      <c r="Z470" s="6"/>
      <c r="AA470" s="6"/>
      <c r="AB470" s="6"/>
      <c r="AC470" s="6"/>
      <c r="AD470" s="6"/>
      <c r="AE470" s="11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</row>
    <row r="471" ht="11.25" customHeight="1">
      <c r="A471" s="7"/>
      <c r="B471" s="5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11"/>
      <c r="Y471" s="6"/>
      <c r="Z471" s="6"/>
      <c r="AA471" s="6"/>
      <c r="AB471" s="6"/>
      <c r="AC471" s="6"/>
      <c r="AD471" s="6"/>
      <c r="AE471" s="11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</row>
    <row r="472" ht="11.25" customHeight="1">
      <c r="A472" s="7"/>
      <c r="B472" s="5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11"/>
      <c r="Y472" s="6"/>
      <c r="Z472" s="6"/>
      <c r="AA472" s="6"/>
      <c r="AB472" s="6"/>
      <c r="AC472" s="6"/>
      <c r="AD472" s="6"/>
      <c r="AE472" s="11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</row>
    <row r="473" ht="11.25" customHeight="1">
      <c r="A473" s="7"/>
      <c r="B473" s="5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11"/>
      <c r="Y473" s="6"/>
      <c r="Z473" s="6"/>
      <c r="AA473" s="6"/>
      <c r="AB473" s="6"/>
      <c r="AC473" s="6"/>
      <c r="AD473" s="6"/>
      <c r="AE473" s="11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</row>
    <row r="474" ht="11.25" customHeight="1">
      <c r="A474" s="7"/>
      <c r="B474" s="5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11"/>
      <c r="Y474" s="6"/>
      <c r="Z474" s="6"/>
      <c r="AA474" s="6"/>
      <c r="AB474" s="6"/>
      <c r="AC474" s="6"/>
      <c r="AD474" s="6"/>
      <c r="AE474" s="11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</row>
    <row r="475" ht="11.25" customHeight="1">
      <c r="A475" s="7"/>
      <c r="B475" s="5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11"/>
      <c r="Y475" s="6"/>
      <c r="Z475" s="6"/>
      <c r="AA475" s="6"/>
      <c r="AB475" s="6"/>
      <c r="AC475" s="6"/>
      <c r="AD475" s="6"/>
      <c r="AE475" s="11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</row>
    <row r="476" ht="11.25" customHeight="1">
      <c r="A476" s="7"/>
      <c r="B476" s="5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11"/>
      <c r="Y476" s="6"/>
      <c r="Z476" s="6"/>
      <c r="AA476" s="6"/>
      <c r="AB476" s="6"/>
      <c r="AC476" s="6"/>
      <c r="AD476" s="6"/>
      <c r="AE476" s="11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</row>
    <row r="477" ht="11.25" customHeight="1">
      <c r="A477" s="7"/>
      <c r="B477" s="5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11"/>
      <c r="Y477" s="6"/>
      <c r="Z477" s="6"/>
      <c r="AA477" s="6"/>
      <c r="AB477" s="6"/>
      <c r="AC477" s="6"/>
      <c r="AD477" s="6"/>
      <c r="AE477" s="11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</row>
    <row r="478" ht="11.25" customHeight="1">
      <c r="A478" s="7"/>
      <c r="B478" s="5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11"/>
      <c r="Y478" s="6"/>
      <c r="Z478" s="6"/>
      <c r="AA478" s="6"/>
      <c r="AB478" s="6"/>
      <c r="AC478" s="6"/>
      <c r="AD478" s="6"/>
      <c r="AE478" s="11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</row>
    <row r="479" ht="11.25" customHeight="1">
      <c r="A479" s="7"/>
      <c r="B479" s="5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11"/>
      <c r="Y479" s="6"/>
      <c r="Z479" s="6"/>
      <c r="AA479" s="6"/>
      <c r="AB479" s="6"/>
      <c r="AC479" s="6"/>
      <c r="AD479" s="6"/>
      <c r="AE479" s="11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</row>
    <row r="480" ht="11.25" customHeight="1">
      <c r="A480" s="7"/>
      <c r="B480" s="5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11"/>
      <c r="Y480" s="6"/>
      <c r="Z480" s="6"/>
      <c r="AA480" s="6"/>
      <c r="AB480" s="6"/>
      <c r="AC480" s="6"/>
      <c r="AD480" s="6"/>
      <c r="AE480" s="11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</row>
    <row r="481" ht="11.25" customHeight="1">
      <c r="A481" s="7"/>
      <c r="B481" s="5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11"/>
      <c r="Y481" s="6"/>
      <c r="Z481" s="6"/>
      <c r="AA481" s="6"/>
      <c r="AB481" s="6"/>
      <c r="AC481" s="6"/>
      <c r="AD481" s="6"/>
      <c r="AE481" s="11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</row>
    <row r="482" ht="11.25" customHeight="1">
      <c r="A482" s="7"/>
      <c r="B482" s="5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11"/>
      <c r="Y482" s="6"/>
      <c r="Z482" s="6"/>
      <c r="AA482" s="6"/>
      <c r="AB482" s="6"/>
      <c r="AC482" s="6"/>
      <c r="AD482" s="6"/>
      <c r="AE482" s="11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</row>
    <row r="483" ht="11.25" customHeight="1">
      <c r="A483" s="7"/>
      <c r="B483" s="5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11"/>
      <c r="Y483" s="6"/>
      <c r="Z483" s="6"/>
      <c r="AA483" s="6"/>
      <c r="AB483" s="6"/>
      <c r="AC483" s="6"/>
      <c r="AD483" s="6"/>
      <c r="AE483" s="11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</row>
    <row r="484" ht="11.25" customHeight="1">
      <c r="A484" s="7"/>
      <c r="B484" s="5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11"/>
      <c r="Y484" s="6"/>
      <c r="Z484" s="6"/>
      <c r="AA484" s="6"/>
      <c r="AB484" s="6"/>
      <c r="AC484" s="6"/>
      <c r="AD484" s="6"/>
      <c r="AE484" s="11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</row>
    <row r="485" ht="11.25" customHeight="1">
      <c r="A485" s="7"/>
      <c r="B485" s="5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11"/>
      <c r="Y485" s="6"/>
      <c r="Z485" s="6"/>
      <c r="AA485" s="6"/>
      <c r="AB485" s="6"/>
      <c r="AC485" s="6"/>
      <c r="AD485" s="6"/>
      <c r="AE485" s="11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</row>
    <row r="486" ht="11.25" customHeight="1">
      <c r="A486" s="7"/>
      <c r="B486" s="5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11"/>
      <c r="Y486" s="6"/>
      <c r="Z486" s="6"/>
      <c r="AA486" s="6"/>
      <c r="AB486" s="6"/>
      <c r="AC486" s="6"/>
      <c r="AD486" s="6"/>
      <c r="AE486" s="11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</row>
    <row r="487" ht="11.25" customHeight="1">
      <c r="A487" s="7"/>
      <c r="B487" s="5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11"/>
      <c r="Y487" s="6"/>
      <c r="Z487" s="6"/>
      <c r="AA487" s="6"/>
      <c r="AB487" s="6"/>
      <c r="AC487" s="6"/>
      <c r="AD487" s="6"/>
      <c r="AE487" s="11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</row>
    <row r="488" ht="11.25" customHeight="1">
      <c r="A488" s="7"/>
      <c r="B488" s="5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11"/>
      <c r="Y488" s="6"/>
      <c r="Z488" s="6"/>
      <c r="AA488" s="6"/>
      <c r="AB488" s="6"/>
      <c r="AC488" s="6"/>
      <c r="AD488" s="6"/>
      <c r="AE488" s="11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</row>
    <row r="489" ht="11.25" customHeight="1">
      <c r="A489" s="7"/>
      <c r="B489" s="5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11"/>
      <c r="Y489" s="6"/>
      <c r="Z489" s="6"/>
      <c r="AA489" s="6"/>
      <c r="AB489" s="6"/>
      <c r="AC489" s="6"/>
      <c r="AD489" s="6"/>
      <c r="AE489" s="11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</row>
    <row r="490" ht="11.25" customHeight="1">
      <c r="A490" s="7"/>
      <c r="B490" s="5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11"/>
      <c r="Y490" s="6"/>
      <c r="Z490" s="6"/>
      <c r="AA490" s="6"/>
      <c r="AB490" s="6"/>
      <c r="AC490" s="6"/>
      <c r="AD490" s="6"/>
      <c r="AE490" s="11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</row>
    <row r="491" ht="11.25" customHeight="1">
      <c r="A491" s="7"/>
      <c r="B491" s="5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11"/>
      <c r="Y491" s="6"/>
      <c r="Z491" s="6"/>
      <c r="AA491" s="6"/>
      <c r="AB491" s="6"/>
      <c r="AC491" s="6"/>
      <c r="AD491" s="6"/>
      <c r="AE491" s="11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</row>
    <row r="492" ht="11.25" customHeight="1">
      <c r="A492" s="7"/>
      <c r="B492" s="5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11"/>
      <c r="Y492" s="6"/>
      <c r="Z492" s="6"/>
      <c r="AA492" s="6"/>
      <c r="AB492" s="6"/>
      <c r="AC492" s="6"/>
      <c r="AD492" s="6"/>
      <c r="AE492" s="11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</row>
    <row r="493" ht="11.25" customHeight="1">
      <c r="A493" s="7"/>
      <c r="B493" s="5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11"/>
      <c r="Y493" s="6"/>
      <c r="Z493" s="6"/>
      <c r="AA493" s="6"/>
      <c r="AB493" s="6"/>
      <c r="AC493" s="6"/>
      <c r="AD493" s="6"/>
      <c r="AE493" s="11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</row>
    <row r="494" ht="11.25" customHeight="1">
      <c r="A494" s="7"/>
      <c r="B494" s="5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11"/>
      <c r="Y494" s="6"/>
      <c r="Z494" s="6"/>
      <c r="AA494" s="6"/>
      <c r="AB494" s="6"/>
      <c r="AC494" s="6"/>
      <c r="AD494" s="6"/>
      <c r="AE494" s="11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</row>
    <row r="495" ht="11.25" customHeight="1">
      <c r="A495" s="7"/>
      <c r="B495" s="5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11"/>
      <c r="Y495" s="6"/>
      <c r="Z495" s="6"/>
      <c r="AA495" s="6"/>
      <c r="AB495" s="6"/>
      <c r="AC495" s="6"/>
      <c r="AD495" s="6"/>
      <c r="AE495" s="11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</row>
    <row r="496" ht="11.25" customHeight="1">
      <c r="A496" s="7"/>
      <c r="B496" s="5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11"/>
      <c r="Y496" s="6"/>
      <c r="Z496" s="6"/>
      <c r="AA496" s="6"/>
      <c r="AB496" s="6"/>
      <c r="AC496" s="6"/>
      <c r="AD496" s="6"/>
      <c r="AE496" s="11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</row>
    <row r="497" ht="11.25" customHeight="1">
      <c r="A497" s="7"/>
      <c r="B497" s="5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11"/>
      <c r="Y497" s="6"/>
      <c r="Z497" s="6"/>
      <c r="AA497" s="6"/>
      <c r="AB497" s="6"/>
      <c r="AC497" s="6"/>
      <c r="AD497" s="6"/>
      <c r="AE497" s="11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</row>
    <row r="498" ht="11.25" customHeight="1">
      <c r="A498" s="7"/>
      <c r="B498" s="5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11"/>
      <c r="Y498" s="6"/>
      <c r="Z498" s="6"/>
      <c r="AA498" s="6"/>
      <c r="AB498" s="6"/>
      <c r="AC498" s="6"/>
      <c r="AD498" s="6"/>
      <c r="AE498" s="11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</row>
    <row r="499" ht="11.25" customHeight="1">
      <c r="A499" s="7"/>
      <c r="B499" s="5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11"/>
      <c r="Y499" s="6"/>
      <c r="Z499" s="6"/>
      <c r="AA499" s="6"/>
      <c r="AB499" s="6"/>
      <c r="AC499" s="6"/>
      <c r="AD499" s="6"/>
      <c r="AE499" s="11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</row>
    <row r="500" ht="11.25" customHeight="1">
      <c r="A500" s="7"/>
      <c r="B500" s="5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11"/>
      <c r="Y500" s="6"/>
      <c r="Z500" s="6"/>
      <c r="AA500" s="6"/>
      <c r="AB500" s="6"/>
      <c r="AC500" s="6"/>
      <c r="AD500" s="6"/>
      <c r="AE500" s="11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</row>
    <row r="501" ht="11.25" customHeight="1">
      <c r="A501" s="7"/>
      <c r="B501" s="5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11"/>
      <c r="Y501" s="6"/>
      <c r="Z501" s="6"/>
      <c r="AA501" s="6"/>
      <c r="AB501" s="6"/>
      <c r="AC501" s="6"/>
      <c r="AD501" s="6"/>
      <c r="AE501" s="11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</row>
    <row r="502" ht="11.25" customHeight="1">
      <c r="A502" s="7"/>
      <c r="B502" s="5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11"/>
      <c r="Y502" s="6"/>
      <c r="Z502" s="6"/>
      <c r="AA502" s="6"/>
      <c r="AB502" s="6"/>
      <c r="AC502" s="6"/>
      <c r="AD502" s="6"/>
      <c r="AE502" s="11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</row>
    <row r="503" ht="11.25" customHeight="1">
      <c r="A503" s="7"/>
      <c r="B503" s="5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11"/>
      <c r="Y503" s="6"/>
      <c r="Z503" s="6"/>
      <c r="AA503" s="6"/>
      <c r="AB503" s="6"/>
      <c r="AC503" s="6"/>
      <c r="AD503" s="6"/>
      <c r="AE503" s="11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</row>
    <row r="504" ht="11.25" customHeight="1">
      <c r="A504" s="7"/>
      <c r="B504" s="5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11"/>
      <c r="Y504" s="6"/>
      <c r="Z504" s="6"/>
      <c r="AA504" s="6"/>
      <c r="AB504" s="6"/>
      <c r="AC504" s="6"/>
      <c r="AD504" s="6"/>
      <c r="AE504" s="11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</row>
    <row r="505" ht="11.25" customHeight="1">
      <c r="A505" s="7"/>
      <c r="B505" s="5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11"/>
      <c r="Y505" s="6"/>
      <c r="Z505" s="6"/>
      <c r="AA505" s="6"/>
      <c r="AB505" s="6"/>
      <c r="AC505" s="6"/>
      <c r="AD505" s="6"/>
      <c r="AE505" s="11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</row>
    <row r="506" ht="11.25" customHeight="1">
      <c r="A506" s="7"/>
      <c r="B506" s="5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11"/>
      <c r="Y506" s="6"/>
      <c r="Z506" s="6"/>
      <c r="AA506" s="6"/>
      <c r="AB506" s="6"/>
      <c r="AC506" s="6"/>
      <c r="AD506" s="6"/>
      <c r="AE506" s="11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</row>
    <row r="507" ht="11.25" customHeight="1">
      <c r="A507" s="7"/>
      <c r="B507" s="5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11"/>
      <c r="Y507" s="6"/>
      <c r="Z507" s="6"/>
      <c r="AA507" s="6"/>
      <c r="AB507" s="6"/>
      <c r="AC507" s="6"/>
      <c r="AD507" s="6"/>
      <c r="AE507" s="11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</row>
    <row r="508" ht="11.25" customHeight="1">
      <c r="A508" s="7"/>
      <c r="B508" s="5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11"/>
      <c r="Y508" s="6"/>
      <c r="Z508" s="6"/>
      <c r="AA508" s="6"/>
      <c r="AB508" s="6"/>
      <c r="AC508" s="6"/>
      <c r="AD508" s="6"/>
      <c r="AE508" s="11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</row>
    <row r="509" ht="11.25" customHeight="1">
      <c r="A509" s="7"/>
      <c r="B509" s="5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11"/>
      <c r="Y509" s="6"/>
      <c r="Z509" s="6"/>
      <c r="AA509" s="6"/>
      <c r="AB509" s="6"/>
      <c r="AC509" s="6"/>
      <c r="AD509" s="6"/>
      <c r="AE509" s="11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</row>
    <row r="510" ht="11.25" customHeight="1">
      <c r="A510" s="7"/>
      <c r="B510" s="5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11"/>
      <c r="Y510" s="6"/>
      <c r="Z510" s="6"/>
      <c r="AA510" s="6"/>
      <c r="AB510" s="6"/>
      <c r="AC510" s="6"/>
      <c r="AD510" s="6"/>
      <c r="AE510" s="11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</row>
    <row r="511" ht="11.25" customHeight="1">
      <c r="A511" s="7"/>
      <c r="B511" s="5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11"/>
      <c r="Y511" s="6"/>
      <c r="Z511" s="6"/>
      <c r="AA511" s="6"/>
      <c r="AB511" s="6"/>
      <c r="AC511" s="6"/>
      <c r="AD511" s="6"/>
      <c r="AE511" s="11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</row>
    <row r="512" ht="11.25" customHeight="1">
      <c r="A512" s="7"/>
      <c r="B512" s="5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11"/>
      <c r="Y512" s="6"/>
      <c r="Z512" s="6"/>
      <c r="AA512" s="6"/>
      <c r="AB512" s="6"/>
      <c r="AC512" s="6"/>
      <c r="AD512" s="6"/>
      <c r="AE512" s="11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</row>
    <row r="513" ht="11.25" customHeight="1">
      <c r="A513" s="7"/>
      <c r="B513" s="5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11"/>
      <c r="Y513" s="6"/>
      <c r="Z513" s="6"/>
      <c r="AA513" s="6"/>
      <c r="AB513" s="6"/>
      <c r="AC513" s="6"/>
      <c r="AD513" s="6"/>
      <c r="AE513" s="11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</row>
    <row r="514" ht="11.25" customHeight="1">
      <c r="A514" s="7"/>
      <c r="B514" s="5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11"/>
      <c r="Y514" s="6"/>
      <c r="Z514" s="6"/>
      <c r="AA514" s="6"/>
      <c r="AB514" s="6"/>
      <c r="AC514" s="6"/>
      <c r="AD514" s="6"/>
      <c r="AE514" s="11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</row>
    <row r="515" ht="11.25" customHeight="1">
      <c r="A515" s="7"/>
      <c r="B515" s="5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11"/>
      <c r="Y515" s="6"/>
      <c r="Z515" s="6"/>
      <c r="AA515" s="6"/>
      <c r="AB515" s="6"/>
      <c r="AC515" s="6"/>
      <c r="AD515" s="6"/>
      <c r="AE515" s="11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</row>
    <row r="516" ht="11.25" customHeight="1">
      <c r="A516" s="7"/>
      <c r="B516" s="5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11"/>
      <c r="Y516" s="6"/>
      <c r="Z516" s="6"/>
      <c r="AA516" s="6"/>
      <c r="AB516" s="6"/>
      <c r="AC516" s="6"/>
      <c r="AD516" s="6"/>
      <c r="AE516" s="11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</row>
    <row r="517" ht="11.25" customHeight="1">
      <c r="A517" s="7"/>
      <c r="B517" s="5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11"/>
      <c r="Y517" s="6"/>
      <c r="Z517" s="6"/>
      <c r="AA517" s="6"/>
      <c r="AB517" s="6"/>
      <c r="AC517" s="6"/>
      <c r="AD517" s="6"/>
      <c r="AE517" s="11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</row>
    <row r="518" ht="11.25" customHeight="1">
      <c r="A518" s="7"/>
      <c r="B518" s="5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11"/>
      <c r="Y518" s="6"/>
      <c r="Z518" s="6"/>
      <c r="AA518" s="6"/>
      <c r="AB518" s="6"/>
      <c r="AC518" s="6"/>
      <c r="AD518" s="6"/>
      <c r="AE518" s="11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</row>
    <row r="519" ht="11.25" customHeight="1">
      <c r="A519" s="7"/>
      <c r="B519" s="5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11"/>
      <c r="Y519" s="6"/>
      <c r="Z519" s="6"/>
      <c r="AA519" s="6"/>
      <c r="AB519" s="6"/>
      <c r="AC519" s="6"/>
      <c r="AD519" s="6"/>
      <c r="AE519" s="11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</row>
    <row r="520" ht="11.25" customHeight="1">
      <c r="A520" s="7"/>
      <c r="B520" s="5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11"/>
      <c r="Y520" s="6"/>
      <c r="Z520" s="6"/>
      <c r="AA520" s="6"/>
      <c r="AB520" s="6"/>
      <c r="AC520" s="6"/>
      <c r="AD520" s="6"/>
      <c r="AE520" s="11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</row>
    <row r="521" ht="11.25" customHeight="1">
      <c r="A521" s="7"/>
      <c r="B521" s="5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11"/>
      <c r="Y521" s="6"/>
      <c r="Z521" s="6"/>
      <c r="AA521" s="6"/>
      <c r="AB521" s="6"/>
      <c r="AC521" s="6"/>
      <c r="AD521" s="6"/>
      <c r="AE521" s="11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</row>
    <row r="522" ht="11.25" customHeight="1">
      <c r="A522" s="7"/>
      <c r="B522" s="5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11"/>
      <c r="Y522" s="6"/>
      <c r="Z522" s="6"/>
      <c r="AA522" s="6"/>
      <c r="AB522" s="6"/>
      <c r="AC522" s="6"/>
      <c r="AD522" s="6"/>
      <c r="AE522" s="11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</row>
    <row r="523" ht="11.25" customHeight="1">
      <c r="A523" s="7"/>
      <c r="B523" s="5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11"/>
      <c r="Y523" s="6"/>
      <c r="Z523" s="6"/>
      <c r="AA523" s="6"/>
      <c r="AB523" s="6"/>
      <c r="AC523" s="6"/>
      <c r="AD523" s="6"/>
      <c r="AE523" s="11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</row>
    <row r="524" ht="11.25" customHeight="1">
      <c r="A524" s="7"/>
      <c r="B524" s="5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11"/>
      <c r="Y524" s="6"/>
      <c r="Z524" s="6"/>
      <c r="AA524" s="6"/>
      <c r="AB524" s="6"/>
      <c r="AC524" s="6"/>
      <c r="AD524" s="6"/>
      <c r="AE524" s="11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</row>
    <row r="525" ht="11.25" customHeight="1">
      <c r="A525" s="7"/>
      <c r="B525" s="5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11"/>
      <c r="Y525" s="6"/>
      <c r="Z525" s="6"/>
      <c r="AA525" s="6"/>
      <c r="AB525" s="6"/>
      <c r="AC525" s="6"/>
      <c r="AD525" s="6"/>
      <c r="AE525" s="11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</row>
    <row r="526" ht="11.25" customHeight="1">
      <c r="A526" s="7"/>
      <c r="B526" s="5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11"/>
      <c r="Y526" s="6"/>
      <c r="Z526" s="6"/>
      <c r="AA526" s="6"/>
      <c r="AB526" s="6"/>
      <c r="AC526" s="6"/>
      <c r="AD526" s="6"/>
      <c r="AE526" s="11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</row>
    <row r="527" ht="11.25" customHeight="1">
      <c r="A527" s="7"/>
      <c r="B527" s="5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11"/>
      <c r="Y527" s="6"/>
      <c r="Z527" s="6"/>
      <c r="AA527" s="6"/>
      <c r="AB527" s="6"/>
      <c r="AC527" s="6"/>
      <c r="AD527" s="6"/>
      <c r="AE527" s="11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</row>
    <row r="528" ht="11.25" customHeight="1">
      <c r="A528" s="7"/>
      <c r="B528" s="5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11"/>
      <c r="Y528" s="6"/>
      <c r="Z528" s="6"/>
      <c r="AA528" s="6"/>
      <c r="AB528" s="6"/>
      <c r="AC528" s="6"/>
      <c r="AD528" s="6"/>
      <c r="AE528" s="11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</row>
    <row r="529" ht="11.25" customHeight="1">
      <c r="A529" s="7"/>
      <c r="B529" s="5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11"/>
      <c r="Y529" s="6"/>
      <c r="Z529" s="6"/>
      <c r="AA529" s="6"/>
      <c r="AB529" s="6"/>
      <c r="AC529" s="6"/>
      <c r="AD529" s="6"/>
      <c r="AE529" s="11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</row>
    <row r="530" ht="11.25" customHeight="1">
      <c r="A530" s="7"/>
      <c r="B530" s="5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11"/>
      <c r="Y530" s="6"/>
      <c r="Z530" s="6"/>
      <c r="AA530" s="6"/>
      <c r="AB530" s="6"/>
      <c r="AC530" s="6"/>
      <c r="AD530" s="6"/>
      <c r="AE530" s="11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</row>
    <row r="531" ht="11.25" customHeight="1">
      <c r="A531" s="7"/>
      <c r="B531" s="5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11"/>
      <c r="Y531" s="6"/>
      <c r="Z531" s="6"/>
      <c r="AA531" s="6"/>
      <c r="AB531" s="6"/>
      <c r="AC531" s="6"/>
      <c r="AD531" s="6"/>
      <c r="AE531" s="11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</row>
    <row r="532" ht="11.25" customHeight="1">
      <c r="A532" s="7"/>
      <c r="B532" s="5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11"/>
      <c r="Y532" s="6"/>
      <c r="Z532" s="6"/>
      <c r="AA532" s="6"/>
      <c r="AB532" s="6"/>
      <c r="AC532" s="6"/>
      <c r="AD532" s="6"/>
      <c r="AE532" s="11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</row>
    <row r="533" ht="11.25" customHeight="1">
      <c r="A533" s="7"/>
      <c r="B533" s="5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11"/>
      <c r="Y533" s="6"/>
      <c r="Z533" s="6"/>
      <c r="AA533" s="6"/>
      <c r="AB533" s="6"/>
      <c r="AC533" s="6"/>
      <c r="AD533" s="6"/>
      <c r="AE533" s="11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</row>
    <row r="534" ht="11.25" customHeight="1">
      <c r="A534" s="7"/>
      <c r="B534" s="5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11"/>
      <c r="Y534" s="6"/>
      <c r="Z534" s="6"/>
      <c r="AA534" s="6"/>
      <c r="AB534" s="6"/>
      <c r="AC534" s="6"/>
      <c r="AD534" s="6"/>
      <c r="AE534" s="11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</row>
    <row r="535" ht="11.25" customHeight="1">
      <c r="A535" s="7"/>
      <c r="B535" s="5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11"/>
      <c r="Y535" s="6"/>
      <c r="Z535" s="6"/>
      <c r="AA535" s="6"/>
      <c r="AB535" s="6"/>
      <c r="AC535" s="6"/>
      <c r="AD535" s="6"/>
      <c r="AE535" s="11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</row>
    <row r="536" ht="11.25" customHeight="1">
      <c r="A536" s="7"/>
      <c r="B536" s="5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11"/>
      <c r="Y536" s="6"/>
      <c r="Z536" s="6"/>
      <c r="AA536" s="6"/>
      <c r="AB536" s="6"/>
      <c r="AC536" s="6"/>
      <c r="AD536" s="6"/>
      <c r="AE536" s="11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</row>
    <row r="537" ht="11.25" customHeight="1">
      <c r="A537" s="7"/>
      <c r="B537" s="5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11"/>
      <c r="Y537" s="6"/>
      <c r="Z537" s="6"/>
      <c r="AA537" s="6"/>
      <c r="AB537" s="6"/>
      <c r="AC537" s="6"/>
      <c r="AD537" s="6"/>
      <c r="AE537" s="11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</row>
    <row r="538" ht="11.25" customHeight="1">
      <c r="A538" s="7"/>
      <c r="B538" s="5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11"/>
      <c r="Y538" s="6"/>
      <c r="Z538" s="6"/>
      <c r="AA538" s="6"/>
      <c r="AB538" s="6"/>
      <c r="AC538" s="6"/>
      <c r="AD538" s="6"/>
      <c r="AE538" s="11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</row>
    <row r="539" ht="11.25" customHeight="1">
      <c r="A539" s="7"/>
      <c r="B539" s="5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11"/>
      <c r="Y539" s="6"/>
      <c r="Z539" s="6"/>
      <c r="AA539" s="6"/>
      <c r="AB539" s="6"/>
      <c r="AC539" s="6"/>
      <c r="AD539" s="6"/>
      <c r="AE539" s="11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</row>
    <row r="540" ht="11.25" customHeight="1">
      <c r="A540" s="7"/>
      <c r="B540" s="5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11"/>
      <c r="Y540" s="6"/>
      <c r="Z540" s="6"/>
      <c r="AA540" s="6"/>
      <c r="AB540" s="6"/>
      <c r="AC540" s="6"/>
      <c r="AD540" s="6"/>
      <c r="AE540" s="11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</row>
    <row r="541" ht="11.25" customHeight="1">
      <c r="A541" s="7"/>
      <c r="B541" s="5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11"/>
      <c r="Y541" s="6"/>
      <c r="Z541" s="6"/>
      <c r="AA541" s="6"/>
      <c r="AB541" s="6"/>
      <c r="AC541" s="6"/>
      <c r="AD541" s="6"/>
      <c r="AE541" s="11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</row>
    <row r="542" ht="11.25" customHeight="1">
      <c r="A542" s="7"/>
      <c r="B542" s="5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11"/>
      <c r="Y542" s="6"/>
      <c r="Z542" s="6"/>
      <c r="AA542" s="6"/>
      <c r="AB542" s="6"/>
      <c r="AC542" s="6"/>
      <c r="AD542" s="6"/>
      <c r="AE542" s="11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</row>
    <row r="543" ht="11.25" customHeight="1">
      <c r="A543" s="7"/>
      <c r="B543" s="5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11"/>
      <c r="Y543" s="6"/>
      <c r="Z543" s="6"/>
      <c r="AA543" s="6"/>
      <c r="AB543" s="6"/>
      <c r="AC543" s="6"/>
      <c r="AD543" s="6"/>
      <c r="AE543" s="11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</row>
    <row r="544" ht="11.25" customHeight="1">
      <c r="A544" s="7"/>
      <c r="B544" s="5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11"/>
      <c r="Y544" s="6"/>
      <c r="Z544" s="6"/>
      <c r="AA544" s="6"/>
      <c r="AB544" s="6"/>
      <c r="AC544" s="6"/>
      <c r="AD544" s="6"/>
      <c r="AE544" s="11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</row>
    <row r="545" ht="11.25" customHeight="1">
      <c r="A545" s="7"/>
      <c r="B545" s="5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11"/>
      <c r="Y545" s="6"/>
      <c r="Z545" s="6"/>
      <c r="AA545" s="6"/>
      <c r="AB545" s="6"/>
      <c r="AC545" s="6"/>
      <c r="AD545" s="6"/>
      <c r="AE545" s="11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</row>
    <row r="546" ht="11.25" customHeight="1">
      <c r="A546" s="7"/>
      <c r="B546" s="5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11"/>
      <c r="Y546" s="6"/>
      <c r="Z546" s="6"/>
      <c r="AA546" s="6"/>
      <c r="AB546" s="6"/>
      <c r="AC546" s="6"/>
      <c r="AD546" s="6"/>
      <c r="AE546" s="11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</row>
    <row r="547" ht="11.25" customHeight="1">
      <c r="A547" s="7"/>
      <c r="B547" s="5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11"/>
      <c r="Y547" s="6"/>
      <c r="Z547" s="6"/>
      <c r="AA547" s="6"/>
      <c r="AB547" s="6"/>
      <c r="AC547" s="6"/>
      <c r="AD547" s="6"/>
      <c r="AE547" s="11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</row>
    <row r="548" ht="11.25" customHeight="1">
      <c r="A548" s="7"/>
      <c r="B548" s="5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11"/>
      <c r="Y548" s="6"/>
      <c r="Z548" s="6"/>
      <c r="AA548" s="6"/>
      <c r="AB548" s="6"/>
      <c r="AC548" s="6"/>
      <c r="AD548" s="6"/>
      <c r="AE548" s="11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</row>
    <row r="549" ht="11.25" customHeight="1">
      <c r="A549" s="7"/>
      <c r="B549" s="5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11"/>
      <c r="Y549" s="6"/>
      <c r="Z549" s="6"/>
      <c r="AA549" s="6"/>
      <c r="AB549" s="6"/>
      <c r="AC549" s="6"/>
      <c r="AD549" s="6"/>
      <c r="AE549" s="11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</row>
    <row r="550" ht="11.25" customHeight="1">
      <c r="A550" s="7"/>
      <c r="B550" s="5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11"/>
      <c r="Y550" s="6"/>
      <c r="Z550" s="6"/>
      <c r="AA550" s="6"/>
      <c r="AB550" s="6"/>
      <c r="AC550" s="6"/>
      <c r="AD550" s="6"/>
      <c r="AE550" s="11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</row>
    <row r="551" ht="11.25" customHeight="1">
      <c r="A551" s="7"/>
      <c r="B551" s="5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11"/>
      <c r="Y551" s="6"/>
      <c r="Z551" s="6"/>
      <c r="AA551" s="6"/>
      <c r="AB551" s="6"/>
      <c r="AC551" s="6"/>
      <c r="AD551" s="6"/>
      <c r="AE551" s="11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</row>
    <row r="552" ht="11.25" customHeight="1">
      <c r="A552" s="7"/>
      <c r="B552" s="5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11"/>
      <c r="Y552" s="6"/>
      <c r="Z552" s="6"/>
      <c r="AA552" s="6"/>
      <c r="AB552" s="6"/>
      <c r="AC552" s="6"/>
      <c r="AD552" s="6"/>
      <c r="AE552" s="11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</row>
    <row r="553" ht="11.25" customHeight="1">
      <c r="A553" s="7"/>
      <c r="B553" s="5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11"/>
      <c r="Y553" s="6"/>
      <c r="Z553" s="6"/>
      <c r="AA553" s="6"/>
      <c r="AB553" s="6"/>
      <c r="AC553" s="6"/>
      <c r="AD553" s="6"/>
      <c r="AE553" s="11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</row>
    <row r="554" ht="11.25" customHeight="1">
      <c r="A554" s="7"/>
      <c r="B554" s="5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11"/>
      <c r="Y554" s="6"/>
      <c r="Z554" s="6"/>
      <c r="AA554" s="6"/>
      <c r="AB554" s="6"/>
      <c r="AC554" s="6"/>
      <c r="AD554" s="6"/>
      <c r="AE554" s="11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</row>
    <row r="555" ht="11.25" customHeight="1">
      <c r="A555" s="7"/>
      <c r="B555" s="5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11"/>
      <c r="Y555" s="6"/>
      <c r="Z555" s="6"/>
      <c r="AA555" s="6"/>
      <c r="AB555" s="6"/>
      <c r="AC555" s="6"/>
      <c r="AD555" s="6"/>
      <c r="AE555" s="11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</row>
    <row r="556" ht="11.25" customHeight="1">
      <c r="A556" s="7"/>
      <c r="B556" s="5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11"/>
      <c r="Y556" s="6"/>
      <c r="Z556" s="6"/>
      <c r="AA556" s="6"/>
      <c r="AB556" s="6"/>
      <c r="AC556" s="6"/>
      <c r="AD556" s="6"/>
      <c r="AE556" s="11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</row>
    <row r="557" ht="11.25" customHeight="1">
      <c r="A557" s="7"/>
      <c r="B557" s="5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11"/>
      <c r="Y557" s="6"/>
      <c r="Z557" s="6"/>
      <c r="AA557" s="6"/>
      <c r="AB557" s="6"/>
      <c r="AC557" s="6"/>
      <c r="AD557" s="6"/>
      <c r="AE557" s="11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</row>
    <row r="558" ht="11.25" customHeight="1">
      <c r="A558" s="7"/>
      <c r="B558" s="5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11"/>
      <c r="Y558" s="6"/>
      <c r="Z558" s="6"/>
      <c r="AA558" s="6"/>
      <c r="AB558" s="6"/>
      <c r="AC558" s="6"/>
      <c r="AD558" s="6"/>
      <c r="AE558" s="11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</row>
    <row r="559" ht="11.25" customHeight="1">
      <c r="A559" s="7"/>
      <c r="B559" s="5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11"/>
      <c r="Y559" s="6"/>
      <c r="Z559" s="6"/>
      <c r="AA559" s="6"/>
      <c r="AB559" s="6"/>
      <c r="AC559" s="6"/>
      <c r="AD559" s="6"/>
      <c r="AE559" s="11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</row>
    <row r="560" ht="11.25" customHeight="1">
      <c r="A560" s="7"/>
      <c r="B560" s="5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11"/>
      <c r="Y560" s="6"/>
      <c r="Z560" s="6"/>
      <c r="AA560" s="6"/>
      <c r="AB560" s="6"/>
      <c r="AC560" s="6"/>
      <c r="AD560" s="6"/>
      <c r="AE560" s="11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</row>
    <row r="561" ht="11.25" customHeight="1">
      <c r="A561" s="7"/>
      <c r="B561" s="5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11"/>
      <c r="Y561" s="6"/>
      <c r="Z561" s="6"/>
      <c r="AA561" s="6"/>
      <c r="AB561" s="6"/>
      <c r="AC561" s="6"/>
      <c r="AD561" s="6"/>
      <c r="AE561" s="11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</row>
    <row r="562" ht="11.25" customHeight="1">
      <c r="A562" s="7"/>
      <c r="B562" s="5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11"/>
      <c r="Y562" s="6"/>
      <c r="Z562" s="6"/>
      <c r="AA562" s="6"/>
      <c r="AB562" s="6"/>
      <c r="AC562" s="6"/>
      <c r="AD562" s="6"/>
      <c r="AE562" s="11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</row>
    <row r="563" ht="11.25" customHeight="1">
      <c r="A563" s="7"/>
      <c r="B563" s="5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11"/>
      <c r="Y563" s="6"/>
      <c r="Z563" s="6"/>
      <c r="AA563" s="6"/>
      <c r="AB563" s="6"/>
      <c r="AC563" s="6"/>
      <c r="AD563" s="6"/>
      <c r="AE563" s="11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</row>
    <row r="564" ht="11.25" customHeight="1">
      <c r="A564" s="7"/>
      <c r="B564" s="5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11"/>
      <c r="Y564" s="6"/>
      <c r="Z564" s="6"/>
      <c r="AA564" s="6"/>
      <c r="AB564" s="6"/>
      <c r="AC564" s="6"/>
      <c r="AD564" s="6"/>
      <c r="AE564" s="11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</row>
    <row r="565" ht="11.25" customHeight="1">
      <c r="A565" s="7"/>
      <c r="B565" s="5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11"/>
      <c r="Y565" s="6"/>
      <c r="Z565" s="6"/>
      <c r="AA565" s="6"/>
      <c r="AB565" s="6"/>
      <c r="AC565" s="6"/>
      <c r="AD565" s="6"/>
      <c r="AE565" s="11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</row>
    <row r="566" ht="11.25" customHeight="1">
      <c r="A566" s="7"/>
      <c r="B566" s="5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11"/>
      <c r="Y566" s="6"/>
      <c r="Z566" s="6"/>
      <c r="AA566" s="6"/>
      <c r="AB566" s="6"/>
      <c r="AC566" s="6"/>
      <c r="AD566" s="6"/>
      <c r="AE566" s="11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</row>
    <row r="567" ht="11.25" customHeight="1">
      <c r="A567" s="7"/>
      <c r="B567" s="5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11"/>
      <c r="Y567" s="6"/>
      <c r="Z567" s="6"/>
      <c r="AA567" s="6"/>
      <c r="AB567" s="6"/>
      <c r="AC567" s="6"/>
      <c r="AD567" s="6"/>
      <c r="AE567" s="11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</row>
    <row r="568" ht="11.25" customHeight="1">
      <c r="A568" s="7"/>
      <c r="B568" s="5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11"/>
      <c r="Y568" s="6"/>
      <c r="Z568" s="6"/>
      <c r="AA568" s="6"/>
      <c r="AB568" s="6"/>
      <c r="AC568" s="6"/>
      <c r="AD568" s="6"/>
      <c r="AE568" s="11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</row>
    <row r="569" ht="11.25" customHeight="1">
      <c r="A569" s="7"/>
      <c r="B569" s="5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11"/>
      <c r="Y569" s="6"/>
      <c r="Z569" s="6"/>
      <c r="AA569" s="6"/>
      <c r="AB569" s="6"/>
      <c r="AC569" s="6"/>
      <c r="AD569" s="6"/>
      <c r="AE569" s="11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</row>
    <row r="570" ht="11.25" customHeight="1">
      <c r="A570" s="7"/>
      <c r="B570" s="5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11"/>
      <c r="Y570" s="6"/>
      <c r="Z570" s="6"/>
      <c r="AA570" s="6"/>
      <c r="AB570" s="6"/>
      <c r="AC570" s="6"/>
      <c r="AD570" s="6"/>
      <c r="AE570" s="11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</row>
    <row r="571" ht="11.25" customHeight="1">
      <c r="A571" s="7"/>
      <c r="B571" s="5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11"/>
      <c r="Y571" s="6"/>
      <c r="Z571" s="6"/>
      <c r="AA571" s="6"/>
      <c r="AB571" s="6"/>
      <c r="AC571" s="6"/>
      <c r="AD571" s="6"/>
      <c r="AE571" s="11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</row>
    <row r="572" ht="11.25" customHeight="1">
      <c r="A572" s="7"/>
      <c r="B572" s="5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11"/>
      <c r="Y572" s="6"/>
      <c r="Z572" s="6"/>
      <c r="AA572" s="6"/>
      <c r="AB572" s="6"/>
      <c r="AC572" s="6"/>
      <c r="AD572" s="6"/>
      <c r="AE572" s="11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</row>
    <row r="573" ht="11.25" customHeight="1">
      <c r="A573" s="7"/>
      <c r="B573" s="5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11"/>
      <c r="Y573" s="6"/>
      <c r="Z573" s="6"/>
      <c r="AA573" s="6"/>
      <c r="AB573" s="6"/>
      <c r="AC573" s="6"/>
      <c r="AD573" s="6"/>
      <c r="AE573" s="11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</row>
    <row r="574" ht="11.25" customHeight="1">
      <c r="A574" s="7"/>
      <c r="B574" s="5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11"/>
      <c r="Y574" s="6"/>
      <c r="Z574" s="6"/>
      <c r="AA574" s="6"/>
      <c r="AB574" s="6"/>
      <c r="AC574" s="6"/>
      <c r="AD574" s="6"/>
      <c r="AE574" s="11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</row>
    <row r="575" ht="11.25" customHeight="1">
      <c r="A575" s="7"/>
      <c r="B575" s="5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11"/>
      <c r="Y575" s="6"/>
      <c r="Z575" s="6"/>
      <c r="AA575" s="6"/>
      <c r="AB575" s="6"/>
      <c r="AC575" s="6"/>
      <c r="AD575" s="6"/>
      <c r="AE575" s="11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</row>
    <row r="576" ht="11.25" customHeight="1">
      <c r="A576" s="7"/>
      <c r="B576" s="5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11"/>
      <c r="Y576" s="6"/>
      <c r="Z576" s="6"/>
      <c r="AA576" s="6"/>
      <c r="AB576" s="6"/>
      <c r="AC576" s="6"/>
      <c r="AD576" s="6"/>
      <c r="AE576" s="11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</row>
    <row r="577" ht="11.25" customHeight="1">
      <c r="A577" s="7"/>
      <c r="B577" s="5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11"/>
      <c r="Y577" s="6"/>
      <c r="Z577" s="6"/>
      <c r="AA577" s="6"/>
      <c r="AB577" s="6"/>
      <c r="AC577" s="6"/>
      <c r="AD577" s="6"/>
      <c r="AE577" s="11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</row>
    <row r="578" ht="11.25" customHeight="1">
      <c r="A578" s="7"/>
      <c r="B578" s="5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11"/>
      <c r="Y578" s="6"/>
      <c r="Z578" s="6"/>
      <c r="AA578" s="6"/>
      <c r="AB578" s="6"/>
      <c r="AC578" s="6"/>
      <c r="AD578" s="6"/>
      <c r="AE578" s="11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</row>
    <row r="579" ht="11.25" customHeight="1">
      <c r="A579" s="7"/>
      <c r="B579" s="5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11"/>
      <c r="Y579" s="6"/>
      <c r="Z579" s="6"/>
      <c r="AA579" s="6"/>
      <c r="AB579" s="6"/>
      <c r="AC579" s="6"/>
      <c r="AD579" s="6"/>
      <c r="AE579" s="11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</row>
    <row r="580" ht="11.25" customHeight="1">
      <c r="A580" s="7"/>
      <c r="B580" s="5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11"/>
      <c r="Y580" s="6"/>
      <c r="Z580" s="6"/>
      <c r="AA580" s="6"/>
      <c r="AB580" s="6"/>
      <c r="AC580" s="6"/>
      <c r="AD580" s="6"/>
      <c r="AE580" s="11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</row>
    <row r="581" ht="11.25" customHeight="1">
      <c r="A581" s="7"/>
      <c r="B581" s="5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11"/>
      <c r="Y581" s="6"/>
      <c r="Z581" s="6"/>
      <c r="AA581" s="6"/>
      <c r="AB581" s="6"/>
      <c r="AC581" s="6"/>
      <c r="AD581" s="6"/>
      <c r="AE581" s="11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</row>
    <row r="582" ht="11.25" customHeight="1">
      <c r="A582" s="7"/>
      <c r="B582" s="5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11"/>
      <c r="Y582" s="6"/>
      <c r="Z582" s="6"/>
      <c r="AA582" s="6"/>
      <c r="AB582" s="6"/>
      <c r="AC582" s="6"/>
      <c r="AD582" s="6"/>
      <c r="AE582" s="11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</row>
    <row r="583" ht="11.25" customHeight="1">
      <c r="A583" s="7"/>
      <c r="B583" s="5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11"/>
      <c r="Y583" s="6"/>
      <c r="Z583" s="6"/>
      <c r="AA583" s="6"/>
      <c r="AB583" s="6"/>
      <c r="AC583" s="6"/>
      <c r="AD583" s="6"/>
      <c r="AE583" s="11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</row>
    <row r="584" ht="11.25" customHeight="1">
      <c r="A584" s="7"/>
      <c r="B584" s="5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11"/>
      <c r="Y584" s="6"/>
      <c r="Z584" s="6"/>
      <c r="AA584" s="6"/>
      <c r="AB584" s="6"/>
      <c r="AC584" s="6"/>
      <c r="AD584" s="6"/>
      <c r="AE584" s="11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</row>
    <row r="585" ht="11.25" customHeight="1">
      <c r="A585" s="7"/>
      <c r="B585" s="5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11"/>
      <c r="Y585" s="6"/>
      <c r="Z585" s="6"/>
      <c r="AA585" s="6"/>
      <c r="AB585" s="6"/>
      <c r="AC585" s="6"/>
      <c r="AD585" s="6"/>
      <c r="AE585" s="11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</row>
    <row r="586" ht="11.25" customHeight="1">
      <c r="A586" s="7"/>
      <c r="B586" s="5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11"/>
      <c r="Y586" s="6"/>
      <c r="Z586" s="6"/>
      <c r="AA586" s="6"/>
      <c r="AB586" s="6"/>
      <c r="AC586" s="6"/>
      <c r="AD586" s="6"/>
      <c r="AE586" s="11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</row>
    <row r="587" ht="11.25" customHeight="1">
      <c r="A587" s="7"/>
      <c r="B587" s="5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11"/>
      <c r="Y587" s="6"/>
      <c r="Z587" s="6"/>
      <c r="AA587" s="6"/>
      <c r="AB587" s="6"/>
      <c r="AC587" s="6"/>
      <c r="AD587" s="6"/>
      <c r="AE587" s="11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</row>
    <row r="588" ht="11.25" customHeight="1">
      <c r="A588" s="7"/>
      <c r="B588" s="5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11"/>
      <c r="Y588" s="6"/>
      <c r="Z588" s="6"/>
      <c r="AA588" s="6"/>
      <c r="AB588" s="6"/>
      <c r="AC588" s="6"/>
      <c r="AD588" s="6"/>
      <c r="AE588" s="11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</row>
    <row r="589" ht="11.25" customHeight="1">
      <c r="A589" s="7"/>
      <c r="B589" s="5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11"/>
      <c r="Y589" s="6"/>
      <c r="Z589" s="6"/>
      <c r="AA589" s="6"/>
      <c r="AB589" s="6"/>
      <c r="AC589" s="6"/>
      <c r="AD589" s="6"/>
      <c r="AE589" s="11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</row>
    <row r="590" ht="11.25" customHeight="1">
      <c r="A590" s="7"/>
      <c r="B590" s="5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11"/>
      <c r="Y590" s="6"/>
      <c r="Z590" s="6"/>
      <c r="AA590" s="6"/>
      <c r="AB590" s="6"/>
      <c r="AC590" s="6"/>
      <c r="AD590" s="6"/>
      <c r="AE590" s="11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</row>
    <row r="591" ht="11.25" customHeight="1">
      <c r="A591" s="7"/>
      <c r="B591" s="5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11"/>
      <c r="Y591" s="6"/>
      <c r="Z591" s="6"/>
      <c r="AA591" s="6"/>
      <c r="AB591" s="6"/>
      <c r="AC591" s="6"/>
      <c r="AD591" s="6"/>
      <c r="AE591" s="11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</row>
    <row r="592" ht="11.25" customHeight="1">
      <c r="A592" s="7"/>
      <c r="B592" s="5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11"/>
      <c r="Y592" s="6"/>
      <c r="Z592" s="6"/>
      <c r="AA592" s="6"/>
      <c r="AB592" s="6"/>
      <c r="AC592" s="6"/>
      <c r="AD592" s="6"/>
      <c r="AE592" s="11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</row>
    <row r="593" ht="11.25" customHeight="1">
      <c r="A593" s="7"/>
      <c r="B593" s="5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11"/>
      <c r="Y593" s="6"/>
      <c r="Z593" s="6"/>
      <c r="AA593" s="6"/>
      <c r="AB593" s="6"/>
      <c r="AC593" s="6"/>
      <c r="AD593" s="6"/>
      <c r="AE593" s="11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</row>
    <row r="594" ht="11.25" customHeight="1">
      <c r="A594" s="7"/>
      <c r="B594" s="5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11"/>
      <c r="Y594" s="6"/>
      <c r="Z594" s="6"/>
      <c r="AA594" s="6"/>
      <c r="AB594" s="6"/>
      <c r="AC594" s="6"/>
      <c r="AD594" s="6"/>
      <c r="AE594" s="11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</row>
    <row r="595" ht="11.25" customHeight="1">
      <c r="A595" s="7"/>
      <c r="B595" s="5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11"/>
      <c r="Y595" s="6"/>
      <c r="Z595" s="6"/>
      <c r="AA595" s="6"/>
      <c r="AB595" s="6"/>
      <c r="AC595" s="6"/>
      <c r="AD595" s="6"/>
      <c r="AE595" s="11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</row>
    <row r="596" ht="11.25" customHeight="1">
      <c r="A596" s="7"/>
      <c r="B596" s="5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11"/>
      <c r="Y596" s="6"/>
      <c r="Z596" s="6"/>
      <c r="AA596" s="6"/>
      <c r="AB596" s="6"/>
      <c r="AC596" s="6"/>
      <c r="AD596" s="6"/>
      <c r="AE596" s="11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</row>
    <row r="597" ht="11.25" customHeight="1">
      <c r="A597" s="7"/>
      <c r="B597" s="5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11"/>
      <c r="Y597" s="6"/>
      <c r="Z597" s="6"/>
      <c r="AA597" s="6"/>
      <c r="AB597" s="6"/>
      <c r="AC597" s="6"/>
      <c r="AD597" s="6"/>
      <c r="AE597" s="11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</row>
    <row r="598" ht="11.25" customHeight="1">
      <c r="A598" s="7"/>
      <c r="B598" s="5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11"/>
      <c r="Y598" s="6"/>
      <c r="Z598" s="6"/>
      <c r="AA598" s="6"/>
      <c r="AB598" s="6"/>
      <c r="AC598" s="6"/>
      <c r="AD598" s="6"/>
      <c r="AE598" s="11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</row>
    <row r="599" ht="11.25" customHeight="1">
      <c r="A599" s="7"/>
      <c r="B599" s="5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11"/>
      <c r="Y599" s="6"/>
      <c r="Z599" s="6"/>
      <c r="AA599" s="6"/>
      <c r="AB599" s="6"/>
      <c r="AC599" s="6"/>
      <c r="AD599" s="6"/>
      <c r="AE599" s="11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</row>
    <row r="600" ht="11.25" customHeight="1">
      <c r="A600" s="7"/>
      <c r="B600" s="5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11"/>
      <c r="Y600" s="6"/>
      <c r="Z600" s="6"/>
      <c r="AA600" s="6"/>
      <c r="AB600" s="6"/>
      <c r="AC600" s="6"/>
      <c r="AD600" s="6"/>
      <c r="AE600" s="11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</row>
    <row r="601" ht="11.25" customHeight="1">
      <c r="A601" s="7"/>
      <c r="B601" s="5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11"/>
      <c r="Y601" s="6"/>
      <c r="Z601" s="6"/>
      <c r="AA601" s="6"/>
      <c r="AB601" s="6"/>
      <c r="AC601" s="6"/>
      <c r="AD601" s="6"/>
      <c r="AE601" s="11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</row>
    <row r="602" ht="11.25" customHeight="1">
      <c r="A602" s="7"/>
      <c r="B602" s="5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11"/>
      <c r="Y602" s="6"/>
      <c r="Z602" s="6"/>
      <c r="AA602" s="6"/>
      <c r="AB602" s="6"/>
      <c r="AC602" s="6"/>
      <c r="AD602" s="6"/>
      <c r="AE602" s="11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</row>
    <row r="603" ht="11.25" customHeight="1">
      <c r="A603" s="7"/>
      <c r="B603" s="5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11"/>
      <c r="Y603" s="6"/>
      <c r="Z603" s="6"/>
      <c r="AA603" s="6"/>
      <c r="AB603" s="6"/>
      <c r="AC603" s="6"/>
      <c r="AD603" s="6"/>
      <c r="AE603" s="11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</row>
    <row r="604" ht="11.25" customHeight="1">
      <c r="A604" s="7"/>
      <c r="B604" s="5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11"/>
      <c r="Y604" s="6"/>
      <c r="Z604" s="6"/>
      <c r="AA604" s="6"/>
      <c r="AB604" s="6"/>
      <c r="AC604" s="6"/>
      <c r="AD604" s="6"/>
      <c r="AE604" s="11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</row>
    <row r="605" ht="11.25" customHeight="1">
      <c r="A605" s="7"/>
      <c r="B605" s="5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11"/>
      <c r="Y605" s="6"/>
      <c r="Z605" s="6"/>
      <c r="AA605" s="6"/>
      <c r="AB605" s="6"/>
      <c r="AC605" s="6"/>
      <c r="AD605" s="6"/>
      <c r="AE605" s="11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</row>
    <row r="606" ht="11.25" customHeight="1">
      <c r="A606" s="7"/>
      <c r="B606" s="5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11"/>
      <c r="Y606" s="6"/>
      <c r="Z606" s="6"/>
      <c r="AA606" s="6"/>
      <c r="AB606" s="6"/>
      <c r="AC606" s="6"/>
      <c r="AD606" s="6"/>
      <c r="AE606" s="11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</row>
    <row r="607" ht="11.25" customHeight="1">
      <c r="A607" s="7"/>
      <c r="B607" s="5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11"/>
      <c r="Y607" s="6"/>
      <c r="Z607" s="6"/>
      <c r="AA607" s="6"/>
      <c r="AB607" s="6"/>
      <c r="AC607" s="6"/>
      <c r="AD607" s="6"/>
      <c r="AE607" s="11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</row>
    <row r="608" ht="11.25" customHeight="1">
      <c r="A608" s="7"/>
      <c r="B608" s="5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11"/>
      <c r="Y608" s="6"/>
      <c r="Z608" s="6"/>
      <c r="AA608" s="6"/>
      <c r="AB608" s="6"/>
      <c r="AC608" s="6"/>
      <c r="AD608" s="6"/>
      <c r="AE608" s="11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</row>
    <row r="609" ht="11.25" customHeight="1">
      <c r="A609" s="7"/>
      <c r="B609" s="5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11"/>
      <c r="Y609" s="6"/>
      <c r="Z609" s="6"/>
      <c r="AA609" s="6"/>
      <c r="AB609" s="6"/>
      <c r="AC609" s="6"/>
      <c r="AD609" s="6"/>
      <c r="AE609" s="11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</row>
    <row r="610" ht="11.25" customHeight="1">
      <c r="A610" s="7"/>
      <c r="B610" s="5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11"/>
      <c r="Y610" s="6"/>
      <c r="Z610" s="6"/>
      <c r="AA610" s="6"/>
      <c r="AB610" s="6"/>
      <c r="AC610" s="6"/>
      <c r="AD610" s="6"/>
      <c r="AE610" s="11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</row>
    <row r="611" ht="11.25" customHeight="1">
      <c r="A611" s="7"/>
      <c r="B611" s="5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11"/>
      <c r="Y611" s="6"/>
      <c r="Z611" s="6"/>
      <c r="AA611" s="6"/>
      <c r="AB611" s="6"/>
      <c r="AC611" s="6"/>
      <c r="AD611" s="6"/>
      <c r="AE611" s="11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</row>
    <row r="612" ht="11.25" customHeight="1">
      <c r="A612" s="7"/>
      <c r="B612" s="5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11"/>
      <c r="Y612" s="6"/>
      <c r="Z612" s="6"/>
      <c r="AA612" s="6"/>
      <c r="AB612" s="6"/>
      <c r="AC612" s="6"/>
      <c r="AD612" s="6"/>
      <c r="AE612" s="11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</row>
    <row r="613" ht="11.25" customHeight="1">
      <c r="A613" s="7"/>
      <c r="B613" s="5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11"/>
      <c r="Y613" s="6"/>
      <c r="Z613" s="6"/>
      <c r="AA613" s="6"/>
      <c r="AB613" s="6"/>
      <c r="AC613" s="6"/>
      <c r="AD613" s="6"/>
      <c r="AE613" s="11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</row>
    <row r="614" ht="11.25" customHeight="1">
      <c r="A614" s="7"/>
      <c r="B614" s="5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11"/>
      <c r="Y614" s="6"/>
      <c r="Z614" s="6"/>
      <c r="AA614" s="6"/>
      <c r="AB614" s="6"/>
      <c r="AC614" s="6"/>
      <c r="AD614" s="6"/>
      <c r="AE614" s="11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</row>
    <row r="615" ht="11.25" customHeight="1">
      <c r="A615" s="7"/>
      <c r="B615" s="5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11"/>
      <c r="Y615" s="6"/>
      <c r="Z615" s="6"/>
      <c r="AA615" s="6"/>
      <c r="AB615" s="6"/>
      <c r="AC615" s="6"/>
      <c r="AD615" s="6"/>
      <c r="AE615" s="11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</row>
    <row r="616" ht="11.25" customHeight="1">
      <c r="A616" s="7"/>
      <c r="B616" s="5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11"/>
      <c r="Y616" s="6"/>
      <c r="Z616" s="6"/>
      <c r="AA616" s="6"/>
      <c r="AB616" s="6"/>
      <c r="AC616" s="6"/>
      <c r="AD616" s="6"/>
      <c r="AE616" s="11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</row>
    <row r="617" ht="11.25" customHeight="1">
      <c r="A617" s="7"/>
      <c r="B617" s="5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11"/>
      <c r="Y617" s="6"/>
      <c r="Z617" s="6"/>
      <c r="AA617" s="6"/>
      <c r="AB617" s="6"/>
      <c r="AC617" s="6"/>
      <c r="AD617" s="6"/>
      <c r="AE617" s="11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</row>
    <row r="618" ht="11.25" customHeight="1">
      <c r="A618" s="7"/>
      <c r="B618" s="5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11"/>
      <c r="Y618" s="6"/>
      <c r="Z618" s="6"/>
      <c r="AA618" s="6"/>
      <c r="AB618" s="6"/>
      <c r="AC618" s="6"/>
      <c r="AD618" s="6"/>
      <c r="AE618" s="11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</row>
    <row r="619" ht="11.25" customHeight="1">
      <c r="A619" s="7"/>
      <c r="B619" s="5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11"/>
      <c r="Y619" s="6"/>
      <c r="Z619" s="6"/>
      <c r="AA619" s="6"/>
      <c r="AB619" s="6"/>
      <c r="AC619" s="6"/>
      <c r="AD619" s="6"/>
      <c r="AE619" s="11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</row>
    <row r="620" ht="11.25" customHeight="1">
      <c r="A620" s="7"/>
      <c r="B620" s="5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11"/>
      <c r="Y620" s="6"/>
      <c r="Z620" s="6"/>
      <c r="AA620" s="6"/>
      <c r="AB620" s="6"/>
      <c r="AC620" s="6"/>
      <c r="AD620" s="6"/>
      <c r="AE620" s="11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</row>
    <row r="621" ht="11.25" customHeight="1">
      <c r="A621" s="7"/>
      <c r="B621" s="5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11"/>
      <c r="Y621" s="6"/>
      <c r="Z621" s="6"/>
      <c r="AA621" s="6"/>
      <c r="AB621" s="6"/>
      <c r="AC621" s="6"/>
      <c r="AD621" s="6"/>
      <c r="AE621" s="11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</row>
    <row r="622" ht="11.25" customHeight="1">
      <c r="A622" s="7"/>
      <c r="B622" s="5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11"/>
      <c r="Y622" s="6"/>
      <c r="Z622" s="6"/>
      <c r="AA622" s="6"/>
      <c r="AB622" s="6"/>
      <c r="AC622" s="6"/>
      <c r="AD622" s="6"/>
      <c r="AE622" s="11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</row>
    <row r="623" ht="11.25" customHeight="1">
      <c r="A623" s="7"/>
      <c r="B623" s="5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11"/>
      <c r="Y623" s="6"/>
      <c r="Z623" s="6"/>
      <c r="AA623" s="6"/>
      <c r="AB623" s="6"/>
      <c r="AC623" s="6"/>
      <c r="AD623" s="6"/>
      <c r="AE623" s="11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</row>
    <row r="624" ht="11.25" customHeight="1">
      <c r="A624" s="7"/>
      <c r="B624" s="5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11"/>
      <c r="Y624" s="6"/>
      <c r="Z624" s="6"/>
      <c r="AA624" s="6"/>
      <c r="AB624" s="6"/>
      <c r="AC624" s="6"/>
      <c r="AD624" s="6"/>
      <c r="AE624" s="11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</row>
    <row r="625" ht="11.25" customHeight="1">
      <c r="A625" s="7"/>
      <c r="B625" s="5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11"/>
      <c r="Y625" s="6"/>
      <c r="Z625" s="6"/>
      <c r="AA625" s="6"/>
      <c r="AB625" s="6"/>
      <c r="AC625" s="6"/>
      <c r="AD625" s="6"/>
      <c r="AE625" s="11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</row>
    <row r="626" ht="11.25" customHeight="1">
      <c r="A626" s="7"/>
      <c r="B626" s="5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11"/>
      <c r="Y626" s="6"/>
      <c r="Z626" s="6"/>
      <c r="AA626" s="6"/>
      <c r="AB626" s="6"/>
      <c r="AC626" s="6"/>
      <c r="AD626" s="6"/>
      <c r="AE626" s="11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</row>
    <row r="627" ht="11.25" customHeight="1">
      <c r="A627" s="7"/>
      <c r="B627" s="5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11"/>
      <c r="Y627" s="6"/>
      <c r="Z627" s="6"/>
      <c r="AA627" s="6"/>
      <c r="AB627" s="6"/>
      <c r="AC627" s="6"/>
      <c r="AD627" s="6"/>
      <c r="AE627" s="11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</row>
    <row r="628" ht="11.25" customHeight="1">
      <c r="A628" s="7"/>
      <c r="B628" s="5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11"/>
      <c r="Y628" s="6"/>
      <c r="Z628" s="6"/>
      <c r="AA628" s="6"/>
      <c r="AB628" s="6"/>
      <c r="AC628" s="6"/>
      <c r="AD628" s="6"/>
      <c r="AE628" s="11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</row>
    <row r="629" ht="11.25" customHeight="1">
      <c r="A629" s="7"/>
      <c r="B629" s="5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11"/>
      <c r="Y629" s="6"/>
      <c r="Z629" s="6"/>
      <c r="AA629" s="6"/>
      <c r="AB629" s="6"/>
      <c r="AC629" s="6"/>
      <c r="AD629" s="6"/>
      <c r="AE629" s="11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</row>
    <row r="630" ht="11.25" customHeight="1">
      <c r="A630" s="7"/>
      <c r="B630" s="5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11"/>
      <c r="Y630" s="6"/>
      <c r="Z630" s="6"/>
      <c r="AA630" s="6"/>
      <c r="AB630" s="6"/>
      <c r="AC630" s="6"/>
      <c r="AD630" s="6"/>
      <c r="AE630" s="11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</row>
    <row r="631" ht="11.25" customHeight="1">
      <c r="A631" s="7"/>
      <c r="B631" s="5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11"/>
      <c r="Y631" s="6"/>
      <c r="Z631" s="6"/>
      <c r="AA631" s="6"/>
      <c r="AB631" s="6"/>
      <c r="AC631" s="6"/>
      <c r="AD631" s="6"/>
      <c r="AE631" s="11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</row>
    <row r="632" ht="11.25" customHeight="1">
      <c r="A632" s="7"/>
      <c r="B632" s="5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11"/>
      <c r="Y632" s="6"/>
      <c r="Z632" s="6"/>
      <c r="AA632" s="6"/>
      <c r="AB632" s="6"/>
      <c r="AC632" s="6"/>
      <c r="AD632" s="6"/>
      <c r="AE632" s="11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</row>
    <row r="633" ht="11.25" customHeight="1">
      <c r="A633" s="7"/>
      <c r="B633" s="5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11"/>
      <c r="Y633" s="6"/>
      <c r="Z633" s="6"/>
      <c r="AA633" s="6"/>
      <c r="AB633" s="6"/>
      <c r="AC633" s="6"/>
      <c r="AD633" s="6"/>
      <c r="AE633" s="11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</row>
    <row r="634" ht="11.25" customHeight="1">
      <c r="A634" s="7"/>
      <c r="B634" s="5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11"/>
      <c r="Y634" s="6"/>
      <c r="Z634" s="6"/>
      <c r="AA634" s="6"/>
      <c r="AB634" s="6"/>
      <c r="AC634" s="6"/>
      <c r="AD634" s="6"/>
      <c r="AE634" s="11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</row>
    <row r="635" ht="11.25" customHeight="1">
      <c r="A635" s="7"/>
      <c r="B635" s="5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11"/>
      <c r="Y635" s="6"/>
      <c r="Z635" s="6"/>
      <c r="AA635" s="6"/>
      <c r="AB635" s="6"/>
      <c r="AC635" s="6"/>
      <c r="AD635" s="6"/>
      <c r="AE635" s="11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</row>
    <row r="636" ht="11.25" customHeight="1">
      <c r="A636" s="7"/>
      <c r="B636" s="5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11"/>
      <c r="Y636" s="6"/>
      <c r="Z636" s="6"/>
      <c r="AA636" s="6"/>
      <c r="AB636" s="6"/>
      <c r="AC636" s="6"/>
      <c r="AD636" s="6"/>
      <c r="AE636" s="11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</row>
    <row r="637" ht="11.25" customHeight="1">
      <c r="A637" s="7"/>
      <c r="B637" s="5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11"/>
      <c r="Y637" s="6"/>
      <c r="Z637" s="6"/>
      <c r="AA637" s="6"/>
      <c r="AB637" s="6"/>
      <c r="AC637" s="6"/>
      <c r="AD637" s="6"/>
      <c r="AE637" s="11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</row>
    <row r="638" ht="11.25" customHeight="1">
      <c r="A638" s="7"/>
      <c r="B638" s="5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11"/>
      <c r="Y638" s="6"/>
      <c r="Z638" s="6"/>
      <c r="AA638" s="6"/>
      <c r="AB638" s="6"/>
      <c r="AC638" s="6"/>
      <c r="AD638" s="6"/>
      <c r="AE638" s="11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</row>
    <row r="639" ht="11.25" customHeight="1">
      <c r="A639" s="7"/>
      <c r="B639" s="5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11"/>
      <c r="Y639" s="6"/>
      <c r="Z639" s="6"/>
      <c r="AA639" s="6"/>
      <c r="AB639" s="6"/>
      <c r="AC639" s="6"/>
      <c r="AD639" s="6"/>
      <c r="AE639" s="11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</row>
    <row r="640" ht="11.25" customHeight="1">
      <c r="A640" s="7"/>
      <c r="B640" s="5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11"/>
      <c r="Y640" s="6"/>
      <c r="Z640" s="6"/>
      <c r="AA640" s="6"/>
      <c r="AB640" s="6"/>
      <c r="AC640" s="6"/>
      <c r="AD640" s="6"/>
      <c r="AE640" s="11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</row>
    <row r="641" ht="11.25" customHeight="1">
      <c r="A641" s="7"/>
      <c r="B641" s="5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11"/>
      <c r="Y641" s="6"/>
      <c r="Z641" s="6"/>
      <c r="AA641" s="6"/>
      <c r="AB641" s="6"/>
      <c r="AC641" s="6"/>
      <c r="AD641" s="6"/>
      <c r="AE641" s="11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</row>
    <row r="642" ht="11.25" customHeight="1">
      <c r="A642" s="7"/>
      <c r="B642" s="5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11"/>
      <c r="Y642" s="6"/>
      <c r="Z642" s="6"/>
      <c r="AA642" s="6"/>
      <c r="AB642" s="6"/>
      <c r="AC642" s="6"/>
      <c r="AD642" s="6"/>
      <c r="AE642" s="11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</row>
    <row r="643" ht="11.25" customHeight="1">
      <c r="A643" s="7"/>
      <c r="B643" s="5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11"/>
      <c r="Y643" s="6"/>
      <c r="Z643" s="6"/>
      <c r="AA643" s="6"/>
      <c r="AB643" s="6"/>
      <c r="AC643" s="6"/>
      <c r="AD643" s="6"/>
      <c r="AE643" s="11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</row>
    <row r="644" ht="11.25" customHeight="1">
      <c r="A644" s="7"/>
      <c r="B644" s="5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11"/>
      <c r="Y644" s="6"/>
      <c r="Z644" s="6"/>
      <c r="AA644" s="6"/>
      <c r="AB644" s="6"/>
      <c r="AC644" s="6"/>
      <c r="AD644" s="6"/>
      <c r="AE644" s="11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</row>
    <row r="645" ht="11.25" customHeight="1">
      <c r="A645" s="7"/>
      <c r="B645" s="5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11"/>
      <c r="Y645" s="6"/>
      <c r="Z645" s="6"/>
      <c r="AA645" s="6"/>
      <c r="AB645" s="6"/>
      <c r="AC645" s="6"/>
      <c r="AD645" s="6"/>
      <c r="AE645" s="11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</row>
    <row r="646" ht="11.25" customHeight="1">
      <c r="A646" s="7"/>
      <c r="B646" s="5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11"/>
      <c r="Y646" s="6"/>
      <c r="Z646" s="6"/>
      <c r="AA646" s="6"/>
      <c r="AB646" s="6"/>
      <c r="AC646" s="6"/>
      <c r="AD646" s="6"/>
      <c r="AE646" s="11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</row>
    <row r="647" ht="11.25" customHeight="1">
      <c r="A647" s="7"/>
      <c r="B647" s="5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11"/>
      <c r="Y647" s="6"/>
      <c r="Z647" s="6"/>
      <c r="AA647" s="6"/>
      <c r="AB647" s="6"/>
      <c r="AC647" s="6"/>
      <c r="AD647" s="6"/>
      <c r="AE647" s="11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</row>
    <row r="648" ht="11.25" customHeight="1">
      <c r="A648" s="7"/>
      <c r="B648" s="5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11"/>
      <c r="Y648" s="6"/>
      <c r="Z648" s="6"/>
      <c r="AA648" s="6"/>
      <c r="AB648" s="6"/>
      <c r="AC648" s="6"/>
      <c r="AD648" s="6"/>
      <c r="AE648" s="11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</row>
    <row r="649" ht="11.25" customHeight="1">
      <c r="A649" s="7"/>
      <c r="B649" s="5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11"/>
      <c r="Y649" s="6"/>
      <c r="Z649" s="6"/>
      <c r="AA649" s="6"/>
      <c r="AB649" s="6"/>
      <c r="AC649" s="6"/>
      <c r="AD649" s="6"/>
      <c r="AE649" s="11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</row>
    <row r="650" ht="11.25" customHeight="1">
      <c r="A650" s="7"/>
      <c r="B650" s="5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11"/>
      <c r="Y650" s="6"/>
      <c r="Z650" s="6"/>
      <c r="AA650" s="6"/>
      <c r="AB650" s="6"/>
      <c r="AC650" s="6"/>
      <c r="AD650" s="6"/>
      <c r="AE650" s="11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</row>
    <row r="651" ht="11.25" customHeight="1">
      <c r="A651" s="7"/>
      <c r="B651" s="5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11"/>
      <c r="Y651" s="6"/>
      <c r="Z651" s="6"/>
      <c r="AA651" s="6"/>
      <c r="AB651" s="6"/>
      <c r="AC651" s="6"/>
      <c r="AD651" s="6"/>
      <c r="AE651" s="11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</row>
    <row r="652" ht="11.25" customHeight="1">
      <c r="A652" s="7"/>
      <c r="B652" s="5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11"/>
      <c r="Y652" s="6"/>
      <c r="Z652" s="6"/>
      <c r="AA652" s="6"/>
      <c r="AB652" s="6"/>
      <c r="AC652" s="6"/>
      <c r="AD652" s="6"/>
      <c r="AE652" s="11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</row>
    <row r="653" ht="11.25" customHeight="1">
      <c r="A653" s="7"/>
      <c r="B653" s="5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11"/>
      <c r="Y653" s="6"/>
      <c r="Z653" s="6"/>
      <c r="AA653" s="6"/>
      <c r="AB653" s="6"/>
      <c r="AC653" s="6"/>
      <c r="AD653" s="6"/>
      <c r="AE653" s="11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</row>
    <row r="654" ht="11.25" customHeight="1">
      <c r="A654" s="7"/>
      <c r="B654" s="5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11"/>
      <c r="Y654" s="6"/>
      <c r="Z654" s="6"/>
      <c r="AA654" s="6"/>
      <c r="AB654" s="6"/>
      <c r="AC654" s="6"/>
      <c r="AD654" s="6"/>
      <c r="AE654" s="11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</row>
    <row r="655" ht="11.25" customHeight="1">
      <c r="A655" s="7"/>
      <c r="B655" s="5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11"/>
      <c r="Y655" s="6"/>
      <c r="Z655" s="6"/>
      <c r="AA655" s="6"/>
      <c r="AB655" s="6"/>
      <c r="AC655" s="6"/>
      <c r="AD655" s="6"/>
      <c r="AE655" s="11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</row>
    <row r="656" ht="11.25" customHeight="1">
      <c r="A656" s="7"/>
      <c r="B656" s="5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11"/>
      <c r="Y656" s="6"/>
      <c r="Z656" s="6"/>
      <c r="AA656" s="6"/>
      <c r="AB656" s="6"/>
      <c r="AC656" s="6"/>
      <c r="AD656" s="6"/>
      <c r="AE656" s="11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</row>
    <row r="657" ht="11.25" customHeight="1">
      <c r="A657" s="7"/>
      <c r="B657" s="5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11"/>
      <c r="Y657" s="6"/>
      <c r="Z657" s="6"/>
      <c r="AA657" s="6"/>
      <c r="AB657" s="6"/>
      <c r="AC657" s="6"/>
      <c r="AD657" s="6"/>
      <c r="AE657" s="11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</row>
    <row r="658" ht="11.25" customHeight="1">
      <c r="A658" s="7"/>
      <c r="B658" s="5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11"/>
      <c r="Y658" s="6"/>
      <c r="Z658" s="6"/>
      <c r="AA658" s="6"/>
      <c r="AB658" s="6"/>
      <c r="AC658" s="6"/>
      <c r="AD658" s="6"/>
      <c r="AE658" s="11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</row>
    <row r="659" ht="11.25" customHeight="1">
      <c r="A659" s="7"/>
      <c r="B659" s="5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11"/>
      <c r="Y659" s="6"/>
      <c r="Z659" s="6"/>
      <c r="AA659" s="6"/>
      <c r="AB659" s="6"/>
      <c r="AC659" s="6"/>
      <c r="AD659" s="6"/>
      <c r="AE659" s="11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</row>
    <row r="660" ht="11.25" customHeight="1">
      <c r="A660" s="7"/>
      <c r="B660" s="5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11"/>
      <c r="Y660" s="6"/>
      <c r="Z660" s="6"/>
      <c r="AA660" s="6"/>
      <c r="AB660" s="6"/>
      <c r="AC660" s="6"/>
      <c r="AD660" s="6"/>
      <c r="AE660" s="11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</row>
    <row r="661" ht="11.25" customHeight="1">
      <c r="A661" s="7"/>
      <c r="B661" s="5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11"/>
      <c r="Y661" s="6"/>
      <c r="Z661" s="6"/>
      <c r="AA661" s="6"/>
      <c r="AB661" s="6"/>
      <c r="AC661" s="6"/>
      <c r="AD661" s="6"/>
      <c r="AE661" s="11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</row>
    <row r="662" ht="11.25" customHeight="1">
      <c r="A662" s="7"/>
      <c r="B662" s="5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11"/>
      <c r="Y662" s="6"/>
      <c r="Z662" s="6"/>
      <c r="AA662" s="6"/>
      <c r="AB662" s="6"/>
      <c r="AC662" s="6"/>
      <c r="AD662" s="6"/>
      <c r="AE662" s="11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</row>
    <row r="663" ht="11.25" customHeight="1">
      <c r="A663" s="7"/>
      <c r="B663" s="5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11"/>
      <c r="Y663" s="6"/>
      <c r="Z663" s="6"/>
      <c r="AA663" s="6"/>
      <c r="AB663" s="6"/>
      <c r="AC663" s="6"/>
      <c r="AD663" s="6"/>
      <c r="AE663" s="11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</row>
    <row r="664" ht="11.25" customHeight="1">
      <c r="A664" s="7"/>
      <c r="B664" s="5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11"/>
      <c r="Y664" s="6"/>
      <c r="Z664" s="6"/>
      <c r="AA664" s="6"/>
      <c r="AB664" s="6"/>
      <c r="AC664" s="6"/>
      <c r="AD664" s="6"/>
      <c r="AE664" s="11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</row>
    <row r="665" ht="11.25" customHeight="1">
      <c r="A665" s="7"/>
      <c r="B665" s="5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11"/>
      <c r="Y665" s="6"/>
      <c r="Z665" s="6"/>
      <c r="AA665" s="6"/>
      <c r="AB665" s="6"/>
      <c r="AC665" s="6"/>
      <c r="AD665" s="6"/>
      <c r="AE665" s="11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</row>
    <row r="666" ht="11.25" customHeight="1">
      <c r="A666" s="7"/>
      <c r="B666" s="5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11"/>
      <c r="Y666" s="6"/>
      <c r="Z666" s="6"/>
      <c r="AA666" s="6"/>
      <c r="AB666" s="6"/>
      <c r="AC666" s="6"/>
      <c r="AD666" s="6"/>
      <c r="AE666" s="11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</row>
    <row r="667" ht="11.25" customHeight="1">
      <c r="A667" s="7"/>
      <c r="B667" s="5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11"/>
      <c r="Y667" s="6"/>
      <c r="Z667" s="6"/>
      <c r="AA667" s="6"/>
      <c r="AB667" s="6"/>
      <c r="AC667" s="6"/>
      <c r="AD667" s="6"/>
      <c r="AE667" s="11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</row>
    <row r="668" ht="11.25" customHeight="1">
      <c r="A668" s="7"/>
      <c r="B668" s="5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11"/>
      <c r="Y668" s="6"/>
      <c r="Z668" s="6"/>
      <c r="AA668" s="6"/>
      <c r="AB668" s="6"/>
      <c r="AC668" s="6"/>
      <c r="AD668" s="6"/>
      <c r="AE668" s="11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</row>
    <row r="669" ht="11.25" customHeight="1">
      <c r="A669" s="7"/>
      <c r="B669" s="5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11"/>
      <c r="Y669" s="6"/>
      <c r="Z669" s="6"/>
      <c r="AA669" s="6"/>
      <c r="AB669" s="6"/>
      <c r="AC669" s="6"/>
      <c r="AD669" s="6"/>
      <c r="AE669" s="11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</row>
    <row r="670" ht="11.25" customHeight="1">
      <c r="A670" s="7"/>
      <c r="B670" s="5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11"/>
      <c r="Y670" s="6"/>
      <c r="Z670" s="6"/>
      <c r="AA670" s="6"/>
      <c r="AB670" s="6"/>
      <c r="AC670" s="6"/>
      <c r="AD670" s="6"/>
      <c r="AE670" s="11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</row>
    <row r="671" ht="11.25" customHeight="1">
      <c r="A671" s="7"/>
      <c r="B671" s="5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11"/>
      <c r="Y671" s="6"/>
      <c r="Z671" s="6"/>
      <c r="AA671" s="6"/>
      <c r="AB671" s="6"/>
      <c r="AC671" s="6"/>
      <c r="AD671" s="6"/>
      <c r="AE671" s="11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</row>
    <row r="672" ht="11.25" customHeight="1">
      <c r="A672" s="7"/>
      <c r="B672" s="5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11"/>
      <c r="Y672" s="6"/>
      <c r="Z672" s="6"/>
      <c r="AA672" s="6"/>
      <c r="AB672" s="6"/>
      <c r="AC672" s="6"/>
      <c r="AD672" s="6"/>
      <c r="AE672" s="11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</row>
    <row r="673" ht="11.25" customHeight="1">
      <c r="A673" s="7"/>
      <c r="B673" s="5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11"/>
      <c r="Y673" s="6"/>
      <c r="Z673" s="6"/>
      <c r="AA673" s="6"/>
      <c r="AB673" s="6"/>
      <c r="AC673" s="6"/>
      <c r="AD673" s="6"/>
      <c r="AE673" s="11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</row>
    <row r="674" ht="11.25" customHeight="1">
      <c r="A674" s="7"/>
      <c r="B674" s="5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11"/>
      <c r="Y674" s="6"/>
      <c r="Z674" s="6"/>
      <c r="AA674" s="6"/>
      <c r="AB674" s="6"/>
      <c r="AC674" s="6"/>
      <c r="AD674" s="6"/>
      <c r="AE674" s="11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</row>
    <row r="675" ht="11.25" customHeight="1">
      <c r="A675" s="7"/>
      <c r="B675" s="5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11"/>
      <c r="Y675" s="6"/>
      <c r="Z675" s="6"/>
      <c r="AA675" s="6"/>
      <c r="AB675" s="6"/>
      <c r="AC675" s="6"/>
      <c r="AD675" s="6"/>
      <c r="AE675" s="11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</row>
    <row r="676" ht="11.25" customHeight="1">
      <c r="A676" s="7"/>
      <c r="B676" s="5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11"/>
      <c r="Y676" s="6"/>
      <c r="Z676" s="6"/>
      <c r="AA676" s="6"/>
      <c r="AB676" s="6"/>
      <c r="AC676" s="6"/>
      <c r="AD676" s="6"/>
      <c r="AE676" s="11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</row>
    <row r="677" ht="11.25" customHeight="1">
      <c r="A677" s="7"/>
      <c r="B677" s="5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11"/>
      <c r="Y677" s="6"/>
      <c r="Z677" s="6"/>
      <c r="AA677" s="6"/>
      <c r="AB677" s="6"/>
      <c r="AC677" s="6"/>
      <c r="AD677" s="6"/>
      <c r="AE677" s="11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</row>
    <row r="678" ht="11.25" customHeight="1">
      <c r="A678" s="7"/>
      <c r="B678" s="5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11"/>
      <c r="Y678" s="6"/>
      <c r="Z678" s="6"/>
      <c r="AA678" s="6"/>
      <c r="AB678" s="6"/>
      <c r="AC678" s="6"/>
      <c r="AD678" s="6"/>
      <c r="AE678" s="11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</row>
    <row r="679" ht="11.25" customHeight="1">
      <c r="A679" s="7"/>
      <c r="B679" s="5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11"/>
      <c r="Y679" s="6"/>
      <c r="Z679" s="6"/>
      <c r="AA679" s="6"/>
      <c r="AB679" s="6"/>
      <c r="AC679" s="6"/>
      <c r="AD679" s="6"/>
      <c r="AE679" s="11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</row>
    <row r="680" ht="11.25" customHeight="1">
      <c r="A680" s="7"/>
      <c r="B680" s="5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11"/>
      <c r="Y680" s="6"/>
      <c r="Z680" s="6"/>
      <c r="AA680" s="6"/>
      <c r="AB680" s="6"/>
      <c r="AC680" s="6"/>
      <c r="AD680" s="6"/>
      <c r="AE680" s="11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</row>
    <row r="681" ht="11.25" customHeight="1">
      <c r="A681" s="7"/>
      <c r="B681" s="5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11"/>
      <c r="Y681" s="6"/>
      <c r="Z681" s="6"/>
      <c r="AA681" s="6"/>
      <c r="AB681" s="6"/>
      <c r="AC681" s="6"/>
      <c r="AD681" s="6"/>
      <c r="AE681" s="11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</row>
    <row r="682" ht="11.25" customHeight="1">
      <c r="A682" s="7"/>
      <c r="B682" s="5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11"/>
      <c r="Y682" s="6"/>
      <c r="Z682" s="6"/>
      <c r="AA682" s="6"/>
      <c r="AB682" s="6"/>
      <c r="AC682" s="6"/>
      <c r="AD682" s="6"/>
      <c r="AE682" s="11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</row>
    <row r="683" ht="11.25" customHeight="1">
      <c r="A683" s="7"/>
      <c r="B683" s="5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11"/>
      <c r="Y683" s="6"/>
      <c r="Z683" s="6"/>
      <c r="AA683" s="6"/>
      <c r="AB683" s="6"/>
      <c r="AC683" s="6"/>
      <c r="AD683" s="6"/>
      <c r="AE683" s="11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</row>
    <row r="684" ht="11.25" customHeight="1">
      <c r="A684" s="7"/>
      <c r="B684" s="5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11"/>
      <c r="Y684" s="6"/>
      <c r="Z684" s="6"/>
      <c r="AA684" s="6"/>
      <c r="AB684" s="6"/>
      <c r="AC684" s="6"/>
      <c r="AD684" s="6"/>
      <c r="AE684" s="11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</row>
    <row r="685" ht="11.25" customHeight="1">
      <c r="A685" s="7"/>
      <c r="B685" s="5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11"/>
      <c r="Y685" s="6"/>
      <c r="Z685" s="6"/>
      <c r="AA685" s="6"/>
      <c r="AB685" s="6"/>
      <c r="AC685" s="6"/>
      <c r="AD685" s="6"/>
      <c r="AE685" s="11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</row>
    <row r="686" ht="11.25" customHeight="1">
      <c r="A686" s="7"/>
      <c r="B686" s="5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11"/>
      <c r="Y686" s="6"/>
      <c r="Z686" s="6"/>
      <c r="AA686" s="6"/>
      <c r="AB686" s="6"/>
      <c r="AC686" s="6"/>
      <c r="AD686" s="6"/>
      <c r="AE686" s="11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</row>
    <row r="687" ht="11.25" customHeight="1">
      <c r="A687" s="7"/>
      <c r="B687" s="5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11"/>
      <c r="Y687" s="6"/>
      <c r="Z687" s="6"/>
      <c r="AA687" s="6"/>
      <c r="AB687" s="6"/>
      <c r="AC687" s="6"/>
      <c r="AD687" s="6"/>
      <c r="AE687" s="11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</row>
    <row r="688" ht="11.25" customHeight="1">
      <c r="A688" s="7"/>
      <c r="B688" s="5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11"/>
      <c r="Y688" s="6"/>
      <c r="Z688" s="6"/>
      <c r="AA688" s="6"/>
      <c r="AB688" s="6"/>
      <c r="AC688" s="6"/>
      <c r="AD688" s="6"/>
      <c r="AE688" s="11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</row>
    <row r="689" ht="11.25" customHeight="1">
      <c r="A689" s="7"/>
      <c r="B689" s="5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11"/>
      <c r="Y689" s="6"/>
      <c r="Z689" s="6"/>
      <c r="AA689" s="6"/>
      <c r="AB689" s="6"/>
      <c r="AC689" s="6"/>
      <c r="AD689" s="6"/>
      <c r="AE689" s="11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</row>
    <row r="690" ht="11.25" customHeight="1">
      <c r="A690" s="7"/>
      <c r="B690" s="5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11"/>
      <c r="Y690" s="6"/>
      <c r="Z690" s="6"/>
      <c r="AA690" s="6"/>
      <c r="AB690" s="6"/>
      <c r="AC690" s="6"/>
      <c r="AD690" s="6"/>
      <c r="AE690" s="11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</row>
    <row r="691" ht="11.25" customHeight="1">
      <c r="A691" s="7"/>
      <c r="B691" s="5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11"/>
      <c r="Y691" s="6"/>
      <c r="Z691" s="6"/>
      <c r="AA691" s="6"/>
      <c r="AB691" s="6"/>
      <c r="AC691" s="6"/>
      <c r="AD691" s="6"/>
      <c r="AE691" s="11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</row>
    <row r="692" ht="11.25" customHeight="1">
      <c r="A692" s="7"/>
      <c r="B692" s="5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11"/>
      <c r="Y692" s="6"/>
      <c r="Z692" s="6"/>
      <c r="AA692" s="6"/>
      <c r="AB692" s="6"/>
      <c r="AC692" s="6"/>
      <c r="AD692" s="6"/>
      <c r="AE692" s="11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</row>
    <row r="693" ht="11.25" customHeight="1">
      <c r="A693" s="7"/>
      <c r="B693" s="5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11"/>
      <c r="Y693" s="6"/>
      <c r="Z693" s="6"/>
      <c r="AA693" s="6"/>
      <c r="AB693" s="6"/>
      <c r="AC693" s="6"/>
      <c r="AD693" s="6"/>
      <c r="AE693" s="11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</row>
    <row r="694" ht="11.25" customHeight="1">
      <c r="A694" s="7"/>
      <c r="B694" s="5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11"/>
      <c r="Y694" s="6"/>
      <c r="Z694" s="6"/>
      <c r="AA694" s="6"/>
      <c r="AB694" s="6"/>
      <c r="AC694" s="6"/>
      <c r="AD694" s="6"/>
      <c r="AE694" s="11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</row>
    <row r="695" ht="11.25" customHeight="1">
      <c r="A695" s="7"/>
      <c r="B695" s="5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11"/>
      <c r="Y695" s="6"/>
      <c r="Z695" s="6"/>
      <c r="AA695" s="6"/>
      <c r="AB695" s="6"/>
      <c r="AC695" s="6"/>
      <c r="AD695" s="6"/>
      <c r="AE695" s="11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</row>
    <row r="696" ht="11.25" customHeight="1">
      <c r="A696" s="7"/>
      <c r="B696" s="5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11"/>
      <c r="Y696" s="6"/>
      <c r="Z696" s="6"/>
      <c r="AA696" s="6"/>
      <c r="AB696" s="6"/>
      <c r="AC696" s="6"/>
      <c r="AD696" s="6"/>
      <c r="AE696" s="11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</row>
    <row r="697" ht="11.25" customHeight="1">
      <c r="A697" s="7"/>
      <c r="B697" s="5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11"/>
      <c r="Y697" s="6"/>
      <c r="Z697" s="6"/>
      <c r="AA697" s="6"/>
      <c r="AB697" s="6"/>
      <c r="AC697" s="6"/>
      <c r="AD697" s="6"/>
      <c r="AE697" s="11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</row>
    <row r="698" ht="11.25" customHeight="1">
      <c r="A698" s="7"/>
      <c r="B698" s="5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11"/>
      <c r="Y698" s="6"/>
      <c r="Z698" s="6"/>
      <c r="AA698" s="6"/>
      <c r="AB698" s="6"/>
      <c r="AC698" s="6"/>
      <c r="AD698" s="6"/>
      <c r="AE698" s="11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</row>
    <row r="699" ht="11.25" customHeight="1">
      <c r="A699" s="7"/>
      <c r="B699" s="5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11"/>
      <c r="Y699" s="6"/>
      <c r="Z699" s="6"/>
      <c r="AA699" s="6"/>
      <c r="AB699" s="6"/>
      <c r="AC699" s="6"/>
      <c r="AD699" s="6"/>
      <c r="AE699" s="11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</row>
    <row r="700" ht="11.25" customHeight="1">
      <c r="A700" s="7"/>
      <c r="B700" s="5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11"/>
      <c r="Y700" s="6"/>
      <c r="Z700" s="6"/>
      <c r="AA700" s="6"/>
      <c r="AB700" s="6"/>
      <c r="AC700" s="6"/>
      <c r="AD700" s="6"/>
      <c r="AE700" s="11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</row>
    <row r="701" ht="11.25" customHeight="1">
      <c r="A701" s="7"/>
      <c r="B701" s="5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11"/>
      <c r="Y701" s="6"/>
      <c r="Z701" s="6"/>
      <c r="AA701" s="6"/>
      <c r="AB701" s="6"/>
      <c r="AC701" s="6"/>
      <c r="AD701" s="6"/>
      <c r="AE701" s="11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</row>
    <row r="702" ht="11.25" customHeight="1">
      <c r="A702" s="7"/>
      <c r="B702" s="5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11"/>
      <c r="Y702" s="6"/>
      <c r="Z702" s="6"/>
      <c r="AA702" s="6"/>
      <c r="AB702" s="6"/>
      <c r="AC702" s="6"/>
      <c r="AD702" s="6"/>
      <c r="AE702" s="11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</row>
    <row r="703" ht="11.25" customHeight="1">
      <c r="A703" s="7"/>
      <c r="B703" s="5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11"/>
      <c r="Y703" s="6"/>
      <c r="Z703" s="6"/>
      <c r="AA703" s="6"/>
      <c r="AB703" s="6"/>
      <c r="AC703" s="6"/>
      <c r="AD703" s="6"/>
      <c r="AE703" s="11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</row>
    <row r="704" ht="11.25" customHeight="1">
      <c r="A704" s="7"/>
      <c r="B704" s="5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11"/>
      <c r="Y704" s="6"/>
      <c r="Z704" s="6"/>
      <c r="AA704" s="6"/>
      <c r="AB704" s="6"/>
      <c r="AC704" s="6"/>
      <c r="AD704" s="6"/>
      <c r="AE704" s="11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</row>
    <row r="705" ht="11.25" customHeight="1">
      <c r="A705" s="7"/>
      <c r="B705" s="5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11"/>
      <c r="Y705" s="6"/>
      <c r="Z705" s="6"/>
      <c r="AA705" s="6"/>
      <c r="AB705" s="6"/>
      <c r="AC705" s="6"/>
      <c r="AD705" s="6"/>
      <c r="AE705" s="11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</row>
    <row r="706" ht="11.25" customHeight="1">
      <c r="A706" s="7"/>
      <c r="B706" s="5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11"/>
      <c r="Y706" s="6"/>
      <c r="Z706" s="6"/>
      <c r="AA706" s="6"/>
      <c r="AB706" s="6"/>
      <c r="AC706" s="6"/>
      <c r="AD706" s="6"/>
      <c r="AE706" s="11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</row>
    <row r="707" ht="11.25" customHeight="1">
      <c r="A707" s="7"/>
      <c r="B707" s="5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11"/>
      <c r="Y707" s="6"/>
      <c r="Z707" s="6"/>
      <c r="AA707" s="6"/>
      <c r="AB707" s="6"/>
      <c r="AC707" s="6"/>
      <c r="AD707" s="6"/>
      <c r="AE707" s="11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</row>
    <row r="708" ht="11.25" customHeight="1">
      <c r="A708" s="7"/>
      <c r="B708" s="5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11"/>
      <c r="Y708" s="6"/>
      <c r="Z708" s="6"/>
      <c r="AA708" s="6"/>
      <c r="AB708" s="6"/>
      <c r="AC708" s="6"/>
      <c r="AD708" s="6"/>
      <c r="AE708" s="11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</row>
    <row r="709" ht="11.25" customHeight="1">
      <c r="A709" s="7"/>
      <c r="B709" s="5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11"/>
      <c r="Y709" s="6"/>
      <c r="Z709" s="6"/>
      <c r="AA709" s="6"/>
      <c r="AB709" s="6"/>
      <c r="AC709" s="6"/>
      <c r="AD709" s="6"/>
      <c r="AE709" s="11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</row>
    <row r="710" ht="11.25" customHeight="1">
      <c r="A710" s="7"/>
      <c r="B710" s="5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11"/>
      <c r="Y710" s="6"/>
      <c r="Z710" s="6"/>
      <c r="AA710" s="6"/>
      <c r="AB710" s="6"/>
      <c r="AC710" s="6"/>
      <c r="AD710" s="6"/>
      <c r="AE710" s="11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</row>
    <row r="711" ht="11.25" customHeight="1">
      <c r="A711" s="7"/>
      <c r="B711" s="5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11"/>
      <c r="Y711" s="6"/>
      <c r="Z711" s="6"/>
      <c r="AA711" s="6"/>
      <c r="AB711" s="6"/>
      <c r="AC711" s="6"/>
      <c r="AD711" s="6"/>
      <c r="AE711" s="11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</row>
    <row r="712" ht="11.25" customHeight="1">
      <c r="A712" s="7"/>
      <c r="B712" s="5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11"/>
      <c r="Y712" s="6"/>
      <c r="Z712" s="6"/>
      <c r="AA712" s="6"/>
      <c r="AB712" s="6"/>
      <c r="AC712" s="6"/>
      <c r="AD712" s="6"/>
      <c r="AE712" s="11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</row>
    <row r="713" ht="11.25" customHeight="1">
      <c r="A713" s="7"/>
      <c r="B713" s="5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11"/>
      <c r="Y713" s="6"/>
      <c r="Z713" s="6"/>
      <c r="AA713" s="6"/>
      <c r="AB713" s="6"/>
      <c r="AC713" s="6"/>
      <c r="AD713" s="6"/>
      <c r="AE713" s="11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</row>
    <row r="714" ht="11.25" customHeight="1">
      <c r="A714" s="7"/>
      <c r="B714" s="5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11"/>
      <c r="Y714" s="6"/>
      <c r="Z714" s="6"/>
      <c r="AA714" s="6"/>
      <c r="AB714" s="6"/>
      <c r="AC714" s="6"/>
      <c r="AD714" s="6"/>
      <c r="AE714" s="11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</row>
    <row r="715" ht="11.25" customHeight="1">
      <c r="A715" s="7"/>
      <c r="B715" s="5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11"/>
      <c r="Y715" s="6"/>
      <c r="Z715" s="6"/>
      <c r="AA715" s="6"/>
      <c r="AB715" s="6"/>
      <c r="AC715" s="6"/>
      <c r="AD715" s="6"/>
      <c r="AE715" s="11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</row>
    <row r="716" ht="11.25" customHeight="1">
      <c r="A716" s="7"/>
      <c r="B716" s="5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11"/>
      <c r="Y716" s="6"/>
      <c r="Z716" s="6"/>
      <c r="AA716" s="6"/>
      <c r="AB716" s="6"/>
      <c r="AC716" s="6"/>
      <c r="AD716" s="6"/>
      <c r="AE716" s="11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</row>
    <row r="717" ht="11.25" customHeight="1">
      <c r="A717" s="7"/>
      <c r="B717" s="5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11"/>
      <c r="Y717" s="6"/>
      <c r="Z717" s="6"/>
      <c r="AA717" s="6"/>
      <c r="AB717" s="6"/>
      <c r="AC717" s="6"/>
      <c r="AD717" s="6"/>
      <c r="AE717" s="11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</row>
    <row r="718" ht="11.25" customHeight="1">
      <c r="A718" s="7"/>
      <c r="B718" s="5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11"/>
      <c r="Y718" s="6"/>
      <c r="Z718" s="6"/>
      <c r="AA718" s="6"/>
      <c r="AB718" s="6"/>
      <c r="AC718" s="6"/>
      <c r="AD718" s="6"/>
      <c r="AE718" s="11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</row>
    <row r="719" ht="11.25" customHeight="1">
      <c r="A719" s="7"/>
      <c r="B719" s="5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11"/>
      <c r="Y719" s="6"/>
      <c r="Z719" s="6"/>
      <c r="AA719" s="6"/>
      <c r="AB719" s="6"/>
      <c r="AC719" s="6"/>
      <c r="AD719" s="6"/>
      <c r="AE719" s="11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</row>
    <row r="720" ht="11.25" customHeight="1">
      <c r="A720" s="7"/>
      <c r="B720" s="5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11"/>
      <c r="Y720" s="6"/>
      <c r="Z720" s="6"/>
      <c r="AA720" s="6"/>
      <c r="AB720" s="6"/>
      <c r="AC720" s="6"/>
      <c r="AD720" s="6"/>
      <c r="AE720" s="11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</row>
    <row r="721" ht="11.25" customHeight="1">
      <c r="A721" s="7"/>
      <c r="B721" s="5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11"/>
      <c r="Y721" s="6"/>
      <c r="Z721" s="6"/>
      <c r="AA721" s="6"/>
      <c r="AB721" s="6"/>
      <c r="AC721" s="6"/>
      <c r="AD721" s="6"/>
      <c r="AE721" s="11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</row>
    <row r="722" ht="11.25" customHeight="1">
      <c r="A722" s="7"/>
      <c r="B722" s="5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11"/>
      <c r="Y722" s="6"/>
      <c r="Z722" s="6"/>
      <c r="AA722" s="6"/>
      <c r="AB722" s="6"/>
      <c r="AC722" s="6"/>
      <c r="AD722" s="6"/>
      <c r="AE722" s="11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</row>
    <row r="723" ht="11.25" customHeight="1">
      <c r="A723" s="7"/>
      <c r="B723" s="5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11"/>
      <c r="Y723" s="6"/>
      <c r="Z723" s="6"/>
      <c r="AA723" s="6"/>
      <c r="AB723" s="6"/>
      <c r="AC723" s="6"/>
      <c r="AD723" s="6"/>
      <c r="AE723" s="11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</row>
    <row r="724" ht="11.25" customHeight="1">
      <c r="A724" s="7"/>
      <c r="B724" s="5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11"/>
      <c r="Y724" s="6"/>
      <c r="Z724" s="6"/>
      <c r="AA724" s="6"/>
      <c r="AB724" s="6"/>
      <c r="AC724" s="6"/>
      <c r="AD724" s="6"/>
      <c r="AE724" s="11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</row>
    <row r="725" ht="11.25" customHeight="1">
      <c r="A725" s="7"/>
      <c r="B725" s="5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11"/>
      <c r="Y725" s="6"/>
      <c r="Z725" s="6"/>
      <c r="AA725" s="6"/>
      <c r="AB725" s="6"/>
      <c r="AC725" s="6"/>
      <c r="AD725" s="6"/>
      <c r="AE725" s="11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</row>
    <row r="726" ht="11.25" customHeight="1">
      <c r="A726" s="7"/>
      <c r="B726" s="5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11"/>
      <c r="Y726" s="6"/>
      <c r="Z726" s="6"/>
      <c r="AA726" s="6"/>
      <c r="AB726" s="6"/>
      <c r="AC726" s="6"/>
      <c r="AD726" s="6"/>
      <c r="AE726" s="11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</row>
    <row r="727" ht="11.25" customHeight="1">
      <c r="A727" s="7"/>
      <c r="B727" s="5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11"/>
      <c r="Y727" s="6"/>
      <c r="Z727" s="6"/>
      <c r="AA727" s="6"/>
      <c r="AB727" s="6"/>
      <c r="AC727" s="6"/>
      <c r="AD727" s="6"/>
      <c r="AE727" s="11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</row>
    <row r="728" ht="11.25" customHeight="1">
      <c r="A728" s="7"/>
      <c r="B728" s="5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11"/>
      <c r="Y728" s="6"/>
      <c r="Z728" s="6"/>
      <c r="AA728" s="6"/>
      <c r="AB728" s="6"/>
      <c r="AC728" s="6"/>
      <c r="AD728" s="6"/>
      <c r="AE728" s="11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</row>
    <row r="729" ht="11.25" customHeight="1">
      <c r="A729" s="7"/>
      <c r="B729" s="5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11"/>
      <c r="Y729" s="6"/>
      <c r="Z729" s="6"/>
      <c r="AA729" s="6"/>
      <c r="AB729" s="6"/>
      <c r="AC729" s="6"/>
      <c r="AD729" s="6"/>
      <c r="AE729" s="11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</row>
    <row r="730" ht="11.25" customHeight="1">
      <c r="A730" s="7"/>
      <c r="B730" s="5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11"/>
      <c r="Y730" s="6"/>
      <c r="Z730" s="6"/>
      <c r="AA730" s="6"/>
      <c r="AB730" s="6"/>
      <c r="AC730" s="6"/>
      <c r="AD730" s="6"/>
      <c r="AE730" s="11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</row>
    <row r="731" ht="11.25" customHeight="1">
      <c r="A731" s="7"/>
      <c r="B731" s="5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11"/>
      <c r="Y731" s="6"/>
      <c r="Z731" s="6"/>
      <c r="AA731" s="6"/>
      <c r="AB731" s="6"/>
      <c r="AC731" s="6"/>
      <c r="AD731" s="6"/>
      <c r="AE731" s="11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</row>
    <row r="732" ht="11.25" customHeight="1">
      <c r="A732" s="7"/>
      <c r="B732" s="5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11"/>
      <c r="Y732" s="6"/>
      <c r="Z732" s="6"/>
      <c r="AA732" s="6"/>
      <c r="AB732" s="6"/>
      <c r="AC732" s="6"/>
      <c r="AD732" s="6"/>
      <c r="AE732" s="11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</row>
    <row r="733" ht="11.25" customHeight="1">
      <c r="A733" s="7"/>
      <c r="B733" s="5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11"/>
      <c r="Y733" s="6"/>
      <c r="Z733" s="6"/>
      <c r="AA733" s="6"/>
      <c r="AB733" s="6"/>
      <c r="AC733" s="6"/>
      <c r="AD733" s="6"/>
      <c r="AE733" s="11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</row>
    <row r="734" ht="11.25" customHeight="1">
      <c r="A734" s="7"/>
      <c r="B734" s="5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11"/>
      <c r="Y734" s="6"/>
      <c r="Z734" s="6"/>
      <c r="AA734" s="6"/>
      <c r="AB734" s="6"/>
      <c r="AC734" s="6"/>
      <c r="AD734" s="6"/>
      <c r="AE734" s="11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</row>
    <row r="735" ht="11.25" customHeight="1">
      <c r="A735" s="7"/>
      <c r="B735" s="5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11"/>
      <c r="Y735" s="6"/>
      <c r="Z735" s="6"/>
      <c r="AA735" s="6"/>
      <c r="AB735" s="6"/>
      <c r="AC735" s="6"/>
      <c r="AD735" s="6"/>
      <c r="AE735" s="11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</row>
    <row r="736" ht="11.25" customHeight="1">
      <c r="A736" s="7"/>
      <c r="B736" s="5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11"/>
      <c r="Y736" s="6"/>
      <c r="Z736" s="6"/>
      <c r="AA736" s="6"/>
      <c r="AB736" s="6"/>
      <c r="AC736" s="6"/>
      <c r="AD736" s="6"/>
      <c r="AE736" s="11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</row>
    <row r="737" ht="11.25" customHeight="1">
      <c r="A737" s="7"/>
      <c r="B737" s="5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11"/>
      <c r="Y737" s="6"/>
      <c r="Z737" s="6"/>
      <c r="AA737" s="6"/>
      <c r="AB737" s="6"/>
      <c r="AC737" s="6"/>
      <c r="AD737" s="6"/>
      <c r="AE737" s="11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</row>
    <row r="738" ht="11.25" customHeight="1">
      <c r="A738" s="7"/>
      <c r="B738" s="5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11"/>
      <c r="Y738" s="6"/>
      <c r="Z738" s="6"/>
      <c r="AA738" s="6"/>
      <c r="AB738" s="6"/>
      <c r="AC738" s="6"/>
      <c r="AD738" s="6"/>
      <c r="AE738" s="11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</row>
    <row r="739" ht="11.25" customHeight="1">
      <c r="A739" s="7"/>
      <c r="B739" s="5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11"/>
      <c r="Y739" s="6"/>
      <c r="Z739" s="6"/>
      <c r="AA739" s="6"/>
      <c r="AB739" s="6"/>
      <c r="AC739" s="6"/>
      <c r="AD739" s="6"/>
      <c r="AE739" s="11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</row>
    <row r="740" ht="11.25" customHeight="1">
      <c r="A740" s="7"/>
      <c r="B740" s="5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11"/>
      <c r="Y740" s="6"/>
      <c r="Z740" s="6"/>
      <c r="AA740" s="6"/>
      <c r="AB740" s="6"/>
      <c r="AC740" s="6"/>
      <c r="AD740" s="6"/>
      <c r="AE740" s="11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</row>
    <row r="741" ht="11.25" customHeight="1">
      <c r="A741" s="7"/>
      <c r="B741" s="5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11"/>
      <c r="Y741" s="6"/>
      <c r="Z741" s="6"/>
      <c r="AA741" s="6"/>
      <c r="AB741" s="6"/>
      <c r="AC741" s="6"/>
      <c r="AD741" s="6"/>
      <c r="AE741" s="11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</row>
    <row r="742" ht="11.25" customHeight="1">
      <c r="A742" s="7"/>
      <c r="B742" s="5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11"/>
      <c r="Y742" s="6"/>
      <c r="Z742" s="6"/>
      <c r="AA742" s="6"/>
      <c r="AB742" s="6"/>
      <c r="AC742" s="6"/>
      <c r="AD742" s="6"/>
      <c r="AE742" s="11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</row>
    <row r="743" ht="11.25" customHeight="1">
      <c r="A743" s="7"/>
      <c r="B743" s="5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11"/>
      <c r="Y743" s="6"/>
      <c r="Z743" s="6"/>
      <c r="AA743" s="6"/>
      <c r="AB743" s="6"/>
      <c r="AC743" s="6"/>
      <c r="AD743" s="6"/>
      <c r="AE743" s="11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</row>
    <row r="744" ht="11.25" customHeight="1">
      <c r="A744" s="7"/>
      <c r="B744" s="5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11"/>
      <c r="Y744" s="6"/>
      <c r="Z744" s="6"/>
      <c r="AA744" s="6"/>
      <c r="AB744" s="6"/>
      <c r="AC744" s="6"/>
      <c r="AD744" s="6"/>
      <c r="AE744" s="11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</row>
    <row r="745" ht="11.25" customHeight="1">
      <c r="A745" s="7"/>
      <c r="B745" s="5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11"/>
      <c r="Y745" s="6"/>
      <c r="Z745" s="6"/>
      <c r="AA745" s="6"/>
      <c r="AB745" s="6"/>
      <c r="AC745" s="6"/>
      <c r="AD745" s="6"/>
      <c r="AE745" s="11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</row>
    <row r="746" ht="11.25" customHeight="1">
      <c r="A746" s="7"/>
      <c r="B746" s="5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11"/>
      <c r="Y746" s="6"/>
      <c r="Z746" s="6"/>
      <c r="AA746" s="6"/>
      <c r="AB746" s="6"/>
      <c r="AC746" s="6"/>
      <c r="AD746" s="6"/>
      <c r="AE746" s="11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</row>
    <row r="747" ht="11.25" customHeight="1">
      <c r="A747" s="7"/>
      <c r="B747" s="5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11"/>
      <c r="Y747" s="6"/>
      <c r="Z747" s="6"/>
      <c r="AA747" s="6"/>
      <c r="AB747" s="6"/>
      <c r="AC747" s="6"/>
      <c r="AD747" s="6"/>
      <c r="AE747" s="11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</row>
    <row r="748" ht="11.25" customHeight="1">
      <c r="A748" s="7"/>
      <c r="B748" s="5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11"/>
      <c r="Y748" s="6"/>
      <c r="Z748" s="6"/>
      <c r="AA748" s="6"/>
      <c r="AB748" s="6"/>
      <c r="AC748" s="6"/>
      <c r="AD748" s="6"/>
      <c r="AE748" s="11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</row>
    <row r="749" ht="11.25" customHeight="1">
      <c r="A749" s="7"/>
      <c r="B749" s="5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11"/>
      <c r="Y749" s="6"/>
      <c r="Z749" s="6"/>
      <c r="AA749" s="6"/>
      <c r="AB749" s="6"/>
      <c r="AC749" s="6"/>
      <c r="AD749" s="6"/>
      <c r="AE749" s="11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</row>
    <row r="750" ht="11.25" customHeight="1">
      <c r="A750" s="7"/>
      <c r="B750" s="5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11"/>
      <c r="Y750" s="6"/>
      <c r="Z750" s="6"/>
      <c r="AA750" s="6"/>
      <c r="AB750" s="6"/>
      <c r="AC750" s="6"/>
      <c r="AD750" s="6"/>
      <c r="AE750" s="11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</row>
    <row r="751" ht="11.25" customHeight="1">
      <c r="A751" s="7"/>
      <c r="B751" s="5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11"/>
      <c r="Y751" s="6"/>
      <c r="Z751" s="6"/>
      <c r="AA751" s="6"/>
      <c r="AB751" s="6"/>
      <c r="AC751" s="6"/>
      <c r="AD751" s="6"/>
      <c r="AE751" s="11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</row>
    <row r="752" ht="11.25" customHeight="1">
      <c r="A752" s="7"/>
      <c r="B752" s="5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11"/>
      <c r="Y752" s="6"/>
      <c r="Z752" s="6"/>
      <c r="AA752" s="6"/>
      <c r="AB752" s="6"/>
      <c r="AC752" s="6"/>
      <c r="AD752" s="6"/>
      <c r="AE752" s="11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</row>
    <row r="753" ht="11.25" customHeight="1">
      <c r="A753" s="7"/>
      <c r="B753" s="5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11"/>
      <c r="Y753" s="6"/>
      <c r="Z753" s="6"/>
      <c r="AA753" s="6"/>
      <c r="AB753" s="6"/>
      <c r="AC753" s="6"/>
      <c r="AD753" s="6"/>
      <c r="AE753" s="11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</row>
    <row r="754" ht="11.25" customHeight="1">
      <c r="A754" s="7"/>
      <c r="B754" s="5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11"/>
      <c r="Y754" s="6"/>
      <c r="Z754" s="6"/>
      <c r="AA754" s="6"/>
      <c r="AB754" s="6"/>
      <c r="AC754" s="6"/>
      <c r="AD754" s="6"/>
      <c r="AE754" s="11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</row>
    <row r="755" ht="11.25" customHeight="1">
      <c r="A755" s="7"/>
      <c r="B755" s="5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11"/>
      <c r="Y755" s="6"/>
      <c r="Z755" s="6"/>
      <c r="AA755" s="6"/>
      <c r="AB755" s="6"/>
      <c r="AC755" s="6"/>
      <c r="AD755" s="6"/>
      <c r="AE755" s="11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</row>
    <row r="756" ht="11.25" customHeight="1">
      <c r="A756" s="7"/>
      <c r="B756" s="5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11"/>
      <c r="Y756" s="6"/>
      <c r="Z756" s="6"/>
      <c r="AA756" s="6"/>
      <c r="AB756" s="6"/>
      <c r="AC756" s="6"/>
      <c r="AD756" s="6"/>
      <c r="AE756" s="11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</row>
    <row r="757" ht="11.25" customHeight="1">
      <c r="A757" s="7"/>
      <c r="B757" s="5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11"/>
      <c r="Y757" s="6"/>
      <c r="Z757" s="6"/>
      <c r="AA757" s="6"/>
      <c r="AB757" s="6"/>
      <c r="AC757" s="6"/>
      <c r="AD757" s="6"/>
      <c r="AE757" s="11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</row>
    <row r="758" ht="11.25" customHeight="1">
      <c r="A758" s="7"/>
      <c r="B758" s="5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11"/>
      <c r="Y758" s="6"/>
      <c r="Z758" s="6"/>
      <c r="AA758" s="6"/>
      <c r="AB758" s="6"/>
      <c r="AC758" s="6"/>
      <c r="AD758" s="6"/>
      <c r="AE758" s="11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</row>
    <row r="759" ht="11.25" customHeight="1">
      <c r="A759" s="7"/>
      <c r="B759" s="5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11"/>
      <c r="Y759" s="6"/>
      <c r="Z759" s="6"/>
      <c r="AA759" s="6"/>
      <c r="AB759" s="6"/>
      <c r="AC759" s="6"/>
      <c r="AD759" s="6"/>
      <c r="AE759" s="11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</row>
    <row r="760" ht="11.25" customHeight="1">
      <c r="A760" s="7"/>
      <c r="B760" s="5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11"/>
      <c r="Y760" s="6"/>
      <c r="Z760" s="6"/>
      <c r="AA760" s="6"/>
      <c r="AB760" s="6"/>
      <c r="AC760" s="6"/>
      <c r="AD760" s="6"/>
      <c r="AE760" s="11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</row>
    <row r="761" ht="11.25" customHeight="1">
      <c r="A761" s="7"/>
      <c r="B761" s="5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11"/>
      <c r="Y761" s="6"/>
      <c r="Z761" s="6"/>
      <c r="AA761" s="6"/>
      <c r="AB761" s="6"/>
      <c r="AC761" s="6"/>
      <c r="AD761" s="6"/>
      <c r="AE761" s="11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</row>
    <row r="762" ht="11.25" customHeight="1">
      <c r="A762" s="7"/>
      <c r="B762" s="5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11"/>
      <c r="Y762" s="6"/>
      <c r="Z762" s="6"/>
      <c r="AA762" s="6"/>
      <c r="AB762" s="6"/>
      <c r="AC762" s="6"/>
      <c r="AD762" s="6"/>
      <c r="AE762" s="11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</row>
    <row r="763" ht="11.25" customHeight="1">
      <c r="A763" s="7"/>
      <c r="B763" s="5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11"/>
      <c r="Y763" s="6"/>
      <c r="Z763" s="6"/>
      <c r="AA763" s="6"/>
      <c r="AB763" s="6"/>
      <c r="AC763" s="6"/>
      <c r="AD763" s="6"/>
      <c r="AE763" s="11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</row>
    <row r="764" ht="11.25" customHeight="1">
      <c r="A764" s="7"/>
      <c r="B764" s="5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11"/>
      <c r="Y764" s="6"/>
      <c r="Z764" s="6"/>
      <c r="AA764" s="6"/>
      <c r="AB764" s="6"/>
      <c r="AC764" s="6"/>
      <c r="AD764" s="6"/>
      <c r="AE764" s="11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</row>
    <row r="765" ht="11.25" customHeight="1">
      <c r="A765" s="7"/>
      <c r="B765" s="5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11"/>
      <c r="Y765" s="6"/>
      <c r="Z765" s="6"/>
      <c r="AA765" s="6"/>
      <c r="AB765" s="6"/>
      <c r="AC765" s="6"/>
      <c r="AD765" s="6"/>
      <c r="AE765" s="11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</row>
    <row r="766" ht="11.25" customHeight="1">
      <c r="A766" s="7"/>
      <c r="B766" s="5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11"/>
      <c r="Y766" s="6"/>
      <c r="Z766" s="6"/>
      <c r="AA766" s="6"/>
      <c r="AB766" s="6"/>
      <c r="AC766" s="6"/>
      <c r="AD766" s="6"/>
      <c r="AE766" s="11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</row>
    <row r="767" ht="11.25" customHeight="1">
      <c r="A767" s="7"/>
      <c r="B767" s="5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11"/>
      <c r="Y767" s="6"/>
      <c r="Z767" s="6"/>
      <c r="AA767" s="6"/>
      <c r="AB767" s="6"/>
      <c r="AC767" s="6"/>
      <c r="AD767" s="6"/>
      <c r="AE767" s="11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</row>
    <row r="768" ht="11.25" customHeight="1">
      <c r="A768" s="7"/>
      <c r="B768" s="5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11"/>
      <c r="Y768" s="6"/>
      <c r="Z768" s="6"/>
      <c r="AA768" s="6"/>
      <c r="AB768" s="6"/>
      <c r="AC768" s="6"/>
      <c r="AD768" s="6"/>
      <c r="AE768" s="11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</row>
    <row r="769" ht="11.25" customHeight="1">
      <c r="A769" s="7"/>
      <c r="B769" s="5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11"/>
      <c r="Y769" s="6"/>
      <c r="Z769" s="6"/>
      <c r="AA769" s="6"/>
      <c r="AB769" s="6"/>
      <c r="AC769" s="6"/>
      <c r="AD769" s="6"/>
      <c r="AE769" s="11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</row>
    <row r="770" ht="11.25" customHeight="1">
      <c r="A770" s="7"/>
      <c r="B770" s="5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11"/>
      <c r="Y770" s="6"/>
      <c r="Z770" s="6"/>
      <c r="AA770" s="6"/>
      <c r="AB770" s="6"/>
      <c r="AC770" s="6"/>
      <c r="AD770" s="6"/>
      <c r="AE770" s="11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</row>
    <row r="771" ht="11.25" customHeight="1">
      <c r="A771" s="7"/>
      <c r="B771" s="5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11"/>
      <c r="Y771" s="6"/>
      <c r="Z771" s="6"/>
      <c r="AA771" s="6"/>
      <c r="AB771" s="6"/>
      <c r="AC771" s="6"/>
      <c r="AD771" s="6"/>
      <c r="AE771" s="11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</row>
    <row r="772" ht="11.25" customHeight="1">
      <c r="A772" s="7"/>
      <c r="B772" s="5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11"/>
      <c r="Y772" s="6"/>
      <c r="Z772" s="6"/>
      <c r="AA772" s="6"/>
      <c r="AB772" s="6"/>
      <c r="AC772" s="6"/>
      <c r="AD772" s="6"/>
      <c r="AE772" s="11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</row>
    <row r="773" ht="11.25" customHeight="1">
      <c r="A773" s="7"/>
      <c r="B773" s="5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11"/>
      <c r="Y773" s="6"/>
      <c r="Z773" s="6"/>
      <c r="AA773" s="6"/>
      <c r="AB773" s="6"/>
      <c r="AC773" s="6"/>
      <c r="AD773" s="6"/>
      <c r="AE773" s="11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</row>
    <row r="774" ht="11.25" customHeight="1">
      <c r="A774" s="7"/>
      <c r="B774" s="5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11"/>
      <c r="Y774" s="6"/>
      <c r="Z774" s="6"/>
      <c r="AA774" s="6"/>
      <c r="AB774" s="6"/>
      <c r="AC774" s="6"/>
      <c r="AD774" s="6"/>
      <c r="AE774" s="11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</row>
    <row r="775" ht="11.25" customHeight="1">
      <c r="A775" s="7"/>
      <c r="B775" s="5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11"/>
      <c r="Y775" s="6"/>
      <c r="Z775" s="6"/>
      <c r="AA775" s="6"/>
      <c r="AB775" s="6"/>
      <c r="AC775" s="6"/>
      <c r="AD775" s="6"/>
      <c r="AE775" s="11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</row>
    <row r="776" ht="11.25" customHeight="1">
      <c r="A776" s="7"/>
      <c r="B776" s="5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11"/>
      <c r="Y776" s="6"/>
      <c r="Z776" s="6"/>
      <c r="AA776" s="6"/>
      <c r="AB776" s="6"/>
      <c r="AC776" s="6"/>
      <c r="AD776" s="6"/>
      <c r="AE776" s="11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</row>
    <row r="777" ht="11.25" customHeight="1">
      <c r="A777" s="7"/>
      <c r="B777" s="5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11"/>
      <c r="Y777" s="6"/>
      <c r="Z777" s="6"/>
      <c r="AA777" s="6"/>
      <c r="AB777" s="6"/>
      <c r="AC777" s="6"/>
      <c r="AD777" s="6"/>
      <c r="AE777" s="11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</row>
    <row r="778" ht="11.25" customHeight="1">
      <c r="A778" s="7"/>
      <c r="B778" s="5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11"/>
      <c r="Y778" s="6"/>
      <c r="Z778" s="6"/>
      <c r="AA778" s="6"/>
      <c r="AB778" s="6"/>
      <c r="AC778" s="6"/>
      <c r="AD778" s="6"/>
      <c r="AE778" s="11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</row>
    <row r="779" ht="11.25" customHeight="1">
      <c r="A779" s="7"/>
      <c r="B779" s="5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11"/>
      <c r="Y779" s="6"/>
      <c r="Z779" s="6"/>
      <c r="AA779" s="6"/>
      <c r="AB779" s="6"/>
      <c r="AC779" s="6"/>
      <c r="AD779" s="6"/>
      <c r="AE779" s="11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</row>
    <row r="780" ht="11.25" customHeight="1">
      <c r="A780" s="7"/>
      <c r="B780" s="5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11"/>
      <c r="Y780" s="6"/>
      <c r="Z780" s="6"/>
      <c r="AA780" s="6"/>
      <c r="AB780" s="6"/>
      <c r="AC780" s="6"/>
      <c r="AD780" s="6"/>
      <c r="AE780" s="11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</row>
    <row r="781" ht="11.25" customHeight="1">
      <c r="A781" s="7"/>
      <c r="B781" s="5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11"/>
      <c r="Y781" s="6"/>
      <c r="Z781" s="6"/>
      <c r="AA781" s="6"/>
      <c r="AB781" s="6"/>
      <c r="AC781" s="6"/>
      <c r="AD781" s="6"/>
      <c r="AE781" s="11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</row>
    <row r="782" ht="11.25" customHeight="1">
      <c r="A782" s="7"/>
      <c r="B782" s="5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11"/>
      <c r="Y782" s="6"/>
      <c r="Z782" s="6"/>
      <c r="AA782" s="6"/>
      <c r="AB782" s="6"/>
      <c r="AC782" s="6"/>
      <c r="AD782" s="6"/>
      <c r="AE782" s="11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</row>
    <row r="783" ht="11.25" customHeight="1">
      <c r="A783" s="7"/>
      <c r="B783" s="5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11"/>
      <c r="Y783" s="6"/>
      <c r="Z783" s="6"/>
      <c r="AA783" s="6"/>
      <c r="AB783" s="6"/>
      <c r="AC783" s="6"/>
      <c r="AD783" s="6"/>
      <c r="AE783" s="11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</row>
    <row r="784" ht="11.25" customHeight="1">
      <c r="A784" s="7"/>
      <c r="B784" s="5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11"/>
      <c r="Y784" s="6"/>
      <c r="Z784" s="6"/>
      <c r="AA784" s="6"/>
      <c r="AB784" s="6"/>
      <c r="AC784" s="6"/>
      <c r="AD784" s="6"/>
      <c r="AE784" s="11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</row>
    <row r="785" ht="11.25" customHeight="1">
      <c r="A785" s="7"/>
      <c r="B785" s="5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11"/>
      <c r="Y785" s="6"/>
      <c r="Z785" s="6"/>
      <c r="AA785" s="6"/>
      <c r="AB785" s="6"/>
      <c r="AC785" s="6"/>
      <c r="AD785" s="6"/>
      <c r="AE785" s="11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</row>
    <row r="786" ht="11.25" customHeight="1">
      <c r="A786" s="7"/>
      <c r="B786" s="5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11"/>
      <c r="Y786" s="6"/>
      <c r="Z786" s="6"/>
      <c r="AA786" s="6"/>
      <c r="AB786" s="6"/>
      <c r="AC786" s="6"/>
      <c r="AD786" s="6"/>
      <c r="AE786" s="11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</row>
    <row r="787" ht="11.25" customHeight="1">
      <c r="A787" s="7"/>
      <c r="B787" s="5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11"/>
      <c r="Y787" s="6"/>
      <c r="Z787" s="6"/>
      <c r="AA787" s="6"/>
      <c r="AB787" s="6"/>
      <c r="AC787" s="6"/>
      <c r="AD787" s="6"/>
      <c r="AE787" s="11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</row>
    <row r="788" ht="11.25" customHeight="1">
      <c r="A788" s="7"/>
      <c r="B788" s="5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11"/>
      <c r="Y788" s="6"/>
      <c r="Z788" s="6"/>
      <c r="AA788" s="6"/>
      <c r="AB788" s="6"/>
      <c r="AC788" s="6"/>
      <c r="AD788" s="6"/>
      <c r="AE788" s="11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</row>
    <row r="789" ht="11.25" customHeight="1">
      <c r="A789" s="7"/>
      <c r="B789" s="5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11"/>
      <c r="Y789" s="6"/>
      <c r="Z789" s="6"/>
      <c r="AA789" s="6"/>
      <c r="AB789" s="6"/>
      <c r="AC789" s="6"/>
      <c r="AD789" s="6"/>
      <c r="AE789" s="11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</row>
    <row r="790" ht="11.25" customHeight="1">
      <c r="A790" s="7"/>
      <c r="B790" s="5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11"/>
      <c r="Y790" s="6"/>
      <c r="Z790" s="6"/>
      <c r="AA790" s="6"/>
      <c r="AB790" s="6"/>
      <c r="AC790" s="6"/>
      <c r="AD790" s="6"/>
      <c r="AE790" s="11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</row>
    <row r="791" ht="11.25" customHeight="1">
      <c r="A791" s="7"/>
      <c r="B791" s="5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11"/>
      <c r="Y791" s="6"/>
      <c r="Z791" s="6"/>
      <c r="AA791" s="6"/>
      <c r="AB791" s="6"/>
      <c r="AC791" s="6"/>
      <c r="AD791" s="6"/>
      <c r="AE791" s="11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</row>
    <row r="792" ht="11.25" customHeight="1">
      <c r="A792" s="7"/>
      <c r="B792" s="5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11"/>
      <c r="Y792" s="6"/>
      <c r="Z792" s="6"/>
      <c r="AA792" s="6"/>
      <c r="AB792" s="6"/>
      <c r="AC792" s="6"/>
      <c r="AD792" s="6"/>
      <c r="AE792" s="11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</row>
    <row r="793" ht="11.25" customHeight="1">
      <c r="A793" s="7"/>
      <c r="B793" s="5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11"/>
      <c r="Y793" s="6"/>
      <c r="Z793" s="6"/>
      <c r="AA793" s="6"/>
      <c r="AB793" s="6"/>
      <c r="AC793" s="6"/>
      <c r="AD793" s="6"/>
      <c r="AE793" s="11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</row>
    <row r="794" ht="11.25" customHeight="1">
      <c r="A794" s="7"/>
      <c r="B794" s="5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11"/>
      <c r="Y794" s="6"/>
      <c r="Z794" s="6"/>
      <c r="AA794" s="6"/>
      <c r="AB794" s="6"/>
      <c r="AC794" s="6"/>
      <c r="AD794" s="6"/>
      <c r="AE794" s="11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</row>
    <row r="795" ht="11.25" customHeight="1">
      <c r="A795" s="7"/>
      <c r="B795" s="5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11"/>
      <c r="Y795" s="6"/>
      <c r="Z795" s="6"/>
      <c r="AA795" s="6"/>
      <c r="AB795" s="6"/>
      <c r="AC795" s="6"/>
      <c r="AD795" s="6"/>
      <c r="AE795" s="11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</row>
    <row r="796" ht="11.25" customHeight="1">
      <c r="A796" s="7"/>
      <c r="B796" s="5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11"/>
      <c r="Y796" s="6"/>
      <c r="Z796" s="6"/>
      <c r="AA796" s="6"/>
      <c r="AB796" s="6"/>
      <c r="AC796" s="6"/>
      <c r="AD796" s="6"/>
      <c r="AE796" s="11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</row>
    <row r="797" ht="11.25" customHeight="1">
      <c r="A797" s="7"/>
      <c r="B797" s="5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11"/>
      <c r="Y797" s="6"/>
      <c r="Z797" s="6"/>
      <c r="AA797" s="6"/>
      <c r="AB797" s="6"/>
      <c r="AC797" s="6"/>
      <c r="AD797" s="6"/>
      <c r="AE797" s="11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</row>
    <row r="798" ht="11.25" customHeight="1">
      <c r="A798" s="7"/>
      <c r="B798" s="5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11"/>
      <c r="Y798" s="6"/>
      <c r="Z798" s="6"/>
      <c r="AA798" s="6"/>
      <c r="AB798" s="6"/>
      <c r="AC798" s="6"/>
      <c r="AD798" s="6"/>
      <c r="AE798" s="11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</row>
    <row r="799" ht="11.25" customHeight="1">
      <c r="A799" s="7"/>
      <c r="B799" s="5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11"/>
      <c r="Y799" s="6"/>
      <c r="Z799" s="6"/>
      <c r="AA799" s="6"/>
      <c r="AB799" s="6"/>
      <c r="AC799" s="6"/>
      <c r="AD799" s="6"/>
      <c r="AE799" s="11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</row>
    <row r="800" ht="11.25" customHeight="1">
      <c r="A800" s="7"/>
      <c r="B800" s="5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11"/>
      <c r="Y800" s="6"/>
      <c r="Z800" s="6"/>
      <c r="AA800" s="6"/>
      <c r="AB800" s="6"/>
      <c r="AC800" s="6"/>
      <c r="AD800" s="6"/>
      <c r="AE800" s="11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</row>
    <row r="801" ht="11.25" customHeight="1">
      <c r="A801" s="7"/>
      <c r="B801" s="5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11"/>
      <c r="Y801" s="6"/>
      <c r="Z801" s="6"/>
      <c r="AA801" s="6"/>
      <c r="AB801" s="6"/>
      <c r="AC801" s="6"/>
      <c r="AD801" s="6"/>
      <c r="AE801" s="11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</row>
    <row r="802" ht="11.25" customHeight="1">
      <c r="A802" s="7"/>
      <c r="B802" s="5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11"/>
      <c r="Y802" s="6"/>
      <c r="Z802" s="6"/>
      <c r="AA802" s="6"/>
      <c r="AB802" s="6"/>
      <c r="AC802" s="6"/>
      <c r="AD802" s="6"/>
      <c r="AE802" s="11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</row>
    <row r="803" ht="11.25" customHeight="1">
      <c r="A803" s="7"/>
      <c r="B803" s="5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11"/>
      <c r="Y803" s="6"/>
      <c r="Z803" s="6"/>
      <c r="AA803" s="6"/>
      <c r="AB803" s="6"/>
      <c r="AC803" s="6"/>
      <c r="AD803" s="6"/>
      <c r="AE803" s="11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</row>
    <row r="804" ht="11.25" customHeight="1">
      <c r="A804" s="7"/>
      <c r="B804" s="5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11"/>
      <c r="Y804" s="6"/>
      <c r="Z804" s="6"/>
      <c r="AA804" s="6"/>
      <c r="AB804" s="6"/>
      <c r="AC804" s="6"/>
      <c r="AD804" s="6"/>
      <c r="AE804" s="11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</row>
    <row r="805" ht="11.25" customHeight="1">
      <c r="A805" s="7"/>
      <c r="B805" s="5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11"/>
      <c r="Y805" s="6"/>
      <c r="Z805" s="6"/>
      <c r="AA805" s="6"/>
      <c r="AB805" s="6"/>
      <c r="AC805" s="6"/>
      <c r="AD805" s="6"/>
      <c r="AE805" s="11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</row>
    <row r="806" ht="11.25" customHeight="1">
      <c r="A806" s="7"/>
      <c r="B806" s="5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11"/>
      <c r="Y806" s="6"/>
      <c r="Z806" s="6"/>
      <c r="AA806" s="6"/>
      <c r="AB806" s="6"/>
      <c r="AC806" s="6"/>
      <c r="AD806" s="6"/>
      <c r="AE806" s="11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</row>
    <row r="807" ht="11.25" customHeight="1">
      <c r="A807" s="7"/>
      <c r="B807" s="5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11"/>
      <c r="Y807" s="6"/>
      <c r="Z807" s="6"/>
      <c r="AA807" s="6"/>
      <c r="AB807" s="6"/>
      <c r="AC807" s="6"/>
      <c r="AD807" s="6"/>
      <c r="AE807" s="11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</row>
    <row r="808" ht="11.25" customHeight="1">
      <c r="A808" s="7"/>
      <c r="B808" s="5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11"/>
      <c r="Y808" s="6"/>
      <c r="Z808" s="6"/>
      <c r="AA808" s="6"/>
      <c r="AB808" s="6"/>
      <c r="AC808" s="6"/>
      <c r="AD808" s="6"/>
      <c r="AE808" s="11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</row>
    <row r="809" ht="11.25" customHeight="1">
      <c r="A809" s="7"/>
      <c r="B809" s="5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11"/>
      <c r="Y809" s="6"/>
      <c r="Z809" s="6"/>
      <c r="AA809" s="6"/>
      <c r="AB809" s="6"/>
      <c r="AC809" s="6"/>
      <c r="AD809" s="6"/>
      <c r="AE809" s="11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</row>
    <row r="810" ht="11.25" customHeight="1">
      <c r="A810" s="7"/>
      <c r="B810" s="5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11"/>
      <c r="Y810" s="6"/>
      <c r="Z810" s="6"/>
      <c r="AA810" s="6"/>
      <c r="AB810" s="6"/>
      <c r="AC810" s="6"/>
      <c r="AD810" s="6"/>
      <c r="AE810" s="11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</row>
    <row r="811" ht="11.25" customHeight="1">
      <c r="A811" s="7"/>
      <c r="B811" s="5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11"/>
      <c r="Y811" s="6"/>
      <c r="Z811" s="6"/>
      <c r="AA811" s="6"/>
      <c r="AB811" s="6"/>
      <c r="AC811" s="6"/>
      <c r="AD811" s="6"/>
      <c r="AE811" s="11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</row>
    <row r="812" ht="11.25" customHeight="1">
      <c r="A812" s="7"/>
      <c r="B812" s="5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11"/>
      <c r="Y812" s="6"/>
      <c r="Z812" s="6"/>
      <c r="AA812" s="6"/>
      <c r="AB812" s="6"/>
      <c r="AC812" s="6"/>
      <c r="AD812" s="6"/>
      <c r="AE812" s="11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</row>
    <row r="813" ht="11.25" customHeight="1">
      <c r="A813" s="7"/>
      <c r="B813" s="5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11"/>
      <c r="Y813" s="6"/>
      <c r="Z813" s="6"/>
      <c r="AA813" s="6"/>
      <c r="AB813" s="6"/>
      <c r="AC813" s="6"/>
      <c r="AD813" s="6"/>
      <c r="AE813" s="11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</row>
    <row r="814" ht="11.25" customHeight="1">
      <c r="A814" s="7"/>
      <c r="B814" s="5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11"/>
      <c r="Y814" s="6"/>
      <c r="Z814" s="6"/>
      <c r="AA814" s="6"/>
      <c r="AB814" s="6"/>
      <c r="AC814" s="6"/>
      <c r="AD814" s="6"/>
      <c r="AE814" s="11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</row>
    <row r="815" ht="11.25" customHeight="1">
      <c r="A815" s="7"/>
      <c r="B815" s="5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11"/>
      <c r="Y815" s="6"/>
      <c r="Z815" s="6"/>
      <c r="AA815" s="6"/>
      <c r="AB815" s="6"/>
      <c r="AC815" s="6"/>
      <c r="AD815" s="6"/>
      <c r="AE815" s="11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</row>
    <row r="816" ht="11.25" customHeight="1">
      <c r="A816" s="7"/>
      <c r="B816" s="5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11"/>
      <c r="Y816" s="6"/>
      <c r="Z816" s="6"/>
      <c r="AA816" s="6"/>
      <c r="AB816" s="6"/>
      <c r="AC816" s="6"/>
      <c r="AD816" s="6"/>
      <c r="AE816" s="11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</row>
    <row r="817" ht="11.25" customHeight="1">
      <c r="A817" s="7"/>
      <c r="B817" s="5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11"/>
      <c r="Y817" s="6"/>
      <c r="Z817" s="6"/>
      <c r="AA817" s="6"/>
      <c r="AB817" s="6"/>
      <c r="AC817" s="6"/>
      <c r="AD817" s="6"/>
      <c r="AE817" s="11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</row>
    <row r="818" ht="11.25" customHeight="1">
      <c r="A818" s="7"/>
      <c r="B818" s="5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11"/>
      <c r="Y818" s="6"/>
      <c r="Z818" s="6"/>
      <c r="AA818" s="6"/>
      <c r="AB818" s="6"/>
      <c r="AC818" s="6"/>
      <c r="AD818" s="6"/>
      <c r="AE818" s="11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</row>
    <row r="819" ht="11.25" customHeight="1">
      <c r="A819" s="7"/>
      <c r="B819" s="5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11"/>
      <c r="Y819" s="6"/>
      <c r="Z819" s="6"/>
      <c r="AA819" s="6"/>
      <c r="AB819" s="6"/>
      <c r="AC819" s="6"/>
      <c r="AD819" s="6"/>
      <c r="AE819" s="11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</row>
    <row r="820" ht="11.25" customHeight="1">
      <c r="A820" s="7"/>
      <c r="B820" s="5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11"/>
      <c r="Y820" s="6"/>
      <c r="Z820" s="6"/>
      <c r="AA820" s="6"/>
      <c r="AB820" s="6"/>
      <c r="AC820" s="6"/>
      <c r="AD820" s="6"/>
      <c r="AE820" s="11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</row>
    <row r="821" ht="11.25" customHeight="1">
      <c r="A821" s="7"/>
      <c r="B821" s="5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11"/>
      <c r="Y821" s="6"/>
      <c r="Z821" s="6"/>
      <c r="AA821" s="6"/>
      <c r="AB821" s="6"/>
      <c r="AC821" s="6"/>
      <c r="AD821" s="6"/>
      <c r="AE821" s="11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</row>
    <row r="822" ht="11.25" customHeight="1">
      <c r="A822" s="7"/>
      <c r="B822" s="5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11"/>
      <c r="Y822" s="6"/>
      <c r="Z822" s="6"/>
      <c r="AA822" s="6"/>
      <c r="AB822" s="6"/>
      <c r="AC822" s="6"/>
      <c r="AD822" s="6"/>
      <c r="AE822" s="11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</row>
    <row r="823" ht="11.25" customHeight="1">
      <c r="A823" s="7"/>
      <c r="B823" s="5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11"/>
      <c r="Y823" s="6"/>
      <c r="Z823" s="6"/>
      <c r="AA823" s="6"/>
      <c r="AB823" s="6"/>
      <c r="AC823" s="6"/>
      <c r="AD823" s="6"/>
      <c r="AE823" s="11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</row>
    <row r="824" ht="11.25" customHeight="1">
      <c r="A824" s="7"/>
      <c r="B824" s="5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11"/>
      <c r="Y824" s="6"/>
      <c r="Z824" s="6"/>
      <c r="AA824" s="6"/>
      <c r="AB824" s="6"/>
      <c r="AC824" s="6"/>
      <c r="AD824" s="6"/>
      <c r="AE824" s="11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</row>
    <row r="825" ht="11.25" customHeight="1">
      <c r="A825" s="7"/>
      <c r="B825" s="5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11"/>
      <c r="Y825" s="6"/>
      <c r="Z825" s="6"/>
      <c r="AA825" s="6"/>
      <c r="AB825" s="6"/>
      <c r="AC825" s="6"/>
      <c r="AD825" s="6"/>
      <c r="AE825" s="11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</row>
    <row r="826" ht="11.25" customHeight="1">
      <c r="A826" s="7"/>
      <c r="B826" s="5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11"/>
      <c r="Y826" s="6"/>
      <c r="Z826" s="6"/>
      <c r="AA826" s="6"/>
      <c r="AB826" s="6"/>
      <c r="AC826" s="6"/>
      <c r="AD826" s="6"/>
      <c r="AE826" s="11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</row>
    <row r="827" ht="11.25" customHeight="1">
      <c r="A827" s="7"/>
      <c r="B827" s="5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11"/>
      <c r="Y827" s="6"/>
      <c r="Z827" s="6"/>
      <c r="AA827" s="6"/>
      <c r="AB827" s="6"/>
      <c r="AC827" s="6"/>
      <c r="AD827" s="6"/>
      <c r="AE827" s="11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</row>
    <row r="828" ht="11.25" customHeight="1">
      <c r="A828" s="7"/>
      <c r="B828" s="5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11"/>
      <c r="Y828" s="6"/>
      <c r="Z828" s="6"/>
      <c r="AA828" s="6"/>
      <c r="AB828" s="6"/>
      <c r="AC828" s="6"/>
      <c r="AD828" s="6"/>
      <c r="AE828" s="11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</row>
    <row r="829" ht="11.25" customHeight="1">
      <c r="A829" s="7"/>
      <c r="B829" s="5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11"/>
      <c r="Y829" s="6"/>
      <c r="Z829" s="6"/>
      <c r="AA829" s="6"/>
      <c r="AB829" s="6"/>
      <c r="AC829" s="6"/>
      <c r="AD829" s="6"/>
      <c r="AE829" s="11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</row>
    <row r="830" ht="11.25" customHeight="1">
      <c r="A830" s="7"/>
      <c r="B830" s="5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11"/>
      <c r="Y830" s="6"/>
      <c r="Z830" s="6"/>
      <c r="AA830" s="6"/>
      <c r="AB830" s="6"/>
      <c r="AC830" s="6"/>
      <c r="AD830" s="6"/>
      <c r="AE830" s="11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</row>
    <row r="831" ht="11.25" customHeight="1">
      <c r="A831" s="7"/>
      <c r="B831" s="5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11"/>
      <c r="Y831" s="6"/>
      <c r="Z831" s="6"/>
      <c r="AA831" s="6"/>
      <c r="AB831" s="6"/>
      <c r="AC831" s="6"/>
      <c r="AD831" s="6"/>
      <c r="AE831" s="11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</row>
    <row r="832" ht="11.25" customHeight="1">
      <c r="A832" s="7"/>
      <c r="B832" s="5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11"/>
      <c r="Y832" s="6"/>
      <c r="Z832" s="6"/>
      <c r="AA832" s="6"/>
      <c r="AB832" s="6"/>
      <c r="AC832" s="6"/>
      <c r="AD832" s="6"/>
      <c r="AE832" s="11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</row>
    <row r="833" ht="11.25" customHeight="1">
      <c r="A833" s="7"/>
      <c r="B833" s="5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11"/>
      <c r="Y833" s="6"/>
      <c r="Z833" s="6"/>
      <c r="AA833" s="6"/>
      <c r="AB833" s="6"/>
      <c r="AC833" s="6"/>
      <c r="AD833" s="6"/>
      <c r="AE833" s="11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</row>
    <row r="834" ht="11.25" customHeight="1">
      <c r="A834" s="7"/>
      <c r="B834" s="5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11"/>
      <c r="Y834" s="6"/>
      <c r="Z834" s="6"/>
      <c r="AA834" s="6"/>
      <c r="AB834" s="6"/>
      <c r="AC834" s="6"/>
      <c r="AD834" s="6"/>
      <c r="AE834" s="11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</row>
    <row r="835" ht="11.25" customHeight="1">
      <c r="A835" s="7"/>
      <c r="B835" s="5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11"/>
      <c r="Y835" s="6"/>
      <c r="Z835" s="6"/>
      <c r="AA835" s="6"/>
      <c r="AB835" s="6"/>
      <c r="AC835" s="6"/>
      <c r="AD835" s="6"/>
      <c r="AE835" s="11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</row>
    <row r="836" ht="11.25" customHeight="1">
      <c r="A836" s="7"/>
      <c r="B836" s="5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11"/>
      <c r="Y836" s="6"/>
      <c r="Z836" s="6"/>
      <c r="AA836" s="6"/>
      <c r="AB836" s="6"/>
      <c r="AC836" s="6"/>
      <c r="AD836" s="6"/>
      <c r="AE836" s="11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</row>
    <row r="837" ht="11.25" customHeight="1">
      <c r="A837" s="7"/>
      <c r="B837" s="5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11"/>
      <c r="Y837" s="6"/>
      <c r="Z837" s="6"/>
      <c r="AA837" s="6"/>
      <c r="AB837" s="6"/>
      <c r="AC837" s="6"/>
      <c r="AD837" s="6"/>
      <c r="AE837" s="11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</row>
    <row r="838" ht="11.25" customHeight="1">
      <c r="A838" s="7"/>
      <c r="B838" s="5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11"/>
      <c r="Y838" s="6"/>
      <c r="Z838" s="6"/>
      <c r="AA838" s="6"/>
      <c r="AB838" s="6"/>
      <c r="AC838" s="6"/>
      <c r="AD838" s="6"/>
      <c r="AE838" s="11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</row>
    <row r="839" ht="11.25" customHeight="1">
      <c r="A839" s="7"/>
      <c r="B839" s="5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11"/>
      <c r="Y839" s="6"/>
      <c r="Z839" s="6"/>
      <c r="AA839" s="6"/>
      <c r="AB839" s="6"/>
      <c r="AC839" s="6"/>
      <c r="AD839" s="6"/>
      <c r="AE839" s="11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</row>
    <row r="840" ht="11.25" customHeight="1">
      <c r="A840" s="7"/>
      <c r="B840" s="5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11"/>
      <c r="Y840" s="6"/>
      <c r="Z840" s="6"/>
      <c r="AA840" s="6"/>
      <c r="AB840" s="6"/>
      <c r="AC840" s="6"/>
      <c r="AD840" s="6"/>
      <c r="AE840" s="11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</row>
    <row r="841" ht="11.25" customHeight="1">
      <c r="A841" s="7"/>
      <c r="B841" s="5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11"/>
      <c r="Y841" s="6"/>
      <c r="Z841" s="6"/>
      <c r="AA841" s="6"/>
      <c r="AB841" s="6"/>
      <c r="AC841" s="6"/>
      <c r="AD841" s="6"/>
      <c r="AE841" s="11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</row>
    <row r="842" ht="11.25" customHeight="1">
      <c r="A842" s="7"/>
      <c r="B842" s="5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11"/>
      <c r="Y842" s="6"/>
      <c r="Z842" s="6"/>
      <c r="AA842" s="6"/>
      <c r="AB842" s="6"/>
      <c r="AC842" s="6"/>
      <c r="AD842" s="6"/>
      <c r="AE842" s="11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</row>
    <row r="843" ht="11.25" customHeight="1">
      <c r="A843" s="7"/>
      <c r="B843" s="5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11"/>
      <c r="Y843" s="6"/>
      <c r="Z843" s="6"/>
      <c r="AA843" s="6"/>
      <c r="AB843" s="6"/>
      <c r="AC843" s="6"/>
      <c r="AD843" s="6"/>
      <c r="AE843" s="11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</row>
    <row r="844" ht="11.25" customHeight="1">
      <c r="A844" s="7"/>
      <c r="B844" s="5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11"/>
      <c r="Y844" s="6"/>
      <c r="Z844" s="6"/>
      <c r="AA844" s="6"/>
      <c r="AB844" s="6"/>
      <c r="AC844" s="6"/>
      <c r="AD844" s="6"/>
      <c r="AE844" s="11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</row>
    <row r="845" ht="11.25" customHeight="1">
      <c r="A845" s="7"/>
      <c r="B845" s="5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11"/>
      <c r="Y845" s="6"/>
      <c r="Z845" s="6"/>
      <c r="AA845" s="6"/>
      <c r="AB845" s="6"/>
      <c r="AC845" s="6"/>
      <c r="AD845" s="6"/>
      <c r="AE845" s="11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</row>
    <row r="846" ht="11.25" customHeight="1">
      <c r="A846" s="7"/>
      <c r="B846" s="5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11"/>
      <c r="Y846" s="6"/>
      <c r="Z846" s="6"/>
      <c r="AA846" s="6"/>
      <c r="AB846" s="6"/>
      <c r="AC846" s="6"/>
      <c r="AD846" s="6"/>
      <c r="AE846" s="11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</row>
    <row r="847" ht="11.25" customHeight="1">
      <c r="A847" s="7"/>
      <c r="B847" s="5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11"/>
      <c r="Y847" s="6"/>
      <c r="Z847" s="6"/>
      <c r="AA847" s="6"/>
      <c r="AB847" s="6"/>
      <c r="AC847" s="6"/>
      <c r="AD847" s="6"/>
      <c r="AE847" s="11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</row>
    <row r="848" ht="11.25" customHeight="1">
      <c r="A848" s="7"/>
      <c r="B848" s="5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11"/>
      <c r="Y848" s="6"/>
      <c r="Z848" s="6"/>
      <c r="AA848" s="6"/>
      <c r="AB848" s="6"/>
      <c r="AC848" s="6"/>
      <c r="AD848" s="6"/>
      <c r="AE848" s="11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</row>
    <row r="849" ht="11.25" customHeight="1">
      <c r="A849" s="7"/>
      <c r="B849" s="5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11"/>
      <c r="Y849" s="6"/>
      <c r="Z849" s="6"/>
      <c r="AA849" s="6"/>
      <c r="AB849" s="6"/>
      <c r="AC849" s="6"/>
      <c r="AD849" s="6"/>
      <c r="AE849" s="11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</row>
    <row r="850" ht="11.25" customHeight="1">
      <c r="A850" s="7"/>
      <c r="B850" s="5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11"/>
      <c r="Y850" s="6"/>
      <c r="Z850" s="6"/>
      <c r="AA850" s="6"/>
      <c r="AB850" s="6"/>
      <c r="AC850" s="6"/>
      <c r="AD850" s="6"/>
      <c r="AE850" s="11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</row>
    <row r="851" ht="11.25" customHeight="1">
      <c r="A851" s="7"/>
      <c r="B851" s="5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11"/>
      <c r="Y851" s="6"/>
      <c r="Z851" s="6"/>
      <c r="AA851" s="6"/>
      <c r="AB851" s="6"/>
      <c r="AC851" s="6"/>
      <c r="AD851" s="6"/>
      <c r="AE851" s="11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</row>
    <row r="852" ht="11.25" customHeight="1">
      <c r="A852" s="7"/>
      <c r="B852" s="5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11"/>
      <c r="Y852" s="6"/>
      <c r="Z852" s="6"/>
      <c r="AA852" s="6"/>
      <c r="AB852" s="6"/>
      <c r="AC852" s="6"/>
      <c r="AD852" s="6"/>
      <c r="AE852" s="11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</row>
    <row r="853" ht="11.25" customHeight="1">
      <c r="A853" s="7"/>
      <c r="B853" s="5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11"/>
      <c r="Y853" s="6"/>
      <c r="Z853" s="6"/>
      <c r="AA853" s="6"/>
      <c r="AB853" s="6"/>
      <c r="AC853" s="6"/>
      <c r="AD853" s="6"/>
      <c r="AE853" s="11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</row>
    <row r="854" ht="11.25" customHeight="1">
      <c r="A854" s="7"/>
      <c r="B854" s="5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11"/>
      <c r="Y854" s="6"/>
      <c r="Z854" s="6"/>
      <c r="AA854" s="6"/>
      <c r="AB854" s="6"/>
      <c r="AC854" s="6"/>
      <c r="AD854" s="6"/>
      <c r="AE854" s="11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</row>
    <row r="855" ht="11.25" customHeight="1">
      <c r="A855" s="7"/>
      <c r="B855" s="5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11"/>
      <c r="Y855" s="6"/>
      <c r="Z855" s="6"/>
      <c r="AA855" s="6"/>
      <c r="AB855" s="6"/>
      <c r="AC855" s="6"/>
      <c r="AD855" s="6"/>
      <c r="AE855" s="11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</row>
    <row r="856" ht="11.25" customHeight="1">
      <c r="A856" s="7"/>
      <c r="B856" s="5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11"/>
      <c r="Y856" s="6"/>
      <c r="Z856" s="6"/>
      <c r="AA856" s="6"/>
      <c r="AB856" s="6"/>
      <c r="AC856" s="6"/>
      <c r="AD856" s="6"/>
      <c r="AE856" s="11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</row>
    <row r="857" ht="11.25" customHeight="1">
      <c r="A857" s="7"/>
      <c r="B857" s="5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11"/>
      <c r="Y857" s="6"/>
      <c r="Z857" s="6"/>
      <c r="AA857" s="6"/>
      <c r="AB857" s="6"/>
      <c r="AC857" s="6"/>
      <c r="AD857" s="6"/>
      <c r="AE857" s="11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</row>
    <row r="858" ht="11.25" customHeight="1">
      <c r="A858" s="7"/>
      <c r="B858" s="5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11"/>
      <c r="Y858" s="6"/>
      <c r="Z858" s="6"/>
      <c r="AA858" s="6"/>
      <c r="AB858" s="6"/>
      <c r="AC858" s="6"/>
      <c r="AD858" s="6"/>
      <c r="AE858" s="11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</row>
    <row r="859" ht="11.25" customHeight="1">
      <c r="A859" s="7"/>
      <c r="B859" s="5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11"/>
      <c r="Y859" s="6"/>
      <c r="Z859" s="6"/>
      <c r="AA859" s="6"/>
      <c r="AB859" s="6"/>
      <c r="AC859" s="6"/>
      <c r="AD859" s="6"/>
      <c r="AE859" s="11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</row>
    <row r="860" ht="11.25" customHeight="1">
      <c r="A860" s="7"/>
      <c r="B860" s="5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11"/>
      <c r="Y860" s="6"/>
      <c r="Z860" s="6"/>
      <c r="AA860" s="6"/>
      <c r="AB860" s="6"/>
      <c r="AC860" s="6"/>
      <c r="AD860" s="6"/>
      <c r="AE860" s="11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</row>
    <row r="861" ht="11.25" customHeight="1">
      <c r="A861" s="7"/>
      <c r="B861" s="5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11"/>
      <c r="Y861" s="6"/>
      <c r="Z861" s="6"/>
      <c r="AA861" s="6"/>
      <c r="AB861" s="6"/>
      <c r="AC861" s="6"/>
      <c r="AD861" s="6"/>
      <c r="AE861" s="11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</row>
    <row r="862" ht="11.25" customHeight="1">
      <c r="A862" s="7"/>
      <c r="B862" s="5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11"/>
      <c r="Y862" s="6"/>
      <c r="Z862" s="6"/>
      <c r="AA862" s="6"/>
      <c r="AB862" s="6"/>
      <c r="AC862" s="6"/>
      <c r="AD862" s="6"/>
      <c r="AE862" s="11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</row>
    <row r="863" ht="11.25" customHeight="1">
      <c r="A863" s="7"/>
      <c r="B863" s="5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11"/>
      <c r="Y863" s="6"/>
      <c r="Z863" s="6"/>
      <c r="AA863" s="6"/>
      <c r="AB863" s="6"/>
      <c r="AC863" s="6"/>
      <c r="AD863" s="6"/>
      <c r="AE863" s="11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</row>
    <row r="864" ht="11.25" customHeight="1">
      <c r="A864" s="7"/>
      <c r="B864" s="5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11"/>
      <c r="Y864" s="6"/>
      <c r="Z864" s="6"/>
      <c r="AA864" s="6"/>
      <c r="AB864" s="6"/>
      <c r="AC864" s="6"/>
      <c r="AD864" s="6"/>
      <c r="AE864" s="11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</row>
    <row r="865" ht="11.25" customHeight="1">
      <c r="A865" s="7"/>
      <c r="B865" s="5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11"/>
      <c r="Y865" s="6"/>
      <c r="Z865" s="6"/>
      <c r="AA865" s="6"/>
      <c r="AB865" s="6"/>
      <c r="AC865" s="6"/>
      <c r="AD865" s="6"/>
      <c r="AE865" s="11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</row>
    <row r="866" ht="11.25" customHeight="1">
      <c r="A866" s="7"/>
      <c r="B866" s="5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11"/>
      <c r="Y866" s="6"/>
      <c r="Z866" s="6"/>
      <c r="AA866" s="6"/>
      <c r="AB866" s="6"/>
      <c r="AC866" s="6"/>
      <c r="AD866" s="6"/>
      <c r="AE866" s="11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</row>
    <row r="867" ht="11.25" customHeight="1">
      <c r="A867" s="7"/>
      <c r="B867" s="5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11"/>
      <c r="Y867" s="6"/>
      <c r="Z867" s="6"/>
      <c r="AA867" s="6"/>
      <c r="AB867" s="6"/>
      <c r="AC867" s="6"/>
      <c r="AD867" s="6"/>
      <c r="AE867" s="11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</row>
    <row r="868" ht="11.25" customHeight="1">
      <c r="A868" s="7"/>
      <c r="B868" s="5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11"/>
      <c r="Y868" s="6"/>
      <c r="Z868" s="6"/>
      <c r="AA868" s="6"/>
      <c r="AB868" s="6"/>
      <c r="AC868" s="6"/>
      <c r="AD868" s="6"/>
      <c r="AE868" s="11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</row>
    <row r="869" ht="11.25" customHeight="1">
      <c r="A869" s="7"/>
      <c r="B869" s="5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11"/>
      <c r="Y869" s="6"/>
      <c r="Z869" s="6"/>
      <c r="AA869" s="6"/>
      <c r="AB869" s="6"/>
      <c r="AC869" s="6"/>
      <c r="AD869" s="6"/>
      <c r="AE869" s="11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</row>
    <row r="870" ht="11.25" customHeight="1">
      <c r="A870" s="7"/>
      <c r="B870" s="5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11"/>
      <c r="Y870" s="6"/>
      <c r="Z870" s="6"/>
      <c r="AA870" s="6"/>
      <c r="AB870" s="6"/>
      <c r="AC870" s="6"/>
      <c r="AD870" s="6"/>
      <c r="AE870" s="11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</row>
    <row r="871" ht="11.25" customHeight="1">
      <c r="A871" s="7"/>
      <c r="B871" s="5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11"/>
      <c r="Y871" s="6"/>
      <c r="Z871" s="6"/>
      <c r="AA871" s="6"/>
      <c r="AB871" s="6"/>
      <c r="AC871" s="6"/>
      <c r="AD871" s="6"/>
      <c r="AE871" s="11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</row>
    <row r="872" ht="11.25" customHeight="1">
      <c r="A872" s="7"/>
      <c r="B872" s="5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11"/>
      <c r="Y872" s="6"/>
      <c r="Z872" s="6"/>
      <c r="AA872" s="6"/>
      <c r="AB872" s="6"/>
      <c r="AC872" s="6"/>
      <c r="AD872" s="6"/>
      <c r="AE872" s="11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</row>
    <row r="873" ht="11.25" customHeight="1">
      <c r="A873" s="7"/>
      <c r="B873" s="5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11"/>
      <c r="Y873" s="6"/>
      <c r="Z873" s="6"/>
      <c r="AA873" s="6"/>
      <c r="AB873" s="6"/>
      <c r="AC873" s="6"/>
      <c r="AD873" s="6"/>
      <c r="AE873" s="11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</row>
    <row r="874" ht="11.25" customHeight="1">
      <c r="A874" s="7"/>
      <c r="B874" s="5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11"/>
      <c r="Y874" s="6"/>
      <c r="Z874" s="6"/>
      <c r="AA874" s="6"/>
      <c r="AB874" s="6"/>
      <c r="AC874" s="6"/>
      <c r="AD874" s="6"/>
      <c r="AE874" s="11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</row>
    <row r="875" ht="11.25" customHeight="1">
      <c r="A875" s="7"/>
      <c r="B875" s="5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11"/>
      <c r="Y875" s="6"/>
      <c r="Z875" s="6"/>
      <c r="AA875" s="6"/>
      <c r="AB875" s="6"/>
      <c r="AC875" s="6"/>
      <c r="AD875" s="6"/>
      <c r="AE875" s="11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</row>
    <row r="876" ht="11.25" customHeight="1">
      <c r="A876" s="7"/>
      <c r="B876" s="5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11"/>
      <c r="Y876" s="6"/>
      <c r="Z876" s="6"/>
      <c r="AA876" s="6"/>
      <c r="AB876" s="6"/>
      <c r="AC876" s="6"/>
      <c r="AD876" s="6"/>
      <c r="AE876" s="11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</row>
    <row r="877" ht="11.25" customHeight="1">
      <c r="A877" s="7"/>
      <c r="B877" s="5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11"/>
      <c r="Y877" s="6"/>
      <c r="Z877" s="6"/>
      <c r="AA877" s="6"/>
      <c r="AB877" s="6"/>
      <c r="AC877" s="6"/>
      <c r="AD877" s="6"/>
      <c r="AE877" s="11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</row>
    <row r="878" ht="11.25" customHeight="1">
      <c r="A878" s="7"/>
      <c r="B878" s="5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11"/>
      <c r="Y878" s="6"/>
      <c r="Z878" s="6"/>
      <c r="AA878" s="6"/>
      <c r="AB878" s="6"/>
      <c r="AC878" s="6"/>
      <c r="AD878" s="6"/>
      <c r="AE878" s="11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</row>
    <row r="879" ht="11.25" customHeight="1">
      <c r="A879" s="7"/>
      <c r="B879" s="5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11"/>
      <c r="Y879" s="6"/>
      <c r="Z879" s="6"/>
      <c r="AA879" s="6"/>
      <c r="AB879" s="6"/>
      <c r="AC879" s="6"/>
      <c r="AD879" s="6"/>
      <c r="AE879" s="11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</row>
    <row r="880" ht="11.25" customHeight="1">
      <c r="A880" s="7"/>
      <c r="B880" s="5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11"/>
      <c r="Y880" s="6"/>
      <c r="Z880" s="6"/>
      <c r="AA880" s="6"/>
      <c r="AB880" s="6"/>
      <c r="AC880" s="6"/>
      <c r="AD880" s="6"/>
      <c r="AE880" s="11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</row>
    <row r="881" ht="11.25" customHeight="1">
      <c r="A881" s="7"/>
      <c r="B881" s="5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11"/>
      <c r="Y881" s="6"/>
      <c r="Z881" s="6"/>
      <c r="AA881" s="6"/>
      <c r="AB881" s="6"/>
      <c r="AC881" s="6"/>
      <c r="AD881" s="6"/>
      <c r="AE881" s="11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</row>
    <row r="882" ht="11.25" customHeight="1">
      <c r="A882" s="7"/>
      <c r="B882" s="5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11"/>
      <c r="Y882" s="6"/>
      <c r="Z882" s="6"/>
      <c r="AA882" s="6"/>
      <c r="AB882" s="6"/>
      <c r="AC882" s="6"/>
      <c r="AD882" s="6"/>
      <c r="AE882" s="11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</row>
    <row r="883" ht="11.25" customHeight="1">
      <c r="A883" s="7"/>
      <c r="B883" s="5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11"/>
      <c r="Y883" s="6"/>
      <c r="Z883" s="6"/>
      <c r="AA883" s="6"/>
      <c r="AB883" s="6"/>
      <c r="AC883" s="6"/>
      <c r="AD883" s="6"/>
      <c r="AE883" s="11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</row>
    <row r="884" ht="11.25" customHeight="1">
      <c r="A884" s="7"/>
      <c r="B884" s="5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11"/>
      <c r="Y884" s="6"/>
      <c r="Z884" s="6"/>
      <c r="AA884" s="6"/>
      <c r="AB884" s="6"/>
      <c r="AC884" s="6"/>
      <c r="AD884" s="6"/>
      <c r="AE884" s="11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</row>
    <row r="885" ht="11.25" customHeight="1">
      <c r="A885" s="7"/>
      <c r="B885" s="5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11"/>
      <c r="Y885" s="6"/>
      <c r="Z885" s="6"/>
      <c r="AA885" s="6"/>
      <c r="AB885" s="6"/>
      <c r="AC885" s="6"/>
      <c r="AD885" s="6"/>
      <c r="AE885" s="11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</row>
    <row r="886" ht="11.25" customHeight="1">
      <c r="A886" s="7"/>
      <c r="B886" s="5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11"/>
      <c r="Y886" s="6"/>
      <c r="Z886" s="6"/>
      <c r="AA886" s="6"/>
      <c r="AB886" s="6"/>
      <c r="AC886" s="6"/>
      <c r="AD886" s="6"/>
      <c r="AE886" s="11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</row>
    <row r="887" ht="11.25" customHeight="1">
      <c r="A887" s="7"/>
      <c r="B887" s="5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11"/>
      <c r="Y887" s="6"/>
      <c r="Z887" s="6"/>
      <c r="AA887" s="6"/>
      <c r="AB887" s="6"/>
      <c r="AC887" s="6"/>
      <c r="AD887" s="6"/>
      <c r="AE887" s="11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</row>
    <row r="888" ht="11.25" customHeight="1">
      <c r="A888" s="7"/>
      <c r="B888" s="5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11"/>
      <c r="Y888" s="6"/>
      <c r="Z888" s="6"/>
      <c r="AA888" s="6"/>
      <c r="AB888" s="6"/>
      <c r="AC888" s="6"/>
      <c r="AD888" s="6"/>
      <c r="AE888" s="11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</row>
    <row r="889" ht="11.25" customHeight="1">
      <c r="A889" s="7"/>
      <c r="B889" s="5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11"/>
      <c r="Y889" s="6"/>
      <c r="Z889" s="6"/>
      <c r="AA889" s="6"/>
      <c r="AB889" s="6"/>
      <c r="AC889" s="6"/>
      <c r="AD889" s="6"/>
      <c r="AE889" s="11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</row>
    <row r="890" ht="11.25" customHeight="1">
      <c r="A890" s="7"/>
      <c r="B890" s="5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11"/>
      <c r="Y890" s="6"/>
      <c r="Z890" s="6"/>
      <c r="AA890" s="6"/>
      <c r="AB890" s="6"/>
      <c r="AC890" s="6"/>
      <c r="AD890" s="6"/>
      <c r="AE890" s="11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</row>
    <row r="891" ht="11.25" customHeight="1">
      <c r="A891" s="7"/>
      <c r="B891" s="5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11"/>
      <c r="Y891" s="6"/>
      <c r="Z891" s="6"/>
      <c r="AA891" s="6"/>
      <c r="AB891" s="6"/>
      <c r="AC891" s="6"/>
      <c r="AD891" s="6"/>
      <c r="AE891" s="11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</row>
    <row r="892" ht="11.25" customHeight="1">
      <c r="A892" s="7"/>
      <c r="B892" s="5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11"/>
      <c r="Y892" s="6"/>
      <c r="Z892" s="6"/>
      <c r="AA892" s="6"/>
      <c r="AB892" s="6"/>
      <c r="AC892" s="6"/>
      <c r="AD892" s="6"/>
      <c r="AE892" s="11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</row>
    <row r="893" ht="11.25" customHeight="1">
      <c r="A893" s="7"/>
      <c r="B893" s="5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11"/>
      <c r="Y893" s="6"/>
      <c r="Z893" s="6"/>
      <c r="AA893" s="6"/>
      <c r="AB893" s="6"/>
      <c r="AC893" s="6"/>
      <c r="AD893" s="6"/>
      <c r="AE893" s="11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</row>
    <row r="894" ht="11.25" customHeight="1">
      <c r="A894" s="7"/>
      <c r="B894" s="5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11"/>
      <c r="Y894" s="6"/>
      <c r="Z894" s="6"/>
      <c r="AA894" s="6"/>
      <c r="AB894" s="6"/>
      <c r="AC894" s="6"/>
      <c r="AD894" s="6"/>
      <c r="AE894" s="11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</row>
    <row r="895" ht="11.25" customHeight="1">
      <c r="A895" s="7"/>
      <c r="B895" s="5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11"/>
      <c r="Y895" s="6"/>
      <c r="Z895" s="6"/>
      <c r="AA895" s="6"/>
      <c r="AB895" s="6"/>
      <c r="AC895" s="6"/>
      <c r="AD895" s="6"/>
      <c r="AE895" s="11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</row>
    <row r="896" ht="11.25" customHeight="1">
      <c r="A896" s="7"/>
      <c r="B896" s="5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11"/>
      <c r="Y896" s="6"/>
      <c r="Z896" s="6"/>
      <c r="AA896" s="6"/>
      <c r="AB896" s="6"/>
      <c r="AC896" s="6"/>
      <c r="AD896" s="6"/>
      <c r="AE896" s="11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</row>
    <row r="897" ht="11.25" customHeight="1">
      <c r="A897" s="7"/>
      <c r="B897" s="5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11"/>
      <c r="Y897" s="6"/>
      <c r="Z897" s="6"/>
      <c r="AA897" s="6"/>
      <c r="AB897" s="6"/>
      <c r="AC897" s="6"/>
      <c r="AD897" s="6"/>
      <c r="AE897" s="11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</row>
    <row r="898" ht="11.25" customHeight="1">
      <c r="A898" s="7"/>
      <c r="B898" s="5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11"/>
      <c r="Y898" s="6"/>
      <c r="Z898" s="6"/>
      <c r="AA898" s="6"/>
      <c r="AB898" s="6"/>
      <c r="AC898" s="6"/>
      <c r="AD898" s="6"/>
      <c r="AE898" s="11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</row>
    <row r="899" ht="11.25" customHeight="1">
      <c r="A899" s="7"/>
      <c r="B899" s="5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11"/>
      <c r="Y899" s="6"/>
      <c r="Z899" s="6"/>
      <c r="AA899" s="6"/>
      <c r="AB899" s="6"/>
      <c r="AC899" s="6"/>
      <c r="AD899" s="6"/>
      <c r="AE899" s="11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</row>
    <row r="900" ht="11.25" customHeight="1">
      <c r="A900" s="7"/>
      <c r="B900" s="5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11"/>
      <c r="Y900" s="6"/>
      <c r="Z900" s="6"/>
      <c r="AA900" s="6"/>
      <c r="AB900" s="6"/>
      <c r="AC900" s="6"/>
      <c r="AD900" s="6"/>
      <c r="AE900" s="11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</row>
    <row r="901" ht="11.25" customHeight="1">
      <c r="A901" s="7"/>
      <c r="B901" s="5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11"/>
      <c r="Y901" s="6"/>
      <c r="Z901" s="6"/>
      <c r="AA901" s="6"/>
      <c r="AB901" s="6"/>
      <c r="AC901" s="6"/>
      <c r="AD901" s="6"/>
      <c r="AE901" s="11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</row>
    <row r="902" ht="11.25" customHeight="1">
      <c r="A902" s="7"/>
      <c r="B902" s="5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11"/>
      <c r="Y902" s="6"/>
      <c r="Z902" s="6"/>
      <c r="AA902" s="6"/>
      <c r="AB902" s="6"/>
      <c r="AC902" s="6"/>
      <c r="AD902" s="6"/>
      <c r="AE902" s="11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</row>
    <row r="903" ht="11.25" customHeight="1">
      <c r="A903" s="7"/>
      <c r="B903" s="5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11"/>
      <c r="Y903" s="6"/>
      <c r="Z903" s="6"/>
      <c r="AA903" s="6"/>
      <c r="AB903" s="6"/>
      <c r="AC903" s="6"/>
      <c r="AD903" s="6"/>
      <c r="AE903" s="11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</row>
    <row r="904" ht="11.25" customHeight="1">
      <c r="A904" s="7"/>
      <c r="B904" s="5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11"/>
      <c r="Y904" s="6"/>
      <c r="Z904" s="6"/>
      <c r="AA904" s="6"/>
      <c r="AB904" s="6"/>
      <c r="AC904" s="6"/>
      <c r="AD904" s="6"/>
      <c r="AE904" s="11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</row>
    <row r="905" ht="11.25" customHeight="1">
      <c r="A905" s="7"/>
      <c r="B905" s="5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11"/>
      <c r="Y905" s="6"/>
      <c r="Z905" s="6"/>
      <c r="AA905" s="6"/>
      <c r="AB905" s="6"/>
      <c r="AC905" s="6"/>
      <c r="AD905" s="6"/>
      <c r="AE905" s="11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</row>
    <row r="906" ht="11.25" customHeight="1">
      <c r="A906" s="7"/>
      <c r="B906" s="5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11"/>
      <c r="Y906" s="6"/>
      <c r="Z906" s="6"/>
      <c r="AA906" s="6"/>
      <c r="AB906" s="6"/>
      <c r="AC906" s="6"/>
      <c r="AD906" s="6"/>
      <c r="AE906" s="11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</row>
    <row r="907" ht="11.25" customHeight="1">
      <c r="A907" s="7"/>
      <c r="B907" s="5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11"/>
      <c r="Y907" s="6"/>
      <c r="Z907" s="6"/>
      <c r="AA907" s="6"/>
      <c r="AB907" s="6"/>
      <c r="AC907" s="6"/>
      <c r="AD907" s="6"/>
      <c r="AE907" s="11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</row>
    <row r="908" ht="11.25" customHeight="1">
      <c r="A908" s="7"/>
      <c r="B908" s="5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11"/>
      <c r="Y908" s="6"/>
      <c r="Z908" s="6"/>
      <c r="AA908" s="6"/>
      <c r="AB908" s="6"/>
      <c r="AC908" s="6"/>
      <c r="AD908" s="6"/>
      <c r="AE908" s="11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</row>
    <row r="909" ht="11.25" customHeight="1">
      <c r="A909" s="7"/>
      <c r="B909" s="5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11"/>
      <c r="Y909" s="6"/>
      <c r="Z909" s="6"/>
      <c r="AA909" s="6"/>
      <c r="AB909" s="6"/>
      <c r="AC909" s="6"/>
      <c r="AD909" s="6"/>
      <c r="AE909" s="11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</row>
    <row r="910" ht="11.25" customHeight="1">
      <c r="A910" s="7"/>
      <c r="B910" s="5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11"/>
      <c r="Y910" s="6"/>
      <c r="Z910" s="6"/>
      <c r="AA910" s="6"/>
      <c r="AB910" s="6"/>
      <c r="AC910" s="6"/>
      <c r="AD910" s="6"/>
      <c r="AE910" s="11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</row>
    <row r="911" ht="11.25" customHeight="1">
      <c r="A911" s="7"/>
      <c r="B911" s="5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11"/>
      <c r="Y911" s="6"/>
      <c r="Z911" s="6"/>
      <c r="AA911" s="6"/>
      <c r="AB911" s="6"/>
      <c r="AC911" s="6"/>
      <c r="AD911" s="6"/>
      <c r="AE911" s="11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</row>
    <row r="912" ht="11.25" customHeight="1">
      <c r="A912" s="7"/>
      <c r="B912" s="5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11"/>
      <c r="Y912" s="6"/>
      <c r="Z912" s="6"/>
      <c r="AA912" s="6"/>
      <c r="AB912" s="6"/>
      <c r="AC912" s="6"/>
      <c r="AD912" s="6"/>
      <c r="AE912" s="11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</row>
    <row r="913" ht="11.25" customHeight="1">
      <c r="A913" s="7"/>
      <c r="B913" s="5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11"/>
      <c r="Y913" s="6"/>
      <c r="Z913" s="6"/>
      <c r="AA913" s="6"/>
      <c r="AB913" s="6"/>
      <c r="AC913" s="6"/>
      <c r="AD913" s="6"/>
      <c r="AE913" s="11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</row>
    <row r="914" ht="11.25" customHeight="1">
      <c r="A914" s="7"/>
      <c r="B914" s="5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11"/>
      <c r="Y914" s="6"/>
      <c r="Z914" s="6"/>
      <c r="AA914" s="6"/>
      <c r="AB914" s="6"/>
      <c r="AC914" s="6"/>
      <c r="AD914" s="6"/>
      <c r="AE914" s="11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</row>
    <row r="915" ht="11.25" customHeight="1">
      <c r="A915" s="7"/>
      <c r="B915" s="5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11"/>
      <c r="Y915" s="6"/>
      <c r="Z915" s="6"/>
      <c r="AA915" s="6"/>
      <c r="AB915" s="6"/>
      <c r="AC915" s="6"/>
      <c r="AD915" s="6"/>
      <c r="AE915" s="11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</row>
    <row r="916" ht="11.25" customHeight="1">
      <c r="A916" s="7"/>
      <c r="B916" s="5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11"/>
      <c r="Y916" s="6"/>
      <c r="Z916" s="6"/>
      <c r="AA916" s="6"/>
      <c r="AB916" s="6"/>
      <c r="AC916" s="6"/>
      <c r="AD916" s="6"/>
      <c r="AE916" s="11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</row>
    <row r="917" ht="11.25" customHeight="1">
      <c r="A917" s="7"/>
      <c r="B917" s="5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11"/>
      <c r="Y917" s="6"/>
      <c r="Z917" s="6"/>
      <c r="AA917" s="6"/>
      <c r="AB917" s="6"/>
      <c r="AC917" s="6"/>
      <c r="AD917" s="6"/>
      <c r="AE917" s="11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</row>
    <row r="918" ht="11.25" customHeight="1">
      <c r="A918" s="7"/>
      <c r="B918" s="5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11"/>
      <c r="Y918" s="6"/>
      <c r="Z918" s="6"/>
      <c r="AA918" s="6"/>
      <c r="AB918" s="6"/>
      <c r="AC918" s="6"/>
      <c r="AD918" s="6"/>
      <c r="AE918" s="11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</row>
    <row r="919" ht="11.25" customHeight="1">
      <c r="A919" s="7"/>
      <c r="B919" s="5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11"/>
      <c r="Y919" s="6"/>
      <c r="Z919" s="6"/>
      <c r="AA919" s="6"/>
      <c r="AB919" s="6"/>
      <c r="AC919" s="6"/>
      <c r="AD919" s="6"/>
      <c r="AE919" s="11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</row>
    <row r="920" ht="11.25" customHeight="1">
      <c r="A920" s="7"/>
      <c r="B920" s="5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11"/>
      <c r="Y920" s="6"/>
      <c r="Z920" s="6"/>
      <c r="AA920" s="6"/>
      <c r="AB920" s="6"/>
      <c r="AC920" s="6"/>
      <c r="AD920" s="6"/>
      <c r="AE920" s="11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</row>
    <row r="921" ht="11.25" customHeight="1">
      <c r="A921" s="7"/>
      <c r="B921" s="5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11"/>
      <c r="Y921" s="6"/>
      <c r="Z921" s="6"/>
      <c r="AA921" s="6"/>
      <c r="AB921" s="6"/>
      <c r="AC921" s="6"/>
      <c r="AD921" s="6"/>
      <c r="AE921" s="11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</row>
    <row r="922" ht="11.25" customHeight="1">
      <c r="A922" s="7"/>
      <c r="B922" s="5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11"/>
      <c r="Y922" s="6"/>
      <c r="Z922" s="6"/>
      <c r="AA922" s="6"/>
      <c r="AB922" s="6"/>
      <c r="AC922" s="6"/>
      <c r="AD922" s="6"/>
      <c r="AE922" s="11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</row>
    <row r="923" ht="11.25" customHeight="1">
      <c r="A923" s="7"/>
      <c r="B923" s="5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11"/>
      <c r="Y923" s="6"/>
      <c r="Z923" s="6"/>
      <c r="AA923" s="6"/>
      <c r="AB923" s="6"/>
      <c r="AC923" s="6"/>
      <c r="AD923" s="6"/>
      <c r="AE923" s="11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</row>
    <row r="924" ht="11.25" customHeight="1">
      <c r="A924" s="7"/>
      <c r="B924" s="5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11"/>
      <c r="Y924" s="6"/>
      <c r="Z924" s="6"/>
      <c r="AA924" s="6"/>
      <c r="AB924" s="6"/>
      <c r="AC924" s="6"/>
      <c r="AD924" s="6"/>
      <c r="AE924" s="11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</row>
    <row r="925" ht="11.25" customHeight="1">
      <c r="A925" s="7"/>
      <c r="B925" s="5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11"/>
      <c r="Y925" s="6"/>
      <c r="Z925" s="6"/>
      <c r="AA925" s="6"/>
      <c r="AB925" s="6"/>
      <c r="AC925" s="6"/>
      <c r="AD925" s="6"/>
      <c r="AE925" s="11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</row>
    <row r="926" ht="11.25" customHeight="1">
      <c r="A926" s="7"/>
      <c r="B926" s="5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11"/>
      <c r="Y926" s="6"/>
      <c r="Z926" s="6"/>
      <c r="AA926" s="6"/>
      <c r="AB926" s="6"/>
      <c r="AC926" s="6"/>
      <c r="AD926" s="6"/>
      <c r="AE926" s="11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</row>
    <row r="927" ht="11.25" customHeight="1">
      <c r="A927" s="7"/>
      <c r="B927" s="5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11"/>
      <c r="Y927" s="6"/>
      <c r="Z927" s="6"/>
      <c r="AA927" s="6"/>
      <c r="AB927" s="6"/>
      <c r="AC927" s="6"/>
      <c r="AD927" s="6"/>
      <c r="AE927" s="11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</row>
    <row r="928" ht="11.25" customHeight="1">
      <c r="A928" s="7"/>
      <c r="B928" s="5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11"/>
      <c r="Y928" s="6"/>
      <c r="Z928" s="6"/>
      <c r="AA928" s="6"/>
      <c r="AB928" s="6"/>
      <c r="AC928" s="6"/>
      <c r="AD928" s="6"/>
      <c r="AE928" s="11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</row>
    <row r="929" ht="11.25" customHeight="1">
      <c r="A929" s="7"/>
      <c r="B929" s="5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11"/>
      <c r="Y929" s="6"/>
      <c r="Z929" s="6"/>
      <c r="AA929" s="6"/>
      <c r="AB929" s="6"/>
      <c r="AC929" s="6"/>
      <c r="AD929" s="6"/>
      <c r="AE929" s="11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</row>
    <row r="930" ht="11.25" customHeight="1">
      <c r="A930" s="7"/>
      <c r="B930" s="5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11"/>
      <c r="Y930" s="6"/>
      <c r="Z930" s="6"/>
      <c r="AA930" s="6"/>
      <c r="AB930" s="6"/>
      <c r="AC930" s="6"/>
      <c r="AD930" s="6"/>
      <c r="AE930" s="11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</row>
    <row r="931" ht="11.25" customHeight="1">
      <c r="A931" s="7"/>
      <c r="B931" s="5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11"/>
      <c r="Y931" s="6"/>
      <c r="Z931" s="6"/>
      <c r="AA931" s="6"/>
      <c r="AB931" s="6"/>
      <c r="AC931" s="6"/>
      <c r="AD931" s="6"/>
      <c r="AE931" s="11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</row>
    <row r="932" ht="11.25" customHeight="1">
      <c r="A932" s="7"/>
      <c r="B932" s="5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11"/>
      <c r="Y932" s="6"/>
      <c r="Z932" s="6"/>
      <c r="AA932" s="6"/>
      <c r="AB932" s="6"/>
      <c r="AC932" s="6"/>
      <c r="AD932" s="6"/>
      <c r="AE932" s="11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</row>
    <row r="933" ht="11.25" customHeight="1">
      <c r="A933" s="7"/>
      <c r="B933" s="5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11"/>
      <c r="Y933" s="6"/>
      <c r="Z933" s="6"/>
      <c r="AA933" s="6"/>
      <c r="AB933" s="6"/>
      <c r="AC933" s="6"/>
      <c r="AD933" s="6"/>
      <c r="AE933" s="11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</row>
    <row r="934" ht="11.25" customHeight="1">
      <c r="A934" s="7"/>
      <c r="B934" s="5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11"/>
      <c r="Y934" s="6"/>
      <c r="Z934" s="6"/>
      <c r="AA934" s="6"/>
      <c r="AB934" s="6"/>
      <c r="AC934" s="6"/>
      <c r="AD934" s="6"/>
      <c r="AE934" s="11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</row>
    <row r="935" ht="11.25" customHeight="1">
      <c r="A935" s="7"/>
      <c r="B935" s="5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11"/>
      <c r="Y935" s="6"/>
      <c r="Z935" s="6"/>
      <c r="AA935" s="6"/>
      <c r="AB935" s="6"/>
      <c r="AC935" s="6"/>
      <c r="AD935" s="6"/>
      <c r="AE935" s="11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</row>
    <row r="936" ht="11.25" customHeight="1">
      <c r="A936" s="7"/>
      <c r="B936" s="5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11"/>
      <c r="Y936" s="6"/>
      <c r="Z936" s="6"/>
      <c r="AA936" s="6"/>
      <c r="AB936" s="6"/>
      <c r="AC936" s="6"/>
      <c r="AD936" s="6"/>
      <c r="AE936" s="11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</row>
    <row r="937" ht="11.25" customHeight="1">
      <c r="A937" s="7"/>
      <c r="B937" s="5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11"/>
      <c r="Y937" s="6"/>
      <c r="Z937" s="6"/>
      <c r="AA937" s="6"/>
      <c r="AB937" s="6"/>
      <c r="AC937" s="6"/>
      <c r="AD937" s="6"/>
      <c r="AE937" s="11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</row>
    <row r="938" ht="11.25" customHeight="1">
      <c r="A938" s="7"/>
      <c r="B938" s="5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11"/>
      <c r="Y938" s="6"/>
      <c r="Z938" s="6"/>
      <c r="AA938" s="6"/>
      <c r="AB938" s="6"/>
      <c r="AC938" s="6"/>
      <c r="AD938" s="6"/>
      <c r="AE938" s="11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</row>
    <row r="939" ht="11.25" customHeight="1">
      <c r="A939" s="7"/>
      <c r="B939" s="5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11"/>
      <c r="Y939" s="6"/>
      <c r="Z939" s="6"/>
      <c r="AA939" s="6"/>
      <c r="AB939" s="6"/>
      <c r="AC939" s="6"/>
      <c r="AD939" s="6"/>
      <c r="AE939" s="11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</row>
    <row r="940" ht="11.25" customHeight="1">
      <c r="A940" s="7"/>
      <c r="B940" s="5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11"/>
      <c r="Y940" s="6"/>
      <c r="Z940" s="6"/>
      <c r="AA940" s="6"/>
      <c r="AB940" s="6"/>
      <c r="AC940" s="6"/>
      <c r="AD940" s="6"/>
      <c r="AE940" s="11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</row>
    <row r="941" ht="11.25" customHeight="1">
      <c r="A941" s="7"/>
      <c r="B941" s="5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11"/>
      <c r="Y941" s="6"/>
      <c r="Z941" s="6"/>
      <c r="AA941" s="6"/>
      <c r="AB941" s="6"/>
      <c r="AC941" s="6"/>
      <c r="AD941" s="6"/>
      <c r="AE941" s="11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</row>
    <row r="942" ht="11.25" customHeight="1">
      <c r="A942" s="7"/>
      <c r="B942" s="5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11"/>
      <c r="Y942" s="6"/>
      <c r="Z942" s="6"/>
      <c r="AA942" s="6"/>
      <c r="AB942" s="6"/>
      <c r="AC942" s="6"/>
      <c r="AD942" s="6"/>
      <c r="AE942" s="11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</row>
    <row r="943" ht="11.25" customHeight="1">
      <c r="A943" s="7"/>
      <c r="B943" s="5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11"/>
      <c r="Y943" s="6"/>
      <c r="Z943" s="6"/>
      <c r="AA943" s="6"/>
      <c r="AB943" s="6"/>
      <c r="AC943" s="6"/>
      <c r="AD943" s="6"/>
      <c r="AE943" s="11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</row>
    <row r="944" ht="11.25" customHeight="1">
      <c r="A944" s="7"/>
      <c r="B944" s="5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11"/>
      <c r="Y944" s="6"/>
      <c r="Z944" s="6"/>
      <c r="AA944" s="6"/>
      <c r="AB944" s="6"/>
      <c r="AC944" s="6"/>
      <c r="AD944" s="6"/>
      <c r="AE944" s="11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</row>
    <row r="945" ht="11.25" customHeight="1">
      <c r="A945" s="7"/>
      <c r="B945" s="5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11"/>
      <c r="Y945" s="6"/>
      <c r="Z945" s="6"/>
      <c r="AA945" s="6"/>
      <c r="AB945" s="6"/>
      <c r="AC945" s="6"/>
      <c r="AD945" s="6"/>
      <c r="AE945" s="11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</row>
    <row r="946" ht="11.25" customHeight="1">
      <c r="A946" s="7"/>
      <c r="B946" s="5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11"/>
      <c r="Y946" s="6"/>
      <c r="Z946" s="6"/>
      <c r="AA946" s="6"/>
      <c r="AB946" s="6"/>
      <c r="AC946" s="6"/>
      <c r="AD946" s="6"/>
      <c r="AE946" s="11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</row>
    <row r="947" ht="11.25" customHeight="1">
      <c r="A947" s="7"/>
      <c r="B947" s="5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11"/>
      <c r="Y947" s="6"/>
      <c r="Z947" s="6"/>
      <c r="AA947" s="6"/>
      <c r="AB947" s="6"/>
      <c r="AC947" s="6"/>
      <c r="AD947" s="6"/>
      <c r="AE947" s="11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</row>
    <row r="948" ht="11.25" customHeight="1">
      <c r="A948" s="7"/>
      <c r="B948" s="5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11"/>
      <c r="Y948" s="6"/>
      <c r="Z948" s="6"/>
      <c r="AA948" s="6"/>
      <c r="AB948" s="6"/>
      <c r="AC948" s="6"/>
      <c r="AD948" s="6"/>
      <c r="AE948" s="11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</row>
    <row r="949" ht="11.25" customHeight="1">
      <c r="A949" s="7"/>
      <c r="B949" s="5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11"/>
      <c r="Y949" s="6"/>
      <c r="Z949" s="6"/>
      <c r="AA949" s="6"/>
      <c r="AB949" s="6"/>
      <c r="AC949" s="6"/>
      <c r="AD949" s="6"/>
      <c r="AE949" s="11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</row>
    <row r="950" ht="11.25" customHeight="1">
      <c r="A950" s="7"/>
      <c r="B950" s="5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11"/>
      <c r="Y950" s="6"/>
      <c r="Z950" s="6"/>
      <c r="AA950" s="6"/>
      <c r="AB950" s="6"/>
      <c r="AC950" s="6"/>
      <c r="AD950" s="6"/>
      <c r="AE950" s="11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</row>
    <row r="951" ht="11.25" customHeight="1">
      <c r="A951" s="7"/>
      <c r="B951" s="5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11"/>
      <c r="Y951" s="6"/>
      <c r="Z951" s="6"/>
      <c r="AA951" s="6"/>
      <c r="AB951" s="6"/>
      <c r="AC951" s="6"/>
      <c r="AD951" s="6"/>
      <c r="AE951" s="11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</row>
    <row r="952" ht="11.25" customHeight="1">
      <c r="A952" s="7"/>
      <c r="B952" s="5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11"/>
      <c r="Y952" s="6"/>
      <c r="Z952" s="6"/>
      <c r="AA952" s="6"/>
      <c r="AB952" s="6"/>
      <c r="AC952" s="6"/>
      <c r="AD952" s="6"/>
      <c r="AE952" s="11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</row>
    <row r="953" ht="11.25" customHeight="1">
      <c r="A953" s="7"/>
      <c r="B953" s="5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11"/>
      <c r="Y953" s="6"/>
      <c r="Z953" s="6"/>
      <c r="AA953" s="6"/>
      <c r="AB953" s="6"/>
      <c r="AC953" s="6"/>
      <c r="AD953" s="6"/>
      <c r="AE953" s="11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</row>
    <row r="954" ht="11.25" customHeight="1">
      <c r="A954" s="7"/>
      <c r="B954" s="5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11"/>
      <c r="Y954" s="6"/>
      <c r="Z954" s="6"/>
      <c r="AA954" s="6"/>
      <c r="AB954" s="6"/>
      <c r="AC954" s="6"/>
      <c r="AD954" s="6"/>
      <c r="AE954" s="11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</row>
    <row r="955" ht="11.25" customHeight="1">
      <c r="A955" s="7"/>
      <c r="B955" s="5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11"/>
      <c r="Y955" s="6"/>
      <c r="Z955" s="6"/>
      <c r="AA955" s="6"/>
      <c r="AB955" s="6"/>
      <c r="AC955" s="6"/>
      <c r="AD955" s="6"/>
      <c r="AE955" s="11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</row>
    <row r="956" ht="11.25" customHeight="1">
      <c r="A956" s="7"/>
      <c r="B956" s="5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11"/>
      <c r="Y956" s="6"/>
      <c r="Z956" s="6"/>
      <c r="AA956" s="6"/>
      <c r="AB956" s="6"/>
      <c r="AC956" s="6"/>
      <c r="AD956" s="6"/>
      <c r="AE956" s="11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</row>
    <row r="957" ht="11.25" customHeight="1">
      <c r="A957" s="7"/>
      <c r="B957" s="5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11"/>
      <c r="Y957" s="6"/>
      <c r="Z957" s="6"/>
      <c r="AA957" s="6"/>
      <c r="AB957" s="6"/>
      <c r="AC957" s="6"/>
      <c r="AD957" s="6"/>
      <c r="AE957" s="11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</row>
    <row r="958" ht="11.25" customHeight="1">
      <c r="A958" s="7"/>
      <c r="B958" s="5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11"/>
      <c r="Y958" s="6"/>
      <c r="Z958" s="6"/>
      <c r="AA958" s="6"/>
      <c r="AB958" s="6"/>
      <c r="AC958" s="6"/>
      <c r="AD958" s="6"/>
      <c r="AE958" s="11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</row>
    <row r="959" ht="11.25" customHeight="1">
      <c r="A959" s="7"/>
      <c r="B959" s="5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11"/>
      <c r="Y959" s="6"/>
      <c r="Z959" s="6"/>
      <c r="AA959" s="6"/>
      <c r="AB959" s="6"/>
      <c r="AC959" s="6"/>
      <c r="AD959" s="6"/>
      <c r="AE959" s="11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</row>
    <row r="960" ht="11.25" customHeight="1">
      <c r="A960" s="7"/>
      <c r="B960" s="5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11"/>
      <c r="Y960" s="6"/>
      <c r="Z960" s="6"/>
      <c r="AA960" s="6"/>
      <c r="AB960" s="6"/>
      <c r="AC960" s="6"/>
      <c r="AD960" s="6"/>
      <c r="AE960" s="11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</row>
    <row r="961" ht="11.25" customHeight="1">
      <c r="A961" s="7"/>
      <c r="B961" s="5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11"/>
      <c r="Y961" s="6"/>
      <c r="Z961" s="6"/>
      <c r="AA961" s="6"/>
      <c r="AB961" s="6"/>
      <c r="AC961" s="6"/>
      <c r="AD961" s="6"/>
      <c r="AE961" s="11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</row>
    <row r="962" ht="11.25" customHeight="1">
      <c r="A962" s="7"/>
      <c r="B962" s="5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11"/>
      <c r="Y962" s="6"/>
      <c r="Z962" s="6"/>
      <c r="AA962" s="6"/>
      <c r="AB962" s="6"/>
      <c r="AC962" s="6"/>
      <c r="AD962" s="6"/>
      <c r="AE962" s="11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</row>
    <row r="963" ht="11.25" customHeight="1">
      <c r="A963" s="7"/>
      <c r="B963" s="5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11"/>
      <c r="Y963" s="6"/>
      <c r="Z963" s="6"/>
      <c r="AA963" s="6"/>
      <c r="AB963" s="6"/>
      <c r="AC963" s="6"/>
      <c r="AD963" s="6"/>
      <c r="AE963" s="11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</row>
    <row r="964" ht="11.25" customHeight="1">
      <c r="A964" s="7"/>
      <c r="B964" s="5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11"/>
      <c r="Y964" s="6"/>
      <c r="Z964" s="6"/>
      <c r="AA964" s="6"/>
      <c r="AB964" s="6"/>
      <c r="AC964" s="6"/>
      <c r="AD964" s="6"/>
      <c r="AE964" s="11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</row>
    <row r="965" ht="11.25" customHeight="1">
      <c r="A965" s="7"/>
      <c r="B965" s="5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11"/>
      <c r="Y965" s="6"/>
      <c r="Z965" s="6"/>
      <c r="AA965" s="6"/>
      <c r="AB965" s="6"/>
      <c r="AC965" s="6"/>
      <c r="AD965" s="6"/>
      <c r="AE965" s="11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</row>
    <row r="966" ht="11.25" customHeight="1">
      <c r="A966" s="7"/>
      <c r="B966" s="5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11"/>
      <c r="Y966" s="6"/>
      <c r="Z966" s="6"/>
      <c r="AA966" s="6"/>
      <c r="AB966" s="6"/>
      <c r="AC966" s="6"/>
      <c r="AD966" s="6"/>
      <c r="AE966" s="11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</row>
    <row r="967" ht="11.25" customHeight="1">
      <c r="A967" s="7"/>
      <c r="B967" s="5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11"/>
      <c r="Y967" s="6"/>
      <c r="Z967" s="6"/>
      <c r="AA967" s="6"/>
      <c r="AB967" s="6"/>
      <c r="AC967" s="6"/>
      <c r="AD967" s="6"/>
      <c r="AE967" s="11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</row>
    <row r="968" ht="11.25" customHeight="1">
      <c r="A968" s="7"/>
      <c r="B968" s="5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11"/>
      <c r="Y968" s="6"/>
      <c r="Z968" s="6"/>
      <c r="AA968" s="6"/>
      <c r="AB968" s="6"/>
      <c r="AC968" s="6"/>
      <c r="AD968" s="6"/>
      <c r="AE968" s="11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</row>
    <row r="969" ht="11.25" customHeight="1">
      <c r="A969" s="7"/>
      <c r="B969" s="5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11"/>
      <c r="Y969" s="6"/>
      <c r="Z969" s="6"/>
      <c r="AA969" s="6"/>
      <c r="AB969" s="6"/>
      <c r="AC969" s="6"/>
      <c r="AD969" s="6"/>
      <c r="AE969" s="11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</row>
    <row r="970" ht="11.25" customHeight="1">
      <c r="A970" s="7"/>
      <c r="B970" s="5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11"/>
      <c r="Y970" s="6"/>
      <c r="Z970" s="6"/>
      <c r="AA970" s="6"/>
      <c r="AB970" s="6"/>
      <c r="AC970" s="6"/>
      <c r="AD970" s="6"/>
      <c r="AE970" s="11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</row>
    <row r="971" ht="11.25" customHeight="1">
      <c r="A971" s="7"/>
      <c r="B971" s="5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11"/>
      <c r="Y971" s="6"/>
      <c r="Z971" s="6"/>
      <c r="AA971" s="6"/>
      <c r="AB971" s="6"/>
      <c r="AC971" s="6"/>
      <c r="AD971" s="6"/>
      <c r="AE971" s="11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</row>
    <row r="972" ht="11.25" customHeight="1">
      <c r="A972" s="7"/>
      <c r="B972" s="5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11"/>
      <c r="Y972" s="6"/>
      <c r="Z972" s="6"/>
      <c r="AA972" s="6"/>
      <c r="AB972" s="6"/>
      <c r="AC972" s="6"/>
      <c r="AD972" s="6"/>
      <c r="AE972" s="11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</row>
    <row r="973" ht="11.25" customHeight="1">
      <c r="A973" s="7"/>
      <c r="B973" s="5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11"/>
      <c r="Y973" s="6"/>
      <c r="Z973" s="6"/>
      <c r="AA973" s="6"/>
      <c r="AB973" s="6"/>
      <c r="AC973" s="6"/>
      <c r="AD973" s="6"/>
      <c r="AE973" s="11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</row>
    <row r="974" ht="11.25" customHeight="1">
      <c r="A974" s="7"/>
      <c r="B974" s="5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11"/>
      <c r="Y974" s="6"/>
      <c r="Z974" s="6"/>
      <c r="AA974" s="6"/>
      <c r="AB974" s="6"/>
      <c r="AC974" s="6"/>
      <c r="AD974" s="6"/>
      <c r="AE974" s="11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</row>
    <row r="975" ht="11.25" customHeight="1">
      <c r="A975" s="7"/>
      <c r="B975" s="5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11"/>
      <c r="Y975" s="6"/>
      <c r="Z975" s="6"/>
      <c r="AA975" s="6"/>
      <c r="AB975" s="6"/>
      <c r="AC975" s="6"/>
      <c r="AD975" s="6"/>
      <c r="AE975" s="11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</row>
    <row r="976" ht="11.25" customHeight="1">
      <c r="A976" s="7"/>
      <c r="B976" s="5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11"/>
      <c r="Y976" s="6"/>
      <c r="Z976" s="6"/>
      <c r="AA976" s="6"/>
      <c r="AB976" s="6"/>
      <c r="AC976" s="6"/>
      <c r="AD976" s="6"/>
      <c r="AE976" s="11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</row>
    <row r="977" ht="11.25" customHeight="1">
      <c r="A977" s="7"/>
      <c r="B977" s="5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11"/>
      <c r="Y977" s="6"/>
      <c r="Z977" s="6"/>
      <c r="AA977" s="6"/>
      <c r="AB977" s="6"/>
      <c r="AC977" s="6"/>
      <c r="AD977" s="6"/>
      <c r="AE977" s="11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</row>
    <row r="978" ht="11.25" customHeight="1">
      <c r="A978" s="7"/>
      <c r="B978" s="5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11"/>
      <c r="Y978" s="6"/>
      <c r="Z978" s="6"/>
      <c r="AA978" s="6"/>
      <c r="AB978" s="6"/>
      <c r="AC978" s="6"/>
      <c r="AD978" s="6"/>
      <c r="AE978" s="11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</row>
    <row r="979" ht="11.25" customHeight="1">
      <c r="A979" s="7"/>
      <c r="B979" s="5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11"/>
      <c r="Y979" s="6"/>
      <c r="Z979" s="6"/>
      <c r="AA979" s="6"/>
      <c r="AB979" s="6"/>
      <c r="AC979" s="6"/>
      <c r="AD979" s="6"/>
      <c r="AE979" s="11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</row>
    <row r="980" ht="11.25" customHeight="1">
      <c r="A980" s="7"/>
      <c r="B980" s="5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11"/>
      <c r="Y980" s="6"/>
      <c r="Z980" s="6"/>
      <c r="AA980" s="6"/>
      <c r="AB980" s="6"/>
      <c r="AC980" s="6"/>
      <c r="AD980" s="6"/>
      <c r="AE980" s="11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</row>
    <row r="981" ht="11.25" customHeight="1">
      <c r="A981" s="7"/>
      <c r="B981" s="5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11"/>
      <c r="Y981" s="6"/>
      <c r="Z981" s="6"/>
      <c r="AA981" s="6"/>
      <c r="AB981" s="6"/>
      <c r="AC981" s="6"/>
      <c r="AD981" s="6"/>
      <c r="AE981" s="11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</row>
    <row r="982" ht="11.25" customHeight="1">
      <c r="A982" s="7"/>
      <c r="B982" s="5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11"/>
      <c r="Y982" s="6"/>
      <c r="Z982" s="6"/>
      <c r="AA982" s="6"/>
      <c r="AB982" s="6"/>
      <c r="AC982" s="6"/>
      <c r="AD982" s="6"/>
      <c r="AE982" s="11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</row>
    <row r="983" ht="11.25" customHeight="1">
      <c r="A983" s="7"/>
      <c r="B983" s="5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11"/>
      <c r="Y983" s="6"/>
      <c r="Z983" s="6"/>
      <c r="AA983" s="6"/>
      <c r="AB983" s="6"/>
      <c r="AC983" s="6"/>
      <c r="AD983" s="6"/>
      <c r="AE983" s="11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</row>
    <row r="984" ht="11.25" customHeight="1">
      <c r="A984" s="7"/>
      <c r="B984" s="5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11"/>
      <c r="Y984" s="6"/>
      <c r="Z984" s="6"/>
      <c r="AA984" s="6"/>
      <c r="AB984" s="6"/>
      <c r="AC984" s="6"/>
      <c r="AD984" s="6"/>
      <c r="AE984" s="11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</row>
    <row r="985" ht="11.25" customHeight="1">
      <c r="A985" s="7"/>
      <c r="B985" s="5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11"/>
      <c r="Y985" s="6"/>
      <c r="Z985" s="6"/>
      <c r="AA985" s="6"/>
      <c r="AB985" s="6"/>
      <c r="AC985" s="6"/>
      <c r="AD985" s="6"/>
      <c r="AE985" s="11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</row>
    <row r="986" ht="11.25" customHeight="1">
      <c r="A986" s="7"/>
      <c r="B986" s="5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11"/>
      <c r="Y986" s="6"/>
      <c r="Z986" s="6"/>
      <c r="AA986" s="6"/>
      <c r="AB986" s="6"/>
      <c r="AC986" s="6"/>
      <c r="AD986" s="6"/>
      <c r="AE986" s="11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</row>
    <row r="987" ht="11.25" customHeight="1">
      <c r="A987" s="7"/>
      <c r="B987" s="5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11"/>
      <c r="Y987" s="6"/>
      <c r="Z987" s="6"/>
      <c r="AA987" s="6"/>
      <c r="AB987" s="6"/>
      <c r="AC987" s="6"/>
      <c r="AD987" s="6"/>
      <c r="AE987" s="11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</row>
    <row r="988" ht="11.25" customHeight="1">
      <c r="A988" s="7"/>
      <c r="B988" s="5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11"/>
      <c r="Y988" s="6"/>
      <c r="Z988" s="6"/>
      <c r="AA988" s="6"/>
      <c r="AB988" s="6"/>
      <c r="AC988" s="6"/>
      <c r="AD988" s="6"/>
      <c r="AE988" s="11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</row>
    <row r="989" ht="11.25" customHeight="1">
      <c r="A989" s="7"/>
      <c r="B989" s="5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11"/>
      <c r="Y989" s="6"/>
      <c r="Z989" s="6"/>
      <c r="AA989" s="6"/>
      <c r="AB989" s="6"/>
      <c r="AC989" s="6"/>
      <c r="AD989" s="6"/>
      <c r="AE989" s="11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</row>
    <row r="990" ht="11.25" customHeight="1">
      <c r="A990" s="7"/>
      <c r="B990" s="5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11"/>
      <c r="Y990" s="6"/>
      <c r="Z990" s="6"/>
      <c r="AA990" s="6"/>
      <c r="AB990" s="6"/>
      <c r="AC990" s="6"/>
      <c r="AD990" s="6"/>
      <c r="AE990" s="11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</row>
    <row r="991" ht="11.25" customHeight="1">
      <c r="A991" s="7"/>
      <c r="B991" s="5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11"/>
      <c r="Y991" s="6"/>
      <c r="Z991" s="6"/>
      <c r="AA991" s="6"/>
      <c r="AB991" s="6"/>
      <c r="AC991" s="6"/>
      <c r="AD991" s="6"/>
      <c r="AE991" s="11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</row>
    <row r="992" ht="11.25" customHeight="1">
      <c r="A992" s="7"/>
      <c r="B992" s="5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11"/>
      <c r="Y992" s="6"/>
      <c r="Z992" s="6"/>
      <c r="AA992" s="6"/>
      <c r="AB992" s="6"/>
      <c r="AC992" s="6"/>
      <c r="AD992" s="6"/>
      <c r="AE992" s="11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</row>
    <row r="993" ht="11.25" customHeight="1">
      <c r="A993" s="7"/>
      <c r="B993" s="5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11"/>
      <c r="Y993" s="6"/>
      <c r="Z993" s="6"/>
      <c r="AA993" s="6"/>
      <c r="AB993" s="6"/>
      <c r="AC993" s="6"/>
      <c r="AD993" s="6"/>
      <c r="AE993" s="11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</row>
    <row r="994" ht="11.25" customHeight="1">
      <c r="A994" s="7"/>
      <c r="B994" s="5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11"/>
      <c r="Y994" s="6"/>
      <c r="Z994" s="6"/>
      <c r="AA994" s="6"/>
      <c r="AB994" s="6"/>
      <c r="AC994" s="6"/>
      <c r="AD994" s="6"/>
      <c r="AE994" s="11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</row>
    <row r="995" ht="11.25" customHeight="1">
      <c r="A995" s="7"/>
      <c r="B995" s="5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11"/>
      <c r="Y995" s="6"/>
      <c r="Z995" s="6"/>
      <c r="AA995" s="6"/>
      <c r="AB995" s="6"/>
      <c r="AC995" s="6"/>
      <c r="AD995" s="6"/>
      <c r="AE995" s="11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</row>
    <row r="996" ht="11.25" customHeight="1">
      <c r="A996" s="7"/>
      <c r="B996" s="5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11"/>
      <c r="Y996" s="6"/>
      <c r="Z996" s="6"/>
      <c r="AA996" s="6"/>
      <c r="AB996" s="6"/>
      <c r="AC996" s="6"/>
      <c r="AD996" s="6"/>
      <c r="AE996" s="11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</row>
    <row r="997" ht="11.25" customHeight="1">
      <c r="A997" s="7"/>
      <c r="B997" s="5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11"/>
      <c r="Y997" s="6"/>
      <c r="Z997" s="6"/>
      <c r="AA997" s="6"/>
      <c r="AB997" s="6"/>
      <c r="AC997" s="6"/>
      <c r="AD997" s="6"/>
      <c r="AE997" s="11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</row>
    <row r="998" ht="11.25" customHeight="1">
      <c r="A998" s="7"/>
      <c r="B998" s="5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11"/>
      <c r="Y998" s="6"/>
      <c r="Z998" s="6"/>
      <c r="AA998" s="6"/>
      <c r="AB998" s="6"/>
      <c r="AC998" s="6"/>
      <c r="AD998" s="6"/>
      <c r="AE998" s="11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</row>
    <row r="999" ht="11.25" customHeight="1">
      <c r="A999" s="7"/>
      <c r="B999" s="5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11"/>
      <c r="Y999" s="6"/>
      <c r="Z999" s="6"/>
      <c r="AA999" s="6"/>
      <c r="AB999" s="6"/>
      <c r="AC999" s="6"/>
      <c r="AD999" s="6"/>
      <c r="AE999" s="11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</row>
    <row r="1000" ht="11.25" customHeight="1">
      <c r="A1000" s="7"/>
      <c r="B1000" s="5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11"/>
      <c r="Y1000" s="6"/>
      <c r="Z1000" s="6"/>
      <c r="AA1000" s="6"/>
      <c r="AB1000" s="6"/>
      <c r="AC1000" s="6"/>
      <c r="AD1000" s="6"/>
      <c r="AE1000" s="11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</row>
  </sheetData>
  <conditionalFormatting sqref="C1:C2 D1:D3 E1:E2 F1:F3 G1:G2 H1:H3 I1:I2 J1:L3 N1:R1000 S1:S149 T1:T240 U1:U205 V1:V2 W1:W6 X1:Y1000 AA1:AB3 AC1:AC2 AD1:AE3 AF1:AF1000 V4:V1000 W17:W1000 T246:T248 T258:T260 T270:T272 T282:T284 T294:T296 T306:T308 T318:T320 T330:T332 T342:T344 T354:T356 S366:U1000">
    <cfRule type="cellIs" dxfId="0" priority="1" operator="less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87.63"/>
    <col customWidth="1" min="2" max="5" width="12.63"/>
    <col customWidth="1" min="6" max="6" width="51.38"/>
  </cols>
  <sheetData>
    <row r="1">
      <c r="A1" s="118" t="s">
        <v>37</v>
      </c>
      <c r="B1" s="118" t="s">
        <v>38</v>
      </c>
      <c r="C1" s="118" t="s">
        <v>39</v>
      </c>
      <c r="D1" s="118" t="s">
        <v>40</v>
      </c>
      <c r="E1" s="118" t="s">
        <v>41</v>
      </c>
      <c r="F1" s="118"/>
    </row>
    <row r="2">
      <c r="A2" s="119" t="s">
        <v>42</v>
      </c>
      <c r="B2" s="120">
        <f>SUM(B7:B16)</f>
        <v>0</v>
      </c>
      <c r="C2" s="120">
        <f>SUM(C7:C15)</f>
        <v>0</v>
      </c>
      <c r="D2" s="120">
        <f>SUM(D7:D16)</f>
        <v>0</v>
      </c>
      <c r="E2" s="120" t="str">
        <f>D2/(B2/100)</f>
        <v>#DIV/0!</v>
      </c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</row>
    <row r="4">
      <c r="A4" s="122" t="s">
        <v>43</v>
      </c>
      <c r="B4" s="123">
        <v>0.0</v>
      </c>
      <c r="C4" s="124">
        <v>0.0</v>
      </c>
      <c r="D4" s="125">
        <f t="shared" ref="D4:D6" si="1">C4-B4</f>
        <v>0</v>
      </c>
      <c r="F4" s="126" t="s">
        <v>44</v>
      </c>
      <c r="G4" s="127">
        <v>3600.0</v>
      </c>
      <c r="H4" s="123">
        <f t="shared" ref="H4:H5" si="2">G4*0.275</f>
        <v>990</v>
      </c>
      <c r="I4" s="128">
        <v>600.0</v>
      </c>
      <c r="J4" s="128">
        <v>850.0</v>
      </c>
      <c r="K4" s="128">
        <v>250.0</v>
      </c>
      <c r="L4" s="129"/>
      <c r="M4" s="129">
        <f t="shared" ref="M4:M5" si="3">SUM(H4:L4)</f>
        <v>2690</v>
      </c>
      <c r="N4" s="123"/>
    </row>
    <row r="5">
      <c r="A5" s="122" t="s">
        <v>45</v>
      </c>
      <c r="B5" s="123">
        <v>0.0</v>
      </c>
      <c r="C5" s="124">
        <v>0.0</v>
      </c>
      <c r="D5" s="125">
        <f t="shared" si="1"/>
        <v>0</v>
      </c>
      <c r="E5" s="130"/>
      <c r="F5" s="126" t="s">
        <v>46</v>
      </c>
      <c r="G5" s="127">
        <v>1820.0</v>
      </c>
      <c r="H5" s="123">
        <f t="shared" si="2"/>
        <v>500.5</v>
      </c>
      <c r="I5" s="128">
        <v>600.0</v>
      </c>
      <c r="J5" s="128">
        <v>850.0</v>
      </c>
      <c r="K5" s="128">
        <v>250.0</v>
      </c>
      <c r="L5" s="129"/>
      <c r="M5" s="129">
        <f t="shared" si="3"/>
        <v>2200.5</v>
      </c>
    </row>
    <row r="6">
      <c r="A6" s="122" t="s">
        <v>47</v>
      </c>
      <c r="B6" s="123">
        <v>0.0</v>
      </c>
      <c r="C6" s="124">
        <v>0.0</v>
      </c>
      <c r="D6" s="125">
        <f t="shared" si="1"/>
        <v>0</v>
      </c>
    </row>
    <row r="7">
      <c r="F7" s="126" t="s">
        <v>48</v>
      </c>
      <c r="G7" s="127">
        <v>5950.0</v>
      </c>
      <c r="H7" s="123">
        <f t="shared" ref="H7:H9" si="4">G7*0.275</f>
        <v>1636.25</v>
      </c>
      <c r="I7" s="128">
        <v>900.0</v>
      </c>
      <c r="J7" s="128">
        <v>850.0</v>
      </c>
      <c r="K7" s="128">
        <v>250.0</v>
      </c>
      <c r="L7" s="129"/>
      <c r="M7" s="129">
        <f t="shared" ref="M7:M9" si="5">SUM(H7:L7)</f>
        <v>3636.25</v>
      </c>
    </row>
    <row r="8">
      <c r="A8" s="122" t="s">
        <v>49</v>
      </c>
      <c r="F8" s="126" t="s">
        <v>50</v>
      </c>
      <c r="G8" s="127">
        <v>13710.0</v>
      </c>
      <c r="H8" s="123">
        <f t="shared" si="4"/>
        <v>3770.25</v>
      </c>
      <c r="I8" s="128">
        <v>900.0</v>
      </c>
      <c r="J8" s="128">
        <v>850.0</v>
      </c>
      <c r="K8" s="128">
        <v>250.0</v>
      </c>
      <c r="L8" s="129"/>
      <c r="M8" s="129">
        <f t="shared" si="5"/>
        <v>5770.25</v>
      </c>
    </row>
    <row r="9">
      <c r="A9" s="122"/>
      <c r="B9" s="124"/>
      <c r="C9" s="124"/>
      <c r="F9" s="126" t="s">
        <v>51</v>
      </c>
      <c r="G9" s="127">
        <v>9545.0</v>
      </c>
      <c r="H9" s="123">
        <f t="shared" si="4"/>
        <v>2624.875</v>
      </c>
      <c r="I9" s="128">
        <v>900.0</v>
      </c>
      <c r="J9" s="128">
        <v>850.0</v>
      </c>
      <c r="K9" s="128">
        <v>250.0</v>
      </c>
      <c r="L9" s="129"/>
      <c r="M9" s="129">
        <f t="shared" si="5"/>
        <v>4624.875</v>
      </c>
    </row>
    <row r="10">
      <c r="A10" s="122" t="s">
        <v>52</v>
      </c>
      <c r="B10" s="124"/>
      <c r="C10" s="124"/>
    </row>
    <row r="11">
      <c r="A11" s="123"/>
      <c r="B11" s="124"/>
      <c r="C11" s="124"/>
      <c r="F11" s="126" t="s">
        <v>53</v>
      </c>
      <c r="G11" s="127">
        <v>8701.0</v>
      </c>
      <c r="H11" s="123">
        <f t="shared" ref="H11:H12" si="6">G11*0.275</f>
        <v>2392.775</v>
      </c>
      <c r="I11" s="128">
        <v>800.0</v>
      </c>
      <c r="J11" s="128">
        <v>850.0</v>
      </c>
      <c r="K11" s="128">
        <v>250.0</v>
      </c>
      <c r="L11" s="129"/>
      <c r="M11" s="129">
        <f t="shared" ref="M11:M12" si="7">SUM(H11:L11)</f>
        <v>4292.775</v>
      </c>
    </row>
    <row r="12">
      <c r="A12" s="131" t="s">
        <v>54</v>
      </c>
      <c r="B12" s="124"/>
      <c r="C12" s="124"/>
      <c r="F12" s="130" t="s">
        <v>55</v>
      </c>
      <c r="G12" s="127">
        <v>12700.0</v>
      </c>
      <c r="H12" s="123">
        <f t="shared" si="6"/>
        <v>3492.5</v>
      </c>
      <c r="I12" s="128">
        <v>800.0</v>
      </c>
      <c r="J12" s="128">
        <v>850.0</v>
      </c>
      <c r="K12" s="128">
        <v>250.0</v>
      </c>
      <c r="L12" s="129"/>
      <c r="M12" s="129">
        <f t="shared" si="7"/>
        <v>5392.5</v>
      </c>
      <c r="O12" s="132"/>
    </row>
    <row r="13">
      <c r="A13" s="123"/>
      <c r="B13" s="124"/>
      <c r="C13" s="124"/>
    </row>
    <row r="14">
      <c r="A14" s="122" t="s">
        <v>56</v>
      </c>
      <c r="B14" s="124"/>
      <c r="C14" s="124"/>
      <c r="D14" s="132"/>
      <c r="E14" s="126"/>
      <c r="F14" s="130"/>
    </row>
    <row r="15">
      <c r="F15" s="130"/>
    </row>
    <row r="17">
      <c r="A17" s="122" t="s">
        <v>57</v>
      </c>
      <c r="B17" s="133">
        <f t="shared" ref="B17:D17" si="8">SUM(B12:B16)</f>
        <v>0</v>
      </c>
      <c r="C17" s="133">
        <f t="shared" si="8"/>
        <v>0</v>
      </c>
      <c r="D17" s="134">
        <f t="shared" si="8"/>
        <v>0</v>
      </c>
      <c r="E17" s="135" t="str">
        <f>D17/(B17/100)</f>
        <v>#DIV/0!</v>
      </c>
      <c r="F17" s="136"/>
    </row>
    <row r="18">
      <c r="G18" s="137"/>
    </row>
    <row r="19">
      <c r="A19" s="138" t="s">
        <v>58</v>
      </c>
      <c r="B19" s="139"/>
      <c r="C19" s="139"/>
      <c r="D19" s="139"/>
      <c r="E19" s="126"/>
      <c r="F19" s="127"/>
      <c r="G19" s="140"/>
      <c r="H19" s="128"/>
      <c r="I19" s="128"/>
      <c r="J19" s="128"/>
      <c r="K19" s="129"/>
      <c r="L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</row>
    <row r="20">
      <c r="A20" s="141">
        <v>44531.0</v>
      </c>
      <c r="B20" s="139"/>
      <c r="C20" s="139"/>
      <c r="D20" s="13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</row>
    <row r="21">
      <c r="A21" s="142" t="s">
        <v>59</v>
      </c>
      <c r="B21" s="124">
        <v>35000.0</v>
      </c>
      <c r="C21" s="124">
        <v>35500.0</v>
      </c>
      <c r="D21" s="132">
        <f t="shared" ref="D21:D23" si="9">C21-B21</f>
        <v>500</v>
      </c>
      <c r="E21" s="126"/>
      <c r="F21" s="139"/>
      <c r="G21" s="129"/>
      <c r="H21" s="129"/>
      <c r="I21" s="129"/>
      <c r="J21" s="129"/>
      <c r="K21" s="129"/>
      <c r="L21" s="129"/>
      <c r="M21" s="129"/>
      <c r="N21" s="129"/>
      <c r="O21" s="129"/>
      <c r="S21" s="129"/>
      <c r="T21" s="129"/>
      <c r="U21" s="129"/>
      <c r="V21" s="129"/>
      <c r="W21" s="129"/>
      <c r="X21" s="129"/>
      <c r="Y21" s="129"/>
      <c r="Z21" s="129"/>
      <c r="AA21" s="129"/>
      <c r="AB21" s="129"/>
    </row>
    <row r="22">
      <c r="A22" s="128" t="s">
        <v>60</v>
      </c>
      <c r="B22" s="124">
        <v>3000.0</v>
      </c>
      <c r="C22" s="124">
        <v>3500.0</v>
      </c>
      <c r="D22" s="132">
        <f t="shared" si="9"/>
        <v>500</v>
      </c>
      <c r="E22" s="126"/>
      <c r="F22" s="139"/>
      <c r="G22" s="129"/>
      <c r="H22" s="129"/>
      <c r="I22" s="129"/>
      <c r="J22" s="129"/>
      <c r="K22" s="129"/>
      <c r="L22" s="129"/>
      <c r="M22" s="129"/>
      <c r="N22" s="129"/>
      <c r="O22" s="129"/>
      <c r="S22" s="129"/>
      <c r="T22" s="129"/>
      <c r="U22" s="129"/>
      <c r="V22" s="129"/>
      <c r="W22" s="129"/>
      <c r="X22" s="129"/>
      <c r="Y22" s="129"/>
      <c r="Z22" s="129"/>
      <c r="AA22" s="129"/>
      <c r="AB22" s="129"/>
    </row>
    <row r="23">
      <c r="A23" s="128" t="s">
        <v>61</v>
      </c>
      <c r="B23" s="124">
        <v>2250.0</v>
      </c>
      <c r="C23" s="124">
        <v>2500.0</v>
      </c>
      <c r="D23" s="132">
        <f t="shared" si="9"/>
        <v>250</v>
      </c>
      <c r="E23" s="126"/>
      <c r="F23" s="139"/>
      <c r="G23" s="129"/>
      <c r="H23" s="129"/>
      <c r="I23" s="129"/>
      <c r="J23" s="129"/>
      <c r="K23" s="129"/>
      <c r="L23" s="129"/>
      <c r="M23" s="129"/>
      <c r="N23" s="129"/>
      <c r="O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</row>
    <row r="24">
      <c r="A24" s="143"/>
      <c r="B24" s="139"/>
      <c r="C24" s="139"/>
      <c r="D24" s="13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S24" s="129"/>
      <c r="T24" s="129"/>
      <c r="U24" s="129"/>
      <c r="V24" s="129"/>
      <c r="W24" s="129"/>
      <c r="X24" s="129"/>
      <c r="Y24" s="129"/>
      <c r="Z24" s="129"/>
      <c r="AA24" s="129"/>
      <c r="AB24" s="129"/>
    </row>
    <row r="25">
      <c r="A25" s="144" t="s">
        <v>57</v>
      </c>
      <c r="B25" s="145">
        <f t="shared" ref="B25:D25" si="10">SUM(B20:B24)</f>
        <v>40250</v>
      </c>
      <c r="C25" s="145">
        <f t="shared" si="10"/>
        <v>41500</v>
      </c>
      <c r="D25" s="145">
        <f t="shared" si="10"/>
        <v>1250</v>
      </c>
      <c r="E25" s="146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</row>
    <row r="26">
      <c r="A26" s="141"/>
      <c r="B26" s="139"/>
      <c r="C26" s="139"/>
      <c r="D26" s="13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</row>
    <row r="27">
      <c r="A27" s="141">
        <v>44501.0</v>
      </c>
      <c r="B27" s="139"/>
      <c r="C27" s="139"/>
      <c r="D27" s="13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</row>
    <row r="28">
      <c r="A28" s="128" t="s">
        <v>62</v>
      </c>
      <c r="B28" s="147">
        <v>28000.0</v>
      </c>
      <c r="C28" s="147">
        <v>32500.0</v>
      </c>
      <c r="D28" s="132">
        <f t="shared" ref="D28:D37" si="11">C28-B28</f>
        <v>4500</v>
      </c>
      <c r="E28" s="139"/>
      <c r="F28" s="147">
        <v>85000.0</v>
      </c>
      <c r="G28" s="148">
        <v>26284.69</v>
      </c>
      <c r="H28" s="148">
        <v>0.0</v>
      </c>
      <c r="I28" s="149">
        <v>0.0</v>
      </c>
      <c r="J28" s="128">
        <v>1700.0</v>
      </c>
      <c r="K28" s="129"/>
      <c r="L28" s="149">
        <f t="shared" ref="L28:L30" si="12">SUM(G28:K28)</f>
        <v>27984.69</v>
      </c>
      <c r="M28" s="148">
        <v>100.0</v>
      </c>
      <c r="N28" s="149">
        <f t="shared" ref="N28:N30" si="13">M28*30</f>
        <v>3000</v>
      </c>
      <c r="O28" s="149">
        <f t="shared" ref="O28:O30" si="14">L28/N28</f>
        <v>9.32823</v>
      </c>
      <c r="P28" s="129"/>
      <c r="Q28" s="129"/>
      <c r="R28" s="129"/>
      <c r="S28" s="129"/>
      <c r="T28" s="129"/>
      <c r="U28" s="129"/>
      <c r="V28" s="129"/>
      <c r="W28" s="129"/>
      <c r="X28" s="129"/>
      <c r="Y28" s="129"/>
      <c r="Z28" s="129"/>
      <c r="AA28" s="129"/>
      <c r="AB28" s="129"/>
    </row>
    <row r="29">
      <c r="A29" s="128" t="s">
        <v>62</v>
      </c>
      <c r="B29" s="147">
        <v>28500.0</v>
      </c>
      <c r="C29" s="147">
        <v>32500.0</v>
      </c>
      <c r="D29" s="132">
        <f t="shared" si="11"/>
        <v>4000</v>
      </c>
      <c r="E29" s="139"/>
      <c r="F29" s="147">
        <v>86000.0</v>
      </c>
      <c r="G29" s="148">
        <v>26647.31</v>
      </c>
      <c r="H29" s="148">
        <v>0.0</v>
      </c>
      <c r="I29" s="149">
        <v>0.0</v>
      </c>
      <c r="J29" s="128">
        <v>1820.0</v>
      </c>
      <c r="K29" s="129"/>
      <c r="L29" s="149">
        <f t="shared" si="12"/>
        <v>28467.31</v>
      </c>
      <c r="M29" s="148">
        <v>100.0</v>
      </c>
      <c r="N29" s="149">
        <f t="shared" si="13"/>
        <v>3000</v>
      </c>
      <c r="O29" s="149">
        <f t="shared" si="14"/>
        <v>9.489103333</v>
      </c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129"/>
      <c r="AA29" s="129"/>
      <c r="AB29" s="129"/>
    </row>
    <row r="30">
      <c r="A30" s="150" t="s">
        <v>63</v>
      </c>
      <c r="B30" s="147">
        <v>23750.0</v>
      </c>
      <c r="C30" s="132">
        <v>27500.0</v>
      </c>
      <c r="D30" s="132">
        <f t="shared" si="11"/>
        <v>3750</v>
      </c>
      <c r="E30" s="139"/>
      <c r="F30" s="147">
        <v>71000.0</v>
      </c>
      <c r="G30" s="148">
        <v>22129.8</v>
      </c>
      <c r="H30" s="148">
        <v>0.0</v>
      </c>
      <c r="I30" s="149">
        <v>0.0</v>
      </c>
      <c r="J30" s="128">
        <v>1550.0</v>
      </c>
      <c r="K30" s="129"/>
      <c r="L30" s="149">
        <f t="shared" si="12"/>
        <v>23679.8</v>
      </c>
      <c r="M30" s="148">
        <v>77.0</v>
      </c>
      <c r="N30" s="149">
        <f t="shared" si="13"/>
        <v>2310</v>
      </c>
      <c r="O30" s="149">
        <f t="shared" si="14"/>
        <v>10.25099567</v>
      </c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29"/>
      <c r="AA30" s="129"/>
      <c r="AB30" s="129"/>
    </row>
    <row r="31">
      <c r="A31" s="128" t="s">
        <v>64</v>
      </c>
      <c r="B31" s="147">
        <v>3000.0</v>
      </c>
      <c r="C31" s="147">
        <v>3500.0</v>
      </c>
      <c r="D31" s="132">
        <f t="shared" si="11"/>
        <v>500</v>
      </c>
      <c r="E31" s="139"/>
      <c r="F31" s="147"/>
      <c r="G31" s="148"/>
      <c r="H31" s="148"/>
      <c r="I31" s="149"/>
      <c r="J31" s="128"/>
      <c r="K31" s="129"/>
      <c r="L31" s="149"/>
      <c r="M31" s="148"/>
      <c r="N31" s="149"/>
      <c r="O31" s="14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  <c r="AA31" s="129"/>
      <c r="AB31" s="129"/>
    </row>
    <row r="32">
      <c r="A32" s="151" t="s">
        <v>65</v>
      </c>
      <c r="B32" s="147">
        <v>3500.0</v>
      </c>
      <c r="C32" s="147">
        <v>4000.0</v>
      </c>
      <c r="D32" s="132">
        <f t="shared" si="11"/>
        <v>500</v>
      </c>
      <c r="E32" s="139"/>
      <c r="F32" s="147"/>
      <c r="G32" s="148"/>
      <c r="H32" s="148"/>
      <c r="I32" s="149"/>
      <c r="J32" s="128"/>
      <c r="K32" s="129"/>
      <c r="L32" s="149"/>
      <c r="M32" s="148"/>
      <c r="N32" s="149"/>
      <c r="O32" s="149"/>
      <c r="P32" s="129"/>
      <c r="Q32" s="129"/>
      <c r="R32" s="129"/>
      <c r="S32" s="129"/>
      <c r="T32" s="129"/>
      <c r="U32" s="129"/>
      <c r="V32" s="129"/>
      <c r="W32" s="129"/>
      <c r="X32" s="129"/>
      <c r="Y32" s="129"/>
      <c r="Z32" s="129"/>
      <c r="AA32" s="129"/>
      <c r="AB32" s="129"/>
    </row>
    <row r="33">
      <c r="A33" s="128" t="s">
        <v>66</v>
      </c>
      <c r="B33" s="147">
        <v>1250.0</v>
      </c>
      <c r="C33" s="147">
        <v>1500.0</v>
      </c>
      <c r="D33" s="132">
        <f t="shared" si="11"/>
        <v>250</v>
      </c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</row>
    <row r="34">
      <c r="A34" s="123" t="s">
        <v>67</v>
      </c>
      <c r="B34" s="147">
        <v>4250.0</v>
      </c>
      <c r="C34" s="147">
        <v>5000.0</v>
      </c>
      <c r="D34" s="125">
        <f t="shared" si="11"/>
        <v>750</v>
      </c>
    </row>
    <row r="35">
      <c r="A35" s="128" t="s">
        <v>68</v>
      </c>
      <c r="B35" s="147">
        <v>2250.0</v>
      </c>
      <c r="C35" s="147">
        <v>2500.0</v>
      </c>
      <c r="D35" s="132">
        <f t="shared" si="11"/>
        <v>250</v>
      </c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</row>
    <row r="36">
      <c r="A36" s="128" t="s">
        <v>69</v>
      </c>
      <c r="B36" s="147">
        <v>3500.0</v>
      </c>
      <c r="C36" s="147">
        <v>4000.0</v>
      </c>
      <c r="D36" s="132">
        <f t="shared" si="11"/>
        <v>500</v>
      </c>
      <c r="E36" s="139"/>
      <c r="F36" s="139"/>
      <c r="G36" s="150"/>
      <c r="H36" s="150"/>
      <c r="I36" s="150"/>
      <c r="J36" s="150"/>
      <c r="K36" s="129"/>
      <c r="L36" s="129"/>
      <c r="M36" s="150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  <c r="AA36" s="129"/>
      <c r="AB36" s="129"/>
    </row>
    <row r="37">
      <c r="A37" s="150" t="s">
        <v>63</v>
      </c>
      <c r="B37" s="147">
        <v>24000.0</v>
      </c>
      <c r="C37" s="132">
        <v>27500.0</v>
      </c>
      <c r="D37" s="132">
        <f t="shared" si="11"/>
        <v>3500</v>
      </c>
      <c r="E37" s="139"/>
      <c r="F37" s="147">
        <v>69000.0</v>
      </c>
      <c r="G37" s="148">
        <v>21129.88</v>
      </c>
      <c r="H37" s="148">
        <v>1261.96</v>
      </c>
      <c r="I37" s="152">
        <v>0.0</v>
      </c>
      <c r="J37" s="148">
        <v>1470.0</v>
      </c>
      <c r="K37" s="129"/>
      <c r="L37" s="149">
        <f>SUM(G37:K37)</f>
        <v>23861.84</v>
      </c>
      <c r="M37" s="148">
        <v>77.0</v>
      </c>
      <c r="N37" s="149">
        <f>M37*30</f>
        <v>2310</v>
      </c>
      <c r="O37" s="149">
        <f>L37/N37</f>
        <v>10.32980087</v>
      </c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</row>
    <row r="38">
      <c r="A38" s="143"/>
      <c r="B38" s="139"/>
      <c r="C38" s="139"/>
      <c r="D38" s="13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S38" s="129"/>
      <c r="T38" s="129"/>
      <c r="U38" s="129"/>
      <c r="V38" s="129"/>
      <c r="W38" s="129"/>
      <c r="X38" s="129"/>
      <c r="Y38" s="129"/>
      <c r="Z38" s="129"/>
      <c r="AA38" s="129"/>
      <c r="AB38" s="129"/>
    </row>
    <row r="39">
      <c r="A39" s="144" t="s">
        <v>57</v>
      </c>
      <c r="B39" s="145">
        <f t="shared" ref="B39:D39" si="15">SUM(B27:B38)</f>
        <v>122000</v>
      </c>
      <c r="C39" s="145">
        <f t="shared" si="15"/>
        <v>140500</v>
      </c>
      <c r="D39" s="145">
        <f t="shared" si="15"/>
        <v>18500</v>
      </c>
      <c r="E39" s="146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S39" s="129"/>
      <c r="T39" s="129"/>
      <c r="U39" s="129"/>
      <c r="V39" s="129"/>
      <c r="W39" s="129"/>
      <c r="X39" s="129"/>
      <c r="Y39" s="129"/>
      <c r="Z39" s="129"/>
      <c r="AA39" s="129"/>
      <c r="AB39" s="129"/>
    </row>
    <row r="40">
      <c r="A40" s="141"/>
      <c r="B40" s="139"/>
      <c r="C40" s="139"/>
      <c r="D40" s="13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S40" s="129"/>
      <c r="T40" s="129"/>
      <c r="U40" s="129"/>
      <c r="V40" s="129"/>
      <c r="W40" s="129"/>
      <c r="X40" s="129"/>
      <c r="Y40" s="129"/>
      <c r="Z40" s="129"/>
      <c r="AA40" s="129"/>
      <c r="AB40" s="129"/>
    </row>
    <row r="41">
      <c r="A41" s="141">
        <v>44470.0</v>
      </c>
      <c r="B41" s="139"/>
      <c r="C41" s="139"/>
      <c r="D41" s="13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S41" s="129"/>
      <c r="T41" s="129"/>
      <c r="U41" s="129"/>
      <c r="V41" s="129"/>
      <c r="W41" s="129"/>
      <c r="X41" s="129"/>
      <c r="Y41" s="129"/>
      <c r="Z41" s="129"/>
      <c r="AA41" s="129"/>
      <c r="AB41" s="129"/>
    </row>
    <row r="42">
      <c r="A42" s="128" t="s">
        <v>70</v>
      </c>
      <c r="B42" s="147">
        <v>26500.0</v>
      </c>
      <c r="C42" s="147">
        <v>30000.0</v>
      </c>
      <c r="D42" s="132">
        <f t="shared" ref="D42:D58" si="16">C42-B42</f>
        <v>3500</v>
      </c>
      <c r="E42" s="139"/>
      <c r="F42" s="127">
        <v>78000.0</v>
      </c>
      <c r="G42" s="123">
        <v>23870.35</v>
      </c>
      <c r="H42" s="128">
        <v>1344.05</v>
      </c>
      <c r="I42" s="128">
        <v>0.0</v>
      </c>
      <c r="J42" s="128">
        <v>1680.0</v>
      </c>
      <c r="K42" s="129"/>
      <c r="L42" s="129">
        <f t="shared" ref="L42:L45" si="17">SUM(G42:K42)</f>
        <v>26894.4</v>
      </c>
      <c r="M42" s="123">
        <v>105.0</v>
      </c>
      <c r="N42">
        <f t="shared" ref="N42:N45" si="18">M42*30</f>
        <v>3150</v>
      </c>
      <c r="O42">
        <f t="shared" ref="O42:O45" si="19">L42/N42</f>
        <v>8.537904762</v>
      </c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</row>
    <row r="43">
      <c r="A43" s="150" t="s">
        <v>63</v>
      </c>
      <c r="B43" s="147">
        <v>22500.0</v>
      </c>
      <c r="C43" s="132">
        <v>27500.0</v>
      </c>
      <c r="D43" s="132">
        <f t="shared" si="16"/>
        <v>5000</v>
      </c>
      <c r="E43" s="139"/>
      <c r="F43" s="147">
        <v>67800.0</v>
      </c>
      <c r="G43" s="148">
        <v>21483.33</v>
      </c>
      <c r="H43" s="152">
        <v>0.0</v>
      </c>
      <c r="I43" s="152">
        <v>0.0</v>
      </c>
      <c r="J43" s="148">
        <v>1350.0</v>
      </c>
      <c r="K43" s="129"/>
      <c r="L43" s="149">
        <f t="shared" si="17"/>
        <v>22833.33</v>
      </c>
      <c r="M43" s="152">
        <v>84.0</v>
      </c>
      <c r="N43" s="149">
        <f t="shared" si="18"/>
        <v>2520</v>
      </c>
      <c r="O43" s="149">
        <f t="shared" si="19"/>
        <v>9.060845238</v>
      </c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  <c r="AA43" s="129"/>
      <c r="AB43" s="129"/>
    </row>
    <row r="44">
      <c r="A44" s="123" t="s">
        <v>63</v>
      </c>
      <c r="B44" s="124">
        <v>23500.0</v>
      </c>
      <c r="C44" s="124">
        <v>27500.0</v>
      </c>
      <c r="D44" s="132">
        <f t="shared" si="16"/>
        <v>4000</v>
      </c>
      <c r="E44" s="126"/>
      <c r="F44" s="127">
        <v>69000.0</v>
      </c>
      <c r="G44" s="123">
        <v>21876.96</v>
      </c>
      <c r="H44" s="128">
        <v>0.0</v>
      </c>
      <c r="I44" s="128">
        <v>0.0</v>
      </c>
      <c r="J44" s="128">
        <v>1380.0</v>
      </c>
      <c r="K44" s="129"/>
      <c r="L44" s="129">
        <f t="shared" si="17"/>
        <v>23256.96</v>
      </c>
      <c r="M44" s="123">
        <v>84.0</v>
      </c>
      <c r="N44">
        <f t="shared" si="18"/>
        <v>2520</v>
      </c>
      <c r="O44">
        <f t="shared" si="19"/>
        <v>9.228952381</v>
      </c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</row>
    <row r="45">
      <c r="A45" s="123" t="s">
        <v>63</v>
      </c>
      <c r="B45" s="124">
        <v>23500.0</v>
      </c>
      <c r="C45" s="124">
        <v>27500.0</v>
      </c>
      <c r="D45" s="132">
        <f t="shared" si="16"/>
        <v>4000</v>
      </c>
      <c r="E45" s="126"/>
      <c r="F45" s="127">
        <v>69000.0</v>
      </c>
      <c r="G45" s="123">
        <v>21876.96</v>
      </c>
      <c r="H45" s="128">
        <v>0.0</v>
      </c>
      <c r="I45" s="128">
        <v>0.0</v>
      </c>
      <c r="J45" s="128">
        <v>1380.0</v>
      </c>
      <c r="K45" s="129"/>
      <c r="L45" s="129">
        <f t="shared" si="17"/>
        <v>23256.96</v>
      </c>
      <c r="M45" s="123">
        <v>84.0</v>
      </c>
      <c r="N45">
        <f t="shared" si="18"/>
        <v>2520</v>
      </c>
      <c r="O45">
        <f t="shared" si="19"/>
        <v>9.228952381</v>
      </c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</row>
    <row r="46">
      <c r="A46" s="128" t="s">
        <v>71</v>
      </c>
      <c r="B46" s="147">
        <v>3000.0</v>
      </c>
      <c r="C46" s="147">
        <v>3500.0</v>
      </c>
      <c r="D46" s="132">
        <f t="shared" si="16"/>
        <v>500</v>
      </c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  <c r="AA46" s="129"/>
      <c r="AB46" s="129"/>
    </row>
    <row r="47">
      <c r="A47" s="128" t="s">
        <v>68</v>
      </c>
      <c r="B47" s="147">
        <v>2250.0</v>
      </c>
      <c r="C47" s="147">
        <v>2500.0</v>
      </c>
      <c r="D47" s="132">
        <f t="shared" si="16"/>
        <v>250</v>
      </c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</row>
    <row r="48">
      <c r="A48" s="128" t="s">
        <v>72</v>
      </c>
      <c r="B48" s="147">
        <v>1250.0</v>
      </c>
      <c r="C48" s="147">
        <v>1500.0</v>
      </c>
      <c r="D48" s="132">
        <f t="shared" si="16"/>
        <v>250</v>
      </c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</row>
    <row r="49">
      <c r="A49" s="123" t="s">
        <v>67</v>
      </c>
      <c r="B49" s="147">
        <v>4500.0</v>
      </c>
      <c r="C49" s="147">
        <v>5000.0</v>
      </c>
      <c r="D49" s="125">
        <f t="shared" si="16"/>
        <v>500</v>
      </c>
    </row>
    <row r="50">
      <c r="A50" s="123" t="s">
        <v>73</v>
      </c>
      <c r="B50" s="124">
        <v>22500.0</v>
      </c>
      <c r="C50" s="124">
        <v>27500.0</v>
      </c>
      <c r="D50" s="132">
        <f t="shared" si="16"/>
        <v>5000</v>
      </c>
      <c r="E50" s="126"/>
      <c r="F50" s="127">
        <v>68400.0</v>
      </c>
      <c r="G50" s="123">
        <v>21012.0</v>
      </c>
      <c r="H50" s="128">
        <v>0.0</v>
      </c>
      <c r="I50" s="128">
        <v>0.0</v>
      </c>
      <c r="J50" s="128">
        <v>1400.0</v>
      </c>
      <c r="K50" s="129"/>
      <c r="L50" s="129">
        <f>SUM(G50:K50)</f>
        <v>22412</v>
      </c>
      <c r="M50" s="123">
        <v>84.0</v>
      </c>
      <c r="N50">
        <f>M50*30</f>
        <v>2520</v>
      </c>
      <c r="O50">
        <f>L50/N50</f>
        <v>8.893650794</v>
      </c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</row>
    <row r="51">
      <c r="A51" s="128" t="s">
        <v>64</v>
      </c>
      <c r="B51" s="147">
        <v>3000.0</v>
      </c>
      <c r="C51" s="147">
        <v>3500.0</v>
      </c>
      <c r="D51" s="132">
        <f t="shared" si="16"/>
        <v>500</v>
      </c>
      <c r="E51" s="139"/>
      <c r="F51" s="132"/>
      <c r="G51" s="153"/>
      <c r="H51" s="150"/>
      <c r="I51" s="150"/>
      <c r="J51" s="150"/>
      <c r="K51" s="129"/>
      <c r="L51" s="129"/>
      <c r="M51" s="150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</row>
    <row r="52">
      <c r="A52" s="123" t="s">
        <v>74</v>
      </c>
      <c r="B52" s="147">
        <v>2500.0</v>
      </c>
      <c r="C52" s="147">
        <v>3000.0</v>
      </c>
      <c r="D52" s="132">
        <f t="shared" si="16"/>
        <v>500</v>
      </c>
      <c r="E52" s="139"/>
      <c r="F52" s="132"/>
      <c r="G52" s="153"/>
      <c r="H52" s="150"/>
      <c r="I52" s="150"/>
      <c r="J52" s="150"/>
      <c r="K52" s="129"/>
      <c r="L52" s="129"/>
      <c r="M52" s="150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</row>
    <row r="53">
      <c r="A53" s="128" t="s">
        <v>72</v>
      </c>
      <c r="B53" s="147">
        <v>1000.0</v>
      </c>
      <c r="C53" s="147">
        <v>1500.0</v>
      </c>
      <c r="D53" s="132">
        <f t="shared" si="16"/>
        <v>500</v>
      </c>
      <c r="E53" s="139"/>
      <c r="F53" s="132"/>
      <c r="G53" s="153"/>
      <c r="H53" s="150"/>
      <c r="I53" s="150"/>
      <c r="J53" s="150"/>
      <c r="K53" s="129"/>
      <c r="L53" s="129"/>
      <c r="M53" s="150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</row>
    <row r="54">
      <c r="A54" s="151" t="s">
        <v>65</v>
      </c>
      <c r="B54" s="147">
        <v>3500.0</v>
      </c>
      <c r="C54" s="147">
        <v>4000.0</v>
      </c>
      <c r="D54" s="132">
        <f t="shared" si="16"/>
        <v>500</v>
      </c>
      <c r="E54" s="139"/>
      <c r="F54" s="132"/>
      <c r="G54" s="153"/>
      <c r="H54" s="150"/>
      <c r="I54" s="150"/>
      <c r="J54" s="150"/>
      <c r="K54" s="129"/>
      <c r="L54" s="129"/>
      <c r="M54" s="150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</row>
    <row r="55">
      <c r="A55" s="128" t="s">
        <v>75</v>
      </c>
      <c r="B55" s="124">
        <v>24000.0</v>
      </c>
      <c r="C55" s="124">
        <v>27500.0</v>
      </c>
      <c r="D55" s="132">
        <f t="shared" si="16"/>
        <v>3500</v>
      </c>
      <c r="E55" s="126"/>
      <c r="F55" s="127">
        <v>71380.0</v>
      </c>
      <c r="G55" s="123">
        <v>22688.0</v>
      </c>
      <c r="H55" s="128">
        <v>0.0</v>
      </c>
      <c r="I55" s="128">
        <v>0.0</v>
      </c>
      <c r="J55" s="128">
        <v>1470.0</v>
      </c>
      <c r="K55" s="129"/>
      <c r="L55" s="129">
        <f t="shared" ref="L55:L58" si="20">SUM(G55:K55)</f>
        <v>24158</v>
      </c>
      <c r="M55" s="123">
        <v>84.0</v>
      </c>
      <c r="N55">
        <f t="shared" ref="N55:N58" si="21">M55*30</f>
        <v>2520</v>
      </c>
      <c r="O55">
        <f t="shared" ref="O55:O58" si="22">L55/N55</f>
        <v>9.586507937</v>
      </c>
      <c r="S55" s="129"/>
      <c r="T55" s="129"/>
      <c r="U55" s="129"/>
      <c r="V55" s="129"/>
      <c r="W55" s="129"/>
      <c r="X55" s="129"/>
      <c r="Y55" s="129"/>
      <c r="Z55" s="129"/>
      <c r="AA55" s="129"/>
      <c r="AB55" s="129"/>
    </row>
    <row r="56">
      <c r="A56" s="128" t="s">
        <v>75</v>
      </c>
      <c r="B56" s="124">
        <v>25000.0</v>
      </c>
      <c r="C56" s="124">
        <v>27500.0</v>
      </c>
      <c r="D56" s="132">
        <f t="shared" si="16"/>
        <v>2500</v>
      </c>
      <c r="E56" s="126"/>
      <c r="F56" s="127">
        <v>71000.0</v>
      </c>
      <c r="G56" s="123">
        <v>22614.0</v>
      </c>
      <c r="H56" s="128">
        <v>1131.0</v>
      </c>
      <c r="I56" s="128">
        <v>0.0</v>
      </c>
      <c r="J56" s="128">
        <v>1400.0</v>
      </c>
      <c r="K56" s="129"/>
      <c r="L56" s="129">
        <f t="shared" si="20"/>
        <v>25145</v>
      </c>
      <c r="M56" s="123">
        <v>84.0</v>
      </c>
      <c r="N56">
        <f t="shared" si="21"/>
        <v>2520</v>
      </c>
      <c r="O56">
        <f t="shared" si="22"/>
        <v>9.978174603</v>
      </c>
      <c r="S56" s="129"/>
      <c r="T56" s="129"/>
      <c r="U56" s="129"/>
      <c r="V56" s="129"/>
      <c r="W56" s="129"/>
      <c r="X56" s="129"/>
      <c r="Y56" s="129"/>
      <c r="Z56" s="129"/>
      <c r="AA56" s="129"/>
      <c r="AB56" s="129"/>
    </row>
    <row r="57">
      <c r="A57" s="128" t="s">
        <v>75</v>
      </c>
      <c r="B57" s="124">
        <v>24500.0</v>
      </c>
      <c r="C57" s="124">
        <v>27500.0</v>
      </c>
      <c r="D57" s="132">
        <f t="shared" si="16"/>
        <v>3000</v>
      </c>
      <c r="E57" s="126"/>
      <c r="F57" s="127">
        <v>71900.0</v>
      </c>
      <c r="G57" s="123">
        <v>22900.0</v>
      </c>
      <c r="H57" s="128">
        <v>0.0</v>
      </c>
      <c r="I57" s="128">
        <v>0.0</v>
      </c>
      <c r="J57" s="128">
        <v>1505.0</v>
      </c>
      <c r="K57" s="129"/>
      <c r="L57" s="129">
        <f t="shared" si="20"/>
        <v>24405</v>
      </c>
      <c r="M57" s="123">
        <v>84.0</v>
      </c>
      <c r="N57">
        <f t="shared" si="21"/>
        <v>2520</v>
      </c>
      <c r="O57">
        <f t="shared" si="22"/>
        <v>9.68452381</v>
      </c>
      <c r="S57" s="129"/>
      <c r="T57" s="129"/>
      <c r="U57" s="129"/>
      <c r="V57" s="129"/>
      <c r="W57" s="129"/>
      <c r="X57" s="129"/>
      <c r="Y57" s="129"/>
      <c r="Z57" s="129"/>
      <c r="AA57" s="129"/>
      <c r="AB57" s="129"/>
    </row>
    <row r="58">
      <c r="A58" s="128" t="s">
        <v>75</v>
      </c>
      <c r="B58" s="124">
        <v>24000.0</v>
      </c>
      <c r="C58" s="124">
        <v>27500.0</v>
      </c>
      <c r="D58" s="132">
        <f t="shared" si="16"/>
        <v>3500</v>
      </c>
      <c r="E58" s="126"/>
      <c r="F58" s="127">
        <v>70700.0</v>
      </c>
      <c r="G58" s="123">
        <v>22518.0</v>
      </c>
      <c r="H58" s="128">
        <v>0.0</v>
      </c>
      <c r="I58" s="128">
        <v>0.0</v>
      </c>
      <c r="J58" s="128">
        <v>1470.0</v>
      </c>
      <c r="K58" s="129"/>
      <c r="L58" s="129">
        <f t="shared" si="20"/>
        <v>23988</v>
      </c>
      <c r="M58" s="123">
        <v>84.0</v>
      </c>
      <c r="N58">
        <f t="shared" si="21"/>
        <v>2520</v>
      </c>
      <c r="O58">
        <f t="shared" si="22"/>
        <v>9.519047619</v>
      </c>
      <c r="S58" s="129"/>
      <c r="T58" s="129"/>
      <c r="U58" s="129"/>
      <c r="V58" s="129"/>
      <c r="W58" s="129"/>
      <c r="X58" s="129"/>
      <c r="Y58" s="129"/>
      <c r="Z58" s="129"/>
      <c r="AA58" s="129"/>
      <c r="AB58" s="129"/>
    </row>
    <row r="59">
      <c r="A59" s="143"/>
      <c r="B59" s="139"/>
      <c r="C59" s="139"/>
      <c r="D59" s="139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S59" s="129"/>
      <c r="T59" s="129"/>
      <c r="U59" s="129"/>
      <c r="V59" s="129"/>
      <c r="W59" s="129"/>
      <c r="X59" s="129"/>
      <c r="Y59" s="129"/>
      <c r="Z59" s="129"/>
      <c r="AA59" s="129"/>
      <c r="AB59" s="129"/>
    </row>
    <row r="60">
      <c r="A60" s="144" t="s">
        <v>57</v>
      </c>
      <c r="B60" s="145">
        <f t="shared" ref="B60:D60" si="23">SUM(B41:B59)</f>
        <v>237000</v>
      </c>
      <c r="C60" s="145">
        <f t="shared" si="23"/>
        <v>274500</v>
      </c>
      <c r="D60" s="145">
        <f t="shared" si="23"/>
        <v>37500</v>
      </c>
      <c r="E60" s="146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S60" s="129"/>
      <c r="T60" s="129"/>
      <c r="U60" s="129"/>
      <c r="V60" s="129"/>
      <c r="W60" s="129"/>
      <c r="X60" s="129"/>
      <c r="Y60" s="129"/>
      <c r="Z60" s="129"/>
      <c r="AA60" s="129"/>
      <c r="AB60" s="129"/>
    </row>
    <row r="61">
      <c r="A61" s="141"/>
      <c r="B61" s="139"/>
      <c r="C61" s="139"/>
      <c r="D61" s="13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</row>
    <row r="62">
      <c r="A62" s="141">
        <v>44440.0</v>
      </c>
      <c r="B62" s="139"/>
      <c r="C62" s="139"/>
      <c r="D62" s="13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S62" s="129"/>
      <c r="T62" s="129"/>
      <c r="U62" s="129"/>
      <c r="V62" s="129"/>
      <c r="W62" s="129"/>
      <c r="X62" s="129"/>
      <c r="Y62" s="129"/>
      <c r="Z62" s="129"/>
      <c r="AA62" s="129"/>
      <c r="AB62" s="129"/>
    </row>
    <row r="63">
      <c r="A63" s="128" t="s">
        <v>76</v>
      </c>
      <c r="B63" s="147">
        <v>20000.0</v>
      </c>
      <c r="C63" s="147">
        <v>21500.0</v>
      </c>
      <c r="D63" s="132">
        <f t="shared" ref="D63:D66" si="24">C63-B63</f>
        <v>1500</v>
      </c>
      <c r="E63" s="126"/>
      <c r="F63" s="139"/>
      <c r="G63" s="129"/>
      <c r="H63" s="129"/>
      <c r="I63" s="129"/>
      <c r="J63" s="129"/>
      <c r="K63" s="129"/>
      <c r="L63" s="129"/>
      <c r="M63" s="129"/>
      <c r="N63" s="129"/>
      <c r="O63" s="129"/>
      <c r="S63" s="129"/>
      <c r="T63" s="129"/>
      <c r="U63" s="129"/>
      <c r="V63" s="129"/>
      <c r="W63" s="129"/>
      <c r="X63" s="129"/>
      <c r="Y63" s="129"/>
      <c r="Z63" s="129"/>
      <c r="AA63" s="129"/>
      <c r="AB63" s="129"/>
    </row>
    <row r="64">
      <c r="A64" s="128" t="s">
        <v>76</v>
      </c>
      <c r="B64" s="147">
        <v>20000.0</v>
      </c>
      <c r="C64" s="147">
        <v>21500.0</v>
      </c>
      <c r="D64" s="132">
        <f t="shared" si="24"/>
        <v>1500</v>
      </c>
      <c r="E64" s="126"/>
      <c r="F64" s="139"/>
      <c r="G64" s="129"/>
      <c r="H64" s="129"/>
      <c r="I64" s="129"/>
      <c r="J64" s="129"/>
      <c r="K64" s="129"/>
      <c r="L64" s="129"/>
      <c r="M64" s="129"/>
      <c r="N64" s="129"/>
      <c r="O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</row>
    <row r="65">
      <c r="A65" s="128" t="s">
        <v>76</v>
      </c>
      <c r="B65" s="147">
        <v>20000.0</v>
      </c>
      <c r="C65" s="147">
        <v>21500.0</v>
      </c>
      <c r="D65" s="132">
        <f t="shared" si="24"/>
        <v>1500</v>
      </c>
      <c r="E65" s="126"/>
      <c r="F65" s="139"/>
      <c r="G65" s="129"/>
      <c r="H65" s="129"/>
      <c r="I65" s="129"/>
      <c r="J65" s="129"/>
      <c r="K65" s="129"/>
      <c r="L65" s="129"/>
      <c r="M65" s="129"/>
      <c r="N65" s="129"/>
      <c r="O65" s="129"/>
      <c r="S65" s="129"/>
      <c r="T65" s="129"/>
      <c r="U65" s="129"/>
      <c r="V65" s="129"/>
      <c r="W65" s="129"/>
      <c r="X65" s="129"/>
      <c r="Y65" s="129"/>
      <c r="Z65" s="129"/>
      <c r="AA65" s="129"/>
      <c r="AB65" s="129"/>
    </row>
    <row r="66">
      <c r="A66" s="128" t="s">
        <v>76</v>
      </c>
      <c r="B66" s="147">
        <v>20000.0</v>
      </c>
      <c r="C66" s="147">
        <v>21500.0</v>
      </c>
      <c r="D66" s="132">
        <f t="shared" si="24"/>
        <v>1500</v>
      </c>
      <c r="E66" s="126"/>
      <c r="F66" s="139"/>
      <c r="G66" s="129"/>
      <c r="H66" s="129"/>
      <c r="I66" s="129"/>
      <c r="J66" s="129"/>
      <c r="K66" s="129"/>
      <c r="L66" s="129"/>
      <c r="M66" s="129"/>
      <c r="N66" s="129"/>
      <c r="O66" s="129"/>
      <c r="S66" s="129"/>
      <c r="T66" s="129"/>
      <c r="U66" s="129"/>
      <c r="V66" s="129"/>
      <c r="W66" s="129"/>
      <c r="X66" s="129"/>
      <c r="Y66" s="129"/>
      <c r="Z66" s="129"/>
      <c r="AA66" s="129"/>
      <c r="AB66" s="129"/>
    </row>
    <row r="67">
      <c r="A67" s="143"/>
      <c r="B67" s="139"/>
      <c r="C67" s="139"/>
      <c r="D67" s="139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S67" s="129"/>
      <c r="T67" s="129"/>
      <c r="U67" s="129"/>
      <c r="V67" s="129"/>
      <c r="W67" s="129"/>
      <c r="X67" s="129"/>
      <c r="Y67" s="129"/>
      <c r="Z67" s="129"/>
      <c r="AA67" s="129"/>
      <c r="AB67" s="129"/>
    </row>
    <row r="68">
      <c r="A68" s="144" t="s">
        <v>57</v>
      </c>
      <c r="B68" s="145">
        <f t="shared" ref="B68:D68" si="25">SUM(B62:B67)</f>
        <v>80000</v>
      </c>
      <c r="C68" s="145">
        <f t="shared" si="25"/>
        <v>86000</v>
      </c>
      <c r="D68" s="145">
        <f t="shared" si="25"/>
        <v>6000</v>
      </c>
      <c r="E68" s="146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S68" s="129"/>
      <c r="T68" s="129"/>
      <c r="U68" s="129"/>
      <c r="V68" s="129"/>
      <c r="W68" s="129"/>
      <c r="X68" s="129"/>
      <c r="Y68" s="129"/>
      <c r="Z68" s="129"/>
      <c r="AA68" s="129"/>
      <c r="AB68" s="129"/>
    </row>
    <row r="69">
      <c r="A69" s="154"/>
      <c r="B69" s="124"/>
      <c r="C69" s="124"/>
      <c r="D69" s="124"/>
    </row>
    <row r="70">
      <c r="A70" s="154">
        <v>44409.0</v>
      </c>
      <c r="B70" s="124"/>
      <c r="C70" s="124"/>
      <c r="D70" s="124"/>
    </row>
    <row r="71">
      <c r="A71" s="123" t="s">
        <v>77</v>
      </c>
      <c r="B71" s="147">
        <v>45000.0</v>
      </c>
      <c r="C71" s="147">
        <v>50000.0</v>
      </c>
      <c r="D71" s="132">
        <f t="shared" ref="D71:D81" si="26">C71-B71</f>
        <v>5000</v>
      </c>
      <c r="E71" s="132"/>
      <c r="F71" s="150"/>
      <c r="G71" s="139"/>
      <c r="H71" s="129"/>
      <c r="I71" s="155"/>
      <c r="J71" s="150"/>
      <c r="K71" s="129"/>
      <c r="L71" s="148">
        <v>45000.0</v>
      </c>
      <c r="M71" s="148">
        <v>140.0</v>
      </c>
      <c r="N71" s="149">
        <f>M71*30</f>
        <v>4200</v>
      </c>
      <c r="O71" s="149">
        <f>L71/N71</f>
        <v>10.71428571</v>
      </c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  <c r="AA71" s="129"/>
      <c r="AB71" s="129"/>
    </row>
    <row r="72">
      <c r="A72" s="128" t="s">
        <v>78</v>
      </c>
      <c r="B72" s="147">
        <v>20000.0</v>
      </c>
      <c r="C72" s="147">
        <v>19288.0</v>
      </c>
      <c r="D72" s="132">
        <f t="shared" si="26"/>
        <v>-712</v>
      </c>
      <c r="E72" s="147"/>
      <c r="F72" s="148"/>
      <c r="G72" s="156"/>
      <c r="I72" s="157"/>
      <c r="J72" s="152"/>
      <c r="K72" s="129"/>
      <c r="L72" s="128"/>
      <c r="M72" s="123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  <c r="AA72" s="129"/>
      <c r="AB72" s="129"/>
    </row>
    <row r="73">
      <c r="A73" s="128" t="s">
        <v>79</v>
      </c>
      <c r="B73" s="147">
        <v>17500.0</v>
      </c>
      <c r="C73" s="147">
        <v>18306.0</v>
      </c>
      <c r="D73" s="132">
        <f t="shared" si="26"/>
        <v>806</v>
      </c>
      <c r="E73" s="147"/>
      <c r="F73" s="148"/>
      <c r="G73" s="156"/>
      <c r="H73" s="158"/>
      <c r="I73" s="157"/>
      <c r="J73" s="152"/>
      <c r="K73" s="129"/>
      <c r="L73" s="128"/>
      <c r="M73" s="123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  <c r="AA73" s="129"/>
      <c r="AB73" s="129"/>
    </row>
    <row r="74">
      <c r="A74" s="142" t="s">
        <v>80</v>
      </c>
      <c r="B74" s="147">
        <v>24500.0</v>
      </c>
      <c r="C74" s="147">
        <v>30000.0</v>
      </c>
      <c r="D74" s="132">
        <f t="shared" si="26"/>
        <v>5500</v>
      </c>
      <c r="E74" s="139"/>
      <c r="F74" s="147">
        <v>70000.0</v>
      </c>
      <c r="G74" s="148">
        <v>23021.77</v>
      </c>
      <c r="H74" s="148">
        <v>0.0</v>
      </c>
      <c r="I74" s="152">
        <v>0.0</v>
      </c>
      <c r="J74" s="148">
        <v>1449.0</v>
      </c>
      <c r="K74" s="129"/>
      <c r="L74" s="149">
        <f>SUM(G74:K74)</f>
        <v>24470.77</v>
      </c>
      <c r="M74" s="148">
        <v>110.0</v>
      </c>
      <c r="N74" s="149">
        <f t="shared" ref="N74:N76" si="27">M74*30</f>
        <v>3300</v>
      </c>
      <c r="O74" s="149">
        <f t="shared" ref="O74:O76" si="28">L74/N74</f>
        <v>7.415384848</v>
      </c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  <c r="AA74" s="129"/>
      <c r="AB74" s="129"/>
    </row>
    <row r="75">
      <c r="A75" s="142" t="s">
        <v>59</v>
      </c>
      <c r="B75" s="147">
        <v>34000.0</v>
      </c>
      <c r="C75" s="147">
        <v>35000.0</v>
      </c>
      <c r="D75" s="132">
        <f t="shared" si="26"/>
        <v>1000</v>
      </c>
      <c r="E75" s="139"/>
      <c r="F75" s="147"/>
      <c r="G75" s="148"/>
      <c r="H75" s="148"/>
      <c r="I75" s="152"/>
      <c r="J75" s="152"/>
      <c r="K75" s="129"/>
      <c r="L75" s="128">
        <v>34000.0</v>
      </c>
      <c r="M75" s="123">
        <v>120.0</v>
      </c>
      <c r="N75">
        <f t="shared" si="27"/>
        <v>3600</v>
      </c>
      <c r="O75">
        <f t="shared" si="28"/>
        <v>9.444444444</v>
      </c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  <c r="AA75" s="129"/>
      <c r="AB75" s="129"/>
    </row>
    <row r="76">
      <c r="A76" s="159" t="s">
        <v>81</v>
      </c>
      <c r="B76" s="147">
        <v>22000.0</v>
      </c>
      <c r="C76" s="147">
        <v>25000.0</v>
      </c>
      <c r="D76" s="132">
        <f t="shared" si="26"/>
        <v>3000</v>
      </c>
      <c r="E76" s="139"/>
      <c r="F76" s="127">
        <v>61000.0</v>
      </c>
      <c r="G76" s="148">
        <v>19389.47</v>
      </c>
      <c r="H76" s="148">
        <v>1104.99</v>
      </c>
      <c r="I76" s="152">
        <v>0.0</v>
      </c>
      <c r="J76" s="128">
        <v>1594.0</v>
      </c>
      <c r="K76" s="129"/>
      <c r="L76" s="149">
        <f>SUM(G76:K76)</f>
        <v>22088.46</v>
      </c>
      <c r="M76" s="148">
        <v>96.25</v>
      </c>
      <c r="N76" s="149">
        <f t="shared" si="27"/>
        <v>2887.5</v>
      </c>
      <c r="O76" s="149">
        <f t="shared" si="28"/>
        <v>7.649683117</v>
      </c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  <c r="AA76" s="129"/>
      <c r="AB76" s="129"/>
    </row>
    <row r="77">
      <c r="A77" s="128" t="s">
        <v>82</v>
      </c>
      <c r="B77" s="147">
        <v>20000.0</v>
      </c>
      <c r="C77" s="147">
        <v>18338.0</v>
      </c>
      <c r="D77" s="132">
        <f t="shared" si="26"/>
        <v>-1662</v>
      </c>
      <c r="E77" s="147"/>
      <c r="F77" s="148"/>
      <c r="G77" s="156"/>
      <c r="I77" s="157"/>
      <c r="J77" s="150"/>
      <c r="K77" s="129"/>
      <c r="L77" s="148"/>
      <c r="M77" s="148"/>
      <c r="N77" s="149"/>
      <c r="O77" s="14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  <c r="AA77" s="129"/>
      <c r="AB77" s="129"/>
    </row>
    <row r="78">
      <c r="A78" s="128" t="s">
        <v>83</v>
      </c>
      <c r="B78" s="147">
        <v>27500.0</v>
      </c>
      <c r="C78" s="147">
        <v>25690.0</v>
      </c>
      <c r="D78" s="132">
        <f t="shared" si="26"/>
        <v>-1810</v>
      </c>
      <c r="E78" s="147"/>
      <c r="F78" s="148"/>
      <c r="G78" s="156"/>
      <c r="H78" s="145"/>
      <c r="I78" s="157"/>
      <c r="J78" s="150"/>
      <c r="K78" s="129"/>
      <c r="L78" s="148"/>
      <c r="M78" s="148"/>
      <c r="N78" s="149"/>
      <c r="O78" s="14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  <c r="AA78" s="129"/>
      <c r="AB78" s="129"/>
    </row>
    <row r="79">
      <c r="A79" s="128" t="s">
        <v>84</v>
      </c>
      <c r="B79" s="147">
        <v>15800.0</v>
      </c>
      <c r="C79" s="132">
        <v>20000.0</v>
      </c>
      <c r="D79" s="132">
        <f t="shared" si="26"/>
        <v>4200</v>
      </c>
      <c r="E79" s="139"/>
      <c r="F79" s="139"/>
      <c r="G79" s="150"/>
      <c r="H79" s="150"/>
      <c r="I79" s="150"/>
      <c r="J79" s="150"/>
      <c r="K79" s="129"/>
      <c r="L79" s="148">
        <v>17000.0</v>
      </c>
      <c r="M79" s="148">
        <v>73.33</v>
      </c>
      <c r="N79" s="149">
        <f t="shared" ref="N79:N81" si="29">M79*30</f>
        <v>2199.9</v>
      </c>
      <c r="O79" s="149">
        <f t="shared" ref="O79:O81" si="30">L79/N79</f>
        <v>7.727623983</v>
      </c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  <c r="AA79" s="129"/>
      <c r="AB79" s="129"/>
    </row>
    <row r="80">
      <c r="A80" s="128" t="s">
        <v>85</v>
      </c>
      <c r="B80" s="147">
        <v>17825.0</v>
      </c>
      <c r="C80" s="132">
        <v>20000.0</v>
      </c>
      <c r="D80" s="132">
        <f t="shared" si="26"/>
        <v>2175</v>
      </c>
      <c r="E80" s="139"/>
      <c r="F80" s="139"/>
      <c r="G80" s="150"/>
      <c r="H80" s="150"/>
      <c r="I80" s="150"/>
      <c r="J80" s="150"/>
      <c r="K80" s="129"/>
      <c r="L80" s="148">
        <v>17000.0</v>
      </c>
      <c r="M80" s="148">
        <v>73.33</v>
      </c>
      <c r="N80" s="149">
        <f t="shared" si="29"/>
        <v>2199.9</v>
      </c>
      <c r="O80" s="149">
        <f t="shared" si="30"/>
        <v>7.727623983</v>
      </c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  <c r="AA80" s="129"/>
      <c r="AB80" s="129"/>
    </row>
    <row r="81">
      <c r="A81" s="128" t="s">
        <v>85</v>
      </c>
      <c r="B81" s="147">
        <v>17825.0</v>
      </c>
      <c r="C81" s="132">
        <v>20000.0</v>
      </c>
      <c r="D81" s="132">
        <f t="shared" si="26"/>
        <v>2175</v>
      </c>
      <c r="E81" s="139"/>
      <c r="F81" s="139"/>
      <c r="G81" s="150"/>
      <c r="H81" s="150"/>
      <c r="I81" s="150"/>
      <c r="J81" s="150"/>
      <c r="K81" s="129"/>
      <c r="L81" s="148">
        <v>17000.0</v>
      </c>
      <c r="M81" s="148">
        <v>73.33</v>
      </c>
      <c r="N81" s="149">
        <f t="shared" si="29"/>
        <v>2199.9</v>
      </c>
      <c r="O81" s="149">
        <f t="shared" si="30"/>
        <v>7.727623983</v>
      </c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  <c r="AA81" s="129"/>
      <c r="AB81" s="129"/>
    </row>
    <row r="82">
      <c r="A82" s="143"/>
      <c r="B82" s="139"/>
      <c r="C82" s="139"/>
      <c r="D82" s="13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</row>
    <row r="83">
      <c r="A83" s="122" t="s">
        <v>57</v>
      </c>
      <c r="B83" s="133">
        <f t="shared" ref="B83:D83" si="31">SUM(B70:B82)</f>
        <v>261950</v>
      </c>
      <c r="C83" s="133">
        <f t="shared" si="31"/>
        <v>281622</v>
      </c>
      <c r="D83" s="133">
        <f t="shared" si="31"/>
        <v>19672</v>
      </c>
      <c r="E83" s="135"/>
    </row>
    <row r="84">
      <c r="A84" s="154"/>
      <c r="B84" s="124"/>
      <c r="C84" s="124"/>
      <c r="D84" s="124"/>
    </row>
    <row r="85">
      <c r="A85" s="154">
        <v>44378.0</v>
      </c>
      <c r="B85" s="124"/>
      <c r="C85" s="124"/>
      <c r="D85" s="124"/>
    </row>
    <row r="86">
      <c r="A86" s="128" t="s">
        <v>86</v>
      </c>
      <c r="B86" s="147">
        <v>30000.0</v>
      </c>
      <c r="C86" s="147">
        <v>23275.0</v>
      </c>
      <c r="D86" s="132">
        <f t="shared" ref="D86:D91" si="32">C86-B86</f>
        <v>-6725</v>
      </c>
      <c r="E86" s="147"/>
      <c r="F86" s="147"/>
      <c r="G86" s="148"/>
      <c r="I86" s="157"/>
      <c r="J86" s="150"/>
      <c r="K86" s="129"/>
      <c r="L86" s="148"/>
      <c r="M86" s="152"/>
      <c r="N86" s="149"/>
      <c r="O86" s="14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</row>
    <row r="87">
      <c r="A87" s="128" t="s">
        <v>87</v>
      </c>
      <c r="B87" s="147">
        <v>15000.0</v>
      </c>
      <c r="C87" s="132">
        <v>20000.0</v>
      </c>
      <c r="D87" s="132">
        <f t="shared" si="32"/>
        <v>5000</v>
      </c>
      <c r="E87" s="139"/>
      <c r="F87" s="139"/>
      <c r="G87" s="150"/>
      <c r="H87" s="150"/>
      <c r="I87" s="150"/>
      <c r="J87" s="150"/>
      <c r="K87" s="129"/>
      <c r="L87" s="148">
        <v>15000.0</v>
      </c>
      <c r="M87" s="152">
        <v>53.33333333</v>
      </c>
      <c r="N87" s="149">
        <f t="shared" ref="N87:N91" si="33">M87*30</f>
        <v>1600</v>
      </c>
      <c r="O87" s="149">
        <f t="shared" ref="O87:O91" si="34">L87/N87</f>
        <v>9.375000001</v>
      </c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</row>
    <row r="88">
      <c r="A88" s="128" t="s">
        <v>87</v>
      </c>
      <c r="B88" s="147">
        <v>14000.0</v>
      </c>
      <c r="C88" s="132">
        <v>20000.0</v>
      </c>
      <c r="D88" s="132">
        <f t="shared" si="32"/>
        <v>6000</v>
      </c>
      <c r="E88" s="139"/>
      <c r="F88" s="139"/>
      <c r="G88" s="150"/>
      <c r="H88" s="150"/>
      <c r="I88" s="150"/>
      <c r="J88" s="150"/>
      <c r="K88" s="129"/>
      <c r="L88" s="148">
        <v>15000.0</v>
      </c>
      <c r="M88" s="152">
        <v>53.33333333</v>
      </c>
      <c r="N88" s="149">
        <f t="shared" si="33"/>
        <v>1600</v>
      </c>
      <c r="O88" s="149">
        <f t="shared" si="34"/>
        <v>9.375000001</v>
      </c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</row>
    <row r="89">
      <c r="A89" s="128" t="s">
        <v>87</v>
      </c>
      <c r="B89" s="147">
        <v>16000.0</v>
      </c>
      <c r="C89" s="132">
        <v>20000.0</v>
      </c>
      <c r="D89" s="132">
        <f t="shared" si="32"/>
        <v>4000</v>
      </c>
      <c r="E89" s="139"/>
      <c r="F89" s="139"/>
      <c r="G89" s="150"/>
      <c r="H89" s="150"/>
      <c r="I89" s="150"/>
      <c r="J89" s="150"/>
      <c r="K89" s="129"/>
      <c r="L89" s="148">
        <v>15000.0</v>
      </c>
      <c r="M89" s="152">
        <v>53.33333333</v>
      </c>
      <c r="N89" s="149">
        <f t="shared" si="33"/>
        <v>1600</v>
      </c>
      <c r="O89" s="149">
        <f t="shared" si="34"/>
        <v>9.375000001</v>
      </c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</row>
    <row r="90">
      <c r="A90" s="128" t="s">
        <v>87</v>
      </c>
      <c r="B90" s="147">
        <v>14000.0</v>
      </c>
      <c r="C90" s="132">
        <v>20000.0</v>
      </c>
      <c r="D90" s="132">
        <f t="shared" si="32"/>
        <v>6000</v>
      </c>
      <c r="E90" s="139"/>
      <c r="F90" s="139"/>
      <c r="G90" s="150"/>
      <c r="H90" s="150"/>
      <c r="I90" s="150"/>
      <c r="J90" s="150"/>
      <c r="K90" s="129"/>
      <c r="L90" s="148">
        <v>15000.0</v>
      </c>
      <c r="M90" s="150">
        <v>53.33333333</v>
      </c>
      <c r="N90" s="149">
        <f t="shared" si="33"/>
        <v>1600</v>
      </c>
      <c r="O90" s="149">
        <f t="shared" si="34"/>
        <v>9.375000001</v>
      </c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</row>
    <row r="91">
      <c r="A91" s="128" t="s">
        <v>88</v>
      </c>
      <c r="B91" s="147">
        <v>16000.0</v>
      </c>
      <c r="C91" s="147">
        <v>20000.0</v>
      </c>
      <c r="D91" s="132">
        <f t="shared" si="32"/>
        <v>4000</v>
      </c>
      <c r="E91" s="139"/>
      <c r="F91" s="127"/>
      <c r="G91" s="148"/>
      <c r="H91" s="148"/>
      <c r="I91" s="152"/>
      <c r="J91" s="128"/>
      <c r="K91" s="129"/>
      <c r="L91" s="148">
        <v>15000.0</v>
      </c>
      <c r="M91" s="148">
        <v>53.33333333</v>
      </c>
      <c r="N91" s="149">
        <f t="shared" si="33"/>
        <v>1600</v>
      </c>
      <c r="O91" s="149">
        <f t="shared" si="34"/>
        <v>9.375000001</v>
      </c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</row>
    <row r="92">
      <c r="A92" s="143"/>
      <c r="B92" s="139"/>
      <c r="C92" s="139"/>
      <c r="D92" s="139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</row>
    <row r="93">
      <c r="A93" s="122" t="s">
        <v>57</v>
      </c>
      <c r="B93" s="133">
        <f t="shared" ref="B93:D93" si="35">SUM(B85:B92)</f>
        <v>105000</v>
      </c>
      <c r="C93" s="133">
        <f t="shared" si="35"/>
        <v>123275</v>
      </c>
      <c r="D93" s="133">
        <f t="shared" si="35"/>
        <v>18275</v>
      </c>
      <c r="E93" s="135">
        <f>D93/(C93/100)</f>
        <v>14.82457919</v>
      </c>
    </row>
    <row r="94">
      <c r="A94" s="154"/>
      <c r="B94" s="124"/>
      <c r="C94" s="124"/>
      <c r="D94" s="124"/>
    </row>
    <row r="95">
      <c r="A95" s="154">
        <v>44348.0</v>
      </c>
      <c r="B95" s="124"/>
      <c r="C95" s="124"/>
      <c r="D95" s="124"/>
    </row>
    <row r="96">
      <c r="A96" s="128" t="s">
        <v>89</v>
      </c>
      <c r="B96" s="147">
        <v>18000.0</v>
      </c>
      <c r="C96" s="147">
        <v>20000.0</v>
      </c>
      <c r="D96" s="132">
        <f t="shared" ref="D96:D97" si="36">C96-B96</f>
        <v>2000</v>
      </c>
      <c r="E96" s="139"/>
      <c r="F96" s="127">
        <v>53000.0</v>
      </c>
      <c r="G96" s="148">
        <v>16727.49</v>
      </c>
      <c r="H96" s="148">
        <v>0.0</v>
      </c>
      <c r="I96" s="152">
        <v>0.0</v>
      </c>
      <c r="J96" s="128">
        <f>G96*0.07</f>
        <v>1170.9243</v>
      </c>
      <c r="K96" s="129"/>
      <c r="L96" s="149">
        <f>SUM(G96:K96)</f>
        <v>17898.4143</v>
      </c>
      <c r="M96" s="148">
        <v>60.0</v>
      </c>
      <c r="N96" s="149">
        <f>M96*30</f>
        <v>1800</v>
      </c>
      <c r="O96" s="149">
        <f>L96/N96</f>
        <v>9.9435635</v>
      </c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  <c r="AA96" s="129"/>
      <c r="AB96" s="129"/>
    </row>
    <row r="97">
      <c r="A97" s="160" t="s">
        <v>90</v>
      </c>
      <c r="B97" s="161">
        <v>60000.0</v>
      </c>
      <c r="C97" s="161">
        <v>70000.0</v>
      </c>
      <c r="D97" s="132">
        <f t="shared" si="36"/>
        <v>10000</v>
      </c>
      <c r="E97" s="156"/>
      <c r="F97" s="162"/>
      <c r="G97" s="130"/>
      <c r="H97" s="163"/>
      <c r="I97" s="150"/>
      <c r="J97" s="150"/>
      <c r="K97" s="129"/>
      <c r="L97" s="129"/>
      <c r="M97" s="150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  <c r="AA97" s="129"/>
      <c r="AB97" s="129"/>
    </row>
    <row r="98">
      <c r="A98" s="143"/>
      <c r="B98" s="139"/>
      <c r="C98" s="139"/>
      <c r="D98" s="139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S98" s="129"/>
      <c r="T98" s="129"/>
      <c r="U98" s="129"/>
      <c r="V98" s="129"/>
      <c r="W98" s="129"/>
      <c r="X98" s="129"/>
      <c r="Y98" s="129"/>
      <c r="Z98" s="129"/>
      <c r="AA98" s="129"/>
      <c r="AB98" s="129"/>
    </row>
    <row r="99">
      <c r="A99" s="122" t="s">
        <v>57</v>
      </c>
      <c r="B99" s="133">
        <f t="shared" ref="B99:D99" si="37">SUM(B95:B98)</f>
        <v>78000</v>
      </c>
      <c r="C99" s="133">
        <f t="shared" si="37"/>
        <v>90000</v>
      </c>
      <c r="D99" s="133">
        <f t="shared" si="37"/>
        <v>12000</v>
      </c>
      <c r="E99" s="135">
        <f>D99/(C99/100)</f>
        <v>13.33333333</v>
      </c>
    </row>
    <row r="100">
      <c r="A100" s="154"/>
      <c r="B100" s="124"/>
      <c r="C100" s="124"/>
      <c r="D100" s="124"/>
    </row>
    <row r="101">
      <c r="A101" s="154">
        <v>44317.0</v>
      </c>
      <c r="B101" s="124"/>
      <c r="C101" s="124"/>
      <c r="D101" s="124"/>
    </row>
    <row r="102">
      <c r="A102" s="150" t="s">
        <v>91</v>
      </c>
      <c r="B102" s="147">
        <v>4750.0</v>
      </c>
      <c r="C102" s="132">
        <v>5000.0</v>
      </c>
      <c r="D102" s="132">
        <f t="shared" ref="D102:D121" si="38">C102-B102</f>
        <v>250</v>
      </c>
      <c r="E102" s="139"/>
      <c r="F102" s="132"/>
      <c r="G102" s="150"/>
      <c r="H102" s="150"/>
      <c r="I102" s="150"/>
      <c r="J102" s="150"/>
      <c r="K102" s="129"/>
      <c r="L102" s="129"/>
      <c r="M102" s="150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  <c r="AA102" s="129"/>
      <c r="AB102" s="129"/>
    </row>
    <row r="103">
      <c r="A103" s="128" t="s">
        <v>92</v>
      </c>
      <c r="B103" s="147">
        <v>5000.0</v>
      </c>
      <c r="C103" s="147">
        <v>5000.0</v>
      </c>
      <c r="D103" s="132">
        <f t="shared" si="38"/>
        <v>0</v>
      </c>
      <c r="E103" s="139"/>
      <c r="F103" s="147">
        <v>11800.0</v>
      </c>
      <c r="G103" s="123">
        <v>3538.49</v>
      </c>
      <c r="H103" s="148">
        <v>1156.09</v>
      </c>
      <c r="I103" s="152">
        <v>0.0</v>
      </c>
      <c r="J103" s="128">
        <v>273.0</v>
      </c>
      <c r="K103" s="129"/>
      <c r="L103" s="149">
        <f t="shared" ref="L103:L106" si="39">SUM(G103:K103)</f>
        <v>4967.58</v>
      </c>
      <c r="M103" s="148"/>
      <c r="N103" s="149"/>
      <c r="O103" s="14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</row>
    <row r="104">
      <c r="A104" s="128" t="s">
        <v>93</v>
      </c>
      <c r="B104" s="147">
        <v>3500.0</v>
      </c>
      <c r="C104" s="147">
        <v>5000.0</v>
      </c>
      <c r="D104" s="132">
        <f t="shared" si="38"/>
        <v>1500</v>
      </c>
      <c r="E104" s="139"/>
      <c r="F104" s="147">
        <v>8980.0</v>
      </c>
      <c r="G104" s="123">
        <v>2683.96</v>
      </c>
      <c r="H104" s="148">
        <v>720.68</v>
      </c>
      <c r="I104" s="152">
        <v>0.0</v>
      </c>
      <c r="J104" s="128">
        <v>210.0</v>
      </c>
      <c r="K104" s="129"/>
      <c r="L104" s="149">
        <f t="shared" si="39"/>
        <v>3614.64</v>
      </c>
      <c r="M104" s="148"/>
      <c r="N104" s="149"/>
      <c r="O104" s="14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  <c r="AA104" s="129"/>
      <c r="AB104" s="129"/>
    </row>
    <row r="105">
      <c r="A105" s="123" t="s">
        <v>94</v>
      </c>
      <c r="B105" s="124">
        <v>70000.0</v>
      </c>
      <c r="C105" s="124">
        <v>70000.0</v>
      </c>
      <c r="D105" s="125">
        <f t="shared" si="38"/>
        <v>0</v>
      </c>
      <c r="E105" s="126"/>
      <c r="F105" s="127">
        <v>216200.0</v>
      </c>
      <c r="G105" s="140">
        <v>64831.92</v>
      </c>
      <c r="H105" s="128">
        <v>0.0</v>
      </c>
      <c r="I105" s="128">
        <v>500.0</v>
      </c>
      <c r="J105" s="128">
        <f>G105*0.07</f>
        <v>4538.2344</v>
      </c>
      <c r="K105" s="129"/>
      <c r="L105" s="153">
        <f t="shared" si="39"/>
        <v>69870.1544</v>
      </c>
      <c r="M105" s="123">
        <v>240.0</v>
      </c>
      <c r="N105">
        <f>M105*30</f>
        <v>7200</v>
      </c>
      <c r="O105">
        <f>L105/N105</f>
        <v>9.704188111</v>
      </c>
    </row>
    <row r="106">
      <c r="A106" s="128" t="s">
        <v>93</v>
      </c>
      <c r="B106" s="147">
        <v>3750.0</v>
      </c>
      <c r="C106" s="147">
        <v>5000.0</v>
      </c>
      <c r="D106" s="132">
        <f t="shared" si="38"/>
        <v>1250</v>
      </c>
      <c r="E106" s="139"/>
      <c r="F106" s="147">
        <v>8600.0</v>
      </c>
      <c r="G106" s="123">
        <v>2570.38</v>
      </c>
      <c r="H106" s="148">
        <v>900.54</v>
      </c>
      <c r="I106" s="152">
        <v>0.0</v>
      </c>
      <c r="J106" s="128">
        <v>168.0</v>
      </c>
      <c r="K106" s="129"/>
      <c r="L106" s="149">
        <f t="shared" si="39"/>
        <v>3638.92</v>
      </c>
      <c r="M106" s="148"/>
      <c r="N106" s="149"/>
      <c r="O106" s="14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</row>
    <row r="107">
      <c r="A107" s="150" t="s">
        <v>91</v>
      </c>
      <c r="B107" s="132">
        <v>3750.0</v>
      </c>
      <c r="C107" s="132">
        <v>5000.0</v>
      </c>
      <c r="D107" s="132">
        <f t="shared" si="38"/>
        <v>1250</v>
      </c>
      <c r="E107" s="139"/>
      <c r="F107" s="132"/>
      <c r="G107" s="153"/>
      <c r="H107" s="150"/>
      <c r="I107" s="150"/>
      <c r="J107" s="150"/>
      <c r="K107" s="129"/>
      <c r="L107" s="129"/>
      <c r="M107" s="150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</row>
    <row r="108">
      <c r="A108" s="128" t="s">
        <v>95</v>
      </c>
      <c r="B108" s="147">
        <v>27000.0</v>
      </c>
      <c r="C108" s="147">
        <v>27500.0</v>
      </c>
      <c r="D108" s="132">
        <f t="shared" si="38"/>
        <v>500</v>
      </c>
      <c r="E108" s="139"/>
      <c r="F108" s="147">
        <v>82000.0</v>
      </c>
      <c r="G108" s="164">
        <v>24311.12</v>
      </c>
      <c r="H108" s="148">
        <v>1158.3</v>
      </c>
      <c r="I108" s="152">
        <v>0.0</v>
      </c>
      <c r="J108" s="128">
        <v>1610.0</v>
      </c>
      <c r="K108" s="129"/>
      <c r="L108" s="165">
        <f t="shared" ref="L108:L113" si="40">SUM(G108:K108)</f>
        <v>27079.42</v>
      </c>
      <c r="M108" s="148">
        <v>120.0</v>
      </c>
      <c r="N108" s="149">
        <f t="shared" ref="N108:N113" si="41">M108*30</f>
        <v>3600</v>
      </c>
      <c r="O108" s="149">
        <f t="shared" ref="O108:O113" si="42">L108/N108</f>
        <v>7.522061111</v>
      </c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  <c r="AA108" s="129"/>
      <c r="AB108" s="129"/>
    </row>
    <row r="109">
      <c r="A109" s="128" t="s">
        <v>96</v>
      </c>
      <c r="B109" s="147">
        <v>26750.0</v>
      </c>
      <c r="C109" s="147">
        <v>27500.0</v>
      </c>
      <c r="D109" s="132">
        <f t="shared" si="38"/>
        <v>750</v>
      </c>
      <c r="E109" s="139"/>
      <c r="F109" s="147">
        <v>82000.0</v>
      </c>
      <c r="G109" s="164">
        <v>25241.53</v>
      </c>
      <c r="H109" s="148">
        <v>0.0</v>
      </c>
      <c r="I109" s="152">
        <v>0.0</v>
      </c>
      <c r="J109" s="128">
        <v>1645.0</v>
      </c>
      <c r="K109" s="129"/>
      <c r="L109" s="165">
        <f t="shared" si="40"/>
        <v>26886.53</v>
      </c>
      <c r="M109" s="148">
        <v>120.0</v>
      </c>
      <c r="N109" s="149">
        <f t="shared" si="41"/>
        <v>3600</v>
      </c>
      <c r="O109" s="149">
        <f t="shared" si="42"/>
        <v>7.468480556</v>
      </c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  <c r="AA109" s="129"/>
      <c r="AB109" s="129"/>
    </row>
    <row r="110">
      <c r="A110" s="128" t="s">
        <v>89</v>
      </c>
      <c r="B110" s="147">
        <v>18250.0</v>
      </c>
      <c r="C110" s="147">
        <v>20000.0</v>
      </c>
      <c r="D110" s="132">
        <f t="shared" si="38"/>
        <v>1750</v>
      </c>
      <c r="E110" s="139"/>
      <c r="F110" s="147">
        <v>55000.0</v>
      </c>
      <c r="G110" s="148">
        <v>16448.87</v>
      </c>
      <c r="H110" s="148">
        <v>717.51</v>
      </c>
      <c r="I110" s="152">
        <v>0.0</v>
      </c>
      <c r="J110" s="128">
        <v>1141.0</v>
      </c>
      <c r="K110" s="129"/>
      <c r="L110" s="149">
        <f t="shared" si="40"/>
        <v>18307.38</v>
      </c>
      <c r="M110" s="148">
        <v>80.0</v>
      </c>
      <c r="N110" s="149">
        <f t="shared" si="41"/>
        <v>2400</v>
      </c>
      <c r="O110" s="149">
        <f t="shared" si="42"/>
        <v>7.628075</v>
      </c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</row>
    <row r="111">
      <c r="A111" s="128" t="s">
        <v>97</v>
      </c>
      <c r="B111" s="147">
        <v>27500.0</v>
      </c>
      <c r="C111" s="147">
        <v>30000.0</v>
      </c>
      <c r="D111" s="132">
        <f t="shared" si="38"/>
        <v>2500</v>
      </c>
      <c r="E111" s="139"/>
      <c r="F111" s="147">
        <v>84000.0</v>
      </c>
      <c r="G111" s="164">
        <v>25996.05</v>
      </c>
      <c r="H111" s="148">
        <v>0.0</v>
      </c>
      <c r="I111" s="152">
        <v>0.0</v>
      </c>
      <c r="J111" s="128">
        <v>1680.0</v>
      </c>
      <c r="K111" s="129"/>
      <c r="L111" s="165">
        <f t="shared" si="40"/>
        <v>27676.05</v>
      </c>
      <c r="M111" s="148">
        <v>120.0</v>
      </c>
      <c r="N111" s="149">
        <f t="shared" si="41"/>
        <v>3600</v>
      </c>
      <c r="O111" s="149">
        <f t="shared" si="42"/>
        <v>7.687791667</v>
      </c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  <c r="AA111" s="129"/>
      <c r="AB111" s="129"/>
    </row>
    <row r="112">
      <c r="A112" s="128" t="s">
        <v>98</v>
      </c>
      <c r="B112" s="147">
        <v>18000.0</v>
      </c>
      <c r="C112" s="147">
        <v>20000.0</v>
      </c>
      <c r="D112" s="132">
        <f t="shared" si="38"/>
        <v>2000</v>
      </c>
      <c r="E112" s="139"/>
      <c r="F112" s="147">
        <v>53000.0</v>
      </c>
      <c r="G112" s="148">
        <v>16811.68</v>
      </c>
      <c r="H112" s="152">
        <v>0.0</v>
      </c>
      <c r="I112" s="152">
        <v>0.0</v>
      </c>
      <c r="J112" s="128">
        <v>1050.0</v>
      </c>
      <c r="K112" s="129"/>
      <c r="L112" s="149">
        <f t="shared" si="40"/>
        <v>17861.68</v>
      </c>
      <c r="M112" s="148">
        <v>80.0</v>
      </c>
      <c r="N112" s="149">
        <f t="shared" si="41"/>
        <v>2400</v>
      </c>
      <c r="O112" s="149">
        <f t="shared" si="42"/>
        <v>7.442366667</v>
      </c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  <c r="AA112" s="129"/>
      <c r="AB112" s="129"/>
    </row>
    <row r="113">
      <c r="A113" s="128" t="s">
        <v>99</v>
      </c>
      <c r="B113" s="147">
        <v>16750.0</v>
      </c>
      <c r="C113" s="147">
        <v>17500.0</v>
      </c>
      <c r="D113" s="132">
        <f t="shared" si="38"/>
        <v>750</v>
      </c>
      <c r="E113" s="139"/>
      <c r="F113" s="147">
        <v>53000.0</v>
      </c>
      <c r="G113" s="148">
        <v>16776.23</v>
      </c>
      <c r="H113" s="152">
        <v>0.0</v>
      </c>
      <c r="I113" s="152">
        <v>0.0</v>
      </c>
      <c r="J113" s="128">
        <v>1050.0</v>
      </c>
      <c r="K113" s="129"/>
      <c r="L113" s="149">
        <f t="shared" si="40"/>
        <v>17826.23</v>
      </c>
      <c r="M113" s="148">
        <v>80.0</v>
      </c>
      <c r="N113" s="149">
        <f t="shared" si="41"/>
        <v>2400</v>
      </c>
      <c r="O113" s="149">
        <f t="shared" si="42"/>
        <v>7.427595833</v>
      </c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  <c r="AA113" s="129"/>
      <c r="AB113" s="129"/>
    </row>
    <row r="114">
      <c r="A114" s="128" t="s">
        <v>91</v>
      </c>
      <c r="B114" s="147">
        <v>3750.0</v>
      </c>
      <c r="C114" s="147">
        <v>5000.0</v>
      </c>
      <c r="D114" s="132">
        <f t="shared" si="38"/>
        <v>1250</v>
      </c>
      <c r="E114" s="139"/>
      <c r="F114" s="147"/>
      <c r="G114" s="148"/>
      <c r="H114" s="152"/>
      <c r="I114" s="152"/>
      <c r="J114" s="128"/>
      <c r="K114" s="129"/>
      <c r="L114" s="149"/>
      <c r="M114" s="148"/>
      <c r="N114" s="149"/>
      <c r="O114" s="14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  <c r="AA114" s="129"/>
      <c r="AB114" s="129"/>
    </row>
    <row r="115">
      <c r="A115" s="128" t="s">
        <v>91</v>
      </c>
      <c r="B115" s="147">
        <v>3750.0</v>
      </c>
      <c r="C115" s="147">
        <v>5000.0</v>
      </c>
      <c r="D115" s="132">
        <f t="shared" si="38"/>
        <v>1250</v>
      </c>
      <c r="E115" s="139"/>
      <c r="F115" s="147"/>
      <c r="G115" s="148"/>
      <c r="H115" s="152"/>
      <c r="I115" s="152"/>
      <c r="J115" s="128"/>
      <c r="K115" s="129"/>
      <c r="L115" s="149"/>
      <c r="M115" s="148"/>
      <c r="N115" s="149"/>
      <c r="O115" s="14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  <c r="AA115" s="129"/>
      <c r="AB115" s="129"/>
    </row>
    <row r="116">
      <c r="A116" s="128" t="s">
        <v>100</v>
      </c>
      <c r="B116" s="147">
        <v>3500.0</v>
      </c>
      <c r="C116" s="147">
        <v>5000.0</v>
      </c>
      <c r="D116" s="132">
        <f t="shared" si="38"/>
        <v>1500</v>
      </c>
      <c r="E116" s="139"/>
      <c r="F116" s="147"/>
      <c r="G116" s="140"/>
      <c r="H116" s="148"/>
      <c r="I116" s="152"/>
      <c r="J116" s="128"/>
      <c r="K116" s="129"/>
      <c r="L116" s="149"/>
      <c r="M116" s="148"/>
      <c r="N116" s="149"/>
      <c r="O116" s="14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  <c r="AA116" s="129"/>
      <c r="AB116" s="129"/>
    </row>
    <row r="117">
      <c r="A117" s="128" t="s">
        <v>101</v>
      </c>
      <c r="B117" s="147">
        <v>29750.0</v>
      </c>
      <c r="C117" s="147">
        <v>30000.0</v>
      </c>
      <c r="D117" s="132">
        <f t="shared" si="38"/>
        <v>250</v>
      </c>
      <c r="E117" s="139"/>
      <c r="F117" s="147">
        <v>90000.0</v>
      </c>
      <c r="G117" s="148">
        <v>27936.23</v>
      </c>
      <c r="H117" s="152">
        <v>0.0</v>
      </c>
      <c r="I117" s="152">
        <v>0.0</v>
      </c>
      <c r="J117" s="128">
        <v>1770.0</v>
      </c>
      <c r="K117" s="129"/>
      <c r="L117" s="149">
        <f t="shared" ref="L117:L118" si="43">SUM(G117:K117)</f>
        <v>29706.23</v>
      </c>
      <c r="M117" s="148">
        <v>120.0</v>
      </c>
      <c r="N117" s="149">
        <f t="shared" ref="N117:N118" si="44">M117*30</f>
        <v>3600</v>
      </c>
      <c r="O117" s="149">
        <f t="shared" ref="O117:O118" si="45">L117/N117</f>
        <v>8.251730556</v>
      </c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  <c r="AA117" s="129"/>
      <c r="AB117" s="129"/>
    </row>
    <row r="118">
      <c r="A118" s="128" t="s">
        <v>101</v>
      </c>
      <c r="B118" s="147">
        <v>30000.0</v>
      </c>
      <c r="C118" s="147">
        <v>30000.0</v>
      </c>
      <c r="D118" s="132">
        <f t="shared" si="38"/>
        <v>0</v>
      </c>
      <c r="E118" s="139"/>
      <c r="F118" s="147">
        <v>91000.0</v>
      </c>
      <c r="G118" s="148">
        <v>28084.45</v>
      </c>
      <c r="H118" s="152">
        <v>0.0</v>
      </c>
      <c r="I118" s="152">
        <v>0.0</v>
      </c>
      <c r="J118" s="128">
        <v>1840.0</v>
      </c>
      <c r="K118" s="129"/>
      <c r="L118" s="149">
        <f t="shared" si="43"/>
        <v>29924.45</v>
      </c>
      <c r="M118" s="148">
        <v>120.0</v>
      </c>
      <c r="N118" s="149">
        <f t="shared" si="44"/>
        <v>3600</v>
      </c>
      <c r="O118" s="149">
        <f t="shared" si="45"/>
        <v>8.312347222</v>
      </c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</row>
    <row r="119">
      <c r="A119" s="123" t="s">
        <v>102</v>
      </c>
      <c r="B119" s="147">
        <v>2500.0</v>
      </c>
      <c r="C119" s="147">
        <v>2656.0</v>
      </c>
      <c r="D119" s="125">
        <f t="shared" si="38"/>
        <v>156</v>
      </c>
      <c r="E119" s="126"/>
      <c r="F119" s="127"/>
      <c r="H119" s="128"/>
      <c r="I119" s="128"/>
      <c r="J119" s="128"/>
      <c r="K119" s="129"/>
      <c r="L119" s="129"/>
    </row>
    <row r="120">
      <c r="A120" s="128" t="s">
        <v>103</v>
      </c>
      <c r="B120" s="147">
        <v>2500.0</v>
      </c>
      <c r="C120" s="147">
        <v>2358.0</v>
      </c>
      <c r="D120" s="125">
        <f t="shared" si="38"/>
        <v>-142</v>
      </c>
      <c r="E120" s="126"/>
      <c r="F120" s="127"/>
      <c r="H120" s="128"/>
      <c r="I120" s="128"/>
      <c r="J120" s="128"/>
      <c r="K120" s="129"/>
      <c r="L120" s="129"/>
    </row>
    <row r="121">
      <c r="A121" s="159" t="s">
        <v>104</v>
      </c>
      <c r="B121" s="147">
        <v>3750.0</v>
      </c>
      <c r="C121" s="147">
        <v>4379.0</v>
      </c>
      <c r="D121" s="125">
        <f t="shared" si="38"/>
        <v>629</v>
      </c>
      <c r="E121" s="126"/>
      <c r="F121" s="127"/>
      <c r="H121" s="128"/>
      <c r="I121" s="128"/>
      <c r="J121" s="128"/>
      <c r="K121" s="129"/>
      <c r="L121" s="129"/>
    </row>
    <row r="122">
      <c r="A122" s="143"/>
      <c r="B122" s="139"/>
      <c r="C122" s="139"/>
      <c r="D122" s="139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S122" s="129"/>
      <c r="T122" s="129"/>
      <c r="U122" s="129"/>
      <c r="V122" s="129"/>
      <c r="W122" s="129"/>
      <c r="X122" s="129"/>
      <c r="Y122" s="129"/>
      <c r="Z122" s="129"/>
      <c r="AA122" s="129"/>
      <c r="AB122" s="129"/>
    </row>
    <row r="123">
      <c r="A123" s="122" t="s">
        <v>57</v>
      </c>
      <c r="B123" s="133">
        <f t="shared" ref="B123:D123" si="46">SUM(B101:B122)</f>
        <v>304500</v>
      </c>
      <c r="C123" s="133">
        <f t="shared" si="46"/>
        <v>321893</v>
      </c>
      <c r="D123" s="133">
        <f t="shared" si="46"/>
        <v>17393</v>
      </c>
      <c r="E123" s="135">
        <f>D123/(C123/100)</f>
        <v>5.403348318</v>
      </c>
    </row>
    <row r="124">
      <c r="A124" s="154"/>
      <c r="B124" s="124"/>
      <c r="C124" s="124"/>
      <c r="D124" s="124"/>
    </row>
    <row r="125">
      <c r="A125" s="154">
        <v>44287.0</v>
      </c>
      <c r="B125" s="124"/>
      <c r="C125" s="124"/>
      <c r="D125" s="124"/>
      <c r="G125" s="123"/>
    </row>
    <row r="126">
      <c r="A126" s="128" t="s">
        <v>93</v>
      </c>
      <c r="B126" s="147">
        <v>3750.0</v>
      </c>
      <c r="C126" s="147">
        <v>5000.0</v>
      </c>
      <c r="D126" s="132">
        <f t="shared" ref="D126:D138" si="47">C126-B126</f>
        <v>1250</v>
      </c>
      <c r="E126" s="139"/>
      <c r="F126" s="147">
        <v>8500.0</v>
      </c>
      <c r="G126" s="148">
        <v>2563.0</v>
      </c>
      <c r="H126" s="148">
        <v>908.46</v>
      </c>
      <c r="I126" s="152">
        <v>0.0</v>
      </c>
      <c r="J126" s="128">
        <v>140.0</v>
      </c>
      <c r="K126" s="129"/>
      <c r="L126" s="149">
        <f t="shared" ref="L126:L127" si="48">SUM(G126:K126)</f>
        <v>3611.46</v>
      </c>
      <c r="M126" s="148"/>
      <c r="N126" s="149"/>
      <c r="O126" s="14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</row>
    <row r="127">
      <c r="A127" s="128" t="s">
        <v>101</v>
      </c>
      <c r="B127" s="147">
        <v>30000.0</v>
      </c>
      <c r="C127" s="147">
        <v>30000.0</v>
      </c>
      <c r="D127" s="132">
        <f t="shared" si="47"/>
        <v>0</v>
      </c>
      <c r="E127" s="139"/>
      <c r="F127" s="147">
        <v>91000.0</v>
      </c>
      <c r="G127" s="148">
        <v>28054.16</v>
      </c>
      <c r="H127" s="152">
        <v>0.0</v>
      </c>
      <c r="I127" s="152">
        <v>0.0</v>
      </c>
      <c r="J127" s="128">
        <v>1750.0</v>
      </c>
      <c r="K127" s="129"/>
      <c r="L127" s="149">
        <f t="shared" si="48"/>
        <v>29804.16</v>
      </c>
      <c r="M127" s="148">
        <v>130.0</v>
      </c>
      <c r="N127" s="149">
        <f>M127*30</f>
        <v>3900</v>
      </c>
      <c r="O127" s="149">
        <f>L127/N127</f>
        <v>7.642092308</v>
      </c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</row>
    <row r="128">
      <c r="A128" s="123" t="s">
        <v>105</v>
      </c>
      <c r="B128" s="124">
        <v>4400.0</v>
      </c>
      <c r="C128" s="124">
        <v>5000.0</v>
      </c>
      <c r="D128" s="132">
        <f t="shared" si="47"/>
        <v>600</v>
      </c>
      <c r="F128" s="147"/>
      <c r="G128" s="148"/>
      <c r="H128" s="152"/>
      <c r="I128" s="152"/>
      <c r="J128" s="128"/>
      <c r="K128" s="129"/>
      <c r="L128" s="149"/>
      <c r="M128" s="148"/>
      <c r="N128" s="149"/>
      <c r="O128" s="14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</row>
    <row r="129">
      <c r="A129" s="123" t="s">
        <v>106</v>
      </c>
      <c r="B129" s="147">
        <v>2800.0</v>
      </c>
      <c r="C129" s="147">
        <v>3000.0</v>
      </c>
      <c r="D129" s="132">
        <f t="shared" si="47"/>
        <v>200</v>
      </c>
      <c r="F129" s="147"/>
      <c r="G129" s="148"/>
      <c r="H129" s="152"/>
      <c r="I129" s="152"/>
      <c r="J129" s="128"/>
      <c r="K129" s="129"/>
      <c r="L129" s="149"/>
      <c r="M129" s="148"/>
      <c r="N129" s="149"/>
      <c r="O129" s="14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</row>
    <row r="130">
      <c r="A130" s="128" t="s">
        <v>91</v>
      </c>
      <c r="B130" s="147">
        <v>4250.0</v>
      </c>
      <c r="C130" s="147">
        <v>5000.0</v>
      </c>
      <c r="D130" s="132">
        <f t="shared" si="47"/>
        <v>750</v>
      </c>
      <c r="E130" s="150"/>
      <c r="F130" s="150"/>
      <c r="G130" s="150"/>
      <c r="H130" s="150"/>
      <c r="I130" s="150"/>
      <c r="J130" s="150"/>
      <c r="K130" s="150"/>
      <c r="L130" s="129"/>
      <c r="M130" s="129"/>
      <c r="N130" s="166"/>
      <c r="O130" s="129"/>
      <c r="P130" s="166"/>
      <c r="Q130" s="150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</row>
    <row r="131">
      <c r="A131" s="123" t="s">
        <v>106</v>
      </c>
      <c r="B131" s="147">
        <v>3000.0</v>
      </c>
      <c r="C131" s="147">
        <v>3000.0</v>
      </c>
      <c r="D131" s="132">
        <f t="shared" si="47"/>
        <v>0</v>
      </c>
      <c r="F131" s="147"/>
      <c r="G131" s="148"/>
      <c r="H131" s="152"/>
      <c r="I131" s="152"/>
      <c r="J131" s="128"/>
      <c r="K131" s="129"/>
      <c r="L131" s="149"/>
      <c r="M131" s="148"/>
      <c r="N131" s="149"/>
      <c r="O131" s="14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</row>
    <row r="132">
      <c r="A132" s="128" t="s">
        <v>107</v>
      </c>
      <c r="B132" s="147">
        <v>28000.0</v>
      </c>
      <c r="C132" s="147">
        <v>30000.0</v>
      </c>
      <c r="D132" s="132">
        <f t="shared" si="47"/>
        <v>2000</v>
      </c>
      <c r="E132" s="139"/>
      <c r="F132" s="147">
        <v>85000.0</v>
      </c>
      <c r="G132" s="148">
        <v>26292.0</v>
      </c>
      <c r="H132" s="152">
        <v>0.0</v>
      </c>
      <c r="I132" s="152">
        <v>0.0</v>
      </c>
      <c r="J132" s="128">
        <v>1700.0</v>
      </c>
      <c r="K132" s="129"/>
      <c r="L132" s="149">
        <f t="shared" ref="L132:L134" si="49">SUM(G132:K132)</f>
        <v>27992</v>
      </c>
      <c r="M132" s="148">
        <v>130.0</v>
      </c>
      <c r="N132" s="149">
        <f t="shared" ref="N132:N134" si="50">M132*30</f>
        <v>3900</v>
      </c>
      <c r="O132" s="149">
        <f t="shared" ref="O132:O134" si="51">L132/N132</f>
        <v>7.177435897</v>
      </c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</row>
    <row r="133">
      <c r="A133" s="128" t="s">
        <v>107</v>
      </c>
      <c r="B133" s="147">
        <v>27000.0</v>
      </c>
      <c r="C133" s="147">
        <v>30000.0</v>
      </c>
      <c r="D133" s="132">
        <f t="shared" si="47"/>
        <v>3000</v>
      </c>
      <c r="E133" s="139"/>
      <c r="F133" s="147">
        <v>87000.0</v>
      </c>
      <c r="G133" s="148">
        <v>26927.0</v>
      </c>
      <c r="H133" s="152">
        <v>0.0</v>
      </c>
      <c r="I133" s="152">
        <v>0.0</v>
      </c>
      <c r="J133" s="128">
        <v>0.0</v>
      </c>
      <c r="K133" s="129"/>
      <c r="L133" s="149">
        <f t="shared" si="49"/>
        <v>26927</v>
      </c>
      <c r="M133" s="148">
        <v>130.0</v>
      </c>
      <c r="N133" s="149">
        <f t="shared" si="50"/>
        <v>3900</v>
      </c>
      <c r="O133" s="149">
        <f t="shared" si="51"/>
        <v>6.904358974</v>
      </c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</row>
    <row r="134">
      <c r="A134" s="128" t="s">
        <v>108</v>
      </c>
      <c r="B134" s="147">
        <v>27500.0</v>
      </c>
      <c r="C134" s="147">
        <v>27500.0</v>
      </c>
      <c r="D134" s="132">
        <f t="shared" si="47"/>
        <v>0</v>
      </c>
      <c r="E134" s="139"/>
      <c r="F134" s="147">
        <v>82000.0</v>
      </c>
      <c r="G134" s="164">
        <v>24752.62</v>
      </c>
      <c r="H134" s="148">
        <v>1150.0</v>
      </c>
      <c r="I134" s="152">
        <v>0.0</v>
      </c>
      <c r="J134" s="128">
        <v>1470.0</v>
      </c>
      <c r="K134" s="129"/>
      <c r="L134" s="165">
        <f t="shared" si="49"/>
        <v>27372.62</v>
      </c>
      <c r="M134" s="148">
        <v>130.0</v>
      </c>
      <c r="N134" s="149">
        <f t="shared" si="50"/>
        <v>3900</v>
      </c>
      <c r="O134" s="149">
        <f t="shared" si="51"/>
        <v>7.018620513</v>
      </c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</row>
    <row r="135">
      <c r="A135" s="123" t="s">
        <v>109</v>
      </c>
      <c r="B135" s="124">
        <v>15000.0</v>
      </c>
      <c r="C135" s="147">
        <v>16965.0</v>
      </c>
      <c r="D135" s="125">
        <f t="shared" si="47"/>
        <v>1965</v>
      </c>
      <c r="E135" s="130"/>
      <c r="F135" s="130"/>
      <c r="G135" s="123"/>
      <c r="H135" s="130"/>
      <c r="I135" s="150"/>
      <c r="J135" s="150"/>
      <c r="K135" s="150"/>
      <c r="L135" s="129"/>
      <c r="M135" s="129"/>
      <c r="N135" s="166"/>
      <c r="O135" s="129"/>
      <c r="P135" s="166"/>
      <c r="Q135" s="150"/>
      <c r="R135" s="129"/>
      <c r="S135" s="129"/>
      <c r="T135" s="129"/>
      <c r="U135" s="129"/>
      <c r="V135" s="129"/>
      <c r="W135" s="129"/>
      <c r="X135" s="129"/>
      <c r="Y135" s="129"/>
      <c r="Z135" s="129"/>
      <c r="AA135" s="129"/>
      <c r="AB135" s="129"/>
    </row>
    <row r="136">
      <c r="A136" s="128" t="s">
        <v>110</v>
      </c>
      <c r="B136" s="147">
        <v>40000.0</v>
      </c>
      <c r="C136" s="147">
        <v>48551.0</v>
      </c>
      <c r="D136" s="132">
        <f t="shared" si="47"/>
        <v>8551</v>
      </c>
      <c r="E136" s="130"/>
      <c r="F136" s="148"/>
      <c r="G136" s="147"/>
      <c r="H136" s="130"/>
      <c r="I136" s="148"/>
      <c r="J136" s="152"/>
      <c r="K136" s="148"/>
      <c r="L136" s="129"/>
      <c r="M136" s="149"/>
      <c r="N136" s="167"/>
      <c r="O136" s="168"/>
      <c r="P136" s="168"/>
      <c r="Q136" s="148"/>
      <c r="R136" s="149"/>
      <c r="S136" s="149"/>
      <c r="T136" s="129"/>
      <c r="U136" s="129"/>
      <c r="V136" s="129"/>
      <c r="W136" s="129"/>
      <c r="X136" s="129"/>
      <c r="Y136" s="129"/>
      <c r="Z136" s="129"/>
      <c r="AA136" s="129"/>
      <c r="AB136" s="129"/>
    </row>
    <row r="137">
      <c r="A137" s="123" t="s">
        <v>111</v>
      </c>
      <c r="B137" s="147">
        <v>0.0</v>
      </c>
      <c r="C137" s="147">
        <v>0.0</v>
      </c>
      <c r="D137" s="132">
        <f t="shared" si="47"/>
        <v>0</v>
      </c>
      <c r="E137" s="148"/>
      <c r="F137" s="130"/>
      <c r="G137" s="123"/>
      <c r="H137" s="148"/>
      <c r="I137" s="128"/>
      <c r="J137" s="128"/>
      <c r="K137" s="128"/>
      <c r="L137" s="129"/>
      <c r="M137" s="129"/>
      <c r="N137" s="169"/>
      <c r="P137" s="170"/>
      <c r="Q137" s="123"/>
      <c r="S137" s="149"/>
    </row>
    <row r="138">
      <c r="A138" s="123" t="s">
        <v>112</v>
      </c>
      <c r="B138" s="124">
        <v>25500.0</v>
      </c>
      <c r="C138" s="124">
        <v>27500.0</v>
      </c>
      <c r="D138" s="125">
        <f t="shared" si="47"/>
        <v>2000</v>
      </c>
      <c r="E138" s="126"/>
      <c r="F138" s="127">
        <v>78000.0</v>
      </c>
      <c r="G138" s="123">
        <v>23850.0</v>
      </c>
      <c r="H138" s="128">
        <v>0.0</v>
      </c>
      <c r="I138" s="128">
        <v>0.0</v>
      </c>
      <c r="J138" s="128">
        <v>1540.0</v>
      </c>
      <c r="K138" s="129"/>
      <c r="L138" s="129">
        <f>SUM(G138:K138)</f>
        <v>25390</v>
      </c>
      <c r="M138" s="148">
        <v>130.0</v>
      </c>
      <c r="N138">
        <f>M138*30</f>
        <v>3900</v>
      </c>
      <c r="O138">
        <f>L138/N138</f>
        <v>6.51025641</v>
      </c>
    </row>
    <row r="139">
      <c r="A139" s="143"/>
      <c r="B139" s="139"/>
      <c r="C139" s="139"/>
      <c r="D139" s="13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</row>
    <row r="140">
      <c r="A140" s="122" t="s">
        <v>57</v>
      </c>
      <c r="B140" s="133">
        <f t="shared" ref="B140:D140" si="52">SUM(B125:B139)</f>
        <v>211200</v>
      </c>
      <c r="C140" s="133">
        <f t="shared" si="52"/>
        <v>231516</v>
      </c>
      <c r="D140" s="133">
        <f t="shared" si="52"/>
        <v>20316</v>
      </c>
      <c r="E140" s="135">
        <f>D140/(C140/100)</f>
        <v>8.775203442</v>
      </c>
    </row>
    <row r="141">
      <c r="A141" s="154"/>
      <c r="B141" s="124"/>
      <c r="C141" s="124"/>
      <c r="D141" s="124"/>
    </row>
    <row r="142">
      <c r="A142" s="154">
        <v>44256.0</v>
      </c>
      <c r="B142" s="124"/>
      <c r="C142" s="124"/>
      <c r="D142" s="124"/>
    </row>
    <row r="143">
      <c r="A143" s="150" t="s">
        <v>113</v>
      </c>
      <c r="B143" s="132">
        <v>15000.0</v>
      </c>
      <c r="C143" s="147">
        <v>15000.0</v>
      </c>
      <c r="D143" s="125">
        <f t="shared" ref="D143:D152" si="53">C143-B143</f>
        <v>0</v>
      </c>
      <c r="E143" s="130"/>
      <c r="F143" s="130"/>
      <c r="H143" s="130"/>
      <c r="I143" s="128"/>
      <c r="J143" s="128"/>
      <c r="K143" s="128"/>
      <c r="L143" s="129"/>
      <c r="M143" s="129"/>
      <c r="N143" s="169"/>
      <c r="P143" s="170"/>
      <c r="Q143" s="123"/>
      <c r="S143" s="149"/>
      <c r="T143" s="129"/>
      <c r="U143" s="129"/>
      <c r="V143" s="129"/>
      <c r="W143" s="129"/>
      <c r="X143" s="129"/>
      <c r="Y143" s="129"/>
      <c r="Z143" s="129"/>
      <c r="AA143" s="129"/>
      <c r="AB143" s="129"/>
    </row>
    <row r="144">
      <c r="A144" s="123" t="s">
        <v>111</v>
      </c>
      <c r="B144" s="124">
        <v>21750.0</v>
      </c>
      <c r="C144" s="124">
        <v>20000.0</v>
      </c>
      <c r="D144" s="125">
        <f t="shared" si="53"/>
        <v>-1750</v>
      </c>
      <c r="E144" s="126"/>
      <c r="F144" s="127">
        <v>69000.0</v>
      </c>
      <c r="G144" s="123">
        <v>19483.34</v>
      </c>
      <c r="H144" s="128">
        <v>1050.0</v>
      </c>
      <c r="I144" s="128">
        <v>0.0</v>
      </c>
      <c r="J144" s="128">
        <v>1350.0</v>
      </c>
      <c r="K144" s="129"/>
      <c r="L144" s="129">
        <f t="shared" ref="L144:L145" si="54">SUM(G144:K144)</f>
        <v>21883.34</v>
      </c>
      <c r="M144" s="123">
        <v>90.0</v>
      </c>
      <c r="N144">
        <f t="shared" ref="N144:N145" si="55">M144*30</f>
        <v>2700</v>
      </c>
      <c r="O144">
        <f t="shared" ref="O144:O145" si="56">L144/N144</f>
        <v>8.104940741</v>
      </c>
    </row>
    <row r="145">
      <c r="A145" s="123" t="s">
        <v>114</v>
      </c>
      <c r="B145" s="124">
        <v>58500.0</v>
      </c>
      <c r="C145" s="124">
        <v>60000.0</v>
      </c>
      <c r="D145" s="125">
        <f t="shared" si="53"/>
        <v>1500</v>
      </c>
      <c r="E145" s="126"/>
      <c r="F145" s="127">
        <v>180000.0</v>
      </c>
      <c r="G145" s="140">
        <v>54165.0</v>
      </c>
      <c r="H145" s="128">
        <v>0.0</v>
      </c>
      <c r="I145" s="128">
        <v>0.0</v>
      </c>
      <c r="J145" s="128">
        <v>4500.0</v>
      </c>
      <c r="K145" s="129"/>
      <c r="L145" s="153">
        <f t="shared" si="54"/>
        <v>58665</v>
      </c>
      <c r="M145" s="123">
        <v>210.0</v>
      </c>
      <c r="N145">
        <f t="shared" si="55"/>
        <v>6300</v>
      </c>
      <c r="O145">
        <f t="shared" si="56"/>
        <v>9.311904762</v>
      </c>
    </row>
    <row r="146">
      <c r="A146" s="159" t="s">
        <v>115</v>
      </c>
      <c r="B146" s="147">
        <v>3000.0</v>
      </c>
      <c r="C146" s="147">
        <v>3500.0</v>
      </c>
      <c r="D146" s="132">
        <f t="shared" si="53"/>
        <v>500</v>
      </c>
      <c r="E146" s="127"/>
      <c r="F146" s="147"/>
      <c r="G146" s="164"/>
      <c r="H146" s="148"/>
      <c r="I146" s="152"/>
      <c r="J146" s="148"/>
      <c r="K146" s="129"/>
      <c r="L146" s="149"/>
      <c r="M146" s="148"/>
      <c r="N146" s="149"/>
      <c r="O146" s="14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</row>
    <row r="147">
      <c r="A147" s="123" t="s">
        <v>113</v>
      </c>
      <c r="B147" s="124">
        <v>13750.0</v>
      </c>
      <c r="C147" s="124">
        <v>15000.0</v>
      </c>
      <c r="D147" s="125">
        <f t="shared" si="53"/>
        <v>1250</v>
      </c>
      <c r="E147" s="126"/>
      <c r="F147" s="127">
        <v>41000.0</v>
      </c>
      <c r="G147" s="140">
        <v>12790.0</v>
      </c>
      <c r="H147" s="128">
        <v>0.0</v>
      </c>
      <c r="I147" s="128">
        <v>0.0</v>
      </c>
      <c r="J147" s="128">
        <v>840.0</v>
      </c>
      <c r="K147" s="129"/>
      <c r="L147" s="153">
        <f>SUM(G147:K147)</f>
        <v>13630</v>
      </c>
      <c r="M147" s="123">
        <v>60.0</v>
      </c>
      <c r="N147">
        <f>M147*30</f>
        <v>1800</v>
      </c>
      <c r="O147">
        <f>L147/N147</f>
        <v>7.572222222</v>
      </c>
    </row>
    <row r="148">
      <c r="A148" s="159" t="s">
        <v>65</v>
      </c>
      <c r="B148" s="147">
        <v>3000.0</v>
      </c>
      <c r="C148" s="147">
        <v>3500.0</v>
      </c>
      <c r="D148" s="132">
        <f t="shared" si="53"/>
        <v>500</v>
      </c>
      <c r="E148" s="127"/>
      <c r="F148" s="147"/>
      <c r="G148" s="164"/>
      <c r="H148" s="148"/>
      <c r="I148" s="152"/>
      <c r="J148" s="148"/>
      <c r="K148" s="129"/>
      <c r="L148" s="149"/>
      <c r="M148" s="148"/>
      <c r="N148" s="149"/>
      <c r="O148" s="14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</row>
    <row r="149">
      <c r="A149" s="128" t="s">
        <v>110</v>
      </c>
      <c r="B149" s="147">
        <v>18250.0</v>
      </c>
      <c r="C149" s="147">
        <v>20000.0</v>
      </c>
      <c r="D149" s="132">
        <f t="shared" si="53"/>
        <v>1750</v>
      </c>
      <c r="E149" s="139"/>
      <c r="F149" s="147">
        <v>55000.0</v>
      </c>
      <c r="G149" s="164">
        <v>17078.24</v>
      </c>
      <c r="H149" s="148">
        <v>0.0</v>
      </c>
      <c r="I149" s="152">
        <v>0.0</v>
      </c>
      <c r="J149" s="148">
        <v>1120.0</v>
      </c>
      <c r="K149" s="129"/>
      <c r="L149" s="165">
        <f t="shared" ref="L149:L152" si="57">SUM(G149:K149)</f>
        <v>18198.24</v>
      </c>
      <c r="M149" s="148">
        <v>90.0</v>
      </c>
      <c r="N149" s="149">
        <f t="shared" ref="N149:N152" si="58">M149*30</f>
        <v>2700</v>
      </c>
      <c r="O149">
        <f t="shared" ref="O149:O152" si="59">L149/N149</f>
        <v>6.740088889</v>
      </c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</row>
    <row r="150">
      <c r="A150" s="150" t="s">
        <v>113</v>
      </c>
      <c r="B150" s="147">
        <v>15500.0</v>
      </c>
      <c r="C150" s="147">
        <v>15000.0</v>
      </c>
      <c r="D150" s="132">
        <f t="shared" si="53"/>
        <v>-500</v>
      </c>
      <c r="E150" s="139"/>
      <c r="F150" s="127">
        <v>40800.0</v>
      </c>
      <c r="G150" s="140">
        <v>12217.57</v>
      </c>
      <c r="H150" s="128">
        <v>1169.31</v>
      </c>
      <c r="I150" s="128">
        <v>1200.0</v>
      </c>
      <c r="J150" s="128">
        <v>924.0</v>
      </c>
      <c r="K150" s="129"/>
      <c r="L150" s="153">
        <f t="shared" si="57"/>
        <v>15510.88</v>
      </c>
      <c r="M150" s="123">
        <v>60.0</v>
      </c>
      <c r="N150">
        <f t="shared" si="58"/>
        <v>1800</v>
      </c>
      <c r="O150">
        <f t="shared" si="59"/>
        <v>8.617155556</v>
      </c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</row>
    <row r="151">
      <c r="A151" s="123" t="s">
        <v>116</v>
      </c>
      <c r="B151" s="124">
        <v>12250.0</v>
      </c>
      <c r="C151" s="124">
        <v>15000.0</v>
      </c>
      <c r="D151" s="125">
        <f t="shared" si="53"/>
        <v>2750</v>
      </c>
      <c r="E151" s="126"/>
      <c r="F151" s="127">
        <v>38851.0</v>
      </c>
      <c r="G151" s="140">
        <v>11573.72</v>
      </c>
      <c r="H151" s="128">
        <v>0.0</v>
      </c>
      <c r="I151" s="128">
        <v>0.0</v>
      </c>
      <c r="J151" s="128">
        <v>735.0</v>
      </c>
      <c r="K151" s="129"/>
      <c r="L151" s="153">
        <f t="shared" si="57"/>
        <v>12308.72</v>
      </c>
      <c r="M151" s="123">
        <v>60.0</v>
      </c>
      <c r="N151">
        <f t="shared" si="58"/>
        <v>1800</v>
      </c>
      <c r="O151">
        <f t="shared" si="59"/>
        <v>6.838177778</v>
      </c>
    </row>
    <row r="152">
      <c r="A152" s="123" t="s">
        <v>113</v>
      </c>
      <c r="B152" s="124">
        <v>13000.0</v>
      </c>
      <c r="C152" s="124">
        <v>15000.0</v>
      </c>
      <c r="D152" s="125">
        <f t="shared" si="53"/>
        <v>2000</v>
      </c>
      <c r="E152" s="126"/>
      <c r="F152" s="127">
        <v>39800.0</v>
      </c>
      <c r="G152" s="140">
        <v>12153.93</v>
      </c>
      <c r="H152" s="128">
        <v>0.0</v>
      </c>
      <c r="I152" s="128">
        <v>0.0</v>
      </c>
      <c r="J152" s="128">
        <v>840.0</v>
      </c>
      <c r="K152" s="129"/>
      <c r="L152" s="153">
        <f t="shared" si="57"/>
        <v>12993.93</v>
      </c>
      <c r="M152" s="123">
        <v>60.0</v>
      </c>
      <c r="N152">
        <f t="shared" si="58"/>
        <v>1800</v>
      </c>
      <c r="O152">
        <f t="shared" si="59"/>
        <v>7.21885</v>
      </c>
    </row>
    <row r="153">
      <c r="A153" s="143"/>
      <c r="B153" s="139"/>
      <c r="C153" s="139"/>
      <c r="D153" s="13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</row>
    <row r="154">
      <c r="A154" s="122" t="s">
        <v>57</v>
      </c>
      <c r="B154" s="133">
        <f t="shared" ref="B154:D154" si="60">SUM(B142:B153)</f>
        <v>174000</v>
      </c>
      <c r="C154" s="133">
        <f t="shared" si="60"/>
        <v>182000</v>
      </c>
      <c r="D154" s="133">
        <f t="shared" si="60"/>
        <v>8000</v>
      </c>
      <c r="E154" s="135">
        <f>D154/(C154/100)</f>
        <v>4.395604396</v>
      </c>
    </row>
    <row r="155">
      <c r="A155" s="154"/>
      <c r="B155" s="124"/>
      <c r="C155" s="124"/>
      <c r="D155" s="124"/>
    </row>
    <row r="156">
      <c r="A156" s="154">
        <v>44228.0</v>
      </c>
      <c r="B156" s="124"/>
      <c r="C156" s="124"/>
      <c r="D156" s="124"/>
    </row>
    <row r="157">
      <c r="A157" s="123" t="s">
        <v>117</v>
      </c>
      <c r="B157" s="124">
        <v>15000.0</v>
      </c>
      <c r="C157" s="124">
        <v>43615.0</v>
      </c>
      <c r="D157" s="132">
        <f t="shared" ref="D157:D161" si="61">C157-B157</f>
        <v>28615</v>
      </c>
      <c r="E157" s="130" t="s">
        <v>118</v>
      </c>
    </row>
    <row r="158">
      <c r="A158" s="128" t="s">
        <v>119</v>
      </c>
      <c r="B158" s="147">
        <v>240.0</v>
      </c>
      <c r="C158" s="147">
        <v>438.0</v>
      </c>
      <c r="D158" s="132">
        <f t="shared" si="61"/>
        <v>198</v>
      </c>
      <c r="E158" s="171" t="s">
        <v>120</v>
      </c>
      <c r="F158" s="13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</row>
    <row r="159">
      <c r="A159" s="128" t="s">
        <v>121</v>
      </c>
      <c r="B159" s="124">
        <v>240.0</v>
      </c>
      <c r="C159" s="124">
        <v>390.0</v>
      </c>
      <c r="D159" s="125">
        <f t="shared" si="61"/>
        <v>150</v>
      </c>
      <c r="E159" s="172" t="s">
        <v>120</v>
      </c>
      <c r="F159" s="13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</row>
    <row r="160">
      <c r="A160" s="150" t="s">
        <v>122</v>
      </c>
      <c r="B160" s="147">
        <v>490.0</v>
      </c>
      <c r="C160" s="147">
        <v>490.0</v>
      </c>
      <c r="D160" s="132">
        <f t="shared" si="61"/>
        <v>0</v>
      </c>
      <c r="E160" s="147" t="s">
        <v>123</v>
      </c>
      <c r="F160" s="139"/>
      <c r="G160" s="128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</row>
    <row r="161">
      <c r="A161" s="128" t="s">
        <v>124</v>
      </c>
      <c r="B161" s="147">
        <v>490.0</v>
      </c>
      <c r="C161" s="147">
        <v>905.0</v>
      </c>
      <c r="D161" s="132">
        <f t="shared" si="61"/>
        <v>415</v>
      </c>
      <c r="E161" s="147" t="s">
        <v>120</v>
      </c>
      <c r="F161" s="139"/>
      <c r="G161" s="128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</row>
    <row r="162">
      <c r="A162" s="143"/>
      <c r="B162" s="139"/>
      <c r="C162" s="139"/>
      <c r="D162" s="13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</row>
    <row r="163">
      <c r="A163" s="122" t="s">
        <v>57</v>
      </c>
      <c r="B163" s="133">
        <f t="shared" ref="B163:D163" si="62">SUM(B156:B162)</f>
        <v>16460</v>
      </c>
      <c r="C163" s="133">
        <f t="shared" si="62"/>
        <v>45838</v>
      </c>
      <c r="D163" s="133">
        <f t="shared" si="62"/>
        <v>29378</v>
      </c>
      <c r="E163" s="135">
        <f>D163/(C163/100)</f>
        <v>64.09092892</v>
      </c>
    </row>
    <row r="164">
      <c r="A164" s="154"/>
      <c r="B164" s="124"/>
      <c r="C164" s="124"/>
      <c r="D164" s="124"/>
    </row>
    <row r="165">
      <c r="A165" s="154">
        <v>44197.0</v>
      </c>
      <c r="B165" s="124"/>
      <c r="C165" s="124"/>
      <c r="D165" s="124"/>
    </row>
    <row r="166">
      <c r="A166" s="128" t="s">
        <v>125</v>
      </c>
      <c r="B166" s="147">
        <v>490.0</v>
      </c>
      <c r="C166" s="147">
        <v>906.0</v>
      </c>
      <c r="D166" s="132">
        <f t="shared" ref="D166:D169" si="63">C166-B166</f>
        <v>416</v>
      </c>
      <c r="E166" s="147" t="s">
        <v>120</v>
      </c>
      <c r="F166" s="139"/>
      <c r="G166" s="128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</row>
    <row r="167">
      <c r="A167" s="128" t="s">
        <v>121</v>
      </c>
      <c r="B167" s="147">
        <v>240.0</v>
      </c>
      <c r="C167" s="147">
        <v>390.0</v>
      </c>
      <c r="D167" s="132">
        <f t="shared" si="63"/>
        <v>150</v>
      </c>
      <c r="E167" s="147" t="s">
        <v>120</v>
      </c>
      <c r="F167" s="13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</row>
    <row r="168">
      <c r="A168" s="128" t="s">
        <v>124</v>
      </c>
      <c r="B168" s="147">
        <v>490.0</v>
      </c>
      <c r="C168" s="147">
        <v>903.0</v>
      </c>
      <c r="D168" s="132">
        <f t="shared" si="63"/>
        <v>413</v>
      </c>
      <c r="E168" s="147" t="s">
        <v>120</v>
      </c>
      <c r="F168" s="139"/>
      <c r="G168" s="128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</row>
    <row r="169">
      <c r="A169" s="128" t="s">
        <v>126</v>
      </c>
      <c r="B169" s="124">
        <v>1690.0</v>
      </c>
      <c r="C169" s="147">
        <v>1961.0</v>
      </c>
      <c r="D169" s="132">
        <f t="shared" si="63"/>
        <v>271</v>
      </c>
      <c r="E169" s="126" t="s">
        <v>123</v>
      </c>
      <c r="F169" s="139"/>
      <c r="G169" s="128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</row>
    <row r="170">
      <c r="A170" s="143"/>
      <c r="B170" s="139"/>
      <c r="C170" s="139"/>
      <c r="D170" s="13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</row>
    <row r="171">
      <c r="A171" s="122" t="s">
        <v>57</v>
      </c>
      <c r="B171" s="133">
        <f t="shared" ref="B171:D171" si="64">SUM(B165:B170)</f>
        <v>2910</v>
      </c>
      <c r="C171" s="133">
        <f t="shared" si="64"/>
        <v>4160</v>
      </c>
      <c r="D171" s="133">
        <f t="shared" si="64"/>
        <v>1250</v>
      </c>
      <c r="E171" s="135">
        <f>D171/(C171/100)</f>
        <v>30.04807692</v>
      </c>
    </row>
    <row r="172">
      <c r="A172" s="154"/>
      <c r="B172" s="124"/>
      <c r="C172" s="124"/>
      <c r="D172" s="124"/>
    </row>
    <row r="173">
      <c r="A173" s="119" t="s">
        <v>127</v>
      </c>
      <c r="B173" s="173">
        <f t="shared" ref="B173:D173" si="65">SUM(B25,B39,B60,B68,B83,B93,B99,B123,B140,B154,B163,B171)</f>
        <v>1633270</v>
      </c>
      <c r="C173" s="173">
        <f t="shared" si="65"/>
        <v>1822804</v>
      </c>
      <c r="D173" s="173">
        <f t="shared" si="65"/>
        <v>189534</v>
      </c>
      <c r="E173" s="120">
        <f>D173/(C173/100)</f>
        <v>10.39793637</v>
      </c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</row>
    <row r="174">
      <c r="A174" s="154"/>
      <c r="B174" s="124"/>
      <c r="C174" s="124"/>
      <c r="D174" s="124"/>
    </row>
    <row r="175">
      <c r="A175" s="138" t="s">
        <v>128</v>
      </c>
      <c r="B175" s="124"/>
      <c r="C175" s="124"/>
      <c r="D175" s="124"/>
    </row>
    <row r="176">
      <c r="A176" s="154">
        <v>44166.0</v>
      </c>
      <c r="B176" s="124"/>
      <c r="C176" s="124"/>
      <c r="D176" s="124"/>
    </row>
    <row r="177" hidden="1">
      <c r="A177" s="123" t="s">
        <v>129</v>
      </c>
      <c r="B177" s="147">
        <v>1250.0</v>
      </c>
      <c r="C177" s="147">
        <v>1000.0</v>
      </c>
      <c r="D177" s="125">
        <f t="shared" ref="D177:D188" si="66">C177-B177</f>
        <v>-250</v>
      </c>
      <c r="E177" s="124"/>
      <c r="F177" s="124"/>
    </row>
    <row r="178" hidden="1">
      <c r="A178" s="128" t="s">
        <v>130</v>
      </c>
      <c r="B178" s="147">
        <v>490.0</v>
      </c>
      <c r="C178" s="147">
        <v>940.0</v>
      </c>
      <c r="D178" s="132">
        <f t="shared" si="66"/>
        <v>450</v>
      </c>
      <c r="E178" s="132"/>
      <c r="F178" s="139"/>
      <c r="G178" s="128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</row>
    <row r="179" hidden="1">
      <c r="A179" s="123" t="s">
        <v>131</v>
      </c>
      <c r="B179" s="124">
        <v>2250.0</v>
      </c>
      <c r="C179" s="124">
        <v>2572.0</v>
      </c>
      <c r="D179" s="132">
        <f t="shared" si="66"/>
        <v>322</v>
      </c>
    </row>
    <row r="180" hidden="1">
      <c r="A180" s="128" t="s">
        <v>132</v>
      </c>
      <c r="B180" s="147">
        <v>1240.0</v>
      </c>
      <c r="C180" s="147">
        <v>1397.0</v>
      </c>
      <c r="D180" s="132">
        <f t="shared" si="66"/>
        <v>157</v>
      </c>
      <c r="E180" s="171"/>
      <c r="F180" s="13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</row>
    <row r="181" hidden="1">
      <c r="A181" s="128" t="s">
        <v>133</v>
      </c>
      <c r="B181" s="147">
        <v>27500.0</v>
      </c>
      <c r="C181" s="147">
        <v>32500.0</v>
      </c>
      <c r="D181" s="132">
        <f t="shared" si="66"/>
        <v>5000</v>
      </c>
      <c r="E181" s="174"/>
      <c r="F181" s="127" t="s">
        <v>134</v>
      </c>
      <c r="G181" s="148">
        <v>20964.0</v>
      </c>
      <c r="H181" s="148">
        <v>2849.0</v>
      </c>
      <c r="I181" s="148">
        <v>2000.0</v>
      </c>
      <c r="J181" s="148">
        <v>1540.0</v>
      </c>
      <c r="K181" s="129"/>
      <c r="L181" s="149">
        <f>SUM(G181:K181)</f>
        <v>27353</v>
      </c>
      <c r="M181" s="168">
        <v>32500.0</v>
      </c>
      <c r="N181" s="168">
        <f>M181-L181</f>
        <v>5147</v>
      </c>
      <c r="O181" s="170">
        <f>N181/(L181/100)</f>
        <v>18.81694878</v>
      </c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</row>
    <row r="182" hidden="1">
      <c r="A182" s="128" t="s">
        <v>135</v>
      </c>
      <c r="B182" s="147">
        <v>90.0</v>
      </c>
      <c r="C182" s="147">
        <v>575.0</v>
      </c>
      <c r="D182" s="132">
        <f t="shared" si="66"/>
        <v>485</v>
      </c>
      <c r="E182" s="132"/>
      <c r="F182" s="139"/>
      <c r="G182" s="128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</row>
    <row r="183" hidden="1">
      <c r="A183" s="128" t="s">
        <v>136</v>
      </c>
      <c r="B183" s="147">
        <v>12990.0</v>
      </c>
      <c r="C183" s="147">
        <v>14713.0</v>
      </c>
      <c r="D183" s="132">
        <f t="shared" si="66"/>
        <v>1723</v>
      </c>
      <c r="E183" s="139"/>
      <c r="F183" s="127"/>
      <c r="H183" s="128"/>
      <c r="I183" s="128"/>
      <c r="J183" s="128"/>
      <c r="K183" s="129"/>
      <c r="L183" s="129"/>
      <c r="M183" s="128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</row>
    <row r="184" hidden="1">
      <c r="A184" s="128" t="s">
        <v>137</v>
      </c>
      <c r="B184" s="147">
        <v>990.0</v>
      </c>
      <c r="C184" s="147">
        <v>1445.0</v>
      </c>
      <c r="D184" s="132">
        <f t="shared" si="66"/>
        <v>455</v>
      </c>
      <c r="E184" s="132"/>
      <c r="F184" s="13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</row>
    <row r="185" hidden="1">
      <c r="A185" s="150" t="s">
        <v>133</v>
      </c>
      <c r="B185" s="147">
        <v>28000.0</v>
      </c>
      <c r="C185" s="147">
        <v>32172.0</v>
      </c>
      <c r="D185" s="132">
        <f t="shared" si="66"/>
        <v>4172</v>
      </c>
      <c r="E185" s="175"/>
      <c r="F185" s="139" t="s">
        <v>138</v>
      </c>
      <c r="G185" s="152">
        <v>21512.0</v>
      </c>
      <c r="H185" s="152">
        <v>2453.0</v>
      </c>
      <c r="I185" s="148">
        <v>2300.0</v>
      </c>
      <c r="J185" s="148">
        <v>1771.0</v>
      </c>
      <c r="K185" s="129"/>
      <c r="L185" s="149">
        <f>SUM(G185:K185)</f>
        <v>28036</v>
      </c>
      <c r="M185" s="168">
        <v>32500.0</v>
      </c>
      <c r="N185" s="168">
        <f>M185-L185</f>
        <v>4464</v>
      </c>
      <c r="O185" s="170">
        <f>N185/(L185/100)</f>
        <v>15.9223855</v>
      </c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</row>
    <row r="186" hidden="1">
      <c r="A186" s="128" t="s">
        <v>137</v>
      </c>
      <c r="B186" s="147">
        <v>990.0</v>
      </c>
      <c r="C186" s="147">
        <v>1451.0</v>
      </c>
      <c r="D186" s="132">
        <f t="shared" si="66"/>
        <v>461</v>
      </c>
      <c r="E186" s="132"/>
      <c r="F186" s="13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</row>
    <row r="187" hidden="1">
      <c r="A187" s="128" t="s">
        <v>139</v>
      </c>
      <c r="B187" s="147">
        <v>34240.0</v>
      </c>
      <c r="C187" s="147">
        <v>39500.0</v>
      </c>
      <c r="D187" s="132">
        <f t="shared" si="66"/>
        <v>5260</v>
      </c>
      <c r="E187" s="147"/>
      <c r="F187" s="127" t="s">
        <v>140</v>
      </c>
      <c r="G187" s="123">
        <v>25559.0</v>
      </c>
      <c r="H187" s="128">
        <v>3407.0</v>
      </c>
      <c r="I187" s="128">
        <v>3000.0</v>
      </c>
      <c r="J187" s="128">
        <v>2310.0</v>
      </c>
      <c r="K187" s="129"/>
      <c r="L187" s="129">
        <f t="shared" ref="L187:L188" si="67">SUM(G187:K187)</f>
        <v>34276</v>
      </c>
      <c r="M187" s="169">
        <v>39990.0</v>
      </c>
      <c r="N187" s="170">
        <f t="shared" ref="N187:N188" si="68">M187-L187</f>
        <v>5714</v>
      </c>
      <c r="O187" s="170">
        <f t="shared" ref="O187:O188" si="69">N187/(L187/100)</f>
        <v>16.67055666</v>
      </c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</row>
    <row r="188" hidden="1">
      <c r="A188" s="128" t="s">
        <v>133</v>
      </c>
      <c r="B188" s="147">
        <v>27000.0</v>
      </c>
      <c r="C188" s="147">
        <v>32500.0</v>
      </c>
      <c r="D188" s="132">
        <f t="shared" si="66"/>
        <v>5500</v>
      </c>
      <c r="E188" s="139"/>
      <c r="F188" s="127" t="s">
        <v>141</v>
      </c>
      <c r="G188" s="123">
        <v>22092.0</v>
      </c>
      <c r="H188" s="128">
        <v>2713.0</v>
      </c>
      <c r="I188" s="128">
        <v>2300.0</v>
      </c>
      <c r="J188" s="128">
        <v>1771.0</v>
      </c>
      <c r="K188" s="128">
        <v>-1845.0</v>
      </c>
      <c r="L188" s="129">
        <f t="shared" si="67"/>
        <v>27031</v>
      </c>
      <c r="M188" s="169">
        <f>L188*1.2</f>
        <v>32437.2</v>
      </c>
      <c r="N188" s="170">
        <f t="shared" si="68"/>
        <v>5406.2</v>
      </c>
      <c r="O188" s="170">
        <f t="shared" si="69"/>
        <v>20</v>
      </c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</row>
    <row r="189" hidden="1">
      <c r="A189" s="143"/>
      <c r="B189" s="139"/>
      <c r="C189" s="139"/>
      <c r="D189" s="13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</row>
    <row r="190">
      <c r="A190" s="122" t="s">
        <v>57</v>
      </c>
      <c r="B190" s="133">
        <f t="shared" ref="B190:D190" si="70">SUM(B176:B189)</f>
        <v>137030</v>
      </c>
      <c r="C190" s="133">
        <f t="shared" si="70"/>
        <v>160765</v>
      </c>
      <c r="D190" s="133">
        <f t="shared" si="70"/>
        <v>23735</v>
      </c>
      <c r="E190" s="135">
        <f>D190/(C190/100)</f>
        <v>14.76378565</v>
      </c>
    </row>
    <row r="191">
      <c r="A191" s="123"/>
      <c r="B191" s="124"/>
      <c r="C191" s="123"/>
      <c r="D191" s="123"/>
    </row>
    <row r="192">
      <c r="A192" s="154">
        <v>44136.0</v>
      </c>
      <c r="B192" s="124"/>
      <c r="C192" s="124"/>
      <c r="D192" s="124"/>
    </row>
    <row r="193" hidden="1">
      <c r="A193" s="150" t="s">
        <v>133</v>
      </c>
      <c r="B193" s="147">
        <v>25250.0</v>
      </c>
      <c r="C193" s="147">
        <v>32500.0</v>
      </c>
      <c r="D193" s="132">
        <f t="shared" ref="D193:D197" si="71">C193-B193</f>
        <v>7250</v>
      </c>
      <c r="E193" s="139"/>
      <c r="F193" s="127" t="s">
        <v>142</v>
      </c>
      <c r="G193" s="123">
        <v>18729.59</v>
      </c>
      <c r="H193" s="128">
        <v>2960.0</v>
      </c>
      <c r="I193" s="128">
        <v>2000.0</v>
      </c>
      <c r="J193" s="128">
        <v>1540.0</v>
      </c>
      <c r="K193" s="129"/>
      <c r="L193" s="129">
        <f t="shared" ref="L193:L194" si="72">SUM(G193:K193)</f>
        <v>25229.59</v>
      </c>
      <c r="M193" s="128">
        <f t="shared" ref="M193:M194" si="73">L193+7500</f>
        <v>32729.59</v>
      </c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</row>
    <row r="194" hidden="1">
      <c r="A194" s="128" t="s">
        <v>133</v>
      </c>
      <c r="B194" s="147">
        <v>25250.0</v>
      </c>
      <c r="C194" s="147">
        <v>32271.0</v>
      </c>
      <c r="D194" s="132">
        <f t="shared" si="71"/>
        <v>7021</v>
      </c>
      <c r="E194" s="139"/>
      <c r="F194" s="127" t="s">
        <v>142</v>
      </c>
      <c r="G194" s="123">
        <v>18791.59</v>
      </c>
      <c r="H194" s="128">
        <v>2939.92</v>
      </c>
      <c r="I194" s="128">
        <v>2000.0</v>
      </c>
      <c r="J194" s="128">
        <v>1540.0</v>
      </c>
      <c r="K194" s="129"/>
      <c r="L194" s="129">
        <f t="shared" si="72"/>
        <v>25271.51</v>
      </c>
      <c r="M194" s="128">
        <f t="shared" si="73"/>
        <v>32771.51</v>
      </c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</row>
    <row r="195" hidden="1">
      <c r="A195" s="123" t="s">
        <v>131</v>
      </c>
      <c r="B195" s="124">
        <v>2250.0</v>
      </c>
      <c r="C195" s="124">
        <v>2880.0</v>
      </c>
      <c r="D195" s="132">
        <f t="shared" si="71"/>
        <v>630</v>
      </c>
    </row>
    <row r="196" hidden="1">
      <c r="A196" s="128" t="s">
        <v>143</v>
      </c>
      <c r="B196" s="124">
        <v>290.0</v>
      </c>
      <c r="C196" s="124">
        <v>490.0</v>
      </c>
      <c r="D196" s="132">
        <f t="shared" si="71"/>
        <v>200</v>
      </c>
      <c r="E196" s="132"/>
      <c r="F196" s="13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</row>
    <row r="197" hidden="1">
      <c r="A197" s="123" t="s">
        <v>117</v>
      </c>
      <c r="B197" s="124">
        <v>16990.0</v>
      </c>
      <c r="C197" s="124">
        <v>18990.0</v>
      </c>
      <c r="D197" s="132">
        <f t="shared" si="71"/>
        <v>2000</v>
      </c>
    </row>
    <row r="198" hidden="1"/>
    <row r="199">
      <c r="A199" s="122" t="s">
        <v>57</v>
      </c>
      <c r="B199" s="133">
        <f t="shared" ref="B199:D199" si="74">SUM(B192:B198)</f>
        <v>70030</v>
      </c>
      <c r="C199" s="133">
        <f t="shared" si="74"/>
        <v>87131</v>
      </c>
      <c r="D199" s="133">
        <f t="shared" si="74"/>
        <v>17101</v>
      </c>
      <c r="E199" s="135">
        <f>D199/(C199/100)</f>
        <v>19.62676889</v>
      </c>
    </row>
    <row r="201">
      <c r="A201" s="119" t="s">
        <v>144</v>
      </c>
      <c r="B201" s="173">
        <f t="shared" ref="B201:D201" si="75">SUM(B190,B199)</f>
        <v>207060</v>
      </c>
      <c r="C201" s="173">
        <f t="shared" si="75"/>
        <v>247896</v>
      </c>
      <c r="D201" s="173">
        <f t="shared" si="75"/>
        <v>40836</v>
      </c>
      <c r="E201" s="120">
        <f>D201/(C201/100)</f>
        <v>16.47303708</v>
      </c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</row>
    <row r="203">
      <c r="A203" s="176" t="s">
        <v>42</v>
      </c>
      <c r="B203" s="177" t="s">
        <v>145</v>
      </c>
      <c r="C203" s="177" t="s">
        <v>146</v>
      </c>
      <c r="D203" s="177" t="s">
        <v>147</v>
      </c>
      <c r="E203" s="177" t="s">
        <v>148</v>
      </c>
      <c r="F203" s="177" t="s">
        <v>149</v>
      </c>
      <c r="G203" s="177" t="s">
        <v>150</v>
      </c>
      <c r="H203" s="177" t="s">
        <v>151</v>
      </c>
      <c r="I203" s="177" t="s">
        <v>152</v>
      </c>
      <c r="J203" s="178" t="s">
        <v>153</v>
      </c>
      <c r="K203" s="178" t="s">
        <v>154</v>
      </c>
      <c r="L203" s="178" t="s">
        <v>155</v>
      </c>
      <c r="M203" s="178" t="s">
        <v>156</v>
      </c>
      <c r="N203" s="178" t="s">
        <v>145</v>
      </c>
      <c r="O203" s="178" t="s">
        <v>146</v>
      </c>
      <c r="P203" s="130"/>
      <c r="Q203" s="130"/>
      <c r="R203" s="130"/>
      <c r="S203" s="130"/>
      <c r="T203" s="130"/>
    </row>
    <row r="204">
      <c r="A204" s="179" t="s">
        <v>157</v>
      </c>
      <c r="B204" s="180">
        <v>136470.0</v>
      </c>
      <c r="C204" s="180">
        <v>48460.0</v>
      </c>
      <c r="D204" s="180">
        <v>25000.0</v>
      </c>
      <c r="E204" s="180">
        <v>23730.0</v>
      </c>
      <c r="F204" s="180">
        <v>3640.0</v>
      </c>
      <c r="G204" s="180">
        <f t="shared" ref="G204:O204" si="76">G205*1.25</f>
        <v>289395</v>
      </c>
      <c r="H204" s="180">
        <f t="shared" si="76"/>
        <v>402366.25</v>
      </c>
      <c r="I204" s="180">
        <f t="shared" si="76"/>
        <v>112500</v>
      </c>
      <c r="J204" s="181">
        <f t="shared" si="76"/>
        <v>118125</v>
      </c>
      <c r="K204" s="181">
        <f t="shared" si="76"/>
        <v>124031.25</v>
      </c>
      <c r="L204" s="181">
        <f t="shared" si="76"/>
        <v>130232.8125</v>
      </c>
      <c r="M204" s="181">
        <f t="shared" si="76"/>
        <v>136744.4531</v>
      </c>
      <c r="N204" s="181">
        <f t="shared" si="76"/>
        <v>143581.6758</v>
      </c>
      <c r="O204" s="181">
        <f t="shared" si="76"/>
        <v>150760.7596</v>
      </c>
      <c r="P204" s="181"/>
      <c r="Q204" s="181"/>
      <c r="R204" s="181"/>
      <c r="S204" s="181"/>
      <c r="T204" s="181"/>
      <c r="U204" s="121"/>
      <c r="V204" s="121"/>
      <c r="W204" s="121"/>
      <c r="X204" s="121"/>
      <c r="Y204" s="121"/>
      <c r="Z204" s="121"/>
      <c r="AA204" s="121"/>
      <c r="AB204" s="121"/>
    </row>
    <row r="205">
      <c r="A205" s="123" t="s">
        <v>158</v>
      </c>
      <c r="B205" s="180">
        <v>87131.0</v>
      </c>
      <c r="C205" s="180">
        <v>160765.0</v>
      </c>
      <c r="D205" s="180">
        <v>4160.0</v>
      </c>
      <c r="E205" s="180">
        <v>45838.0</v>
      </c>
      <c r="F205" s="180">
        <v>182000.0</v>
      </c>
      <c r="G205" s="180">
        <v>231516.0</v>
      </c>
      <c r="H205" s="180">
        <v>321893.0</v>
      </c>
      <c r="I205" s="180">
        <v>90000.0</v>
      </c>
      <c r="J205" s="140">
        <f t="shared" ref="J205:O205" si="77">I205*1.05</f>
        <v>94500</v>
      </c>
      <c r="K205" s="140">
        <f t="shared" si="77"/>
        <v>99225</v>
      </c>
      <c r="L205" s="140">
        <f t="shared" si="77"/>
        <v>104186.25</v>
      </c>
      <c r="M205" s="140">
        <f t="shared" si="77"/>
        <v>109395.5625</v>
      </c>
      <c r="N205" s="140">
        <f t="shared" si="77"/>
        <v>114865.3406</v>
      </c>
      <c r="O205" s="140">
        <f t="shared" si="77"/>
        <v>120608.6077</v>
      </c>
      <c r="P205" s="140"/>
      <c r="Q205" s="140"/>
      <c r="R205" s="140"/>
      <c r="S205" s="140"/>
      <c r="T205" s="140"/>
    </row>
    <row r="206">
      <c r="A206" s="182" t="s">
        <v>159</v>
      </c>
      <c r="B206" s="183">
        <v>70030.0</v>
      </c>
      <c r="C206" s="183">
        <v>137030.0</v>
      </c>
      <c r="D206" s="183">
        <v>2910.0</v>
      </c>
      <c r="E206" s="183">
        <v>16460.0</v>
      </c>
      <c r="F206" s="183">
        <v>174000.0</v>
      </c>
      <c r="G206" s="183">
        <v>211200.0</v>
      </c>
      <c r="H206" s="183">
        <v>304500.0</v>
      </c>
      <c r="I206" s="183">
        <v>78000.0</v>
      </c>
      <c r="J206" s="184">
        <f t="shared" ref="J206:O206" si="78">J205*0.9</f>
        <v>85050</v>
      </c>
      <c r="K206" s="184">
        <f t="shared" si="78"/>
        <v>89302.5</v>
      </c>
      <c r="L206" s="184">
        <f t="shared" si="78"/>
        <v>93767.625</v>
      </c>
      <c r="M206" s="184">
        <f t="shared" si="78"/>
        <v>98456.00625</v>
      </c>
      <c r="N206" s="184">
        <f t="shared" si="78"/>
        <v>103378.8066</v>
      </c>
      <c r="O206" s="184">
        <f t="shared" si="78"/>
        <v>108547.7469</v>
      </c>
      <c r="P206" s="185"/>
      <c r="Q206" s="185"/>
      <c r="R206" s="185"/>
      <c r="S206" s="185"/>
      <c r="T206" s="185"/>
    </row>
    <row r="207">
      <c r="A207" s="186" t="s">
        <v>160</v>
      </c>
      <c r="B207" s="187">
        <f t="shared" ref="B207:O207" si="79">(B205)-(B206)</f>
        <v>17101</v>
      </c>
      <c r="C207" s="187">
        <f t="shared" si="79"/>
        <v>23735</v>
      </c>
      <c r="D207" s="187">
        <f t="shared" si="79"/>
        <v>1250</v>
      </c>
      <c r="E207" s="187">
        <f t="shared" si="79"/>
        <v>29378</v>
      </c>
      <c r="F207" s="187">
        <f t="shared" si="79"/>
        <v>8000</v>
      </c>
      <c r="G207" s="187">
        <f t="shared" si="79"/>
        <v>20316</v>
      </c>
      <c r="H207" s="187">
        <f t="shared" si="79"/>
        <v>17393</v>
      </c>
      <c r="I207" s="187">
        <f t="shared" si="79"/>
        <v>12000</v>
      </c>
      <c r="J207" s="188">
        <f t="shared" si="79"/>
        <v>9450</v>
      </c>
      <c r="K207" s="188">
        <f t="shared" si="79"/>
        <v>9922.5</v>
      </c>
      <c r="L207" s="188">
        <f t="shared" si="79"/>
        <v>10418.625</v>
      </c>
      <c r="M207" s="188">
        <f t="shared" si="79"/>
        <v>10939.55625</v>
      </c>
      <c r="N207" s="188">
        <f t="shared" si="79"/>
        <v>11486.53406</v>
      </c>
      <c r="O207" s="188">
        <f t="shared" si="79"/>
        <v>12060.86077</v>
      </c>
      <c r="P207" s="189"/>
      <c r="Q207" s="189"/>
      <c r="R207" s="189"/>
      <c r="S207" s="189"/>
      <c r="T207" s="189"/>
    </row>
    <row r="208">
      <c r="A208" s="190" t="s">
        <v>161</v>
      </c>
      <c r="B208" s="191">
        <f t="shared" ref="B208:F208" si="80">B209/30</f>
        <v>0.1666666667</v>
      </c>
      <c r="C208" s="191">
        <f t="shared" si="80"/>
        <v>0.4</v>
      </c>
      <c r="D208" s="191">
        <f t="shared" si="80"/>
        <v>0.1333333333</v>
      </c>
      <c r="E208" s="191">
        <f t="shared" si="80"/>
        <v>0.1666666667</v>
      </c>
      <c r="F208" s="191">
        <f t="shared" si="80"/>
        <v>0.3333333333</v>
      </c>
      <c r="G208" s="191"/>
      <c r="H208" s="191"/>
      <c r="I208" s="191"/>
      <c r="J208" s="192">
        <f t="shared" ref="J208:O208" si="81">J209/30</f>
        <v>1.575</v>
      </c>
      <c r="K208" s="192">
        <f t="shared" si="81"/>
        <v>1.65375</v>
      </c>
      <c r="L208" s="192">
        <f t="shared" si="81"/>
        <v>1.7364375</v>
      </c>
      <c r="M208" s="192">
        <f t="shared" si="81"/>
        <v>1.823259375</v>
      </c>
      <c r="N208" s="192">
        <f t="shared" si="81"/>
        <v>1.914422344</v>
      </c>
      <c r="O208" s="192">
        <f t="shared" si="81"/>
        <v>2.010143461</v>
      </c>
      <c r="P208" s="193"/>
      <c r="Q208" s="193"/>
      <c r="R208" s="193"/>
      <c r="S208" s="193"/>
      <c r="T208" s="193"/>
      <c r="U208" s="121"/>
      <c r="V208" s="121"/>
      <c r="W208" s="121"/>
      <c r="X208" s="121"/>
      <c r="Y208" s="121"/>
      <c r="Z208" s="121"/>
      <c r="AA208" s="121"/>
      <c r="AB208" s="121"/>
    </row>
    <row r="209">
      <c r="A209" s="194" t="s">
        <v>162</v>
      </c>
      <c r="B209" s="195">
        <v>5.0</v>
      </c>
      <c r="C209" s="195">
        <v>12.0</v>
      </c>
      <c r="D209" s="195">
        <v>4.0</v>
      </c>
      <c r="E209" s="195">
        <v>5.0</v>
      </c>
      <c r="F209" s="195">
        <v>10.0</v>
      </c>
      <c r="G209" s="195">
        <v>12.0</v>
      </c>
      <c r="H209" s="195">
        <v>20.0</v>
      </c>
      <c r="I209" s="195">
        <v>2.0</v>
      </c>
      <c r="J209" s="194">
        <f t="shared" ref="J209:O209" si="82">J205/J211</f>
        <v>47.25</v>
      </c>
      <c r="K209" s="194">
        <f t="shared" si="82"/>
        <v>49.6125</v>
      </c>
      <c r="L209" s="194">
        <f t="shared" si="82"/>
        <v>52.093125</v>
      </c>
      <c r="M209" s="194">
        <f t="shared" si="82"/>
        <v>54.69778125</v>
      </c>
      <c r="N209" s="194">
        <f t="shared" si="82"/>
        <v>57.43267031</v>
      </c>
      <c r="O209" s="194">
        <f t="shared" si="82"/>
        <v>60.30430383</v>
      </c>
      <c r="P209" s="196"/>
      <c r="Q209" s="196"/>
      <c r="R209" s="196"/>
      <c r="S209" s="196"/>
      <c r="T209" s="196"/>
    </row>
    <row r="210" ht="12.0" customHeight="1">
      <c r="A210" s="160" t="s">
        <v>163</v>
      </c>
      <c r="B210" s="197">
        <v>2.0</v>
      </c>
      <c r="C210" s="197">
        <v>2.0</v>
      </c>
      <c r="D210" s="197">
        <v>2.0</v>
      </c>
      <c r="E210" s="197">
        <v>2.0</v>
      </c>
      <c r="F210" s="197">
        <v>2.0</v>
      </c>
      <c r="G210" s="197">
        <v>2.0</v>
      </c>
      <c r="H210" s="197">
        <v>2.0</v>
      </c>
      <c r="I210" s="197">
        <v>2.0</v>
      </c>
      <c r="J210" s="196">
        <v>2.0</v>
      </c>
      <c r="K210" s="196">
        <v>2.0</v>
      </c>
      <c r="L210" s="196">
        <v>2.0</v>
      </c>
      <c r="M210" s="196">
        <v>2.0</v>
      </c>
      <c r="N210" s="196">
        <v>2.0</v>
      </c>
      <c r="O210" s="196">
        <v>2.0</v>
      </c>
      <c r="P210" s="196"/>
      <c r="Q210" s="196"/>
      <c r="R210" s="196"/>
      <c r="S210" s="196"/>
      <c r="T210" s="196"/>
    </row>
    <row r="211" ht="12.0" customHeight="1">
      <c r="A211" s="160" t="s">
        <v>164</v>
      </c>
      <c r="B211" s="197">
        <v>2000.0</v>
      </c>
      <c r="C211" s="197">
        <v>2000.0</v>
      </c>
      <c r="D211" s="197">
        <v>2000.0</v>
      </c>
      <c r="E211" s="197">
        <v>2000.0</v>
      </c>
      <c r="F211" s="197">
        <v>2000.0</v>
      </c>
      <c r="G211" s="197">
        <v>2000.0</v>
      </c>
      <c r="H211" s="197">
        <v>2000.0</v>
      </c>
      <c r="I211" s="197">
        <v>2000.0</v>
      </c>
      <c r="J211" s="196">
        <v>2000.0</v>
      </c>
      <c r="K211" s="196">
        <v>2000.0</v>
      </c>
      <c r="L211" s="196">
        <v>2000.0</v>
      </c>
      <c r="M211" s="196">
        <v>2000.0</v>
      </c>
      <c r="N211" s="196">
        <v>2000.0</v>
      </c>
      <c r="O211" s="196">
        <v>2000.0</v>
      </c>
      <c r="P211" s="196"/>
      <c r="Q211" s="196"/>
      <c r="R211" s="196"/>
      <c r="S211" s="196"/>
      <c r="T211" s="196"/>
    </row>
    <row r="212">
      <c r="A212" s="190" t="s">
        <v>165</v>
      </c>
      <c r="B212" s="195"/>
      <c r="C212" s="195"/>
      <c r="D212" s="195">
        <f t="shared" ref="D212:O212" si="83">D213/30</f>
        <v>80</v>
      </c>
      <c r="E212" s="195">
        <f t="shared" si="83"/>
        <v>80</v>
      </c>
      <c r="F212" s="195">
        <f t="shared" si="83"/>
        <v>80</v>
      </c>
      <c r="G212" s="195">
        <f t="shared" si="83"/>
        <v>80</v>
      </c>
      <c r="H212" s="195">
        <f t="shared" si="83"/>
        <v>80</v>
      </c>
      <c r="I212" s="195">
        <f t="shared" si="83"/>
        <v>80</v>
      </c>
      <c r="J212" s="190">
        <f t="shared" si="83"/>
        <v>78.75</v>
      </c>
      <c r="K212" s="190">
        <f t="shared" si="83"/>
        <v>82.6875</v>
      </c>
      <c r="L212" s="190">
        <f t="shared" si="83"/>
        <v>86.821875</v>
      </c>
      <c r="M212" s="190">
        <f t="shared" si="83"/>
        <v>91.16296875</v>
      </c>
      <c r="N212" s="190">
        <f t="shared" si="83"/>
        <v>95.72111719</v>
      </c>
      <c r="O212" s="190">
        <f t="shared" si="83"/>
        <v>100.507173</v>
      </c>
      <c r="P212" s="193"/>
      <c r="Q212" s="193"/>
      <c r="R212" s="193"/>
      <c r="S212" s="193"/>
      <c r="T212" s="193"/>
      <c r="U212" s="121"/>
      <c r="V212" s="121"/>
      <c r="W212" s="121"/>
      <c r="X212" s="121"/>
      <c r="Y212" s="121"/>
      <c r="Z212" s="121"/>
      <c r="AA212" s="121"/>
      <c r="AB212" s="121"/>
    </row>
    <row r="213">
      <c r="A213" s="194" t="s">
        <v>166</v>
      </c>
      <c r="B213" s="195">
        <v>2000.0</v>
      </c>
      <c r="C213" s="195">
        <v>2400.0</v>
      </c>
      <c r="D213" s="195">
        <v>2400.0</v>
      </c>
      <c r="E213" s="195">
        <v>2400.0</v>
      </c>
      <c r="F213" s="195">
        <v>2400.0</v>
      </c>
      <c r="G213" s="195">
        <v>2400.0</v>
      </c>
      <c r="H213" s="195">
        <v>2400.0</v>
      </c>
      <c r="I213" s="195">
        <v>2400.0</v>
      </c>
      <c r="J213" s="194">
        <f t="shared" ref="J213:O213" si="84">(J209*(100/J210))</f>
        <v>2362.5</v>
      </c>
      <c r="K213" s="194">
        <f t="shared" si="84"/>
        <v>2480.625</v>
      </c>
      <c r="L213" s="194">
        <f t="shared" si="84"/>
        <v>2604.65625</v>
      </c>
      <c r="M213" s="194">
        <f t="shared" si="84"/>
        <v>2734.889063</v>
      </c>
      <c r="N213" s="194">
        <f t="shared" si="84"/>
        <v>2871.633516</v>
      </c>
      <c r="O213" s="194">
        <f t="shared" si="84"/>
        <v>3015.215191</v>
      </c>
      <c r="P213" s="196"/>
      <c r="Q213" s="196"/>
      <c r="R213" s="196"/>
      <c r="S213" s="196"/>
      <c r="T213" s="196"/>
    </row>
    <row r="214">
      <c r="A214" s="194" t="s">
        <v>167</v>
      </c>
      <c r="B214" s="195">
        <v>2000.0</v>
      </c>
      <c r="C214" s="195">
        <v>2400.0</v>
      </c>
      <c r="D214" s="195">
        <v>2400.0</v>
      </c>
      <c r="E214" s="195">
        <v>2400.0</v>
      </c>
      <c r="F214" s="195">
        <v>2400.0</v>
      </c>
      <c r="G214" s="195">
        <v>2400.0</v>
      </c>
      <c r="H214" s="195">
        <v>2400.0</v>
      </c>
      <c r="I214" s="195">
        <v>2400.0</v>
      </c>
      <c r="J214" s="194">
        <f t="shared" ref="J214:O214" si="85">J213*1.1</f>
        <v>2598.75</v>
      </c>
      <c r="K214" s="194">
        <f t="shared" si="85"/>
        <v>2728.6875</v>
      </c>
      <c r="L214" s="194">
        <f t="shared" si="85"/>
        <v>2865.121875</v>
      </c>
      <c r="M214" s="194">
        <f t="shared" si="85"/>
        <v>3008.377969</v>
      </c>
      <c r="N214" s="194">
        <f t="shared" si="85"/>
        <v>3158.796867</v>
      </c>
      <c r="O214" s="194">
        <f t="shared" si="85"/>
        <v>3316.736711</v>
      </c>
      <c r="P214" s="196"/>
      <c r="Q214" s="196"/>
      <c r="R214" s="196"/>
      <c r="S214" s="196"/>
      <c r="T214" s="196"/>
    </row>
    <row r="215">
      <c r="A215" s="182" t="s">
        <v>168</v>
      </c>
      <c r="B215" s="183">
        <v>4000.0</v>
      </c>
      <c r="C215" s="183">
        <v>0.0</v>
      </c>
      <c r="D215" s="183">
        <f t="shared" ref="D215:O215" si="86">(D214-C214)*10</f>
        <v>0</v>
      </c>
      <c r="E215" s="183">
        <f t="shared" si="86"/>
        <v>0</v>
      </c>
      <c r="F215" s="183">
        <f t="shared" si="86"/>
        <v>0</v>
      </c>
      <c r="G215" s="183">
        <f t="shared" si="86"/>
        <v>0</v>
      </c>
      <c r="H215" s="183">
        <f t="shared" si="86"/>
        <v>0</v>
      </c>
      <c r="I215" s="183">
        <f t="shared" si="86"/>
        <v>0</v>
      </c>
      <c r="J215" s="184">
        <f t="shared" si="86"/>
        <v>1987.5</v>
      </c>
      <c r="K215" s="184">
        <f t="shared" si="86"/>
        <v>1299.375</v>
      </c>
      <c r="L215" s="184">
        <f t="shared" si="86"/>
        <v>1364.34375</v>
      </c>
      <c r="M215" s="184">
        <f t="shared" si="86"/>
        <v>1432.560938</v>
      </c>
      <c r="N215" s="184">
        <f t="shared" si="86"/>
        <v>1504.188984</v>
      </c>
      <c r="O215" s="184">
        <f t="shared" si="86"/>
        <v>1579.398434</v>
      </c>
      <c r="P215" s="185"/>
      <c r="Q215" s="185"/>
      <c r="R215" s="185"/>
      <c r="S215" s="185"/>
      <c r="T215" s="185"/>
    </row>
    <row r="216">
      <c r="A216" s="122" t="s">
        <v>169</v>
      </c>
      <c r="B216" s="198">
        <f>(B207)-(B215)</f>
        <v>13101</v>
      </c>
      <c r="C216" s="198">
        <f t="shared" ref="C216:O216" si="87">(B216)+((C207)-(C215))</f>
        <v>36836</v>
      </c>
      <c r="D216" s="198">
        <f t="shared" si="87"/>
        <v>38086</v>
      </c>
      <c r="E216" s="198">
        <f t="shared" si="87"/>
        <v>67464</v>
      </c>
      <c r="F216" s="198">
        <f t="shared" si="87"/>
        <v>75464</v>
      </c>
      <c r="G216" s="198">
        <f t="shared" si="87"/>
        <v>95780</v>
      </c>
      <c r="H216" s="198">
        <f t="shared" si="87"/>
        <v>113173</v>
      </c>
      <c r="I216" s="198">
        <f t="shared" si="87"/>
        <v>125173</v>
      </c>
      <c r="J216" s="199">
        <f t="shared" si="87"/>
        <v>132635.5</v>
      </c>
      <c r="K216" s="199">
        <f t="shared" si="87"/>
        <v>141258.625</v>
      </c>
      <c r="L216" s="199">
        <f t="shared" si="87"/>
        <v>150312.9063</v>
      </c>
      <c r="M216" s="199">
        <f t="shared" si="87"/>
        <v>159819.9016</v>
      </c>
      <c r="N216" s="199">
        <f t="shared" si="87"/>
        <v>169802.2466</v>
      </c>
      <c r="O216" s="199">
        <f t="shared" si="87"/>
        <v>180283.709</v>
      </c>
      <c r="P216" s="199"/>
      <c r="Q216" s="199"/>
      <c r="R216" s="199"/>
      <c r="S216" s="199"/>
      <c r="T216" s="199"/>
    </row>
    <row r="218">
      <c r="A218" s="200" t="s">
        <v>170</v>
      </c>
    </row>
    <row r="220">
      <c r="A220" s="122" t="s">
        <v>171</v>
      </c>
    </row>
    <row r="221">
      <c r="A221" s="123" t="s">
        <v>172</v>
      </c>
    </row>
    <row r="222">
      <c r="A222" s="123" t="s">
        <v>173</v>
      </c>
    </row>
    <row r="223">
      <c r="A223" s="123" t="s">
        <v>174</v>
      </c>
    </row>
    <row r="224">
      <c r="A224" s="123"/>
    </row>
    <row r="225">
      <c r="A225" s="123" t="s">
        <v>175</v>
      </c>
    </row>
    <row r="226">
      <c r="A226" s="123" t="s">
        <v>176</v>
      </c>
    </row>
    <row r="227">
      <c r="A227" s="123" t="s">
        <v>177</v>
      </c>
    </row>
    <row r="228">
      <c r="A228" s="123" t="s">
        <v>178</v>
      </c>
    </row>
    <row r="229">
      <c r="A229" s="123" t="s">
        <v>179</v>
      </c>
    </row>
    <row r="230">
      <c r="A230" s="123" t="s">
        <v>180</v>
      </c>
    </row>
  </sheetData>
  <hyperlinks>
    <hyperlink r:id="rId1" ref="A218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87.63"/>
    <col customWidth="1" min="2" max="5" width="12.63"/>
    <col customWidth="1" min="6" max="6" width="25.13"/>
  </cols>
  <sheetData>
    <row r="1">
      <c r="A1" s="118" t="s">
        <v>37</v>
      </c>
      <c r="B1" s="118" t="s">
        <v>38</v>
      </c>
      <c r="C1" s="118" t="s">
        <v>39</v>
      </c>
      <c r="D1" s="118" t="s">
        <v>40</v>
      </c>
      <c r="E1" s="118" t="s">
        <v>41</v>
      </c>
      <c r="F1" s="118"/>
    </row>
    <row r="2">
      <c r="A2" s="119" t="s">
        <v>181</v>
      </c>
      <c r="B2" s="173">
        <f t="shared" ref="B2:D2" si="1">SUM(B3,B68,B99,B104,B112,B133,B141)</f>
        <v>537460</v>
      </c>
      <c r="C2" s="173">
        <f t="shared" si="1"/>
        <v>340240</v>
      </c>
      <c r="D2" s="173">
        <f t="shared" si="1"/>
        <v>-197220</v>
      </c>
      <c r="E2" s="120">
        <f t="shared" ref="E2:E3" si="3">D2/(B2/100)</f>
        <v>-36.6948238</v>
      </c>
      <c r="F2" s="121"/>
      <c r="G2" s="201"/>
      <c r="H2" s="202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</row>
    <row r="3">
      <c r="A3" s="119" t="s">
        <v>182</v>
      </c>
      <c r="B3" s="203">
        <f t="shared" ref="B3:C3" si="2">SUM(B4:B67)</f>
        <v>268010</v>
      </c>
      <c r="C3" s="203">
        <f t="shared" si="2"/>
        <v>162740</v>
      </c>
      <c r="D3" s="204">
        <f>C3-B3</f>
        <v>-105270</v>
      </c>
      <c r="E3" s="120">
        <f t="shared" si="3"/>
        <v>-39.27838513</v>
      </c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</row>
    <row r="4">
      <c r="A4" s="205" t="s">
        <v>183</v>
      </c>
      <c r="B4" s="147"/>
      <c r="C4" s="147"/>
      <c r="D4" s="132"/>
      <c r="E4" s="139"/>
      <c r="F4" s="127"/>
      <c r="G4" s="129"/>
      <c r="H4" s="206"/>
      <c r="I4" s="128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</row>
    <row r="5">
      <c r="A5" s="128" t="s">
        <v>184</v>
      </c>
      <c r="B5" s="147">
        <v>4990.0</v>
      </c>
      <c r="C5" s="147">
        <v>2490.0</v>
      </c>
      <c r="D5" s="132">
        <f>C5-B5</f>
        <v>-2500</v>
      </c>
      <c r="E5" s="139"/>
      <c r="F5" s="127"/>
      <c r="G5" s="129"/>
      <c r="H5" s="206"/>
      <c r="I5" s="128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</row>
    <row r="6">
      <c r="A6" s="128"/>
      <c r="B6" s="147"/>
      <c r="C6" s="147"/>
      <c r="E6" s="139"/>
      <c r="F6" s="127"/>
      <c r="G6" s="129"/>
      <c r="H6" s="206"/>
      <c r="I6" s="128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</row>
    <row r="7">
      <c r="A7" s="205" t="s">
        <v>185</v>
      </c>
      <c r="B7" s="147"/>
      <c r="C7" s="147"/>
      <c r="E7" s="139"/>
      <c r="F7" s="124"/>
      <c r="G7" s="129"/>
      <c r="H7" s="206"/>
      <c r="I7" s="128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</row>
    <row r="8">
      <c r="A8" s="123" t="s">
        <v>186</v>
      </c>
      <c r="B8" s="124">
        <v>73900.0</v>
      </c>
      <c r="C8" s="124">
        <v>19900.0</v>
      </c>
      <c r="D8" s="125">
        <f t="shared" ref="D8:D9" si="4">C8-B8</f>
        <v>-54000</v>
      </c>
      <c r="E8" s="124"/>
      <c r="F8" s="124"/>
      <c r="G8" s="129"/>
      <c r="H8" s="206"/>
    </row>
    <row r="9">
      <c r="A9" s="123" t="s">
        <v>187</v>
      </c>
      <c r="B9" s="124">
        <v>41900.0</v>
      </c>
      <c r="C9" s="124">
        <v>9900.0</v>
      </c>
      <c r="D9" s="125">
        <f t="shared" si="4"/>
        <v>-32000</v>
      </c>
      <c r="E9" s="139"/>
      <c r="F9" s="127"/>
      <c r="G9" s="129"/>
      <c r="H9" s="206"/>
      <c r="I9" s="128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</row>
    <row r="10">
      <c r="B10" s="124"/>
      <c r="C10" s="124"/>
      <c r="E10" s="139"/>
      <c r="F10" s="127"/>
      <c r="G10" s="129"/>
      <c r="H10" s="206"/>
      <c r="I10" s="128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</row>
    <row r="11">
      <c r="A11" s="205" t="s">
        <v>188</v>
      </c>
      <c r="B11" s="147"/>
      <c r="C11" s="147"/>
      <c r="E11" s="13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</row>
    <row r="12">
      <c r="A12" s="123" t="s">
        <v>189</v>
      </c>
      <c r="B12" s="124">
        <v>1490.0</v>
      </c>
      <c r="C12" s="124">
        <v>1490.0</v>
      </c>
      <c r="D12" s="125">
        <f t="shared" ref="D12:D13" si="5">C12-B12</f>
        <v>0</v>
      </c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</row>
    <row r="13">
      <c r="A13" s="128" t="s">
        <v>190</v>
      </c>
      <c r="B13" s="147">
        <v>1490.0</v>
      </c>
      <c r="C13" s="147">
        <v>1490.0</v>
      </c>
      <c r="D13" s="125">
        <f t="shared" si="5"/>
        <v>0</v>
      </c>
      <c r="E13" s="139"/>
      <c r="F13" s="13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</row>
    <row r="14">
      <c r="A14" s="128"/>
      <c r="B14" s="147"/>
      <c r="C14" s="147"/>
    </row>
    <row r="15">
      <c r="A15" s="205" t="s">
        <v>191</v>
      </c>
      <c r="B15" s="129"/>
      <c r="C15" s="129"/>
      <c r="D15" s="129"/>
      <c r="E15" s="139"/>
      <c r="F15" s="13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</row>
    <row r="16">
      <c r="A16" s="150"/>
      <c r="B16" s="132"/>
      <c r="C16" s="132"/>
      <c r="D16" s="132"/>
      <c r="E16" s="139"/>
      <c r="F16" s="13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</row>
    <row r="17">
      <c r="A17" s="122" t="s">
        <v>192</v>
      </c>
      <c r="B17" s="134"/>
      <c r="C17" s="134"/>
      <c r="D17" s="134"/>
      <c r="E17" s="139"/>
      <c r="F17" s="13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</row>
    <row r="18">
      <c r="A18" s="123" t="s">
        <v>193</v>
      </c>
      <c r="B18" s="124">
        <v>2490.0</v>
      </c>
      <c r="C18" s="124">
        <v>2490.0</v>
      </c>
      <c r="D18" s="125">
        <f t="shared" ref="D18:D19" si="6">C18-B18</f>
        <v>0</v>
      </c>
      <c r="E18" s="139"/>
      <c r="F18" s="13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</row>
    <row r="19">
      <c r="A19" s="128" t="s">
        <v>194</v>
      </c>
      <c r="B19" s="124">
        <v>1490.0</v>
      </c>
      <c r="C19" s="124">
        <v>1490.0</v>
      </c>
      <c r="D19" s="132">
        <f t="shared" si="6"/>
        <v>0</v>
      </c>
      <c r="E19" s="139"/>
      <c r="F19" s="13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</row>
    <row r="20">
      <c r="A20" s="128"/>
      <c r="B20" s="147"/>
      <c r="C20" s="147"/>
      <c r="D20" s="132"/>
      <c r="E20" s="139"/>
      <c r="F20" s="13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</row>
    <row r="21">
      <c r="A21" s="122" t="s">
        <v>195</v>
      </c>
      <c r="B21" s="147"/>
      <c r="C21" s="147"/>
      <c r="D21" s="132"/>
      <c r="E21" s="139"/>
      <c r="F21" s="13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29"/>
      <c r="AB21" s="129"/>
    </row>
    <row r="22">
      <c r="A22" s="128" t="s">
        <v>196</v>
      </c>
      <c r="B22" s="147">
        <v>14900.0</v>
      </c>
      <c r="C22" s="147">
        <v>19900.0</v>
      </c>
      <c r="D22" s="132">
        <f t="shared" ref="D22:D26" si="7">C22-B22</f>
        <v>5000</v>
      </c>
      <c r="E22" s="139"/>
      <c r="F22" s="127"/>
      <c r="H22" s="128"/>
      <c r="I22" s="128"/>
      <c r="J22" s="128"/>
      <c r="K22" s="129"/>
      <c r="L22" s="129"/>
      <c r="M22" s="128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  <c r="AA22" s="129"/>
      <c r="AB22" s="129"/>
    </row>
    <row r="23">
      <c r="A23" s="128" t="s">
        <v>197</v>
      </c>
      <c r="B23" s="147">
        <v>10900.0</v>
      </c>
      <c r="C23" s="147">
        <v>2990.0</v>
      </c>
      <c r="D23" s="132">
        <f t="shared" si="7"/>
        <v>-7910</v>
      </c>
      <c r="E23" s="139"/>
      <c r="F23" s="127"/>
      <c r="H23" s="128"/>
      <c r="I23" s="128"/>
      <c r="J23" s="128"/>
      <c r="K23" s="129"/>
      <c r="L23" s="129"/>
      <c r="M23" s="128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</row>
    <row r="24">
      <c r="A24" s="128" t="s">
        <v>198</v>
      </c>
      <c r="B24" s="147">
        <v>2990.0</v>
      </c>
      <c r="C24" s="147">
        <v>2990.0</v>
      </c>
      <c r="D24" s="132">
        <f t="shared" si="7"/>
        <v>0</v>
      </c>
      <c r="E24" s="139"/>
      <c r="F24" s="13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29"/>
      <c r="Y24" s="129"/>
      <c r="Z24" s="129"/>
      <c r="AA24" s="129"/>
      <c r="AB24" s="129"/>
    </row>
    <row r="25">
      <c r="A25" s="128" t="s">
        <v>199</v>
      </c>
      <c r="B25" s="207">
        <v>1590.0</v>
      </c>
      <c r="C25" s="207">
        <v>990.0</v>
      </c>
      <c r="D25" s="132">
        <f t="shared" si="7"/>
        <v>-600</v>
      </c>
      <c r="E25" s="147"/>
      <c r="F25" s="132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</row>
    <row r="26">
      <c r="A26" s="128" t="s">
        <v>200</v>
      </c>
      <c r="B26" s="207">
        <v>1290.0</v>
      </c>
      <c r="C26" s="207">
        <v>990.0</v>
      </c>
      <c r="D26" s="208">
        <f t="shared" si="7"/>
        <v>-300</v>
      </c>
      <c r="E26" s="147"/>
      <c r="F26" s="132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</row>
    <row r="27">
      <c r="A27" s="128"/>
      <c r="B27" s="147"/>
      <c r="C27" s="147"/>
      <c r="D27" s="132"/>
      <c r="E27" s="139"/>
      <c r="F27" s="13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</row>
    <row r="28">
      <c r="A28" s="205" t="s">
        <v>201</v>
      </c>
      <c r="B28" s="147"/>
      <c r="C28" s="147"/>
      <c r="D28" s="149"/>
      <c r="E28" s="132"/>
      <c r="F28" s="13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129"/>
      <c r="U28" s="129"/>
      <c r="V28" s="129"/>
      <c r="W28" s="129"/>
      <c r="X28" s="129"/>
      <c r="Y28" s="129"/>
      <c r="Z28" s="129"/>
      <c r="AA28" s="129"/>
      <c r="AB28" s="129"/>
    </row>
    <row r="29">
      <c r="A29" s="123" t="s">
        <v>202</v>
      </c>
      <c r="B29" s="124">
        <v>10900.0</v>
      </c>
      <c r="C29" s="124">
        <v>10900.0</v>
      </c>
      <c r="D29" s="125">
        <f t="shared" ref="D29:D37" si="8">C29-B29</f>
        <v>0</v>
      </c>
      <c r="E29" s="126"/>
      <c r="F29" s="124"/>
    </row>
    <row r="30">
      <c r="A30" s="123" t="s">
        <v>203</v>
      </c>
      <c r="B30" s="124">
        <v>10900.0</v>
      </c>
      <c r="C30" s="124">
        <v>10900.0</v>
      </c>
      <c r="D30" s="125">
        <f t="shared" si="8"/>
        <v>0</v>
      </c>
      <c r="E30" s="126"/>
      <c r="F30" s="124"/>
    </row>
    <row r="31">
      <c r="A31" s="123" t="s">
        <v>204</v>
      </c>
      <c r="B31" s="147">
        <v>9900.0</v>
      </c>
      <c r="C31" s="124">
        <v>9900.0</v>
      </c>
      <c r="D31" s="132">
        <f t="shared" si="8"/>
        <v>0</v>
      </c>
    </row>
    <row r="32">
      <c r="A32" s="128" t="s">
        <v>205</v>
      </c>
      <c r="B32" s="147">
        <v>5290.0</v>
      </c>
      <c r="C32" s="147">
        <v>6790.0</v>
      </c>
      <c r="D32" s="132">
        <f t="shared" si="8"/>
        <v>1500</v>
      </c>
      <c r="E32" s="139"/>
      <c r="F32" s="139"/>
      <c r="G32" s="129"/>
      <c r="H32" s="129"/>
      <c r="I32" s="129"/>
      <c r="J32" s="129"/>
      <c r="K32" s="129"/>
      <c r="L32" s="129"/>
      <c r="M32" s="129"/>
      <c r="N32" s="129"/>
      <c r="O32" s="129"/>
      <c r="P32" s="129"/>
      <c r="Q32" s="129"/>
      <c r="R32" s="129"/>
      <c r="S32" s="129"/>
      <c r="T32" s="129"/>
      <c r="U32" s="129"/>
      <c r="V32" s="129"/>
      <c r="W32" s="129"/>
      <c r="X32" s="129"/>
      <c r="Y32" s="129"/>
      <c r="Z32" s="129"/>
      <c r="AA32" s="129"/>
      <c r="AB32" s="129"/>
    </row>
    <row r="33">
      <c r="A33" s="123" t="s">
        <v>206</v>
      </c>
      <c r="B33" s="147">
        <v>4990.0</v>
      </c>
      <c r="C33" s="124">
        <v>2490.0</v>
      </c>
      <c r="D33" s="132">
        <f t="shared" si="8"/>
        <v>-2500</v>
      </c>
    </row>
    <row r="34">
      <c r="A34" s="128" t="s">
        <v>207</v>
      </c>
      <c r="B34" s="147">
        <v>2490.0</v>
      </c>
      <c r="C34" s="147">
        <v>2490.0</v>
      </c>
      <c r="D34" s="132">
        <f t="shared" si="8"/>
        <v>0</v>
      </c>
      <c r="E34" s="139"/>
      <c r="F34" s="139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</row>
    <row r="35">
      <c r="A35" s="128" t="s">
        <v>208</v>
      </c>
      <c r="B35" s="207">
        <v>2490.0</v>
      </c>
      <c r="C35" s="207">
        <v>2490.0</v>
      </c>
      <c r="D35" s="208">
        <f t="shared" si="8"/>
        <v>0</v>
      </c>
      <c r="E35" s="147"/>
      <c r="F35" s="132"/>
      <c r="G35" s="129"/>
      <c r="H35" s="129"/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</row>
    <row r="36">
      <c r="A36" s="123" t="s">
        <v>209</v>
      </c>
      <c r="B36" s="207">
        <v>1290.0</v>
      </c>
      <c r="C36" s="207">
        <v>1290.0</v>
      </c>
      <c r="D36" s="209">
        <f t="shared" si="8"/>
        <v>0</v>
      </c>
      <c r="E36" s="147"/>
      <c r="F36" s="124"/>
    </row>
    <row r="37">
      <c r="A37" s="123" t="s">
        <v>210</v>
      </c>
      <c r="B37" s="210">
        <v>790.0</v>
      </c>
      <c r="C37" s="210">
        <v>790.0</v>
      </c>
      <c r="D37" s="209">
        <f t="shared" si="8"/>
        <v>0</v>
      </c>
      <c r="E37" s="147"/>
      <c r="F37" s="124"/>
    </row>
    <row r="38">
      <c r="A38" s="205"/>
      <c r="B38" s="211"/>
      <c r="C38" s="211"/>
      <c r="D38" s="145"/>
      <c r="E38" s="212"/>
      <c r="F38" s="212"/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213"/>
      <c r="R38" s="213"/>
      <c r="S38" s="213"/>
      <c r="T38" s="213"/>
      <c r="U38" s="213"/>
      <c r="V38" s="213"/>
      <c r="W38" s="213"/>
      <c r="X38" s="213"/>
      <c r="Y38" s="213"/>
      <c r="Z38" s="213"/>
      <c r="AA38" s="213"/>
      <c r="AB38" s="213"/>
    </row>
    <row r="39">
      <c r="A39" s="122" t="s">
        <v>120</v>
      </c>
      <c r="B39" s="124"/>
      <c r="C39" s="124"/>
      <c r="E39" s="214"/>
      <c r="F39" s="21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  <c r="Z39" s="134"/>
      <c r="AA39" s="134"/>
      <c r="AB39" s="134"/>
    </row>
    <row r="40">
      <c r="A40" s="123" t="s">
        <v>211</v>
      </c>
      <c r="B40" s="124">
        <v>2490.0</v>
      </c>
      <c r="C40" s="124">
        <v>2490.0</v>
      </c>
      <c r="D40" s="125">
        <f>C40-B40</f>
        <v>0</v>
      </c>
    </row>
    <row r="41">
      <c r="A41" s="123"/>
      <c r="B41" s="124"/>
      <c r="C41" s="124"/>
    </row>
    <row r="42">
      <c r="A42" s="123" t="s">
        <v>212</v>
      </c>
      <c r="B42" s="124">
        <v>4990.0</v>
      </c>
      <c r="C42" s="124">
        <v>7490.0</v>
      </c>
      <c r="D42" s="125">
        <f t="shared" ref="D42:D48" si="9">C42-B42</f>
        <v>2500</v>
      </c>
    </row>
    <row r="43">
      <c r="A43" s="123" t="s">
        <v>213</v>
      </c>
      <c r="B43" s="124">
        <v>4990.0</v>
      </c>
      <c r="C43" s="124">
        <v>7490.0</v>
      </c>
      <c r="D43" s="125">
        <f t="shared" si="9"/>
        <v>2500</v>
      </c>
    </row>
    <row r="44">
      <c r="A44" s="123" t="s">
        <v>214</v>
      </c>
      <c r="B44" s="124">
        <v>4990.0</v>
      </c>
      <c r="C44" s="124">
        <v>4990.0</v>
      </c>
      <c r="D44" s="125">
        <f t="shared" si="9"/>
        <v>0</v>
      </c>
      <c r="E44" s="214"/>
      <c r="F44" s="21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134"/>
      <c r="Z44" s="134"/>
      <c r="AA44" s="134"/>
      <c r="AB44" s="134"/>
    </row>
    <row r="45">
      <c r="A45" s="123" t="s">
        <v>215</v>
      </c>
      <c r="B45" s="124">
        <v>1990.0</v>
      </c>
      <c r="C45" s="124">
        <v>1990.0</v>
      </c>
      <c r="D45" s="125">
        <f t="shared" si="9"/>
        <v>0</v>
      </c>
      <c r="E45" s="214"/>
      <c r="F45" s="21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4"/>
      <c r="AA45" s="134"/>
      <c r="AB45" s="134"/>
    </row>
    <row r="46">
      <c r="A46" s="128" t="s">
        <v>216</v>
      </c>
      <c r="B46" s="147">
        <v>1990.0</v>
      </c>
      <c r="C46" s="147">
        <v>1990.0</v>
      </c>
      <c r="D46" s="132">
        <f t="shared" si="9"/>
        <v>0</v>
      </c>
      <c r="E46" s="139"/>
      <c r="F46" s="13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  <c r="AA46" s="129"/>
      <c r="AB46" s="129"/>
    </row>
    <row r="47">
      <c r="A47" s="123" t="s">
        <v>217</v>
      </c>
      <c r="B47" s="124">
        <v>1490.0</v>
      </c>
      <c r="C47" s="124">
        <v>1990.0</v>
      </c>
      <c r="D47" s="125">
        <f t="shared" si="9"/>
        <v>500</v>
      </c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134"/>
      <c r="AA47" s="134"/>
      <c r="AB47" s="134"/>
    </row>
    <row r="48">
      <c r="A48" s="123" t="s">
        <v>218</v>
      </c>
      <c r="B48" s="123">
        <v>790.0</v>
      </c>
      <c r="C48" s="123">
        <v>790.0</v>
      </c>
      <c r="D48">
        <f t="shared" si="9"/>
        <v>0</v>
      </c>
    </row>
    <row r="49">
      <c r="A49" s="123"/>
      <c r="B49" s="124"/>
      <c r="C49" s="124"/>
    </row>
    <row r="50">
      <c r="A50" s="123" t="s">
        <v>219</v>
      </c>
      <c r="B50" s="124">
        <v>5990.0</v>
      </c>
      <c r="C50" s="124">
        <v>2990.0</v>
      </c>
      <c r="D50" s="125">
        <f t="shared" ref="D50:D66" si="10">C50-B50</f>
        <v>-3000</v>
      </c>
      <c r="E50" s="126"/>
      <c r="F50" s="124"/>
    </row>
    <row r="51">
      <c r="A51" s="123" t="s">
        <v>220</v>
      </c>
      <c r="B51" s="124">
        <v>990.0</v>
      </c>
      <c r="C51" s="124">
        <v>990.0</v>
      </c>
      <c r="D51" s="125">
        <f t="shared" si="10"/>
        <v>0</v>
      </c>
    </row>
    <row r="52">
      <c r="A52" s="123" t="s">
        <v>221</v>
      </c>
      <c r="B52" s="124">
        <v>490.0</v>
      </c>
      <c r="C52" s="124">
        <v>490.0</v>
      </c>
      <c r="D52" s="125">
        <f t="shared" si="10"/>
        <v>0</v>
      </c>
    </row>
    <row r="53">
      <c r="A53" s="123" t="s">
        <v>221</v>
      </c>
      <c r="B53" s="124">
        <v>490.0</v>
      </c>
      <c r="C53" s="124">
        <v>490.0</v>
      </c>
      <c r="D53" s="125">
        <f t="shared" si="10"/>
        <v>0</v>
      </c>
    </row>
    <row r="54">
      <c r="A54" s="123" t="s">
        <v>221</v>
      </c>
      <c r="B54" s="124">
        <v>490.0</v>
      </c>
      <c r="C54" s="124">
        <v>490.0</v>
      </c>
      <c r="D54" s="125">
        <f t="shared" si="10"/>
        <v>0</v>
      </c>
    </row>
    <row r="55">
      <c r="A55" s="123" t="s">
        <v>221</v>
      </c>
      <c r="B55" s="124">
        <v>490.0</v>
      </c>
      <c r="C55" s="124">
        <v>490.0</v>
      </c>
      <c r="D55" s="125">
        <f t="shared" si="10"/>
        <v>0</v>
      </c>
    </row>
    <row r="56">
      <c r="A56" s="123" t="s">
        <v>221</v>
      </c>
      <c r="B56" s="124">
        <v>490.0</v>
      </c>
      <c r="C56" s="124">
        <v>490.0</v>
      </c>
      <c r="D56" s="125">
        <f t="shared" si="10"/>
        <v>0</v>
      </c>
    </row>
    <row r="57">
      <c r="A57" s="123" t="s">
        <v>222</v>
      </c>
      <c r="B57" s="124">
        <v>5990.0</v>
      </c>
      <c r="C57" s="124">
        <v>2990.0</v>
      </c>
      <c r="D57" s="125">
        <f t="shared" si="10"/>
        <v>-3000</v>
      </c>
      <c r="E57" s="126"/>
      <c r="F57" s="124"/>
    </row>
    <row r="58">
      <c r="A58" s="123" t="s">
        <v>223</v>
      </c>
      <c r="B58" s="124">
        <v>490.0</v>
      </c>
      <c r="C58" s="124">
        <v>0.0</v>
      </c>
      <c r="D58" s="125">
        <f t="shared" si="10"/>
        <v>-490</v>
      </c>
    </row>
    <row r="59">
      <c r="A59" s="123" t="s">
        <v>224</v>
      </c>
      <c r="B59" s="124">
        <v>4990.0</v>
      </c>
      <c r="C59" s="124">
        <v>2490.0</v>
      </c>
      <c r="D59" s="125">
        <f t="shared" si="10"/>
        <v>-2500</v>
      </c>
      <c r="E59" s="126"/>
      <c r="F59" s="124"/>
    </row>
    <row r="60">
      <c r="A60" s="123" t="s">
        <v>223</v>
      </c>
      <c r="B60" s="124">
        <v>490.0</v>
      </c>
      <c r="C60" s="124">
        <v>0.0</v>
      </c>
      <c r="D60" s="125">
        <f t="shared" si="10"/>
        <v>-490</v>
      </c>
    </row>
    <row r="61">
      <c r="A61" s="128" t="s">
        <v>225</v>
      </c>
      <c r="B61" s="147">
        <v>4490.0</v>
      </c>
      <c r="C61" s="147">
        <v>2490.0</v>
      </c>
      <c r="D61" s="125">
        <f t="shared" si="10"/>
        <v>-2000</v>
      </c>
      <c r="E61" s="139"/>
      <c r="F61" s="13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</row>
    <row r="62">
      <c r="A62" s="123" t="s">
        <v>223</v>
      </c>
      <c r="B62" s="124">
        <v>490.0</v>
      </c>
      <c r="C62" s="124">
        <v>0.0</v>
      </c>
      <c r="D62" s="125">
        <f t="shared" si="10"/>
        <v>-490</v>
      </c>
    </row>
    <row r="63">
      <c r="A63" s="123" t="s">
        <v>226</v>
      </c>
      <c r="B63" s="124">
        <v>3990.0</v>
      </c>
      <c r="C63" s="124">
        <v>1990.0</v>
      </c>
      <c r="D63" s="125">
        <f t="shared" si="10"/>
        <v>-2000</v>
      </c>
      <c r="E63" s="126"/>
      <c r="F63" s="124"/>
    </row>
    <row r="64">
      <c r="A64" s="123" t="s">
        <v>223</v>
      </c>
      <c r="B64" s="124">
        <v>490.0</v>
      </c>
      <c r="C64" s="124">
        <v>0.0</v>
      </c>
      <c r="D64" s="125">
        <f t="shared" si="10"/>
        <v>-490</v>
      </c>
    </row>
    <row r="65">
      <c r="A65" s="128" t="s">
        <v>227</v>
      </c>
      <c r="B65" s="147">
        <v>2490.0</v>
      </c>
      <c r="C65" s="147">
        <v>990.0</v>
      </c>
      <c r="D65" s="125">
        <f t="shared" si="10"/>
        <v>-1500</v>
      </c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  <c r="AA65" s="129"/>
      <c r="AB65" s="129"/>
    </row>
    <row r="66">
      <c r="A66" s="123" t="s">
        <v>228</v>
      </c>
      <c r="B66" s="124">
        <v>2490.0</v>
      </c>
      <c r="C66" s="124">
        <v>990.0</v>
      </c>
      <c r="D66" s="125">
        <f t="shared" si="10"/>
        <v>-1500</v>
      </c>
    </row>
    <row r="67">
      <c r="A67" s="123"/>
    </row>
    <row r="68">
      <c r="A68" s="215" t="s">
        <v>229</v>
      </c>
      <c r="B68" s="204">
        <f t="shared" ref="B68:D68" si="11">SUM(B69:B98)</f>
        <v>138300</v>
      </c>
      <c r="C68" s="204">
        <f t="shared" si="11"/>
        <v>74450</v>
      </c>
      <c r="D68" s="204">
        <f t="shared" si="11"/>
        <v>-63850</v>
      </c>
      <c r="E68" s="216">
        <f>D68/(B68/100)</f>
        <v>-46.16775127</v>
      </c>
      <c r="F68" s="217"/>
      <c r="G68" s="217"/>
      <c r="H68" s="217"/>
      <c r="I68" s="217"/>
      <c r="J68" s="217"/>
      <c r="K68" s="217"/>
      <c r="L68" s="217"/>
      <c r="M68" s="217"/>
      <c r="N68" s="217"/>
      <c r="O68" s="217"/>
      <c r="P68" s="217"/>
      <c r="Q68" s="217"/>
      <c r="R68" s="217"/>
      <c r="S68" s="217"/>
      <c r="T68" s="217"/>
      <c r="U68" s="217"/>
      <c r="V68" s="217"/>
      <c r="W68" s="217"/>
      <c r="X68" s="217"/>
      <c r="Y68" s="217"/>
      <c r="Z68" s="217"/>
      <c r="AA68" s="217"/>
      <c r="AB68" s="217"/>
    </row>
    <row r="69">
      <c r="A69" s="218" t="s">
        <v>55</v>
      </c>
      <c r="B69" s="147">
        <v>5400.0</v>
      </c>
      <c r="C69" s="147">
        <v>5400.0</v>
      </c>
      <c r="D69" s="132">
        <f t="shared" ref="D69:D70" si="12">C69-B69</f>
        <v>0</v>
      </c>
      <c r="E69" s="135"/>
    </row>
    <row r="70">
      <c r="A70" s="219" t="s">
        <v>53</v>
      </c>
      <c r="B70" s="147">
        <v>4400.0</v>
      </c>
      <c r="C70" s="147">
        <v>4400.0</v>
      </c>
      <c r="D70" s="132">
        <f t="shared" si="12"/>
        <v>0</v>
      </c>
      <c r="E70" s="135"/>
    </row>
    <row r="71">
      <c r="A71" s="219"/>
      <c r="B71" s="147"/>
      <c r="C71" s="147"/>
      <c r="D71" s="132"/>
      <c r="E71" s="135"/>
    </row>
    <row r="72">
      <c r="A72" s="219" t="s">
        <v>51</v>
      </c>
      <c r="B72" s="147">
        <v>4400.0</v>
      </c>
      <c r="C72" s="147">
        <v>4400.0</v>
      </c>
      <c r="D72" s="132">
        <f t="shared" ref="D72:D74" si="13">C72-B72</f>
        <v>0</v>
      </c>
      <c r="E72" s="166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  <c r="AA72" s="129"/>
      <c r="AB72" s="129"/>
    </row>
    <row r="73">
      <c r="A73" s="219" t="s">
        <v>50</v>
      </c>
      <c r="B73" s="147">
        <v>5900.0</v>
      </c>
      <c r="C73" s="147">
        <v>5900.0</v>
      </c>
      <c r="D73" s="132">
        <f t="shared" si="13"/>
        <v>0</v>
      </c>
      <c r="E73" s="135"/>
    </row>
    <row r="74">
      <c r="A74" s="219" t="s">
        <v>48</v>
      </c>
      <c r="B74" s="147">
        <v>3400.0</v>
      </c>
      <c r="C74" s="147">
        <v>3400.0</v>
      </c>
      <c r="D74" s="132">
        <f t="shared" si="13"/>
        <v>0</v>
      </c>
      <c r="E74" s="135"/>
    </row>
    <row r="75">
      <c r="A75" s="220"/>
      <c r="E75" s="135"/>
    </row>
    <row r="76">
      <c r="A76" s="219" t="s">
        <v>46</v>
      </c>
      <c r="B76" s="147">
        <v>2400.0</v>
      </c>
      <c r="C76" s="147">
        <v>2400.0</v>
      </c>
      <c r="D76" s="132">
        <f t="shared" ref="D76:D77" si="14">C76-B76</f>
        <v>0</v>
      </c>
      <c r="E76" s="166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  <c r="AA76" s="129"/>
      <c r="AB76" s="129"/>
    </row>
    <row r="77">
      <c r="A77" s="219" t="s">
        <v>44</v>
      </c>
      <c r="B77" s="147">
        <v>2400.0</v>
      </c>
      <c r="C77" s="147">
        <v>2400.0</v>
      </c>
      <c r="D77" s="132">
        <f t="shared" si="14"/>
        <v>0</v>
      </c>
      <c r="E77" s="135"/>
    </row>
    <row r="78">
      <c r="A78" s="128"/>
      <c r="B78" s="147"/>
      <c r="C78" s="147"/>
      <c r="D78" s="132"/>
      <c r="E78" s="166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  <c r="AA78" s="129"/>
      <c r="AB78" s="129"/>
    </row>
    <row r="79">
      <c r="A79" s="128" t="s">
        <v>230</v>
      </c>
      <c r="B79" s="147">
        <v>17900.0</v>
      </c>
      <c r="C79" s="147">
        <v>4900.0</v>
      </c>
      <c r="D79" s="132">
        <f t="shared" ref="D79:D83" si="15">C79-B79</f>
        <v>-13000</v>
      </c>
      <c r="E79" s="166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  <c r="AA79" s="129"/>
      <c r="AB79" s="129"/>
    </row>
    <row r="80">
      <c r="A80" s="128" t="s">
        <v>231</v>
      </c>
      <c r="B80" s="147">
        <v>11900.0</v>
      </c>
      <c r="C80" s="147">
        <v>4900.0</v>
      </c>
      <c r="D80" s="132">
        <f t="shared" si="15"/>
        <v>-7000</v>
      </c>
      <c r="E80" s="166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  <c r="AA80" s="129"/>
      <c r="AB80" s="129"/>
    </row>
    <row r="81">
      <c r="A81" s="128" t="s">
        <v>232</v>
      </c>
      <c r="B81" s="147">
        <v>11900.0</v>
      </c>
      <c r="C81" s="147">
        <v>4900.0</v>
      </c>
      <c r="D81" s="132">
        <f t="shared" si="15"/>
        <v>-7000</v>
      </c>
      <c r="E81" s="166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  <c r="AA81" s="129"/>
      <c r="AB81" s="129"/>
    </row>
    <row r="82">
      <c r="A82" s="128" t="s">
        <v>233</v>
      </c>
      <c r="B82" s="147">
        <v>11900.0</v>
      </c>
      <c r="C82" s="147">
        <v>4900.0</v>
      </c>
      <c r="D82" s="132">
        <f t="shared" si="15"/>
        <v>-7000</v>
      </c>
      <c r="E82" s="166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</row>
    <row r="83">
      <c r="A83" s="128" t="s">
        <v>234</v>
      </c>
      <c r="B83" s="147">
        <v>11900.0</v>
      </c>
      <c r="C83" s="147">
        <v>4900.0</v>
      </c>
      <c r="D83" s="132">
        <f t="shared" si="15"/>
        <v>-7000</v>
      </c>
      <c r="E83" s="166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</row>
    <row r="84">
      <c r="A84" s="219"/>
      <c r="B84" s="214"/>
      <c r="C84" s="214"/>
      <c r="D84" s="134"/>
      <c r="E84" s="135"/>
    </row>
    <row r="85">
      <c r="A85" s="128" t="s">
        <v>235</v>
      </c>
      <c r="B85" s="147">
        <v>5000.0</v>
      </c>
      <c r="C85" s="147">
        <v>2400.0</v>
      </c>
      <c r="D85" s="132">
        <f t="shared" ref="D85:D88" si="16">C85-B85</f>
        <v>-2600</v>
      </c>
      <c r="E85" s="166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</row>
    <row r="86">
      <c r="A86" s="128" t="s">
        <v>236</v>
      </c>
      <c r="B86" s="147">
        <v>5000.0</v>
      </c>
      <c r="C86" s="147">
        <v>2400.0</v>
      </c>
      <c r="D86" s="132">
        <f t="shared" si="16"/>
        <v>-2600</v>
      </c>
      <c r="E86" s="166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</row>
    <row r="87">
      <c r="A87" s="128" t="s">
        <v>237</v>
      </c>
      <c r="B87" s="147">
        <v>5000.0</v>
      </c>
      <c r="C87" s="147">
        <v>2400.0</v>
      </c>
      <c r="D87" s="132">
        <f t="shared" si="16"/>
        <v>-2600</v>
      </c>
      <c r="E87" s="166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</row>
    <row r="88">
      <c r="A88" s="128" t="s">
        <v>238</v>
      </c>
      <c r="B88" s="147">
        <v>5000.0</v>
      </c>
      <c r="C88" s="147">
        <v>2400.0</v>
      </c>
      <c r="D88" s="132">
        <f t="shared" si="16"/>
        <v>-2600</v>
      </c>
      <c r="E88" s="166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</row>
    <row r="89">
      <c r="A89" s="128"/>
      <c r="B89" s="147"/>
      <c r="C89" s="147"/>
      <c r="D89" s="132"/>
      <c r="E89" s="166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</row>
    <row r="90">
      <c r="A90" s="128" t="s">
        <v>239</v>
      </c>
      <c r="B90" s="147">
        <v>9000.0</v>
      </c>
      <c r="C90" s="147">
        <v>4400.0</v>
      </c>
      <c r="D90" s="132">
        <f t="shared" ref="D90:D91" si="17">C90-B90</f>
        <v>-4600</v>
      </c>
      <c r="E90" s="166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</row>
    <row r="91">
      <c r="A91" s="128" t="s">
        <v>240</v>
      </c>
      <c r="B91" s="147">
        <v>8000.0</v>
      </c>
      <c r="C91" s="147">
        <v>3900.0</v>
      </c>
      <c r="D91" s="132">
        <f t="shared" si="17"/>
        <v>-4100</v>
      </c>
      <c r="E91" s="166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</row>
    <row r="92">
      <c r="A92" s="128"/>
      <c r="B92" s="147"/>
      <c r="C92" s="147"/>
      <c r="D92" s="132"/>
      <c r="E92" s="166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</row>
    <row r="93">
      <c r="A93" s="128" t="s">
        <v>241</v>
      </c>
      <c r="B93" s="147">
        <v>2500.0</v>
      </c>
      <c r="C93" s="147">
        <v>1250.0</v>
      </c>
      <c r="D93" s="132">
        <f t="shared" ref="D93:D94" si="18">C93-B93</f>
        <v>-1250</v>
      </c>
      <c r="E93" s="166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</row>
    <row r="94">
      <c r="A94" s="128" t="s">
        <v>242</v>
      </c>
      <c r="B94" s="147">
        <v>2500.0</v>
      </c>
      <c r="C94" s="147">
        <v>1250.0</v>
      </c>
      <c r="D94" s="132">
        <f t="shared" si="18"/>
        <v>-1250</v>
      </c>
      <c r="E94" s="166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</row>
    <row r="95">
      <c r="A95" s="128"/>
      <c r="B95" s="147"/>
      <c r="C95" s="147"/>
      <c r="D95" s="132"/>
      <c r="E95" s="166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</row>
    <row r="96">
      <c r="A96" s="128" t="s">
        <v>243</v>
      </c>
      <c r="B96" s="147">
        <v>2500.0</v>
      </c>
      <c r="C96" s="147">
        <v>1250.0</v>
      </c>
      <c r="D96" s="132">
        <f>C96-B96</f>
        <v>-1250</v>
      </c>
      <c r="E96" s="166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  <c r="AA96" s="129"/>
      <c r="AB96" s="129"/>
    </row>
    <row r="97">
      <c r="A97" s="219"/>
      <c r="B97" s="214"/>
      <c r="C97" s="214"/>
      <c r="D97" s="134"/>
      <c r="E97" s="135"/>
    </row>
    <row r="98">
      <c r="A98" s="221" t="s">
        <v>244</v>
      </c>
      <c r="B98" s="214"/>
      <c r="C98" s="214"/>
      <c r="D98" s="134"/>
      <c r="E98" s="135"/>
    </row>
    <row r="99">
      <c r="A99" s="119" t="s">
        <v>245</v>
      </c>
      <c r="B99" s="173">
        <f t="shared" ref="B99:C99" si="19">SUM(B100:B103)</f>
        <v>15500</v>
      </c>
      <c r="C99" s="173">
        <f t="shared" si="19"/>
        <v>12500</v>
      </c>
      <c r="D99" s="173">
        <f t="shared" ref="D99:D102" si="20">C99-B99</f>
        <v>-3000</v>
      </c>
      <c r="E99" s="120">
        <f>D99/(B99/100)</f>
        <v>-19.35483871</v>
      </c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121"/>
    </row>
    <row r="100">
      <c r="A100" s="128" t="s">
        <v>246</v>
      </c>
      <c r="B100" s="147">
        <v>10000.0</v>
      </c>
      <c r="C100" s="147">
        <v>10000.0</v>
      </c>
      <c r="D100" s="132">
        <f t="shared" si="20"/>
        <v>0</v>
      </c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</row>
    <row r="101">
      <c r="A101" s="123" t="s">
        <v>247</v>
      </c>
      <c r="B101" s="124">
        <v>0.0</v>
      </c>
      <c r="C101" s="124">
        <v>0.0</v>
      </c>
      <c r="D101" s="132">
        <f t="shared" si="20"/>
        <v>0</v>
      </c>
    </row>
    <row r="102">
      <c r="A102" s="123" t="s">
        <v>248</v>
      </c>
      <c r="B102" s="123">
        <v>5500.0</v>
      </c>
      <c r="C102" s="124">
        <v>2500.0</v>
      </c>
      <c r="D102" s="132">
        <f t="shared" si="20"/>
        <v>-3000</v>
      </c>
    </row>
    <row r="104">
      <c r="A104" s="119" t="s">
        <v>249</v>
      </c>
      <c r="B104" s="173">
        <f t="shared" ref="B104:C104" si="21">SUM(B105:B111)</f>
        <v>13500</v>
      </c>
      <c r="C104" s="173">
        <f t="shared" si="21"/>
        <v>13500</v>
      </c>
      <c r="D104" s="173">
        <f>SUM(D105:D110)</f>
        <v>0</v>
      </c>
      <c r="E104" s="120">
        <f>D104/(B104/100)</f>
        <v>0</v>
      </c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</row>
    <row r="105">
      <c r="A105" s="123" t="s">
        <v>250</v>
      </c>
      <c r="B105" s="124">
        <v>3500.0</v>
      </c>
      <c r="C105" s="124">
        <v>3500.0</v>
      </c>
      <c r="D105" s="125">
        <f t="shared" ref="D105:D110" si="22">C105-B105</f>
        <v>0</v>
      </c>
    </row>
    <row r="106">
      <c r="A106" s="123" t="s">
        <v>251</v>
      </c>
      <c r="B106" s="124">
        <v>3000.0</v>
      </c>
      <c r="C106" s="124">
        <v>3000.0</v>
      </c>
      <c r="D106" s="125">
        <f t="shared" si="22"/>
        <v>0</v>
      </c>
    </row>
    <row r="107">
      <c r="A107" s="123" t="s">
        <v>252</v>
      </c>
      <c r="B107" s="124">
        <v>1500.0</v>
      </c>
      <c r="C107" s="124">
        <v>1500.0</v>
      </c>
      <c r="D107" s="125">
        <f t="shared" si="22"/>
        <v>0</v>
      </c>
    </row>
    <row r="108">
      <c r="A108" s="123" t="s">
        <v>253</v>
      </c>
      <c r="B108" s="124">
        <v>1000.0</v>
      </c>
      <c r="C108" s="124">
        <v>1000.0</v>
      </c>
      <c r="D108" s="125">
        <f t="shared" si="22"/>
        <v>0</v>
      </c>
    </row>
    <row r="109">
      <c r="A109" s="123" t="s">
        <v>254</v>
      </c>
      <c r="B109" s="124">
        <v>3500.0</v>
      </c>
      <c r="C109" s="124">
        <v>3500.0</v>
      </c>
      <c r="D109" s="125">
        <f t="shared" si="22"/>
        <v>0</v>
      </c>
    </row>
    <row r="110">
      <c r="A110" s="123" t="s">
        <v>255</v>
      </c>
      <c r="B110" s="124">
        <v>1000.0</v>
      </c>
      <c r="C110" s="124">
        <v>1000.0</v>
      </c>
      <c r="D110" s="125">
        <f t="shared" si="22"/>
        <v>0</v>
      </c>
    </row>
    <row r="112">
      <c r="A112" s="215" t="s">
        <v>256</v>
      </c>
      <c r="B112" s="173">
        <f t="shared" ref="B112:C112" si="23">SUM(B113:B132)</f>
        <v>73750</v>
      </c>
      <c r="C112" s="173">
        <f t="shared" si="23"/>
        <v>48650</v>
      </c>
      <c r="D112" s="204">
        <f t="shared" ref="D112:D131" si="24">C112-B112</f>
        <v>-25100</v>
      </c>
      <c r="E112" s="216">
        <f>D112/(B112/100)</f>
        <v>-34.03389831</v>
      </c>
      <c r="F112" s="217"/>
      <c r="G112" s="217"/>
      <c r="H112" s="217"/>
      <c r="I112" s="217"/>
      <c r="J112" s="217"/>
      <c r="K112" s="217"/>
      <c r="L112" s="217"/>
      <c r="M112" s="217"/>
      <c r="N112" s="217"/>
      <c r="O112" s="217"/>
      <c r="P112" s="217"/>
      <c r="Q112" s="217"/>
      <c r="R112" s="217"/>
      <c r="S112" s="217"/>
      <c r="T112" s="217"/>
      <c r="U112" s="217"/>
      <c r="V112" s="217"/>
      <c r="W112" s="217"/>
      <c r="X112" s="217"/>
      <c r="Y112" s="217"/>
      <c r="Z112" s="217"/>
      <c r="AA112" s="217"/>
      <c r="AB112" s="217"/>
    </row>
    <row r="113">
      <c r="A113" s="128" t="s">
        <v>257</v>
      </c>
      <c r="B113" s="147">
        <v>45000.0</v>
      </c>
      <c r="C113" s="147">
        <v>19900.0</v>
      </c>
      <c r="D113" s="132">
        <f t="shared" si="24"/>
        <v>-25100</v>
      </c>
      <c r="E113" s="166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  <c r="AA113" s="129"/>
      <c r="AB113" s="129"/>
    </row>
    <row r="114">
      <c r="A114" s="128" t="s">
        <v>258</v>
      </c>
      <c r="B114" s="147">
        <v>2500.0</v>
      </c>
      <c r="C114" s="147">
        <v>2500.0</v>
      </c>
      <c r="D114" s="132">
        <f t="shared" si="24"/>
        <v>0</v>
      </c>
      <c r="E114" s="166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  <c r="AA114" s="129"/>
      <c r="AB114" s="129"/>
    </row>
    <row r="115">
      <c r="A115" s="128" t="s">
        <v>259</v>
      </c>
      <c r="B115" s="147">
        <v>2500.0</v>
      </c>
      <c r="C115" s="147">
        <v>2500.0</v>
      </c>
      <c r="D115" s="132">
        <f t="shared" si="24"/>
        <v>0</v>
      </c>
      <c r="E115" s="166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  <c r="AA115" s="129"/>
      <c r="AB115" s="129"/>
    </row>
    <row r="116">
      <c r="A116" s="128" t="s">
        <v>260</v>
      </c>
      <c r="B116" s="147">
        <v>2500.0</v>
      </c>
      <c r="C116" s="147">
        <v>2500.0</v>
      </c>
      <c r="D116" s="132">
        <f t="shared" si="24"/>
        <v>0</v>
      </c>
      <c r="E116" s="166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  <c r="AA116" s="129"/>
      <c r="AB116" s="129"/>
    </row>
    <row r="117">
      <c r="A117" s="128" t="s">
        <v>261</v>
      </c>
      <c r="B117" s="147">
        <v>2500.0</v>
      </c>
      <c r="C117" s="147">
        <v>2500.0</v>
      </c>
      <c r="D117" s="132">
        <f t="shared" si="24"/>
        <v>0</v>
      </c>
      <c r="E117" s="166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  <c r="AA117" s="129"/>
      <c r="AB117" s="129"/>
    </row>
    <row r="118">
      <c r="A118" s="128" t="s">
        <v>262</v>
      </c>
      <c r="B118" s="127">
        <v>2000.0</v>
      </c>
      <c r="C118" s="127">
        <v>2000.0</v>
      </c>
      <c r="D118" s="132">
        <f t="shared" si="24"/>
        <v>0</v>
      </c>
      <c r="E118" s="166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</row>
    <row r="119">
      <c r="A119" s="128" t="s">
        <v>263</v>
      </c>
      <c r="B119" s="147">
        <v>2000.0</v>
      </c>
      <c r="C119" s="147">
        <v>2000.0</v>
      </c>
      <c r="D119" s="132">
        <f t="shared" si="24"/>
        <v>0</v>
      </c>
      <c r="E119" s="166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  <c r="AA119" s="129"/>
      <c r="AB119" s="129"/>
    </row>
    <row r="120">
      <c r="A120" s="128" t="s">
        <v>264</v>
      </c>
      <c r="B120" s="147">
        <v>1750.0</v>
      </c>
      <c r="C120" s="147">
        <v>1750.0</v>
      </c>
      <c r="D120" s="132">
        <f t="shared" si="24"/>
        <v>0</v>
      </c>
      <c r="E120" s="166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</row>
    <row r="121">
      <c r="A121" s="128" t="s">
        <v>265</v>
      </c>
      <c r="B121" s="127">
        <v>1500.0</v>
      </c>
      <c r="C121" s="127">
        <v>1500.0</v>
      </c>
      <c r="D121" s="132">
        <f t="shared" si="24"/>
        <v>0</v>
      </c>
      <c r="E121" s="166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</row>
    <row r="122">
      <c r="A122" s="128" t="s">
        <v>265</v>
      </c>
      <c r="B122" s="127">
        <v>1500.0</v>
      </c>
      <c r="C122" s="127">
        <v>1500.0</v>
      </c>
      <c r="D122" s="132">
        <f t="shared" si="24"/>
        <v>0</v>
      </c>
      <c r="E122" s="166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  <c r="AA122" s="129"/>
      <c r="AB122" s="129"/>
    </row>
    <row r="123">
      <c r="A123" s="128" t="s">
        <v>266</v>
      </c>
      <c r="B123" s="127">
        <v>1500.0</v>
      </c>
      <c r="C123" s="127">
        <v>1500.0</v>
      </c>
      <c r="D123" s="132">
        <f t="shared" si="24"/>
        <v>0</v>
      </c>
      <c r="E123" s="166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</row>
    <row r="124">
      <c r="A124" s="128" t="s">
        <v>267</v>
      </c>
      <c r="B124" s="127">
        <v>1500.0</v>
      </c>
      <c r="C124" s="127">
        <v>1500.0</v>
      </c>
      <c r="D124" s="132">
        <f t="shared" si="24"/>
        <v>0</v>
      </c>
      <c r="E124" s="166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</row>
    <row r="125">
      <c r="A125" s="128" t="s">
        <v>268</v>
      </c>
      <c r="B125" s="132">
        <v>1500.0</v>
      </c>
      <c r="C125" s="132">
        <v>1500.0</v>
      </c>
      <c r="D125" s="132">
        <f t="shared" si="24"/>
        <v>0</v>
      </c>
      <c r="E125" s="166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</row>
    <row r="126">
      <c r="A126" s="128" t="s">
        <v>269</v>
      </c>
      <c r="B126" s="132">
        <v>1000.0</v>
      </c>
      <c r="C126" s="132">
        <v>1000.0</v>
      </c>
      <c r="D126" s="132">
        <f t="shared" si="24"/>
        <v>0</v>
      </c>
      <c r="E126" s="166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</row>
    <row r="127">
      <c r="A127" s="128" t="s">
        <v>270</v>
      </c>
      <c r="B127" s="132">
        <v>1000.0</v>
      </c>
      <c r="C127" s="132">
        <v>1000.0</v>
      </c>
      <c r="D127" s="132">
        <f t="shared" si="24"/>
        <v>0</v>
      </c>
      <c r="E127" s="166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</row>
    <row r="128">
      <c r="A128" s="128" t="s">
        <v>271</v>
      </c>
      <c r="B128" s="127">
        <v>1000.0</v>
      </c>
      <c r="C128" s="127">
        <v>1000.0</v>
      </c>
      <c r="D128" s="132">
        <f t="shared" si="24"/>
        <v>0</v>
      </c>
      <c r="E128" s="166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</row>
    <row r="129">
      <c r="A129" s="128" t="s">
        <v>272</v>
      </c>
      <c r="B129" s="127">
        <v>1000.0</v>
      </c>
      <c r="C129" s="127">
        <v>1000.0</v>
      </c>
      <c r="D129" s="132">
        <f t="shared" si="24"/>
        <v>0</v>
      </c>
      <c r="E129" s="166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</row>
    <row r="130">
      <c r="A130" s="128" t="s">
        <v>273</v>
      </c>
      <c r="B130" s="127">
        <v>750.0</v>
      </c>
      <c r="C130" s="127">
        <v>750.0</v>
      </c>
      <c r="D130" s="132">
        <f t="shared" si="24"/>
        <v>0</v>
      </c>
      <c r="E130" s="166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</row>
    <row r="131">
      <c r="A131" s="128" t="s">
        <v>274</v>
      </c>
      <c r="B131" s="127">
        <v>750.0</v>
      </c>
      <c r="C131" s="127">
        <v>750.0</v>
      </c>
      <c r="D131" s="132">
        <f t="shared" si="24"/>
        <v>0</v>
      </c>
      <c r="E131" s="166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</row>
    <row r="132">
      <c r="A132" s="150"/>
      <c r="B132" s="139"/>
      <c r="C132" s="139"/>
      <c r="D132" s="129"/>
      <c r="E132" s="166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</row>
    <row r="133">
      <c r="A133" s="119" t="s">
        <v>275</v>
      </c>
      <c r="B133" s="201">
        <f t="shared" ref="B133:C133" si="25">SUM(B134:B139)</f>
        <v>3400</v>
      </c>
      <c r="C133" s="201">
        <f t="shared" si="25"/>
        <v>3400</v>
      </c>
      <c r="D133" s="173">
        <f>SUM(D135:D139)</f>
        <v>0</v>
      </c>
      <c r="E133" s="120">
        <f>D133/(B133/100)</f>
        <v>0</v>
      </c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</row>
    <row r="134">
      <c r="A134" s="123" t="s">
        <v>276</v>
      </c>
      <c r="B134" s="123">
        <v>400.0</v>
      </c>
      <c r="C134" s="123">
        <v>400.0</v>
      </c>
      <c r="D134">
        <f t="shared" ref="D134:D139" si="26">C134-B134</f>
        <v>0</v>
      </c>
    </row>
    <row r="135">
      <c r="A135" s="123" t="s">
        <v>277</v>
      </c>
      <c r="B135" s="124">
        <v>1350.0</v>
      </c>
      <c r="C135" s="124">
        <v>1350.0</v>
      </c>
      <c r="D135" s="125">
        <f t="shared" si="26"/>
        <v>0</v>
      </c>
    </row>
    <row r="136">
      <c r="A136" s="123" t="s">
        <v>278</v>
      </c>
      <c r="B136" s="124">
        <v>900.0</v>
      </c>
      <c r="C136" s="124">
        <v>900.0</v>
      </c>
      <c r="D136" s="125">
        <f t="shared" si="26"/>
        <v>0</v>
      </c>
    </row>
    <row r="137">
      <c r="A137" s="123" t="s">
        <v>279</v>
      </c>
      <c r="B137" s="124">
        <v>150.0</v>
      </c>
      <c r="C137" s="124">
        <v>150.0</v>
      </c>
      <c r="D137" s="125">
        <f t="shared" si="26"/>
        <v>0</v>
      </c>
    </row>
    <row r="138">
      <c r="A138" s="123" t="s">
        <v>280</v>
      </c>
      <c r="B138" s="124">
        <v>300.0</v>
      </c>
      <c r="C138" s="124">
        <v>300.0</v>
      </c>
      <c r="D138" s="125">
        <f t="shared" si="26"/>
        <v>0</v>
      </c>
    </row>
    <row r="139">
      <c r="A139" s="123" t="s">
        <v>281</v>
      </c>
      <c r="B139" s="124">
        <v>300.0</v>
      </c>
      <c r="C139" s="124">
        <v>300.0</v>
      </c>
      <c r="D139" s="125">
        <f t="shared" si="26"/>
        <v>0</v>
      </c>
    </row>
    <row r="141">
      <c r="A141" s="119" t="s">
        <v>282</v>
      </c>
      <c r="B141" s="120">
        <f t="shared" ref="B141:C141" si="27">SUM(B142:B196)</f>
        <v>25000</v>
      </c>
      <c r="C141" s="120">
        <f t="shared" si="27"/>
        <v>25000</v>
      </c>
      <c r="D141" s="201">
        <f>SUM(D143:D165)</f>
        <v>0</v>
      </c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  <c r="AA141" s="121"/>
      <c r="AB141" s="121"/>
    </row>
    <row r="142">
      <c r="A142" s="123" t="s">
        <v>283</v>
      </c>
      <c r="B142" s="123">
        <v>2000.0</v>
      </c>
      <c r="C142" s="123">
        <v>2000.0</v>
      </c>
      <c r="D142">
        <f t="shared" ref="D142:D143" si="28">C142-B142</f>
        <v>0</v>
      </c>
      <c r="E142" s="123"/>
      <c r="F142" s="123"/>
      <c r="K142" s="123"/>
    </row>
    <row r="143">
      <c r="A143" s="123" t="s">
        <v>284</v>
      </c>
      <c r="B143" s="123">
        <v>1000.0</v>
      </c>
      <c r="C143" s="123">
        <v>1000.0</v>
      </c>
      <c r="D143">
        <f t="shared" si="28"/>
        <v>0</v>
      </c>
    </row>
    <row r="144">
      <c r="A144" s="123"/>
      <c r="B144" s="123"/>
      <c r="C144" s="123"/>
      <c r="D144" s="123"/>
      <c r="E144" s="123"/>
      <c r="F144" s="123"/>
      <c r="K144" s="123"/>
    </row>
    <row r="145">
      <c r="A145" s="123" t="s">
        <v>285</v>
      </c>
      <c r="B145" s="123">
        <v>1500.0</v>
      </c>
      <c r="C145" s="123">
        <v>1500.0</v>
      </c>
      <c r="D145" s="222">
        <f t="shared" ref="D145:D148" si="29">C145-B145</f>
        <v>0</v>
      </c>
      <c r="E145" s="123"/>
      <c r="F145" s="123"/>
      <c r="K145" s="123"/>
    </row>
    <row r="146">
      <c r="A146" s="123" t="s">
        <v>286</v>
      </c>
      <c r="B146" s="123">
        <v>1250.0</v>
      </c>
      <c r="C146" s="123">
        <v>1250.0</v>
      </c>
      <c r="D146">
        <f t="shared" si="29"/>
        <v>0</v>
      </c>
      <c r="E146" s="123"/>
      <c r="F146" s="123"/>
      <c r="K146" s="123"/>
    </row>
    <row r="147">
      <c r="A147" s="123" t="s">
        <v>287</v>
      </c>
      <c r="B147" s="123">
        <v>500.0</v>
      </c>
      <c r="C147" s="123">
        <v>500.0</v>
      </c>
      <c r="D147">
        <f t="shared" si="29"/>
        <v>0</v>
      </c>
      <c r="E147" s="123"/>
      <c r="F147" s="123"/>
      <c r="K147" s="123"/>
    </row>
    <row r="148">
      <c r="A148" s="123" t="s">
        <v>288</v>
      </c>
      <c r="B148" s="123">
        <v>500.0</v>
      </c>
      <c r="C148" s="123">
        <v>500.0</v>
      </c>
      <c r="D148" s="222">
        <f t="shared" si="29"/>
        <v>0</v>
      </c>
      <c r="E148" s="123"/>
      <c r="F148" s="123"/>
      <c r="K148" s="123"/>
    </row>
    <row r="149">
      <c r="A149" s="123"/>
      <c r="B149" s="123"/>
      <c r="C149" s="123"/>
    </row>
    <row r="150">
      <c r="A150" s="123" t="s">
        <v>289</v>
      </c>
      <c r="B150" s="123">
        <v>1000.0</v>
      </c>
      <c r="C150" s="123">
        <v>1000.0</v>
      </c>
      <c r="D150" s="222">
        <f t="shared" ref="D150:D152" si="30">C150-B150</f>
        <v>0</v>
      </c>
      <c r="E150" s="123"/>
      <c r="F150" s="123"/>
      <c r="K150" s="123"/>
    </row>
    <row r="151">
      <c r="A151" s="123" t="s">
        <v>290</v>
      </c>
      <c r="B151" s="123">
        <v>500.0</v>
      </c>
      <c r="C151" s="123">
        <v>500.0</v>
      </c>
      <c r="D151" s="222">
        <f t="shared" si="30"/>
        <v>0</v>
      </c>
      <c r="E151" s="123"/>
      <c r="F151" s="123"/>
      <c r="G151" s="123"/>
      <c r="H151" s="123"/>
      <c r="I151" s="123"/>
      <c r="J151" s="123"/>
      <c r="K151" s="123"/>
    </row>
    <row r="152">
      <c r="A152" s="123" t="s">
        <v>291</v>
      </c>
      <c r="B152" s="123">
        <v>500.0</v>
      </c>
      <c r="C152" s="123">
        <v>500.0</v>
      </c>
      <c r="D152" s="222">
        <f t="shared" si="30"/>
        <v>0</v>
      </c>
      <c r="E152" s="123"/>
      <c r="F152" s="123"/>
      <c r="G152" s="123"/>
      <c r="H152" s="123"/>
      <c r="I152" s="123"/>
      <c r="J152" s="123"/>
      <c r="K152" s="123"/>
    </row>
    <row r="153">
      <c r="A153" s="123"/>
      <c r="B153" s="123"/>
      <c r="C153" s="123"/>
    </row>
    <row r="154">
      <c r="A154" s="123" t="s">
        <v>292</v>
      </c>
      <c r="B154" s="123">
        <v>500.0</v>
      </c>
      <c r="C154" s="123">
        <v>500.0</v>
      </c>
      <c r="D154" s="222">
        <f t="shared" ref="D154:D156" si="31">C154-B154</f>
        <v>0</v>
      </c>
    </row>
    <row r="155">
      <c r="A155" s="123" t="s">
        <v>293</v>
      </c>
      <c r="B155" s="123">
        <v>500.0</v>
      </c>
      <c r="C155" s="123">
        <v>500.0</v>
      </c>
      <c r="D155" s="222">
        <f t="shared" si="31"/>
        <v>0</v>
      </c>
    </row>
    <row r="156">
      <c r="A156" s="123" t="s">
        <v>294</v>
      </c>
      <c r="B156" s="123">
        <v>500.0</v>
      </c>
      <c r="C156" s="123">
        <v>500.0</v>
      </c>
      <c r="D156" s="222">
        <f t="shared" si="31"/>
        <v>0</v>
      </c>
    </row>
    <row r="157">
      <c r="A157" s="123"/>
      <c r="B157" s="123"/>
      <c r="C157" s="123"/>
    </row>
    <row r="158">
      <c r="A158" s="123" t="s">
        <v>295</v>
      </c>
      <c r="B158" s="123">
        <v>1000.0</v>
      </c>
      <c r="C158" s="123">
        <v>1000.0</v>
      </c>
      <c r="D158" s="222">
        <f t="shared" ref="D158:D162" si="32">C158-B158</f>
        <v>0</v>
      </c>
      <c r="E158" s="123"/>
      <c r="F158" s="123"/>
      <c r="K158" s="123"/>
    </row>
    <row r="159">
      <c r="A159" s="123" t="s">
        <v>296</v>
      </c>
      <c r="B159" s="123">
        <v>500.0</v>
      </c>
      <c r="C159" s="123">
        <v>500.0</v>
      </c>
      <c r="D159" s="222">
        <f t="shared" si="32"/>
        <v>0</v>
      </c>
      <c r="E159" s="123"/>
      <c r="F159" s="123"/>
      <c r="K159" s="123"/>
    </row>
    <row r="160">
      <c r="A160" s="123" t="s">
        <v>297</v>
      </c>
      <c r="B160" s="123">
        <v>500.0</v>
      </c>
      <c r="C160" s="123">
        <v>500.0</v>
      </c>
      <c r="D160" s="222">
        <f t="shared" si="32"/>
        <v>0</v>
      </c>
      <c r="E160" s="123"/>
      <c r="F160" s="123"/>
      <c r="K160" s="123"/>
    </row>
    <row r="161">
      <c r="A161" s="123" t="s">
        <v>298</v>
      </c>
      <c r="B161" s="123">
        <v>500.0</v>
      </c>
      <c r="C161" s="123">
        <v>500.0</v>
      </c>
      <c r="D161" s="222">
        <f t="shared" si="32"/>
        <v>0</v>
      </c>
      <c r="E161" s="123"/>
      <c r="F161" s="123"/>
      <c r="K161" s="123"/>
    </row>
    <row r="162">
      <c r="A162" s="123" t="s">
        <v>299</v>
      </c>
      <c r="B162" s="123">
        <v>500.0</v>
      </c>
      <c r="C162" s="123">
        <v>500.0</v>
      </c>
      <c r="D162" s="222">
        <f t="shared" si="32"/>
        <v>0</v>
      </c>
      <c r="E162" s="123"/>
      <c r="F162" s="123"/>
      <c r="K162" s="123"/>
    </row>
    <row r="163">
      <c r="A163" s="123"/>
      <c r="B163" s="123"/>
      <c r="C163" s="123"/>
      <c r="E163" s="123"/>
      <c r="F163" s="123"/>
      <c r="K163" s="123"/>
    </row>
    <row r="164">
      <c r="A164" s="123" t="s">
        <v>300</v>
      </c>
      <c r="B164" s="123">
        <v>500.0</v>
      </c>
      <c r="C164" s="123">
        <v>500.0</v>
      </c>
      <c r="D164" s="222">
        <f t="shared" ref="D164:D166" si="33">C164-B164</f>
        <v>0</v>
      </c>
    </row>
    <row r="165">
      <c r="A165" s="123" t="s">
        <v>301</v>
      </c>
      <c r="B165" s="123">
        <v>250.0</v>
      </c>
      <c r="C165" s="123">
        <v>250.0</v>
      </c>
      <c r="D165" s="222">
        <f t="shared" si="33"/>
        <v>0</v>
      </c>
      <c r="E165" s="123"/>
      <c r="F165" s="123"/>
      <c r="K165" s="123"/>
    </row>
    <row r="166">
      <c r="A166" s="123" t="s">
        <v>302</v>
      </c>
      <c r="B166" s="123">
        <v>250.0</v>
      </c>
      <c r="C166" s="123">
        <v>250.0</v>
      </c>
      <c r="D166" s="222">
        <f t="shared" si="33"/>
        <v>0</v>
      </c>
      <c r="E166" s="123"/>
      <c r="F166" s="123"/>
      <c r="K166" s="123"/>
    </row>
    <row r="167">
      <c r="A167" s="123"/>
      <c r="B167" s="123"/>
      <c r="C167" s="123"/>
      <c r="E167" s="123"/>
      <c r="F167" s="123"/>
      <c r="K167" s="123"/>
    </row>
    <row r="168">
      <c r="A168" s="123" t="s">
        <v>303</v>
      </c>
      <c r="B168" s="123">
        <v>500.0</v>
      </c>
      <c r="C168" s="123">
        <v>500.0</v>
      </c>
      <c r="D168" s="222">
        <f t="shared" ref="D168:D170" si="34">C168-B168</f>
        <v>0</v>
      </c>
    </row>
    <row r="169">
      <c r="A169" s="123" t="s">
        <v>304</v>
      </c>
      <c r="B169" s="123">
        <v>500.0</v>
      </c>
      <c r="C169" s="123">
        <v>500.0</v>
      </c>
      <c r="D169" s="222">
        <f t="shared" si="34"/>
        <v>0</v>
      </c>
      <c r="E169" s="123"/>
      <c r="F169" s="123"/>
      <c r="K169" s="123"/>
    </row>
    <row r="170">
      <c r="A170" s="123" t="s">
        <v>305</v>
      </c>
      <c r="B170" s="123">
        <v>500.0</v>
      </c>
      <c r="C170" s="123">
        <v>500.0</v>
      </c>
      <c r="D170" s="222">
        <f t="shared" si="34"/>
        <v>0</v>
      </c>
      <c r="E170" s="123"/>
      <c r="F170" s="123"/>
      <c r="G170" s="123"/>
      <c r="H170" s="123"/>
      <c r="I170" s="123"/>
      <c r="J170" s="123"/>
      <c r="K170" s="123"/>
    </row>
    <row r="171">
      <c r="A171" s="123"/>
      <c r="B171" s="123"/>
      <c r="C171" s="123"/>
      <c r="D171" s="123"/>
      <c r="E171" s="123"/>
      <c r="F171" s="123"/>
      <c r="K171" s="123"/>
    </row>
    <row r="172">
      <c r="A172" s="123" t="s">
        <v>306</v>
      </c>
      <c r="B172" s="123">
        <v>500.0</v>
      </c>
      <c r="C172" s="123">
        <v>500.0</v>
      </c>
      <c r="D172" s="222">
        <f t="shared" ref="D172:D173" si="35">C172-B172</f>
        <v>0</v>
      </c>
      <c r="E172" s="123"/>
      <c r="F172" s="123"/>
      <c r="K172" s="123"/>
    </row>
    <row r="173">
      <c r="A173" s="123" t="s">
        <v>307</v>
      </c>
      <c r="B173" s="123">
        <v>500.0</v>
      </c>
      <c r="C173" s="123">
        <v>500.0</v>
      </c>
      <c r="D173" s="222">
        <f t="shared" si="35"/>
        <v>0</v>
      </c>
      <c r="E173" s="123"/>
      <c r="F173" s="123"/>
      <c r="K173" s="123"/>
    </row>
    <row r="174">
      <c r="A174" s="123"/>
      <c r="B174" s="123"/>
      <c r="C174" s="123"/>
      <c r="E174" s="123"/>
      <c r="F174" s="123"/>
      <c r="G174" s="123"/>
      <c r="H174" s="123"/>
      <c r="I174" s="123"/>
      <c r="J174" s="123"/>
      <c r="K174" s="123"/>
    </row>
    <row r="175">
      <c r="A175" s="123" t="s">
        <v>308</v>
      </c>
      <c r="B175" s="123">
        <v>500.0</v>
      </c>
      <c r="C175" s="123">
        <v>500.0</v>
      </c>
      <c r="D175" s="222">
        <f t="shared" ref="D175:D178" si="36">C175-B175</f>
        <v>0</v>
      </c>
      <c r="E175" s="123"/>
      <c r="F175" s="123"/>
      <c r="G175" s="123"/>
      <c r="H175" s="123"/>
      <c r="I175" s="123"/>
      <c r="J175" s="123"/>
      <c r="K175" s="123"/>
    </row>
    <row r="176">
      <c r="A176" s="123" t="s">
        <v>309</v>
      </c>
      <c r="B176" s="123">
        <v>250.0</v>
      </c>
      <c r="C176" s="123">
        <v>250.0</v>
      </c>
      <c r="D176" s="222">
        <f t="shared" si="36"/>
        <v>0</v>
      </c>
      <c r="E176" s="123"/>
      <c r="F176" s="123"/>
      <c r="G176" s="123"/>
      <c r="H176" s="123"/>
      <c r="I176" s="123"/>
      <c r="J176" s="123"/>
      <c r="K176" s="123"/>
    </row>
    <row r="177">
      <c r="A177" s="123" t="s">
        <v>310</v>
      </c>
      <c r="B177" s="123">
        <v>250.0</v>
      </c>
      <c r="C177" s="123">
        <v>250.0</v>
      </c>
      <c r="D177" s="222">
        <f t="shared" si="36"/>
        <v>0</v>
      </c>
      <c r="E177" s="123"/>
      <c r="F177" s="123"/>
      <c r="G177" s="123"/>
      <c r="H177" s="123"/>
      <c r="I177" s="123"/>
      <c r="J177" s="123"/>
      <c r="K177" s="123"/>
    </row>
    <row r="178">
      <c r="A178" s="123" t="s">
        <v>311</v>
      </c>
      <c r="B178" s="123">
        <v>250.0</v>
      </c>
      <c r="C178" s="123">
        <v>250.0</v>
      </c>
      <c r="D178" s="222">
        <f t="shared" si="36"/>
        <v>0</v>
      </c>
      <c r="E178" s="123"/>
      <c r="F178" s="123"/>
      <c r="K178" s="123"/>
    </row>
    <row r="179">
      <c r="A179" s="123"/>
      <c r="B179" s="123"/>
      <c r="C179" s="123"/>
      <c r="D179" s="123"/>
      <c r="E179" s="123"/>
      <c r="F179" s="123"/>
      <c r="K179" s="123"/>
    </row>
    <row r="180">
      <c r="A180" s="123" t="s">
        <v>312</v>
      </c>
      <c r="B180" s="123">
        <v>500.0</v>
      </c>
      <c r="C180" s="123">
        <v>500.0</v>
      </c>
      <c r="D180" s="222">
        <f>C180-B180</f>
        <v>0</v>
      </c>
      <c r="E180" s="123"/>
      <c r="F180" s="123"/>
      <c r="K180" s="123"/>
    </row>
    <row r="181">
      <c r="A181" s="123"/>
      <c r="B181" s="123"/>
      <c r="C181" s="123"/>
      <c r="D181" s="123"/>
      <c r="E181" s="123"/>
      <c r="F181" s="123"/>
      <c r="K181" s="123"/>
    </row>
    <row r="182">
      <c r="A182" s="123" t="s">
        <v>313</v>
      </c>
      <c r="B182" s="123">
        <v>500.0</v>
      </c>
      <c r="C182" s="123">
        <v>500.0</v>
      </c>
      <c r="D182" s="222">
        <f t="shared" ref="D182:D188" si="37">C182-B182</f>
        <v>0</v>
      </c>
    </row>
    <row r="183">
      <c r="A183" s="123" t="s">
        <v>314</v>
      </c>
      <c r="B183" s="123">
        <v>500.0</v>
      </c>
      <c r="C183" s="123">
        <v>500.0</v>
      </c>
      <c r="D183" s="222">
        <f t="shared" si="37"/>
        <v>0</v>
      </c>
    </row>
    <row r="184">
      <c r="A184" s="123" t="s">
        <v>315</v>
      </c>
      <c r="B184" s="123">
        <v>500.0</v>
      </c>
      <c r="C184" s="123">
        <v>500.0</v>
      </c>
      <c r="D184" s="222">
        <f t="shared" si="37"/>
        <v>0</v>
      </c>
    </row>
    <row r="185">
      <c r="A185" s="123" t="s">
        <v>316</v>
      </c>
      <c r="B185" s="123">
        <v>500.0</v>
      </c>
      <c r="C185" s="123">
        <v>500.0</v>
      </c>
      <c r="D185" s="222">
        <f t="shared" si="37"/>
        <v>0</v>
      </c>
    </row>
    <row r="186">
      <c r="A186" s="123" t="s">
        <v>317</v>
      </c>
      <c r="B186" s="123">
        <v>500.0</v>
      </c>
      <c r="C186" s="123">
        <v>500.0</v>
      </c>
      <c r="D186" s="222">
        <f t="shared" si="37"/>
        <v>0</v>
      </c>
    </row>
    <row r="187">
      <c r="A187" s="123" t="s">
        <v>318</v>
      </c>
      <c r="B187" s="123">
        <v>500.0</v>
      </c>
      <c r="C187" s="123">
        <v>500.0</v>
      </c>
      <c r="D187" s="222">
        <f t="shared" si="37"/>
        <v>0</v>
      </c>
    </row>
    <row r="188">
      <c r="A188" s="123" t="s">
        <v>319</v>
      </c>
      <c r="B188" s="123">
        <v>500.0</v>
      </c>
      <c r="C188" s="123">
        <v>500.0</v>
      </c>
      <c r="D188" s="222">
        <f t="shared" si="37"/>
        <v>0</v>
      </c>
    </row>
    <row r="189">
      <c r="A189" s="123"/>
      <c r="B189" s="123"/>
      <c r="C189" s="123"/>
    </row>
    <row r="190">
      <c r="A190" s="123" t="s">
        <v>320</v>
      </c>
      <c r="B190" s="123">
        <v>500.0</v>
      </c>
      <c r="C190" s="123">
        <v>500.0</v>
      </c>
      <c r="D190" s="222">
        <f>C190-B190</f>
        <v>0</v>
      </c>
    </row>
    <row r="191">
      <c r="A191" s="123"/>
      <c r="B191" s="123"/>
      <c r="C191" s="123"/>
    </row>
    <row r="192">
      <c r="A192" s="123" t="s">
        <v>321</v>
      </c>
      <c r="B192" s="123">
        <v>500.0</v>
      </c>
      <c r="C192" s="123">
        <v>500.0</v>
      </c>
      <c r="D192" s="222">
        <f t="shared" ref="D192:D196" si="38">C192-B192</f>
        <v>0</v>
      </c>
    </row>
    <row r="193">
      <c r="A193" s="123" t="s">
        <v>322</v>
      </c>
      <c r="B193" s="123">
        <v>500.0</v>
      </c>
      <c r="C193" s="123">
        <v>500.0</v>
      </c>
      <c r="D193" s="222">
        <f t="shared" si="38"/>
        <v>0</v>
      </c>
    </row>
    <row r="194">
      <c r="A194" s="123" t="s">
        <v>323</v>
      </c>
      <c r="B194" s="123">
        <v>500.0</v>
      </c>
      <c r="C194" s="123">
        <v>500.0</v>
      </c>
      <c r="D194" s="222">
        <f t="shared" si="38"/>
        <v>0</v>
      </c>
    </row>
    <row r="195">
      <c r="A195" s="123" t="s">
        <v>324</v>
      </c>
      <c r="B195" s="123">
        <v>500.0</v>
      </c>
      <c r="C195" s="123">
        <v>500.0</v>
      </c>
      <c r="D195" s="222">
        <f t="shared" si="38"/>
        <v>0</v>
      </c>
    </row>
    <row r="196">
      <c r="A196" s="123" t="s">
        <v>325</v>
      </c>
      <c r="B196" s="123">
        <v>500.0</v>
      </c>
      <c r="C196" s="123">
        <v>500.0</v>
      </c>
      <c r="D196" s="222">
        <f t="shared" si="38"/>
        <v>0</v>
      </c>
    </row>
    <row r="205">
      <c r="A205" s="223"/>
    </row>
    <row r="206">
      <c r="A206" s="223"/>
    </row>
    <row r="207">
      <c r="A207" s="223"/>
    </row>
    <row r="208">
      <c r="A208" s="224"/>
    </row>
    <row r="209">
      <c r="A209" s="223"/>
    </row>
    <row r="210">
      <c r="A210" s="223"/>
    </row>
    <row r="211">
      <c r="A211" s="223"/>
    </row>
    <row r="212">
      <c r="A212" s="224"/>
    </row>
    <row r="213">
      <c r="A213" s="223"/>
    </row>
    <row r="214">
      <c r="A214" s="223"/>
    </row>
    <row r="215">
      <c r="A215" s="223"/>
    </row>
    <row r="216">
      <c r="A216" s="223"/>
    </row>
    <row r="217">
      <c r="A217" s="223"/>
    </row>
    <row r="218">
      <c r="A218" s="224"/>
    </row>
    <row r="219">
      <c r="A219" s="224"/>
    </row>
    <row r="220">
      <c r="A220" s="223"/>
    </row>
    <row r="221">
      <c r="A221" s="223"/>
    </row>
    <row r="222">
      <c r="A222" s="223"/>
    </row>
    <row r="223">
      <c r="A223" s="223"/>
    </row>
    <row r="224">
      <c r="A224" s="223"/>
    </row>
    <row r="225">
      <c r="A225" s="224"/>
    </row>
    <row r="226">
      <c r="A226" s="223"/>
    </row>
    <row r="227">
      <c r="A227" s="223"/>
    </row>
    <row r="228">
      <c r="A228" s="223"/>
    </row>
    <row r="229">
      <c r="A229" s="224"/>
    </row>
    <row r="230">
      <c r="A230" s="223"/>
    </row>
    <row r="231">
      <c r="A231" s="223"/>
    </row>
    <row r="232">
      <c r="A232" s="223"/>
    </row>
    <row r="233">
      <c r="A233" s="223"/>
    </row>
    <row r="234">
      <c r="A234" s="223"/>
    </row>
    <row r="235">
      <c r="A235" s="223"/>
    </row>
    <row r="236">
      <c r="A236" s="224"/>
    </row>
    <row r="237">
      <c r="A237" s="223"/>
    </row>
    <row r="238">
      <c r="A238" s="223"/>
    </row>
    <row r="239">
      <c r="A239" s="223"/>
    </row>
    <row r="240">
      <c r="A240" s="223"/>
    </row>
    <row r="241">
      <c r="A241" s="22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19.25"/>
    <col customWidth="1" min="2" max="4" width="12.63"/>
    <col customWidth="1" min="5" max="5" width="18.13"/>
    <col customWidth="1" min="7" max="7" width="18.75"/>
    <col customWidth="1" min="8" max="8" width="12.63"/>
    <col customWidth="1" min="10" max="10" width="37.63"/>
    <col customWidth="1" min="11" max="12" width="12.63"/>
    <col customWidth="1" min="13" max="13" width="37.63"/>
    <col customWidth="1" min="16" max="16" width="37.63"/>
    <col customWidth="1" min="19" max="19" width="37.63"/>
  </cols>
  <sheetData>
    <row r="1">
      <c r="A1" s="118" t="s">
        <v>37</v>
      </c>
      <c r="B1" s="118" t="s">
        <v>38</v>
      </c>
      <c r="C1" s="118" t="s">
        <v>39</v>
      </c>
      <c r="D1" s="118" t="s">
        <v>40</v>
      </c>
      <c r="F1" s="118"/>
      <c r="H1" s="118" t="s">
        <v>41</v>
      </c>
    </row>
    <row r="2">
      <c r="A2" s="119" t="s">
        <v>326</v>
      </c>
      <c r="B2" s="120">
        <f t="shared" ref="B2:D2" si="1">SUM(B3:B500)</f>
        <v>792500</v>
      </c>
      <c r="C2" s="120">
        <f t="shared" si="1"/>
        <v>1029940</v>
      </c>
      <c r="D2" s="120">
        <f t="shared" si="1"/>
        <v>240730</v>
      </c>
      <c r="E2" s="121"/>
      <c r="F2" s="121"/>
      <c r="G2" s="179"/>
      <c r="H2" s="120">
        <f>D2/(C2/100)</f>
        <v>23.37320621</v>
      </c>
      <c r="I2" s="121"/>
      <c r="J2" s="179"/>
      <c r="K2" s="121"/>
      <c r="L2" s="121"/>
      <c r="M2" s="179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</row>
    <row r="3">
      <c r="G3" s="122" t="s">
        <v>327</v>
      </c>
      <c r="J3" s="122" t="s">
        <v>328</v>
      </c>
      <c r="M3" s="122" t="s">
        <v>329</v>
      </c>
      <c r="P3" s="122" t="s">
        <v>330</v>
      </c>
      <c r="S3" s="122" t="s">
        <v>331</v>
      </c>
    </row>
    <row r="4">
      <c r="A4" s="122" t="s">
        <v>43</v>
      </c>
      <c r="B4" s="123">
        <v>0.0</v>
      </c>
      <c r="C4" s="124">
        <v>0.0</v>
      </c>
      <c r="D4" s="125">
        <f t="shared" ref="D4:D5" si="2">C4-B4</f>
        <v>0</v>
      </c>
      <c r="G4" s="123" t="s">
        <v>332</v>
      </c>
      <c r="H4" s="225">
        <v>44946.0</v>
      </c>
      <c r="J4" s="123" t="s">
        <v>332</v>
      </c>
      <c r="K4" s="225">
        <v>44946.0</v>
      </c>
      <c r="M4" s="123" t="s">
        <v>332</v>
      </c>
      <c r="N4" s="225">
        <v>44946.0</v>
      </c>
      <c r="P4" s="123" t="s">
        <v>333</v>
      </c>
      <c r="Q4" s="225">
        <v>44954.0</v>
      </c>
      <c r="R4" s="123"/>
      <c r="S4" s="123" t="s">
        <v>334</v>
      </c>
      <c r="T4" s="226">
        <v>44222.0</v>
      </c>
    </row>
    <row r="5">
      <c r="A5" s="122" t="s">
        <v>45</v>
      </c>
      <c r="B5" s="123">
        <v>0.0</v>
      </c>
      <c r="C5" s="124">
        <v>0.0</v>
      </c>
      <c r="D5" s="125">
        <f t="shared" si="2"/>
        <v>0</v>
      </c>
      <c r="M5" s="123" t="s">
        <v>335</v>
      </c>
      <c r="N5" s="225">
        <v>44974.0</v>
      </c>
      <c r="P5" s="123" t="s">
        <v>336</v>
      </c>
      <c r="Q5" s="225">
        <v>44982.0</v>
      </c>
      <c r="R5" s="123"/>
      <c r="S5" s="123" t="s">
        <v>337</v>
      </c>
      <c r="T5" s="225">
        <v>44232.0</v>
      </c>
    </row>
    <row r="6">
      <c r="A6" s="122" t="s">
        <v>47</v>
      </c>
      <c r="B6" s="123">
        <v>0.0</v>
      </c>
      <c r="C6" s="124">
        <v>0.0</v>
      </c>
      <c r="D6" s="123">
        <v>0.0</v>
      </c>
      <c r="M6" s="123" t="s">
        <v>338</v>
      </c>
      <c r="N6" s="225">
        <v>44981.0</v>
      </c>
      <c r="P6" s="123" t="s">
        <v>339</v>
      </c>
      <c r="Q6" s="225">
        <v>44982.0</v>
      </c>
      <c r="S6" s="123" t="s">
        <v>340</v>
      </c>
      <c r="T6" s="225">
        <v>44250.0</v>
      </c>
    </row>
    <row r="7">
      <c r="M7" s="123" t="s">
        <v>341</v>
      </c>
      <c r="N7" s="225">
        <v>44981.0</v>
      </c>
      <c r="P7" s="123" t="s">
        <v>342</v>
      </c>
      <c r="Q7" s="227">
        <v>44989.0</v>
      </c>
      <c r="S7" s="123" t="s">
        <v>343</v>
      </c>
      <c r="T7" s="225">
        <v>44253.0</v>
      </c>
    </row>
    <row r="8">
      <c r="A8" s="228" t="s">
        <v>344</v>
      </c>
      <c r="M8" s="123" t="s">
        <v>345</v>
      </c>
      <c r="N8" s="227">
        <v>44999.0</v>
      </c>
      <c r="P8" s="123" t="s">
        <v>346</v>
      </c>
      <c r="Q8" s="225">
        <v>44995.0</v>
      </c>
      <c r="S8" s="123" t="s">
        <v>347</v>
      </c>
      <c r="T8" s="225">
        <v>44281.0</v>
      </c>
    </row>
    <row r="9">
      <c r="A9" s="229" t="s">
        <v>348</v>
      </c>
      <c r="M9" s="123" t="s">
        <v>349</v>
      </c>
      <c r="N9" s="227">
        <v>45030.0</v>
      </c>
      <c r="P9" s="123" t="s">
        <v>350</v>
      </c>
      <c r="Q9" s="227">
        <v>45023.0</v>
      </c>
      <c r="S9" s="123" t="s">
        <v>351</v>
      </c>
      <c r="T9" s="227">
        <v>44295.0</v>
      </c>
    </row>
    <row r="10">
      <c r="A10" s="229" t="s">
        <v>352</v>
      </c>
      <c r="M10" s="123" t="s">
        <v>353</v>
      </c>
      <c r="N10" s="227">
        <v>45099.0</v>
      </c>
      <c r="P10" s="123" t="s">
        <v>354</v>
      </c>
      <c r="Q10" s="227">
        <v>45028.0</v>
      </c>
      <c r="S10" s="123" t="s">
        <v>355</v>
      </c>
      <c r="T10" s="227">
        <v>44301.0</v>
      </c>
    </row>
    <row r="11">
      <c r="A11" s="229" t="s">
        <v>356</v>
      </c>
      <c r="M11" s="123" t="s">
        <v>357</v>
      </c>
      <c r="N11" s="227">
        <v>45114.0</v>
      </c>
      <c r="P11" s="123" t="s">
        <v>358</v>
      </c>
      <c r="Q11" s="227">
        <v>45129.0</v>
      </c>
      <c r="S11" s="123" t="s">
        <v>359</v>
      </c>
      <c r="T11" s="227">
        <v>44308.0</v>
      </c>
    </row>
    <row r="12">
      <c r="A12" s="122"/>
      <c r="P12" s="123" t="s">
        <v>360</v>
      </c>
      <c r="Q12" s="227">
        <v>45136.0</v>
      </c>
      <c r="S12" s="123" t="s">
        <v>361</v>
      </c>
      <c r="T12" s="227">
        <v>44309.0</v>
      </c>
    </row>
    <row r="13">
      <c r="A13" s="122"/>
      <c r="P13" s="123" t="s">
        <v>362</v>
      </c>
      <c r="Q13" s="227">
        <v>45164.0</v>
      </c>
      <c r="S13" s="123" t="s">
        <v>363</v>
      </c>
      <c r="T13" s="230">
        <v>44341.0</v>
      </c>
    </row>
    <row r="14">
      <c r="A14" s="123"/>
      <c r="B14" s="124"/>
      <c r="C14" s="124"/>
      <c r="E14" s="130"/>
      <c r="F14" s="128"/>
      <c r="G14" s="231"/>
      <c r="H14" s="168"/>
    </row>
    <row r="15">
      <c r="A15" s="232" t="s">
        <v>364</v>
      </c>
      <c r="B15" s="233">
        <v>6990.0</v>
      </c>
      <c r="C15" s="233">
        <v>11990.0</v>
      </c>
      <c r="D15" s="234">
        <f t="shared" ref="D15:D16" si="3">C15-B15</f>
        <v>5000</v>
      </c>
      <c r="E15" s="235" t="s">
        <v>365</v>
      </c>
      <c r="F15" s="236">
        <f t="shared" ref="F15:F20" si="4">C15*1.15</f>
        <v>13788.5</v>
      </c>
      <c r="G15" s="237"/>
      <c r="H15" s="238"/>
      <c r="I15" s="239"/>
      <c r="J15" s="239"/>
      <c r="K15" s="239"/>
      <c r="L15" s="239"/>
      <c r="M15" s="239"/>
      <c r="N15" s="239"/>
      <c r="O15" s="239"/>
      <c r="P15" s="239"/>
      <c r="Q15" s="239"/>
      <c r="R15" s="239"/>
      <c r="S15" s="239"/>
      <c r="T15" s="239"/>
      <c r="U15" s="239"/>
      <c r="V15" s="239"/>
      <c r="W15" s="239"/>
      <c r="X15" s="239"/>
      <c r="Y15" s="239"/>
      <c r="Z15" s="239"/>
      <c r="AA15" s="239"/>
      <c r="AB15" s="239"/>
    </row>
    <row r="16">
      <c r="A16" s="232" t="s">
        <v>366</v>
      </c>
      <c r="B16" s="233">
        <v>6990.0</v>
      </c>
      <c r="C16" s="233">
        <v>9490.0</v>
      </c>
      <c r="D16" s="234">
        <f t="shared" si="3"/>
        <v>2500</v>
      </c>
      <c r="E16" s="235" t="s">
        <v>365</v>
      </c>
      <c r="F16" s="236">
        <f t="shared" si="4"/>
        <v>10913.5</v>
      </c>
      <c r="G16" s="237"/>
      <c r="H16" s="238"/>
      <c r="I16" s="239"/>
      <c r="J16" s="239"/>
      <c r="K16" s="239"/>
      <c r="L16" s="239"/>
      <c r="M16" s="239"/>
      <c r="N16" s="239"/>
      <c r="O16" s="239"/>
      <c r="P16" s="239"/>
      <c r="Q16" s="239"/>
      <c r="R16" s="239"/>
      <c r="S16" s="239"/>
      <c r="T16" s="239"/>
      <c r="U16" s="239"/>
      <c r="V16" s="239"/>
      <c r="W16" s="239"/>
      <c r="X16" s="239"/>
      <c r="Y16" s="239"/>
      <c r="Z16" s="239"/>
      <c r="AA16" s="239"/>
      <c r="AB16" s="239"/>
    </row>
    <row r="17">
      <c r="A17" s="232" t="s">
        <v>367</v>
      </c>
      <c r="B17" s="233">
        <v>3490.0</v>
      </c>
      <c r="C17" s="233">
        <v>7490.0</v>
      </c>
      <c r="D17" s="233">
        <v>7490.0</v>
      </c>
      <c r="E17" s="235" t="s">
        <v>365</v>
      </c>
      <c r="F17" s="236">
        <f t="shared" si="4"/>
        <v>8613.5</v>
      </c>
      <c r="G17" s="237"/>
      <c r="H17" s="238"/>
      <c r="I17" s="239"/>
      <c r="J17" s="239"/>
      <c r="K17" s="239"/>
      <c r="L17" s="239"/>
      <c r="M17" s="239"/>
      <c r="N17" s="239"/>
      <c r="O17" s="239"/>
      <c r="P17" s="239"/>
      <c r="Q17" s="239"/>
      <c r="R17" s="239"/>
      <c r="S17" s="239"/>
      <c r="T17" s="239"/>
      <c r="U17" s="239"/>
      <c r="V17" s="239"/>
      <c r="W17" s="239"/>
      <c r="X17" s="239"/>
      <c r="Y17" s="239"/>
      <c r="Z17" s="239"/>
      <c r="AA17" s="239"/>
      <c r="AB17" s="239"/>
    </row>
    <row r="18">
      <c r="A18" s="232" t="s">
        <v>368</v>
      </c>
      <c r="B18" s="233">
        <v>2990.0</v>
      </c>
      <c r="C18" s="233">
        <v>6990.0</v>
      </c>
      <c r="D18" s="234">
        <f t="shared" ref="D18:D20" si="5">C18-B18</f>
        <v>4000</v>
      </c>
      <c r="E18" s="235" t="s">
        <v>365</v>
      </c>
      <c r="F18" s="236">
        <f t="shared" si="4"/>
        <v>8038.5</v>
      </c>
      <c r="G18" s="237"/>
      <c r="H18" s="238"/>
      <c r="I18" s="240"/>
      <c r="J18" s="240"/>
      <c r="K18" s="240"/>
      <c r="L18" s="240"/>
      <c r="M18" s="240"/>
      <c r="N18" s="240"/>
      <c r="O18" s="240"/>
      <c r="P18" s="240"/>
      <c r="Q18" s="240"/>
      <c r="R18" s="240"/>
      <c r="S18" s="240"/>
      <c r="T18" s="240"/>
      <c r="U18" s="240"/>
      <c r="V18" s="240"/>
      <c r="W18" s="240"/>
      <c r="X18" s="240"/>
      <c r="Y18" s="240"/>
      <c r="Z18" s="240"/>
      <c r="AA18" s="240"/>
      <c r="AB18" s="240"/>
    </row>
    <row r="19">
      <c r="A19" s="232" t="s">
        <v>369</v>
      </c>
      <c r="B19" s="233">
        <v>1990.0</v>
      </c>
      <c r="C19" s="233">
        <v>4490.0</v>
      </c>
      <c r="D19" s="234">
        <f t="shared" si="5"/>
        <v>2500</v>
      </c>
      <c r="E19" s="235" t="s">
        <v>365</v>
      </c>
      <c r="F19" s="236">
        <f t="shared" si="4"/>
        <v>5163.5</v>
      </c>
      <c r="G19" s="237"/>
      <c r="H19" s="238"/>
      <c r="I19" s="239"/>
      <c r="J19" s="239"/>
      <c r="K19" s="239"/>
      <c r="L19" s="239"/>
      <c r="M19" s="239"/>
      <c r="N19" s="239"/>
      <c r="O19" s="239"/>
      <c r="P19" s="239"/>
      <c r="Q19" s="239"/>
      <c r="R19" s="239"/>
      <c r="S19" s="239"/>
      <c r="T19" s="239"/>
      <c r="U19" s="239"/>
      <c r="V19" s="239"/>
      <c r="W19" s="239"/>
      <c r="X19" s="239"/>
      <c r="Y19" s="239"/>
      <c r="Z19" s="239"/>
      <c r="AA19" s="239"/>
      <c r="AB19" s="239"/>
    </row>
    <row r="20">
      <c r="A20" s="232" t="s">
        <v>370</v>
      </c>
      <c r="B20" s="233">
        <v>3990.0</v>
      </c>
      <c r="C20" s="233">
        <v>3990.0</v>
      </c>
      <c r="D20" s="234">
        <f t="shared" si="5"/>
        <v>0</v>
      </c>
      <c r="E20" s="241" t="s">
        <v>123</v>
      </c>
      <c r="F20" s="236">
        <f t="shared" si="4"/>
        <v>4588.5</v>
      </c>
      <c r="G20" s="237"/>
      <c r="H20" s="238"/>
      <c r="I20" s="239"/>
      <c r="J20" s="239"/>
      <c r="K20" s="239"/>
      <c r="L20" s="239"/>
      <c r="M20" s="239"/>
      <c r="N20" s="239"/>
      <c r="O20" s="239"/>
      <c r="P20" s="239"/>
      <c r="Q20" s="239"/>
      <c r="R20" s="239"/>
      <c r="S20" s="239"/>
      <c r="T20" s="239"/>
      <c r="U20" s="239"/>
      <c r="V20" s="239"/>
      <c r="W20" s="239"/>
      <c r="X20" s="239"/>
      <c r="Y20" s="239"/>
      <c r="Z20" s="239"/>
      <c r="AA20" s="239"/>
      <c r="AB20" s="239"/>
    </row>
    <row r="21">
      <c r="A21" s="123"/>
      <c r="B21" s="124"/>
      <c r="C21" s="124"/>
      <c r="E21" s="130"/>
      <c r="F21" s="128"/>
      <c r="G21" s="231"/>
      <c r="H21" s="168"/>
    </row>
    <row r="22">
      <c r="A22" s="242" t="s">
        <v>371</v>
      </c>
      <c r="B22" s="243">
        <v>4290.0</v>
      </c>
      <c r="C22" s="243">
        <v>6990.0</v>
      </c>
      <c r="D22" s="244">
        <f t="shared" ref="D22:D33" si="6">C22-B22</f>
        <v>2700</v>
      </c>
      <c r="E22" s="245" t="s">
        <v>123</v>
      </c>
      <c r="F22" s="242">
        <f t="shared" ref="F22:F23" si="7">C22*1.15</f>
        <v>8038.5</v>
      </c>
      <c r="G22" s="246"/>
      <c r="H22" s="247"/>
      <c r="I22" s="248"/>
      <c r="J22" s="248"/>
      <c r="K22" s="248"/>
      <c r="L22" s="248"/>
      <c r="M22" s="248"/>
      <c r="N22" s="248"/>
      <c r="O22" s="248"/>
      <c r="P22" s="248"/>
      <c r="Q22" s="248"/>
      <c r="R22" s="248"/>
      <c r="S22" s="248"/>
      <c r="T22" s="248"/>
      <c r="U22" s="248"/>
      <c r="V22" s="248"/>
      <c r="W22" s="248"/>
      <c r="X22" s="248"/>
      <c r="Y22" s="248"/>
      <c r="Z22" s="248"/>
      <c r="AA22" s="248"/>
      <c r="AB22" s="248"/>
    </row>
    <row r="23">
      <c r="A23" s="242" t="s">
        <v>371</v>
      </c>
      <c r="B23" s="243">
        <v>4290.0</v>
      </c>
      <c r="C23" s="243">
        <v>6990.0</v>
      </c>
      <c r="D23" s="244">
        <f t="shared" si="6"/>
        <v>2700</v>
      </c>
      <c r="E23" s="245" t="s">
        <v>123</v>
      </c>
      <c r="F23" s="242">
        <f t="shared" si="7"/>
        <v>8038.5</v>
      </c>
      <c r="G23" s="246"/>
      <c r="H23" s="247"/>
      <c r="I23" s="248"/>
      <c r="J23" s="248"/>
      <c r="K23" s="248"/>
      <c r="L23" s="248"/>
      <c r="M23" s="248"/>
      <c r="N23" s="248"/>
      <c r="O23" s="248"/>
      <c r="P23" s="248"/>
      <c r="Q23" s="248"/>
      <c r="R23" s="248"/>
      <c r="S23" s="248"/>
      <c r="T23" s="248"/>
      <c r="U23" s="248"/>
      <c r="V23" s="248"/>
      <c r="W23" s="248"/>
      <c r="X23" s="248"/>
      <c r="Y23" s="248"/>
      <c r="Z23" s="248"/>
      <c r="AA23" s="248"/>
      <c r="AB23" s="248"/>
    </row>
    <row r="24">
      <c r="A24" s="249" t="s">
        <v>372</v>
      </c>
      <c r="B24" s="244">
        <v>3490.0</v>
      </c>
      <c r="C24" s="244">
        <v>6990.0</v>
      </c>
      <c r="D24" s="244">
        <f t="shared" si="6"/>
        <v>3500</v>
      </c>
      <c r="E24" s="245" t="s">
        <v>123</v>
      </c>
      <c r="F24" s="242">
        <f>C25*1.3</f>
        <v>9087</v>
      </c>
      <c r="G24" s="246"/>
      <c r="H24" s="247"/>
      <c r="I24" s="248"/>
      <c r="J24" s="248"/>
      <c r="K24" s="248"/>
      <c r="L24" s="248"/>
      <c r="M24" s="248"/>
      <c r="N24" s="248"/>
      <c r="O24" s="248"/>
      <c r="P24" s="248"/>
      <c r="Q24" s="248"/>
      <c r="R24" s="248"/>
      <c r="S24" s="248"/>
      <c r="T24" s="248"/>
      <c r="U24" s="248"/>
      <c r="V24" s="248"/>
      <c r="W24" s="248"/>
      <c r="X24" s="248"/>
      <c r="Y24" s="248"/>
      <c r="Z24" s="248"/>
      <c r="AA24" s="248"/>
      <c r="AB24" s="248"/>
    </row>
    <row r="25">
      <c r="A25" s="249" t="s">
        <v>372</v>
      </c>
      <c r="B25" s="244">
        <v>3490.0</v>
      </c>
      <c r="C25" s="244">
        <v>6990.0</v>
      </c>
      <c r="D25" s="244">
        <f t="shared" si="6"/>
        <v>3500</v>
      </c>
      <c r="E25" s="245" t="s">
        <v>123</v>
      </c>
      <c r="F25" s="242">
        <f>C27*1.3</f>
        <v>3887</v>
      </c>
      <c r="G25" s="246"/>
      <c r="H25" s="247"/>
      <c r="I25" s="248"/>
      <c r="J25" s="248"/>
      <c r="K25" s="248"/>
      <c r="L25" s="248"/>
      <c r="M25" s="248"/>
      <c r="N25" s="248"/>
      <c r="O25" s="248"/>
      <c r="P25" s="248"/>
      <c r="Q25" s="248"/>
      <c r="R25" s="248"/>
      <c r="S25" s="248"/>
      <c r="T25" s="248"/>
      <c r="U25" s="248"/>
      <c r="V25" s="248"/>
      <c r="W25" s="248"/>
      <c r="X25" s="248"/>
      <c r="Y25" s="248"/>
      <c r="Z25" s="248"/>
      <c r="AA25" s="248"/>
      <c r="AB25" s="248"/>
    </row>
    <row r="26">
      <c r="A26" s="250" t="s">
        <v>373</v>
      </c>
      <c r="B26" s="251">
        <v>4490.0</v>
      </c>
      <c r="C26" s="243">
        <v>3490.0</v>
      </c>
      <c r="D26" s="252">
        <f t="shared" si="6"/>
        <v>-1000</v>
      </c>
      <c r="E26" s="245" t="s">
        <v>123</v>
      </c>
      <c r="F26" s="242">
        <f>C29*1.3</f>
        <v>2587</v>
      </c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248"/>
      <c r="S26" s="248"/>
      <c r="T26" s="248"/>
      <c r="U26" s="248"/>
      <c r="V26" s="248"/>
      <c r="W26" s="248"/>
      <c r="X26" s="248"/>
      <c r="Y26" s="248"/>
      <c r="Z26" s="248"/>
      <c r="AA26" s="248"/>
      <c r="AB26" s="248"/>
    </row>
    <row r="27">
      <c r="A27" s="242" t="s">
        <v>374</v>
      </c>
      <c r="B27" s="243">
        <v>1990.0</v>
      </c>
      <c r="C27" s="243">
        <v>2990.0</v>
      </c>
      <c r="D27" s="244">
        <f t="shared" si="6"/>
        <v>1000</v>
      </c>
      <c r="E27" s="245" t="s">
        <v>123</v>
      </c>
      <c r="F27" s="242">
        <f t="shared" ref="F27:F33" si="8">C27*1.15</f>
        <v>3438.5</v>
      </c>
      <c r="G27" s="246"/>
      <c r="H27" s="247"/>
      <c r="I27" s="248"/>
      <c r="J27" s="248"/>
      <c r="K27" s="248"/>
      <c r="L27" s="248"/>
      <c r="M27" s="248"/>
      <c r="N27" s="248"/>
      <c r="O27" s="248"/>
      <c r="P27" s="248"/>
      <c r="Q27" s="248"/>
      <c r="R27" s="248"/>
      <c r="S27" s="248"/>
      <c r="T27" s="248"/>
      <c r="U27" s="248"/>
      <c r="V27" s="248"/>
      <c r="W27" s="248"/>
      <c r="X27" s="248"/>
      <c r="Y27" s="248"/>
      <c r="Z27" s="248"/>
      <c r="AA27" s="248"/>
      <c r="AB27" s="248"/>
    </row>
    <row r="28">
      <c r="A28" s="242" t="s">
        <v>375</v>
      </c>
      <c r="B28" s="243">
        <v>2290.0</v>
      </c>
      <c r="C28" s="243">
        <v>2090.0</v>
      </c>
      <c r="D28" s="244">
        <f t="shared" si="6"/>
        <v>-200</v>
      </c>
      <c r="E28" s="244" t="s">
        <v>123</v>
      </c>
      <c r="F28" s="242">
        <f t="shared" si="8"/>
        <v>2403.5</v>
      </c>
      <c r="G28" s="246"/>
      <c r="H28" s="247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</row>
    <row r="29">
      <c r="A29" s="242" t="s">
        <v>376</v>
      </c>
      <c r="B29" s="243">
        <v>1490.0</v>
      </c>
      <c r="C29" s="243">
        <v>1990.0</v>
      </c>
      <c r="D29" s="244">
        <f t="shared" si="6"/>
        <v>500</v>
      </c>
      <c r="E29" s="244" t="s">
        <v>123</v>
      </c>
      <c r="F29" s="242">
        <f t="shared" si="8"/>
        <v>2288.5</v>
      </c>
      <c r="G29" s="246"/>
      <c r="H29" s="247"/>
      <c r="I29" s="248"/>
      <c r="J29" s="248"/>
      <c r="K29" s="248"/>
      <c r="L29" s="248"/>
      <c r="M29" s="248"/>
      <c r="N29" s="248"/>
      <c r="O29" s="248"/>
      <c r="P29" s="248"/>
      <c r="Q29" s="248"/>
      <c r="R29" s="248"/>
      <c r="S29" s="248"/>
      <c r="T29" s="248"/>
      <c r="U29" s="248"/>
      <c r="V29" s="248"/>
      <c r="W29" s="248"/>
      <c r="X29" s="248"/>
      <c r="Y29" s="248"/>
      <c r="Z29" s="248"/>
      <c r="AA29" s="248"/>
      <c r="AB29" s="248"/>
    </row>
    <row r="30">
      <c r="A30" s="242" t="s">
        <v>377</v>
      </c>
      <c r="B30" s="243">
        <v>1690.0</v>
      </c>
      <c r="C30" s="243">
        <v>1790.0</v>
      </c>
      <c r="D30" s="244">
        <f t="shared" si="6"/>
        <v>100</v>
      </c>
      <c r="E30" s="244" t="s">
        <v>123</v>
      </c>
      <c r="F30" s="242">
        <f t="shared" si="8"/>
        <v>2058.5</v>
      </c>
      <c r="G30" s="248"/>
      <c r="H30" s="248"/>
      <c r="I30" s="248"/>
      <c r="J30" s="248"/>
      <c r="K30" s="248"/>
      <c r="L30" s="248"/>
      <c r="M30" s="248"/>
      <c r="N30" s="248"/>
      <c r="O30" s="248"/>
      <c r="P30" s="248"/>
      <c r="Q30" s="248"/>
      <c r="R30" s="248"/>
      <c r="S30" s="248"/>
      <c r="T30" s="248"/>
      <c r="U30" s="248"/>
      <c r="V30" s="248"/>
      <c r="W30" s="248"/>
      <c r="X30" s="248"/>
      <c r="Y30" s="248"/>
      <c r="Z30" s="248"/>
      <c r="AA30" s="248"/>
      <c r="AB30" s="248"/>
    </row>
    <row r="31">
      <c r="A31" s="242" t="s">
        <v>377</v>
      </c>
      <c r="B31" s="243">
        <v>1690.0</v>
      </c>
      <c r="C31" s="243">
        <v>1790.0</v>
      </c>
      <c r="D31" s="244">
        <f t="shared" si="6"/>
        <v>100</v>
      </c>
      <c r="E31" s="244" t="s">
        <v>123</v>
      </c>
      <c r="F31" s="242">
        <f t="shared" si="8"/>
        <v>2058.5</v>
      </c>
      <c r="G31" s="248"/>
      <c r="H31" s="248"/>
      <c r="I31" s="248"/>
      <c r="J31" s="248"/>
      <c r="K31" s="248"/>
      <c r="L31" s="248"/>
      <c r="M31" s="248"/>
      <c r="N31" s="248"/>
      <c r="O31" s="248"/>
      <c r="P31" s="248"/>
      <c r="Q31" s="248"/>
      <c r="R31" s="248"/>
      <c r="S31" s="248"/>
      <c r="T31" s="248"/>
      <c r="U31" s="248"/>
      <c r="V31" s="248"/>
      <c r="W31" s="248"/>
      <c r="X31" s="248"/>
      <c r="Y31" s="248"/>
      <c r="Z31" s="248"/>
      <c r="AA31" s="248"/>
      <c r="AB31" s="248"/>
    </row>
    <row r="32">
      <c r="A32" s="250" t="s">
        <v>378</v>
      </c>
      <c r="B32" s="243">
        <v>1290.0</v>
      </c>
      <c r="C32" s="243">
        <v>1690.0</v>
      </c>
      <c r="D32" s="252">
        <f t="shared" si="6"/>
        <v>400</v>
      </c>
      <c r="E32" s="244" t="s">
        <v>123</v>
      </c>
      <c r="F32" s="242">
        <f t="shared" si="8"/>
        <v>1943.5</v>
      </c>
      <c r="G32" s="246"/>
      <c r="H32" s="247"/>
      <c r="I32" s="253"/>
      <c r="J32" s="253"/>
      <c r="K32" s="253"/>
      <c r="L32" s="253"/>
      <c r="M32" s="253"/>
      <c r="N32" s="253"/>
      <c r="O32" s="253"/>
      <c r="P32" s="253"/>
      <c r="Q32" s="253"/>
      <c r="R32" s="253"/>
      <c r="S32" s="253"/>
      <c r="T32" s="253"/>
      <c r="U32" s="253"/>
      <c r="V32" s="253"/>
      <c r="W32" s="253"/>
      <c r="X32" s="253"/>
      <c r="Y32" s="253"/>
      <c r="Z32" s="253"/>
      <c r="AA32" s="253"/>
      <c r="AB32" s="253"/>
    </row>
    <row r="33">
      <c r="A33" s="242" t="s">
        <v>379</v>
      </c>
      <c r="B33" s="243">
        <v>1490.0</v>
      </c>
      <c r="C33" s="243">
        <v>1490.0</v>
      </c>
      <c r="D33" s="244">
        <f t="shared" si="6"/>
        <v>0</v>
      </c>
      <c r="E33" s="245" t="s">
        <v>120</v>
      </c>
      <c r="F33" s="242">
        <f t="shared" si="8"/>
        <v>1713.5</v>
      </c>
      <c r="G33" s="246"/>
      <c r="H33" s="247"/>
      <c r="I33" s="248"/>
      <c r="J33" s="248"/>
      <c r="K33" s="248"/>
      <c r="L33" s="248"/>
      <c r="M33" s="248"/>
      <c r="N33" s="248"/>
      <c r="O33" s="248"/>
      <c r="P33" s="248"/>
      <c r="Q33" s="248"/>
      <c r="R33" s="248"/>
      <c r="S33" s="248"/>
      <c r="T33" s="248"/>
      <c r="U33" s="248"/>
      <c r="V33" s="248"/>
      <c r="W33" s="248"/>
      <c r="X33" s="248"/>
      <c r="Y33" s="248"/>
      <c r="Z33" s="248"/>
      <c r="AA33" s="248"/>
      <c r="AB33" s="248"/>
    </row>
    <row r="34">
      <c r="A34" s="150"/>
      <c r="B34" s="147"/>
      <c r="C34" s="147"/>
      <c r="D34" s="132"/>
      <c r="E34" s="126"/>
      <c r="F34" s="128"/>
      <c r="G34" s="231"/>
      <c r="H34" s="168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</row>
    <row r="35">
      <c r="A35" s="249" t="s">
        <v>380</v>
      </c>
      <c r="B35" s="243">
        <v>2490.0</v>
      </c>
      <c r="C35" s="243">
        <v>2990.0</v>
      </c>
      <c r="D35" s="244">
        <f t="shared" ref="D35:D36" si="9">C35-B35</f>
        <v>500</v>
      </c>
      <c r="E35" s="245" t="s">
        <v>123</v>
      </c>
      <c r="F35" s="242">
        <f t="shared" ref="F35:F36" si="10">C35*1.15</f>
        <v>3438.5</v>
      </c>
      <c r="G35" s="246"/>
      <c r="H35" s="247"/>
      <c r="I35" s="248"/>
      <c r="J35" s="248"/>
      <c r="K35" s="248"/>
      <c r="L35" s="248"/>
      <c r="M35" s="248"/>
      <c r="N35" s="248"/>
      <c r="O35" s="248"/>
      <c r="P35" s="248"/>
      <c r="Q35" s="248"/>
      <c r="R35" s="248"/>
      <c r="S35" s="248"/>
      <c r="T35" s="248"/>
      <c r="U35" s="248"/>
      <c r="V35" s="248"/>
      <c r="W35" s="248"/>
      <c r="X35" s="248"/>
      <c r="Y35" s="248"/>
      <c r="Z35" s="248"/>
      <c r="AA35" s="248"/>
      <c r="AB35" s="248"/>
    </row>
    <row r="36">
      <c r="A36" s="250" t="s">
        <v>380</v>
      </c>
      <c r="B36" s="243">
        <v>2490.0</v>
      </c>
      <c r="C36" s="243">
        <v>2990.0</v>
      </c>
      <c r="D36" s="252">
        <f t="shared" si="9"/>
        <v>500</v>
      </c>
      <c r="E36" s="245" t="s">
        <v>123</v>
      </c>
      <c r="F36" s="242">
        <f t="shared" si="10"/>
        <v>3438.5</v>
      </c>
      <c r="G36" s="246"/>
      <c r="H36" s="247"/>
      <c r="I36" s="248"/>
      <c r="J36" s="248"/>
      <c r="K36" s="248"/>
      <c r="L36" s="248"/>
      <c r="M36" s="248"/>
      <c r="N36" s="248"/>
      <c r="O36" s="248"/>
      <c r="P36" s="248"/>
      <c r="Q36" s="248"/>
      <c r="R36" s="248"/>
      <c r="S36" s="248"/>
      <c r="T36" s="248"/>
      <c r="U36" s="248"/>
      <c r="V36" s="248"/>
      <c r="W36" s="248"/>
      <c r="X36" s="248"/>
      <c r="Y36" s="248"/>
      <c r="Z36" s="248"/>
      <c r="AA36" s="248"/>
      <c r="AB36" s="248"/>
    </row>
    <row r="37">
      <c r="A37" s="128"/>
      <c r="B37" s="147"/>
      <c r="C37" s="147"/>
      <c r="D37" s="149"/>
      <c r="E37" s="126"/>
      <c r="F37" s="128"/>
      <c r="G37" s="231"/>
      <c r="H37" s="168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</row>
    <row r="38">
      <c r="A38" s="242" t="s">
        <v>381</v>
      </c>
      <c r="B38" s="243">
        <v>590.0</v>
      </c>
      <c r="C38" s="243">
        <v>2090.0</v>
      </c>
      <c r="D38" s="244">
        <f t="shared" ref="D38:D40" si="11">C38-B38</f>
        <v>1500</v>
      </c>
      <c r="E38" s="245" t="s">
        <v>123</v>
      </c>
      <c r="F38" s="242">
        <f>C185*1.3</f>
        <v>897</v>
      </c>
      <c r="G38" s="246"/>
      <c r="H38" s="247"/>
      <c r="I38" s="248"/>
      <c r="J38" s="248"/>
      <c r="K38" s="248"/>
      <c r="L38" s="248"/>
      <c r="M38" s="248"/>
      <c r="N38" s="248"/>
      <c r="O38" s="248"/>
      <c r="P38" s="248"/>
      <c r="Q38" s="248"/>
      <c r="R38" s="248"/>
      <c r="S38" s="248"/>
      <c r="T38" s="248"/>
      <c r="U38" s="248"/>
      <c r="V38" s="248"/>
      <c r="W38" s="248"/>
      <c r="X38" s="248"/>
      <c r="Y38" s="248"/>
      <c r="Z38" s="248"/>
      <c r="AA38" s="248"/>
      <c r="AB38" s="248"/>
    </row>
    <row r="39">
      <c r="A39" s="242" t="s">
        <v>382</v>
      </c>
      <c r="B39" s="243">
        <v>1490.0</v>
      </c>
      <c r="C39" s="243">
        <v>1490.0</v>
      </c>
      <c r="D39" s="252">
        <f t="shared" si="11"/>
        <v>0</v>
      </c>
      <c r="E39" s="245" t="s">
        <v>123</v>
      </c>
      <c r="F39" s="242">
        <f t="shared" ref="F39:F40" si="12">C39*1.15</f>
        <v>1713.5</v>
      </c>
      <c r="G39" s="246"/>
      <c r="H39" s="247"/>
      <c r="I39" s="248"/>
      <c r="J39" s="248"/>
      <c r="K39" s="248"/>
      <c r="L39" s="248"/>
      <c r="M39" s="248"/>
      <c r="N39" s="248"/>
      <c r="O39" s="248"/>
      <c r="P39" s="248"/>
      <c r="Q39" s="248"/>
      <c r="R39" s="248"/>
      <c r="S39" s="248"/>
      <c r="T39" s="248"/>
      <c r="U39" s="248"/>
      <c r="V39" s="248"/>
      <c r="W39" s="248"/>
      <c r="X39" s="248"/>
      <c r="Y39" s="248"/>
      <c r="Z39" s="248"/>
      <c r="AA39" s="248"/>
      <c r="AB39" s="248"/>
    </row>
    <row r="40">
      <c r="A40" s="242" t="s">
        <v>383</v>
      </c>
      <c r="B40" s="243">
        <v>490.0</v>
      </c>
      <c r="C40" s="243">
        <v>1490.0</v>
      </c>
      <c r="D40" s="244">
        <f t="shared" si="11"/>
        <v>1000</v>
      </c>
      <c r="E40" s="245" t="s">
        <v>120</v>
      </c>
      <c r="F40" s="242">
        <f t="shared" si="12"/>
        <v>1713.5</v>
      </c>
      <c r="G40" s="246"/>
      <c r="H40" s="247"/>
      <c r="I40" s="248"/>
      <c r="J40" s="248"/>
      <c r="K40" s="248"/>
      <c r="L40" s="248"/>
      <c r="M40" s="248"/>
      <c r="N40" s="248"/>
      <c r="O40" s="248"/>
      <c r="P40" s="248"/>
      <c r="Q40" s="248"/>
      <c r="R40" s="248"/>
      <c r="S40" s="248"/>
      <c r="T40" s="248"/>
      <c r="U40" s="248"/>
      <c r="V40" s="248"/>
      <c r="W40" s="248"/>
      <c r="X40" s="248"/>
      <c r="Y40" s="248"/>
      <c r="Z40" s="248"/>
      <c r="AA40" s="248"/>
      <c r="AB40" s="248"/>
    </row>
    <row r="41">
      <c r="A41" s="159"/>
      <c r="B41" s="147"/>
      <c r="C41" s="147"/>
      <c r="D41" s="132"/>
      <c r="E41" s="126"/>
      <c r="F41" s="128"/>
      <c r="G41" s="231"/>
      <c r="H41" s="168"/>
    </row>
    <row r="42">
      <c r="A42" s="254" t="s">
        <v>384</v>
      </c>
      <c r="B42" s="243">
        <v>990.0</v>
      </c>
      <c r="C42" s="243">
        <v>2490.0</v>
      </c>
      <c r="D42" s="244">
        <f t="shared" ref="D42:D44" si="13">C42-B42</f>
        <v>1500</v>
      </c>
      <c r="E42" s="245" t="s">
        <v>123</v>
      </c>
      <c r="F42" s="242">
        <f t="shared" ref="F42:F44" si="14">C42*1.15</f>
        <v>2863.5</v>
      </c>
      <c r="G42" s="246"/>
      <c r="H42" s="247"/>
      <c r="I42" s="253"/>
      <c r="J42" s="253"/>
      <c r="K42" s="253"/>
      <c r="L42" s="253"/>
      <c r="M42" s="253"/>
      <c r="N42" s="253"/>
      <c r="O42" s="253"/>
      <c r="P42" s="253"/>
      <c r="Q42" s="253"/>
      <c r="R42" s="253"/>
      <c r="S42" s="253"/>
      <c r="T42" s="253"/>
      <c r="U42" s="253"/>
      <c r="V42" s="253"/>
      <c r="W42" s="253"/>
      <c r="X42" s="253"/>
      <c r="Y42" s="253"/>
      <c r="Z42" s="253"/>
      <c r="AA42" s="253"/>
      <c r="AB42" s="253"/>
    </row>
    <row r="43">
      <c r="A43" s="249" t="s">
        <v>385</v>
      </c>
      <c r="B43" s="243">
        <v>1990.0</v>
      </c>
      <c r="C43" s="243">
        <v>2490.0</v>
      </c>
      <c r="D43" s="244">
        <f t="shared" si="13"/>
        <v>500</v>
      </c>
      <c r="E43" s="245" t="s">
        <v>123</v>
      </c>
      <c r="F43" s="242">
        <f t="shared" si="14"/>
        <v>2863.5</v>
      </c>
      <c r="G43" s="246"/>
      <c r="H43" s="247"/>
      <c r="I43" s="248"/>
      <c r="J43" s="248"/>
      <c r="K43" s="248"/>
      <c r="L43" s="248"/>
      <c r="M43" s="248"/>
      <c r="N43" s="248"/>
      <c r="O43" s="248"/>
      <c r="P43" s="248"/>
      <c r="Q43" s="248"/>
      <c r="R43" s="248"/>
      <c r="S43" s="248"/>
      <c r="T43" s="248"/>
      <c r="U43" s="248"/>
      <c r="V43" s="248"/>
      <c r="W43" s="248"/>
      <c r="X43" s="248"/>
      <c r="Y43" s="248"/>
      <c r="Z43" s="248"/>
      <c r="AA43" s="248"/>
      <c r="AB43" s="248"/>
    </row>
    <row r="44">
      <c r="A44" s="242" t="s">
        <v>385</v>
      </c>
      <c r="B44" s="243">
        <v>1990.0</v>
      </c>
      <c r="C44" s="243">
        <v>2490.0</v>
      </c>
      <c r="D44" s="244">
        <f t="shared" si="13"/>
        <v>500</v>
      </c>
      <c r="E44" s="245" t="s">
        <v>123</v>
      </c>
      <c r="F44" s="242">
        <f t="shared" si="14"/>
        <v>2863.5</v>
      </c>
      <c r="G44" s="246"/>
      <c r="H44" s="247"/>
      <c r="I44" s="248"/>
      <c r="J44" s="248"/>
      <c r="K44" s="248"/>
      <c r="L44" s="248"/>
      <c r="M44" s="248"/>
      <c r="N44" s="248"/>
      <c r="O44" s="248"/>
      <c r="P44" s="248"/>
      <c r="Q44" s="248"/>
      <c r="R44" s="248"/>
      <c r="S44" s="248"/>
      <c r="T44" s="248"/>
      <c r="U44" s="248"/>
      <c r="V44" s="248"/>
      <c r="W44" s="248"/>
      <c r="X44" s="248"/>
      <c r="Y44" s="248"/>
      <c r="Z44" s="248"/>
      <c r="AA44" s="248"/>
      <c r="AB44" s="248"/>
    </row>
    <row r="45">
      <c r="A45" s="150"/>
      <c r="B45" s="147"/>
      <c r="C45" s="147"/>
      <c r="D45" s="132"/>
      <c r="E45" s="126"/>
      <c r="F45" s="139"/>
      <c r="I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</row>
    <row r="46">
      <c r="A46" s="255" t="s">
        <v>386</v>
      </c>
      <c r="B46" s="256">
        <v>290.0</v>
      </c>
      <c r="C46" s="256">
        <v>2490.0</v>
      </c>
      <c r="D46" s="257">
        <f>C46-B46</f>
        <v>2200</v>
      </c>
      <c r="E46" s="258" t="s">
        <v>123</v>
      </c>
      <c r="F46" s="259">
        <f>C38*1.3</f>
        <v>2717</v>
      </c>
      <c r="G46" s="260"/>
      <c r="H46" s="261"/>
      <c r="I46" s="262"/>
      <c r="J46" s="262"/>
      <c r="K46" s="262"/>
      <c r="L46" s="262"/>
      <c r="M46" s="262"/>
      <c r="N46" s="262"/>
      <c r="O46" s="262"/>
      <c r="P46" s="262"/>
      <c r="Q46" s="262"/>
      <c r="R46" s="262"/>
      <c r="S46" s="262"/>
      <c r="T46" s="262"/>
      <c r="U46" s="262"/>
      <c r="V46" s="262"/>
      <c r="W46" s="262"/>
      <c r="X46" s="262"/>
      <c r="Y46" s="262"/>
      <c r="Z46" s="262"/>
      <c r="AA46" s="262"/>
      <c r="AB46" s="262"/>
    </row>
    <row r="47">
      <c r="A47" s="122"/>
      <c r="B47" s="124"/>
      <c r="C47" s="124"/>
      <c r="M47" s="123"/>
      <c r="N47" s="225"/>
    </row>
    <row r="48">
      <c r="A48" s="122" t="s">
        <v>191</v>
      </c>
      <c r="B48" s="124"/>
      <c r="C48" s="124"/>
      <c r="E48" s="124"/>
      <c r="F48" s="124"/>
    </row>
    <row r="49">
      <c r="A49" s="255" t="s">
        <v>387</v>
      </c>
      <c r="B49" s="263">
        <v>590.0</v>
      </c>
      <c r="C49" s="263">
        <v>2090.0</v>
      </c>
      <c r="D49" s="257">
        <f t="shared" ref="D49:D52" si="15">C49-B49</f>
        <v>1500</v>
      </c>
      <c r="E49" s="258" t="s">
        <v>120</v>
      </c>
      <c r="F49" s="259">
        <f t="shared" ref="F49:F52" si="16">C49*1.15</f>
        <v>2403.5</v>
      </c>
      <c r="G49" s="260"/>
      <c r="H49" s="261"/>
      <c r="I49" s="264"/>
      <c r="J49" s="262"/>
      <c r="K49" s="262"/>
      <c r="L49" s="264"/>
      <c r="M49" s="264"/>
      <c r="N49" s="264"/>
      <c r="O49" s="264"/>
      <c r="P49" s="264"/>
      <c r="Q49" s="264"/>
      <c r="R49" s="264"/>
      <c r="S49" s="264"/>
      <c r="T49" s="264"/>
      <c r="U49" s="264"/>
      <c r="V49" s="264"/>
      <c r="W49" s="264"/>
      <c r="X49" s="264"/>
      <c r="Y49" s="264"/>
      <c r="Z49" s="264"/>
      <c r="AA49" s="264"/>
      <c r="AB49" s="264"/>
    </row>
    <row r="50">
      <c r="A50" s="255" t="s">
        <v>388</v>
      </c>
      <c r="B50" s="263">
        <v>1090.0</v>
      </c>
      <c r="C50" s="263">
        <v>790.0</v>
      </c>
      <c r="D50" s="257">
        <f t="shared" si="15"/>
        <v>-300</v>
      </c>
      <c r="E50" s="258" t="s">
        <v>120</v>
      </c>
      <c r="F50" s="259">
        <f t="shared" si="16"/>
        <v>908.5</v>
      </c>
      <c r="G50" s="260"/>
      <c r="H50" s="261"/>
      <c r="I50" s="262"/>
      <c r="J50" s="262"/>
      <c r="K50" s="262"/>
      <c r="L50" s="262"/>
      <c r="M50" s="262"/>
      <c r="N50" s="262"/>
      <c r="O50" s="262"/>
      <c r="P50" s="262"/>
      <c r="Q50" s="262"/>
      <c r="R50" s="262"/>
      <c r="S50" s="262"/>
      <c r="T50" s="262"/>
      <c r="U50" s="262"/>
      <c r="V50" s="262"/>
      <c r="W50" s="262"/>
      <c r="X50" s="262"/>
      <c r="Y50" s="262"/>
      <c r="Z50" s="262"/>
      <c r="AA50" s="262"/>
      <c r="AB50" s="262"/>
    </row>
    <row r="51">
      <c r="A51" s="255" t="s">
        <v>389</v>
      </c>
      <c r="B51" s="263">
        <v>590.0</v>
      </c>
      <c r="C51" s="263">
        <v>590.0</v>
      </c>
      <c r="D51" s="257">
        <f t="shared" si="15"/>
        <v>0</v>
      </c>
      <c r="E51" s="258" t="s">
        <v>123</v>
      </c>
      <c r="F51" s="259">
        <f t="shared" si="16"/>
        <v>678.5</v>
      </c>
      <c r="G51" s="260"/>
      <c r="H51" s="261"/>
      <c r="I51" s="262"/>
      <c r="J51" s="262"/>
      <c r="K51" s="262"/>
      <c r="L51" s="262"/>
      <c r="M51" s="262"/>
      <c r="N51" s="262"/>
      <c r="O51" s="262"/>
      <c r="P51" s="262"/>
      <c r="Q51" s="262"/>
      <c r="R51" s="262"/>
      <c r="S51" s="262"/>
      <c r="T51" s="262"/>
      <c r="U51" s="262"/>
      <c r="V51" s="262"/>
      <c r="W51" s="262"/>
      <c r="X51" s="262"/>
      <c r="Y51" s="262"/>
      <c r="Z51" s="262"/>
      <c r="AA51" s="262"/>
      <c r="AB51" s="262"/>
    </row>
    <row r="52">
      <c r="A52" s="255" t="s">
        <v>390</v>
      </c>
      <c r="B52" s="263">
        <v>1090.0</v>
      </c>
      <c r="C52" s="263">
        <v>590.0</v>
      </c>
      <c r="D52" s="257">
        <f t="shared" si="15"/>
        <v>-500</v>
      </c>
      <c r="E52" s="258" t="s">
        <v>123</v>
      </c>
      <c r="F52" s="259">
        <f t="shared" si="16"/>
        <v>678.5</v>
      </c>
      <c r="G52" s="260"/>
      <c r="H52" s="261"/>
      <c r="I52" s="262"/>
      <c r="J52" s="262"/>
      <c r="K52" s="262"/>
      <c r="L52" s="262"/>
      <c r="M52" s="262"/>
      <c r="N52" s="262"/>
      <c r="O52" s="262"/>
      <c r="P52" s="262"/>
      <c r="Q52" s="262"/>
      <c r="R52" s="262"/>
      <c r="S52" s="262"/>
      <c r="T52" s="262"/>
      <c r="U52" s="262"/>
      <c r="V52" s="262"/>
      <c r="W52" s="262"/>
      <c r="X52" s="262"/>
      <c r="Y52" s="262"/>
      <c r="Z52" s="262"/>
      <c r="AA52" s="262"/>
      <c r="AB52" s="262"/>
    </row>
    <row r="53">
      <c r="A53" s="123"/>
      <c r="B53" s="124"/>
      <c r="C53" s="124"/>
      <c r="E53" s="126"/>
      <c r="F53" s="128"/>
      <c r="I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</row>
    <row r="54">
      <c r="A54" s="122" t="s">
        <v>391</v>
      </c>
      <c r="B54" s="147"/>
      <c r="C54" s="124"/>
      <c r="E54" s="124"/>
      <c r="F54" s="124"/>
    </row>
    <row r="55">
      <c r="A55" s="232" t="s">
        <v>392</v>
      </c>
      <c r="B55" s="233">
        <v>4990.0</v>
      </c>
      <c r="C55" s="265">
        <v>4990.0</v>
      </c>
      <c r="D55" s="266">
        <f t="shared" ref="D55:D59" si="17">C55-B55</f>
        <v>0</v>
      </c>
      <c r="E55" s="233"/>
      <c r="F55" s="233"/>
      <c r="G55" s="239"/>
      <c r="H55" s="239"/>
      <c r="I55" s="239"/>
      <c r="J55" s="239"/>
      <c r="K55" s="239"/>
      <c r="L55" s="239"/>
      <c r="M55" s="239"/>
      <c r="N55" s="239"/>
      <c r="O55" s="239"/>
      <c r="P55" s="239"/>
      <c r="Q55" s="239"/>
      <c r="R55" s="239"/>
      <c r="S55" s="239"/>
      <c r="T55" s="239"/>
      <c r="U55" s="239"/>
      <c r="V55" s="239"/>
      <c r="W55" s="239"/>
      <c r="X55" s="239"/>
      <c r="Y55" s="239"/>
      <c r="Z55" s="239"/>
      <c r="AA55" s="239"/>
      <c r="AB55" s="239"/>
    </row>
    <row r="56">
      <c r="A56" s="267" t="s">
        <v>393</v>
      </c>
      <c r="B56" s="265">
        <v>5490.0</v>
      </c>
      <c r="C56" s="265">
        <v>3490.0</v>
      </c>
      <c r="D56" s="266">
        <f t="shared" si="17"/>
        <v>-2000</v>
      </c>
      <c r="E56" s="268"/>
      <c r="F56" s="268"/>
      <c r="G56" s="267"/>
      <c r="H56" s="240"/>
      <c r="I56" s="240"/>
      <c r="J56" s="240"/>
      <c r="K56" s="240"/>
      <c r="L56" s="240"/>
      <c r="M56" s="240"/>
      <c r="N56" s="240"/>
      <c r="O56" s="240"/>
      <c r="P56" s="240"/>
      <c r="Q56" s="240"/>
      <c r="R56" s="240"/>
      <c r="S56" s="240"/>
      <c r="T56" s="240"/>
      <c r="U56" s="240"/>
      <c r="V56" s="240"/>
      <c r="W56" s="240"/>
      <c r="X56" s="240"/>
      <c r="Y56" s="240"/>
      <c r="Z56" s="240"/>
      <c r="AA56" s="240"/>
      <c r="AB56" s="240"/>
    </row>
    <row r="57">
      <c r="A57" s="232" t="s">
        <v>393</v>
      </c>
      <c r="B57" s="233">
        <v>5490.0</v>
      </c>
      <c r="C57" s="233">
        <v>3490.0</v>
      </c>
      <c r="D57" s="234">
        <f t="shared" si="17"/>
        <v>-2000</v>
      </c>
      <c r="E57" s="241"/>
      <c r="F57" s="266"/>
      <c r="G57" s="232"/>
      <c r="H57" s="239"/>
      <c r="I57" s="239"/>
      <c r="J57" s="239"/>
      <c r="K57" s="239"/>
      <c r="L57" s="239"/>
      <c r="M57" s="239"/>
      <c r="N57" s="239"/>
      <c r="O57" s="239"/>
      <c r="P57" s="239"/>
      <c r="Q57" s="239"/>
      <c r="R57" s="239"/>
      <c r="S57" s="239"/>
      <c r="T57" s="239"/>
      <c r="U57" s="239"/>
      <c r="V57" s="239"/>
      <c r="W57" s="239"/>
      <c r="X57" s="239"/>
      <c r="Y57" s="239"/>
      <c r="Z57" s="239"/>
      <c r="AA57" s="239"/>
      <c r="AB57" s="239"/>
    </row>
    <row r="58">
      <c r="A58" s="232" t="s">
        <v>393</v>
      </c>
      <c r="B58" s="233">
        <v>5490.0</v>
      </c>
      <c r="C58" s="233">
        <v>3490.0</v>
      </c>
      <c r="D58" s="234">
        <f t="shared" si="17"/>
        <v>-2000</v>
      </c>
      <c r="E58" s="241"/>
      <c r="F58" s="266"/>
      <c r="G58" s="232"/>
      <c r="H58" s="239"/>
      <c r="I58" s="239"/>
      <c r="J58" s="239"/>
      <c r="K58" s="239"/>
      <c r="L58" s="239"/>
      <c r="M58" s="239"/>
      <c r="N58" s="239"/>
      <c r="O58" s="239"/>
      <c r="P58" s="239"/>
      <c r="Q58" s="239"/>
      <c r="R58" s="239"/>
      <c r="S58" s="239"/>
      <c r="T58" s="239"/>
      <c r="U58" s="239"/>
      <c r="V58" s="239"/>
      <c r="W58" s="239"/>
      <c r="X58" s="239"/>
      <c r="Y58" s="239"/>
      <c r="Z58" s="239"/>
      <c r="AA58" s="239"/>
      <c r="AB58" s="239"/>
    </row>
    <row r="59">
      <c r="A59" s="128" t="s">
        <v>394</v>
      </c>
      <c r="B59" s="147">
        <v>1790.0</v>
      </c>
      <c r="C59" s="147">
        <v>690.0</v>
      </c>
      <c r="D59" s="132">
        <f t="shared" si="17"/>
        <v>-1100</v>
      </c>
      <c r="E59" s="132"/>
      <c r="F59" s="127"/>
      <c r="G59" s="150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  <c r="AA59" s="129"/>
      <c r="AB59" s="129"/>
    </row>
    <row r="61">
      <c r="A61" s="123" t="s">
        <v>395</v>
      </c>
      <c r="B61" s="147">
        <v>1990.0</v>
      </c>
      <c r="C61" s="147">
        <v>1390.0</v>
      </c>
      <c r="D61" s="125">
        <f t="shared" ref="D61:D63" si="18">C61-B61</f>
        <v>-600</v>
      </c>
      <c r="E61" s="126"/>
      <c r="F61" s="124"/>
    </row>
    <row r="62">
      <c r="A62" s="123" t="s">
        <v>395</v>
      </c>
      <c r="B62" s="147">
        <v>1990.0</v>
      </c>
      <c r="C62" s="147">
        <v>1390.0</v>
      </c>
      <c r="D62" s="125">
        <f t="shared" si="18"/>
        <v>-600</v>
      </c>
      <c r="E62" s="126"/>
      <c r="F62" s="124"/>
    </row>
    <row r="63">
      <c r="A63" s="123" t="s">
        <v>395</v>
      </c>
      <c r="B63" s="147">
        <v>1990.0</v>
      </c>
      <c r="C63" s="147">
        <v>1390.0</v>
      </c>
      <c r="D63" s="125">
        <f t="shared" si="18"/>
        <v>-600</v>
      </c>
      <c r="E63" s="126"/>
      <c r="F63" s="124"/>
    </row>
    <row r="65">
      <c r="A65" s="150" t="s">
        <v>396</v>
      </c>
      <c r="B65" s="147">
        <v>1990.0</v>
      </c>
      <c r="C65" s="147">
        <v>1390.0</v>
      </c>
      <c r="D65" s="132">
        <f t="shared" ref="D65:D69" si="19">C65-B65</f>
        <v>-600</v>
      </c>
      <c r="E65" s="139"/>
      <c r="F65" s="139"/>
      <c r="G65" s="150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  <c r="AA65" s="129"/>
      <c r="AB65" s="129"/>
    </row>
    <row r="66">
      <c r="A66" s="150" t="s">
        <v>396</v>
      </c>
      <c r="B66" s="147">
        <v>1990.0</v>
      </c>
      <c r="C66" s="147">
        <v>1390.0</v>
      </c>
      <c r="D66" s="132">
        <f t="shared" si="19"/>
        <v>-600</v>
      </c>
      <c r="E66" s="139"/>
      <c r="F66" s="139"/>
      <c r="G66" s="150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  <c r="AA66" s="129"/>
      <c r="AB66" s="129"/>
    </row>
    <row r="67">
      <c r="A67" s="150" t="s">
        <v>396</v>
      </c>
      <c r="B67" s="147">
        <v>1990.0</v>
      </c>
      <c r="C67" s="147">
        <v>1390.0</v>
      </c>
      <c r="D67" s="132">
        <f t="shared" si="19"/>
        <v>-600</v>
      </c>
      <c r="E67" s="139"/>
      <c r="F67" s="139"/>
      <c r="G67" s="150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  <c r="AA67" s="129"/>
      <c r="AB67" s="129"/>
    </row>
    <row r="68">
      <c r="A68" s="150" t="s">
        <v>396</v>
      </c>
      <c r="B68" s="147">
        <v>1990.0</v>
      </c>
      <c r="C68" s="147">
        <v>1390.0</v>
      </c>
      <c r="D68" s="132">
        <f t="shared" si="19"/>
        <v>-600</v>
      </c>
      <c r="E68" s="139"/>
      <c r="F68" s="132"/>
      <c r="G68" s="150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  <c r="AA68" s="129"/>
      <c r="AB68" s="129"/>
    </row>
    <row r="69">
      <c r="A69" s="150" t="s">
        <v>396</v>
      </c>
      <c r="B69" s="147">
        <v>1990.0</v>
      </c>
      <c r="C69" s="147">
        <v>1390.0</v>
      </c>
      <c r="D69" s="132">
        <f t="shared" si="19"/>
        <v>-600</v>
      </c>
      <c r="E69" s="139"/>
      <c r="F69" s="139"/>
      <c r="G69" s="150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  <c r="AA69" s="129"/>
      <c r="AB69" s="129"/>
    </row>
    <row r="70">
      <c r="A70" s="128"/>
      <c r="B70" s="147"/>
      <c r="C70" s="147"/>
      <c r="D70" s="132"/>
      <c r="E70" s="126"/>
      <c r="F70" s="127"/>
      <c r="G70" s="123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  <c r="AA70" s="129"/>
      <c r="AB70" s="129"/>
    </row>
    <row r="71">
      <c r="A71" s="128" t="s">
        <v>397</v>
      </c>
      <c r="B71" s="147">
        <v>3990.0</v>
      </c>
      <c r="C71" s="147">
        <v>4990.0</v>
      </c>
      <c r="D71" s="132">
        <f t="shared" ref="D71:D73" si="20">C71-B71</f>
        <v>1000</v>
      </c>
      <c r="E71" s="139"/>
      <c r="F71" s="13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  <c r="AA71" s="129"/>
      <c r="AB71" s="129"/>
    </row>
    <row r="72">
      <c r="A72" s="128" t="s">
        <v>398</v>
      </c>
      <c r="B72" s="124">
        <v>1490.0</v>
      </c>
      <c r="C72" s="124">
        <v>1590.0</v>
      </c>
      <c r="D72" s="132">
        <f t="shared" si="20"/>
        <v>100</v>
      </c>
      <c r="E72" s="127"/>
      <c r="F72" s="13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  <c r="AA72" s="129"/>
      <c r="AB72" s="129"/>
    </row>
    <row r="73">
      <c r="A73" s="128" t="s">
        <v>399</v>
      </c>
      <c r="B73" s="167">
        <v>1490.0</v>
      </c>
      <c r="C73" s="167">
        <v>690.0</v>
      </c>
      <c r="D73" s="125">
        <f t="shared" si="20"/>
        <v>-800</v>
      </c>
      <c r="E73" s="132"/>
      <c r="F73" s="139"/>
      <c r="G73" s="150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  <c r="AA73" s="129"/>
      <c r="AB73" s="129"/>
    </row>
    <row r="74">
      <c r="A74" s="128"/>
      <c r="B74" s="147"/>
      <c r="C74" s="147"/>
      <c r="D74" s="132"/>
      <c r="E74" s="139"/>
      <c r="F74" s="13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  <c r="AA74" s="129"/>
      <c r="AB74" s="129"/>
    </row>
    <row r="75">
      <c r="A75" s="123" t="s">
        <v>400</v>
      </c>
      <c r="B75" s="124">
        <v>1490.0</v>
      </c>
      <c r="C75" s="124">
        <v>1490.0</v>
      </c>
      <c r="D75" s="125">
        <f t="shared" ref="D75:D77" si="21">C75-B75</f>
        <v>0</v>
      </c>
      <c r="E75" s="147"/>
      <c r="F75" s="124"/>
    </row>
    <row r="76">
      <c r="A76" s="123" t="s">
        <v>401</v>
      </c>
      <c r="B76" s="147">
        <v>1490.0</v>
      </c>
      <c r="C76" s="147">
        <v>1490.0</v>
      </c>
      <c r="D76" s="125">
        <f t="shared" si="21"/>
        <v>0</v>
      </c>
      <c r="E76" s="147"/>
      <c r="F76" s="124"/>
    </row>
    <row r="77">
      <c r="A77" s="123" t="s">
        <v>402</v>
      </c>
      <c r="B77" s="124">
        <v>1490.0</v>
      </c>
      <c r="C77" s="124">
        <v>1490.0</v>
      </c>
      <c r="D77" s="125">
        <f t="shared" si="21"/>
        <v>0</v>
      </c>
      <c r="E77" s="147"/>
      <c r="F77" s="124"/>
    </row>
    <row r="79">
      <c r="A79" s="269" t="s">
        <v>403</v>
      </c>
      <c r="B79" s="147">
        <v>1990.0</v>
      </c>
      <c r="C79" s="147">
        <v>1790.0</v>
      </c>
      <c r="D79" s="125">
        <f t="shared" ref="D79:D96" si="22">C79-B79</f>
        <v>-200</v>
      </c>
      <c r="E79" s="139"/>
      <c r="F79" s="13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  <c r="AA79" s="129"/>
      <c r="AB79" s="129"/>
    </row>
    <row r="80">
      <c r="A80" s="269" t="s">
        <v>404</v>
      </c>
      <c r="B80" s="147">
        <v>590.0</v>
      </c>
      <c r="C80" s="147">
        <v>1090.0</v>
      </c>
      <c r="D80" s="125">
        <f t="shared" si="22"/>
        <v>500</v>
      </c>
      <c r="E80" s="139"/>
      <c r="F80" s="13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  <c r="AA80" s="129"/>
      <c r="AB80" s="129"/>
    </row>
    <row r="81">
      <c r="A81" s="128" t="s">
        <v>405</v>
      </c>
      <c r="B81" s="147">
        <v>590.0</v>
      </c>
      <c r="C81" s="147">
        <v>1090.0</v>
      </c>
      <c r="D81" s="132">
        <f t="shared" si="22"/>
        <v>500</v>
      </c>
      <c r="E81" s="132"/>
      <c r="F81" s="13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  <c r="AA81" s="129"/>
      <c r="AB81" s="129"/>
    </row>
    <row r="82">
      <c r="A82" s="123" t="s">
        <v>406</v>
      </c>
      <c r="B82" s="147">
        <v>990.0</v>
      </c>
      <c r="C82" s="147">
        <v>1390.0</v>
      </c>
      <c r="D82" s="125">
        <f t="shared" si="22"/>
        <v>400</v>
      </c>
      <c r="E82" s="126"/>
      <c r="F82" s="124"/>
    </row>
    <row r="83">
      <c r="A83" s="128" t="s">
        <v>407</v>
      </c>
      <c r="B83" s="147">
        <v>990.0</v>
      </c>
      <c r="C83" s="147">
        <v>1390.0</v>
      </c>
      <c r="D83" s="132">
        <f t="shared" si="22"/>
        <v>400</v>
      </c>
      <c r="E83" s="126"/>
      <c r="F83" s="13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</row>
    <row r="84">
      <c r="A84" s="128" t="s">
        <v>408</v>
      </c>
      <c r="B84" s="124">
        <v>490.0</v>
      </c>
      <c r="C84" s="124">
        <v>1090.0</v>
      </c>
      <c r="D84" s="125">
        <f t="shared" si="22"/>
        <v>600</v>
      </c>
      <c r="E84" s="126"/>
      <c r="F84" s="13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  <c r="AA84" s="129"/>
      <c r="AB84" s="129"/>
    </row>
    <row r="85">
      <c r="A85" s="150" t="s">
        <v>409</v>
      </c>
      <c r="B85" s="124">
        <v>490.0</v>
      </c>
      <c r="C85" s="124">
        <v>1090.0</v>
      </c>
      <c r="D85" s="132">
        <f t="shared" si="22"/>
        <v>600</v>
      </c>
      <c r="E85" s="139"/>
      <c r="F85" s="13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</row>
    <row r="86">
      <c r="A86" s="150" t="s">
        <v>410</v>
      </c>
      <c r="B86" s="147">
        <v>590.0</v>
      </c>
      <c r="C86" s="147">
        <v>1090.0</v>
      </c>
      <c r="D86" s="132">
        <f t="shared" si="22"/>
        <v>500</v>
      </c>
      <c r="E86" s="147"/>
      <c r="F86" s="13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</row>
    <row r="87">
      <c r="A87" s="123" t="s">
        <v>411</v>
      </c>
      <c r="B87" s="124">
        <v>690.0</v>
      </c>
      <c r="C87" s="147">
        <v>1090.0</v>
      </c>
      <c r="D87" s="125">
        <f t="shared" si="22"/>
        <v>400</v>
      </c>
      <c r="E87" s="147"/>
      <c r="F87" s="124"/>
    </row>
    <row r="88">
      <c r="A88" s="128" t="s">
        <v>122</v>
      </c>
      <c r="B88" s="147">
        <v>990.0</v>
      </c>
      <c r="C88" s="147">
        <v>890.0</v>
      </c>
      <c r="D88" s="132">
        <f t="shared" si="22"/>
        <v>-100</v>
      </c>
      <c r="E88" s="132"/>
      <c r="F88" s="13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</row>
    <row r="89">
      <c r="A89" s="128" t="s">
        <v>412</v>
      </c>
      <c r="B89" s="147">
        <v>490.0</v>
      </c>
      <c r="C89" s="147">
        <v>690.0</v>
      </c>
      <c r="D89" s="132">
        <f t="shared" si="22"/>
        <v>200</v>
      </c>
      <c r="E89" s="127"/>
      <c r="F89" s="13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</row>
    <row r="90">
      <c r="A90" s="150" t="s">
        <v>413</v>
      </c>
      <c r="B90" s="147">
        <v>690.0</v>
      </c>
      <c r="C90" s="147">
        <v>690.0</v>
      </c>
      <c r="D90" s="132">
        <f t="shared" si="22"/>
        <v>0</v>
      </c>
      <c r="E90" s="127"/>
      <c r="F90" s="13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</row>
    <row r="91">
      <c r="A91" s="128" t="s">
        <v>414</v>
      </c>
      <c r="B91" s="147">
        <v>590.0</v>
      </c>
      <c r="C91" s="124">
        <v>590.0</v>
      </c>
      <c r="D91" s="132">
        <f t="shared" si="22"/>
        <v>0</v>
      </c>
      <c r="E91" s="139"/>
      <c r="F91" s="13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</row>
    <row r="92">
      <c r="A92" s="128" t="s">
        <v>415</v>
      </c>
      <c r="B92" s="124">
        <v>490.0</v>
      </c>
      <c r="C92" s="124">
        <v>490.0</v>
      </c>
      <c r="D92" s="132">
        <f t="shared" si="22"/>
        <v>0</v>
      </c>
      <c r="E92" s="139"/>
      <c r="F92" s="13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</row>
    <row r="93">
      <c r="A93" s="128" t="s">
        <v>415</v>
      </c>
      <c r="B93" s="124">
        <v>490.0</v>
      </c>
      <c r="C93" s="124">
        <v>490.0</v>
      </c>
      <c r="D93" s="132">
        <f t="shared" si="22"/>
        <v>0</v>
      </c>
      <c r="E93" s="139"/>
      <c r="F93" s="13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</row>
    <row r="94">
      <c r="A94" s="123" t="s">
        <v>416</v>
      </c>
      <c r="B94" s="147">
        <v>390.0</v>
      </c>
      <c r="C94" s="147">
        <v>390.0</v>
      </c>
      <c r="D94" s="125">
        <f t="shared" si="22"/>
        <v>0</v>
      </c>
      <c r="E94" s="126"/>
      <c r="F94" s="124"/>
    </row>
    <row r="95">
      <c r="A95" s="128" t="s">
        <v>417</v>
      </c>
      <c r="B95" s="147">
        <v>390.0</v>
      </c>
      <c r="C95" s="124">
        <v>390.0</v>
      </c>
      <c r="D95" s="132">
        <f t="shared" si="22"/>
        <v>0</v>
      </c>
      <c r="E95" s="139"/>
      <c r="F95" s="13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</row>
    <row r="96">
      <c r="A96" s="128" t="s">
        <v>418</v>
      </c>
      <c r="B96" s="147">
        <v>390.0</v>
      </c>
      <c r="C96" s="147">
        <v>390.0</v>
      </c>
      <c r="D96" s="132">
        <f t="shared" si="22"/>
        <v>0</v>
      </c>
      <c r="E96" s="126"/>
      <c r="F96" s="13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  <c r="AA96" s="129"/>
      <c r="AB96" s="129"/>
    </row>
    <row r="97">
      <c r="A97" s="123"/>
      <c r="B97" s="124"/>
      <c r="C97" s="124"/>
      <c r="E97" s="124"/>
      <c r="F97" s="124"/>
    </row>
    <row r="98">
      <c r="A98" s="122" t="s">
        <v>120</v>
      </c>
      <c r="B98" s="124"/>
      <c r="C98" s="124"/>
      <c r="E98" s="124"/>
      <c r="F98" s="124"/>
    </row>
    <row r="99">
      <c r="A99" s="123" t="s">
        <v>419</v>
      </c>
      <c r="B99" s="124">
        <v>490.0</v>
      </c>
      <c r="C99" s="124">
        <v>490.0</v>
      </c>
      <c r="D99" s="125">
        <f t="shared" ref="D99:D101" si="23">C99-B99</f>
        <v>0</v>
      </c>
      <c r="E99" s="124"/>
      <c r="F99" s="124"/>
    </row>
    <row r="100">
      <c r="A100" s="128" t="s">
        <v>420</v>
      </c>
      <c r="B100" s="124">
        <v>490.0</v>
      </c>
      <c r="C100" s="124">
        <v>490.0</v>
      </c>
      <c r="D100" s="132">
        <f t="shared" si="23"/>
        <v>0</v>
      </c>
      <c r="E100" s="139"/>
      <c r="F100" s="13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</row>
    <row r="101">
      <c r="A101" s="123" t="s">
        <v>421</v>
      </c>
      <c r="B101" s="124">
        <v>490.0</v>
      </c>
      <c r="C101" s="124">
        <v>490.0</v>
      </c>
      <c r="D101" s="125">
        <f t="shared" si="23"/>
        <v>0</v>
      </c>
      <c r="E101" s="124"/>
      <c r="F101" s="124"/>
    </row>
    <row r="102">
      <c r="A102" s="123"/>
      <c r="B102" s="124"/>
      <c r="C102" s="124"/>
      <c r="E102" s="124"/>
      <c r="F102" s="124"/>
    </row>
    <row r="103">
      <c r="A103" s="122" t="s">
        <v>422</v>
      </c>
      <c r="B103" s="124"/>
      <c r="C103" s="124"/>
      <c r="E103" s="124"/>
      <c r="F103" s="124"/>
    </row>
    <row r="104">
      <c r="A104" s="128" t="s">
        <v>423</v>
      </c>
      <c r="B104" s="147">
        <v>1490.0</v>
      </c>
      <c r="C104" s="147">
        <v>1490.0</v>
      </c>
      <c r="D104" s="132">
        <f t="shared" ref="D104:D105" si="24">C104-B104</f>
        <v>0</v>
      </c>
      <c r="E104" s="132"/>
      <c r="F104" s="13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  <c r="AA104" s="129"/>
      <c r="AB104" s="129"/>
    </row>
    <row r="105">
      <c r="A105" s="128" t="s">
        <v>424</v>
      </c>
      <c r="B105" s="124">
        <v>490.0</v>
      </c>
      <c r="C105" s="124">
        <v>1390.0</v>
      </c>
      <c r="D105" s="132">
        <f t="shared" si="24"/>
        <v>900</v>
      </c>
      <c r="E105" s="127"/>
      <c r="F105" s="13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  <c r="AA105" s="129"/>
      <c r="AB105" s="129"/>
    </row>
    <row r="106">
      <c r="A106" s="123"/>
      <c r="B106" s="147"/>
      <c r="C106" s="147"/>
      <c r="E106" s="132"/>
      <c r="F106" s="124"/>
    </row>
    <row r="107">
      <c r="A107" s="123" t="s">
        <v>425</v>
      </c>
      <c r="B107" s="124">
        <v>1790.0</v>
      </c>
      <c r="C107" s="124">
        <v>690.0</v>
      </c>
      <c r="D107" s="125">
        <f t="shared" ref="D107:D111" si="25">C107-B107</f>
        <v>-1100</v>
      </c>
      <c r="E107" s="126"/>
      <c r="F107" s="124"/>
    </row>
    <row r="108">
      <c r="A108" s="123" t="s">
        <v>426</v>
      </c>
      <c r="B108" s="124">
        <v>490.0</v>
      </c>
      <c r="C108" s="124">
        <v>690.0</v>
      </c>
      <c r="D108" s="125">
        <f t="shared" si="25"/>
        <v>200</v>
      </c>
      <c r="E108" s="147"/>
      <c r="F108" s="124"/>
    </row>
    <row r="109">
      <c r="A109" s="123" t="s">
        <v>427</v>
      </c>
      <c r="B109" s="124">
        <v>490.0</v>
      </c>
      <c r="C109" s="124">
        <v>690.0</v>
      </c>
      <c r="D109" s="125">
        <f t="shared" si="25"/>
        <v>200</v>
      </c>
      <c r="E109" s="132"/>
      <c r="F109" s="124"/>
    </row>
    <row r="110">
      <c r="A110" s="128" t="s">
        <v>428</v>
      </c>
      <c r="B110" s="147">
        <v>1290.0</v>
      </c>
      <c r="C110" s="124">
        <v>490.0</v>
      </c>
      <c r="D110" s="270">
        <f t="shared" si="25"/>
        <v>-800</v>
      </c>
      <c r="E110" s="149"/>
      <c r="F110" s="271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</row>
    <row r="111">
      <c r="A111" s="128" t="s">
        <v>429</v>
      </c>
      <c r="B111" s="124">
        <v>1290.0</v>
      </c>
      <c r="C111" s="124">
        <v>490.0</v>
      </c>
      <c r="D111" s="125">
        <f t="shared" si="25"/>
        <v>-800</v>
      </c>
      <c r="E111" s="126"/>
      <c r="F111" s="139"/>
      <c r="G111" s="129"/>
      <c r="H111" s="129"/>
      <c r="I111" s="129"/>
      <c r="J111" s="129"/>
      <c r="K111" s="129"/>
      <c r="L111" s="129"/>
      <c r="M111" s="129"/>
      <c r="N111" s="129"/>
      <c r="O111" s="129"/>
      <c r="S111" s="129"/>
      <c r="T111" s="129"/>
      <c r="U111" s="129"/>
      <c r="V111" s="129"/>
      <c r="W111" s="129"/>
      <c r="X111" s="129"/>
      <c r="Y111" s="129"/>
      <c r="Z111" s="129"/>
      <c r="AA111" s="129"/>
      <c r="AB111" s="129"/>
    </row>
    <row r="112">
      <c r="A112" s="123"/>
      <c r="B112" s="124"/>
      <c r="C112" s="124"/>
    </row>
    <row r="113">
      <c r="A113" s="123" t="s">
        <v>430</v>
      </c>
      <c r="B113" s="147">
        <v>290.0</v>
      </c>
      <c r="C113" s="147">
        <v>1790.0</v>
      </c>
      <c r="D113" s="125">
        <f t="shared" ref="D113:D115" si="26">C113-B113</f>
        <v>1500</v>
      </c>
    </row>
    <row r="114">
      <c r="A114" s="123" t="s">
        <v>431</v>
      </c>
      <c r="B114" s="147">
        <v>290.0</v>
      </c>
      <c r="C114" s="147">
        <v>1090.0</v>
      </c>
      <c r="D114" s="125">
        <f t="shared" si="26"/>
        <v>800</v>
      </c>
    </row>
    <row r="115">
      <c r="A115" s="123" t="s">
        <v>432</v>
      </c>
      <c r="B115" s="147">
        <v>290.0</v>
      </c>
      <c r="C115" s="147">
        <v>690.0</v>
      </c>
      <c r="D115" s="125">
        <f t="shared" si="26"/>
        <v>400</v>
      </c>
    </row>
    <row r="117">
      <c r="A117" s="122" t="s">
        <v>433</v>
      </c>
      <c r="B117" s="147"/>
      <c r="C117" s="147"/>
      <c r="D117" s="132"/>
      <c r="E117" s="139"/>
      <c r="F117" s="139"/>
      <c r="I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  <c r="AA117" s="129"/>
      <c r="AB117" s="129"/>
    </row>
    <row r="118">
      <c r="A118" s="242" t="s">
        <v>434</v>
      </c>
      <c r="B118" s="243">
        <v>5290.0</v>
      </c>
      <c r="C118" s="243">
        <v>5290.0</v>
      </c>
      <c r="D118" s="244">
        <f t="shared" ref="D118:D189" si="27">C118-B118</f>
        <v>0</v>
      </c>
      <c r="E118" s="244" t="s">
        <v>123</v>
      </c>
      <c r="F118" s="242">
        <f t="shared" ref="F118:F189" si="28">C118*1.27</f>
        <v>6718.3</v>
      </c>
      <c r="G118" s="246"/>
      <c r="H118" s="247"/>
      <c r="I118" s="248"/>
      <c r="J118" s="248"/>
      <c r="K118" s="248"/>
      <c r="L118" s="248"/>
      <c r="M118" s="248"/>
      <c r="N118" s="248"/>
      <c r="O118" s="248"/>
      <c r="P118" s="248"/>
      <c r="Q118" s="248"/>
      <c r="R118" s="248"/>
      <c r="S118" s="248"/>
      <c r="T118" s="248"/>
      <c r="U118" s="248"/>
      <c r="V118" s="248"/>
      <c r="W118" s="248"/>
      <c r="X118" s="248"/>
      <c r="Y118" s="248"/>
      <c r="Z118" s="248"/>
      <c r="AA118" s="248"/>
      <c r="AB118" s="248"/>
    </row>
    <row r="119">
      <c r="A119" s="272" t="s">
        <v>435</v>
      </c>
      <c r="B119" s="273">
        <v>1490.0</v>
      </c>
      <c r="C119" s="273">
        <v>2390.0</v>
      </c>
      <c r="D119" s="274">
        <f t="shared" si="27"/>
        <v>900</v>
      </c>
      <c r="E119" s="273" t="s">
        <v>120</v>
      </c>
      <c r="F119" s="275">
        <f t="shared" si="28"/>
        <v>3035.3</v>
      </c>
      <c r="G119" s="276"/>
      <c r="H119" s="277"/>
      <c r="I119" s="278"/>
      <c r="J119" s="278"/>
      <c r="K119" s="278"/>
      <c r="L119" s="278"/>
      <c r="M119" s="278"/>
      <c r="N119" s="278"/>
      <c r="O119" s="278"/>
      <c r="P119" s="278"/>
      <c r="Q119" s="278"/>
      <c r="R119" s="278"/>
      <c r="S119" s="278"/>
      <c r="T119" s="278"/>
      <c r="U119" s="278"/>
      <c r="V119" s="278"/>
      <c r="W119" s="278"/>
      <c r="X119" s="278"/>
      <c r="Y119" s="278"/>
      <c r="Z119" s="278"/>
      <c r="AA119" s="278"/>
      <c r="AB119" s="278"/>
    </row>
    <row r="120">
      <c r="A120" s="272" t="s">
        <v>436</v>
      </c>
      <c r="B120" s="273">
        <v>1690.0</v>
      </c>
      <c r="C120" s="273">
        <v>1990.0</v>
      </c>
      <c r="D120" s="274">
        <f t="shared" si="27"/>
        <v>300</v>
      </c>
      <c r="E120" s="279" t="s">
        <v>123</v>
      </c>
      <c r="F120" s="275">
        <f t="shared" si="28"/>
        <v>2527.3</v>
      </c>
      <c r="G120" s="276"/>
      <c r="H120" s="277"/>
      <c r="I120" s="278"/>
      <c r="J120" s="278"/>
      <c r="K120" s="278"/>
      <c r="L120" s="278"/>
      <c r="M120" s="278"/>
      <c r="N120" s="278"/>
      <c r="O120" s="278"/>
      <c r="P120" s="278"/>
      <c r="Q120" s="278"/>
      <c r="R120" s="278"/>
      <c r="S120" s="278"/>
      <c r="T120" s="278"/>
      <c r="U120" s="278"/>
      <c r="V120" s="278"/>
      <c r="W120" s="278"/>
      <c r="X120" s="278"/>
      <c r="Y120" s="278"/>
      <c r="Z120" s="278"/>
      <c r="AA120" s="278"/>
      <c r="AB120" s="278"/>
    </row>
    <row r="121">
      <c r="A121" s="272" t="s">
        <v>436</v>
      </c>
      <c r="B121" s="273">
        <v>1690.0</v>
      </c>
      <c r="C121" s="273">
        <v>1990.0</v>
      </c>
      <c r="D121" s="274">
        <f t="shared" si="27"/>
        <v>300</v>
      </c>
      <c r="E121" s="279" t="s">
        <v>123</v>
      </c>
      <c r="F121" s="275">
        <f t="shared" si="28"/>
        <v>2527.3</v>
      </c>
      <c r="G121" s="276"/>
      <c r="H121" s="277"/>
      <c r="I121" s="278"/>
      <c r="J121" s="278"/>
      <c r="K121" s="278"/>
      <c r="L121" s="278"/>
      <c r="M121" s="278"/>
      <c r="N121" s="278"/>
      <c r="O121" s="278"/>
      <c r="P121" s="278"/>
      <c r="Q121" s="278"/>
      <c r="R121" s="278"/>
      <c r="S121" s="278"/>
      <c r="T121" s="278"/>
      <c r="U121" s="278"/>
      <c r="V121" s="278"/>
      <c r="W121" s="278"/>
      <c r="X121" s="278"/>
      <c r="Y121" s="278"/>
      <c r="Z121" s="278"/>
      <c r="AA121" s="278"/>
      <c r="AB121" s="278"/>
    </row>
    <row r="122">
      <c r="A122" s="280" t="s">
        <v>437</v>
      </c>
      <c r="B122" s="281">
        <v>1290.0</v>
      </c>
      <c r="C122" s="281">
        <v>1990.0</v>
      </c>
      <c r="D122" s="282">
        <f t="shared" si="27"/>
        <v>700</v>
      </c>
      <c r="E122" s="279" t="s">
        <v>123</v>
      </c>
      <c r="F122" s="275">
        <f t="shared" si="28"/>
        <v>2527.3</v>
      </c>
      <c r="G122" s="276"/>
      <c r="H122" s="277"/>
      <c r="I122" s="278"/>
      <c r="J122" s="278"/>
      <c r="K122" s="278"/>
      <c r="L122" s="278"/>
      <c r="M122" s="278"/>
      <c r="N122" s="278"/>
      <c r="O122" s="278"/>
      <c r="P122" s="278"/>
      <c r="Q122" s="278"/>
      <c r="R122" s="278"/>
      <c r="S122" s="278"/>
      <c r="T122" s="278"/>
      <c r="U122" s="278"/>
      <c r="V122" s="278"/>
      <c r="W122" s="278"/>
      <c r="X122" s="278"/>
      <c r="Y122" s="278"/>
      <c r="Z122" s="278"/>
      <c r="AA122" s="278"/>
      <c r="AB122" s="278"/>
    </row>
    <row r="123">
      <c r="A123" s="280" t="s">
        <v>437</v>
      </c>
      <c r="B123" s="281">
        <v>1290.0</v>
      </c>
      <c r="C123" s="281">
        <v>1990.0</v>
      </c>
      <c r="D123" s="282">
        <f t="shared" si="27"/>
        <v>700</v>
      </c>
      <c r="E123" s="279" t="s">
        <v>123</v>
      </c>
      <c r="F123" s="275">
        <f t="shared" si="28"/>
        <v>2527.3</v>
      </c>
      <c r="G123" s="276"/>
      <c r="H123" s="277"/>
      <c r="I123" s="283"/>
      <c r="J123" s="283"/>
      <c r="K123" s="283"/>
      <c r="L123" s="283"/>
      <c r="M123" s="283"/>
      <c r="N123" s="283"/>
      <c r="O123" s="283"/>
      <c r="P123" s="283"/>
      <c r="Q123" s="283"/>
      <c r="R123" s="283"/>
      <c r="S123" s="283"/>
      <c r="T123" s="283"/>
      <c r="U123" s="283"/>
      <c r="V123" s="283"/>
      <c r="W123" s="283"/>
      <c r="X123" s="283"/>
      <c r="Y123" s="283"/>
      <c r="Z123" s="283"/>
      <c r="AA123" s="283"/>
      <c r="AB123" s="283"/>
    </row>
    <row r="124">
      <c r="A124" s="280" t="s">
        <v>437</v>
      </c>
      <c r="B124" s="281">
        <v>1290.0</v>
      </c>
      <c r="C124" s="281">
        <v>1990.0</v>
      </c>
      <c r="D124" s="282">
        <f t="shared" si="27"/>
        <v>700</v>
      </c>
      <c r="E124" s="279" t="s">
        <v>123</v>
      </c>
      <c r="F124" s="275">
        <f t="shared" si="28"/>
        <v>2527.3</v>
      </c>
      <c r="G124" s="276"/>
      <c r="H124" s="277"/>
      <c r="I124" s="283"/>
      <c r="J124" s="283"/>
      <c r="K124" s="283"/>
      <c r="L124" s="283"/>
      <c r="M124" s="283"/>
      <c r="N124" s="283"/>
      <c r="O124" s="283"/>
      <c r="P124" s="283"/>
      <c r="Q124" s="283"/>
      <c r="R124" s="283"/>
      <c r="S124" s="283"/>
      <c r="T124" s="283"/>
      <c r="U124" s="283"/>
      <c r="V124" s="283"/>
      <c r="W124" s="283"/>
      <c r="X124" s="283"/>
      <c r="Y124" s="283"/>
      <c r="Z124" s="283"/>
      <c r="AA124" s="283"/>
      <c r="AB124" s="283"/>
    </row>
    <row r="125">
      <c r="A125" s="284" t="s">
        <v>438</v>
      </c>
      <c r="B125" s="273">
        <v>1790.0</v>
      </c>
      <c r="C125" s="281">
        <v>1990.0</v>
      </c>
      <c r="D125" s="282">
        <f t="shared" si="27"/>
        <v>200</v>
      </c>
      <c r="E125" s="279" t="s">
        <v>123</v>
      </c>
      <c r="F125" s="275">
        <f t="shared" si="28"/>
        <v>2527.3</v>
      </c>
      <c r="G125" s="276"/>
      <c r="H125" s="277"/>
      <c r="I125" s="283"/>
      <c r="J125" s="283"/>
      <c r="K125" s="283"/>
      <c r="L125" s="283"/>
      <c r="M125" s="283"/>
      <c r="N125" s="283"/>
      <c r="O125" s="283"/>
      <c r="P125" s="283"/>
      <c r="Q125" s="283"/>
      <c r="R125" s="283"/>
      <c r="S125" s="283"/>
      <c r="T125" s="283"/>
      <c r="U125" s="283"/>
      <c r="V125" s="283"/>
      <c r="W125" s="283"/>
      <c r="X125" s="283"/>
      <c r="Y125" s="283"/>
      <c r="Z125" s="283"/>
      <c r="AA125" s="283"/>
      <c r="AB125" s="283"/>
    </row>
    <row r="126">
      <c r="A126" s="284" t="s">
        <v>439</v>
      </c>
      <c r="B126" s="281">
        <v>1990.0</v>
      </c>
      <c r="C126" s="273">
        <v>1990.0</v>
      </c>
      <c r="D126" s="282">
        <f t="shared" si="27"/>
        <v>0</v>
      </c>
      <c r="E126" s="279" t="s">
        <v>123</v>
      </c>
      <c r="F126" s="275">
        <f t="shared" si="28"/>
        <v>2527.3</v>
      </c>
      <c r="G126" s="276"/>
      <c r="H126" s="277"/>
      <c r="I126" s="283"/>
      <c r="J126" s="283"/>
      <c r="K126" s="283"/>
      <c r="L126" s="283"/>
      <c r="M126" s="283"/>
      <c r="N126" s="283"/>
      <c r="O126" s="283"/>
      <c r="P126" s="283"/>
      <c r="Q126" s="283"/>
      <c r="R126" s="283"/>
      <c r="S126" s="283"/>
      <c r="T126" s="283"/>
      <c r="U126" s="283"/>
      <c r="V126" s="283"/>
      <c r="W126" s="283"/>
      <c r="X126" s="283"/>
      <c r="Y126" s="283"/>
      <c r="Z126" s="283"/>
      <c r="AA126" s="283"/>
      <c r="AB126" s="283"/>
    </row>
    <row r="127">
      <c r="A127" s="275" t="s">
        <v>440</v>
      </c>
      <c r="B127" s="281">
        <v>1790.0</v>
      </c>
      <c r="C127" s="281">
        <v>1790.0</v>
      </c>
      <c r="D127" s="282">
        <f t="shared" si="27"/>
        <v>0</v>
      </c>
      <c r="E127" s="279" t="s">
        <v>123</v>
      </c>
      <c r="F127" s="275">
        <f t="shared" si="28"/>
        <v>2273.3</v>
      </c>
      <c r="G127" s="276"/>
      <c r="H127" s="277"/>
      <c r="I127" s="283"/>
      <c r="J127" s="283"/>
      <c r="K127" s="283"/>
      <c r="L127" s="283"/>
      <c r="M127" s="283"/>
      <c r="N127" s="283"/>
      <c r="O127" s="283"/>
      <c r="P127" s="283"/>
      <c r="Q127" s="283"/>
      <c r="R127" s="283"/>
      <c r="S127" s="283"/>
      <c r="T127" s="283"/>
      <c r="U127" s="283"/>
      <c r="V127" s="283"/>
      <c r="W127" s="283"/>
      <c r="X127" s="283"/>
      <c r="Y127" s="283"/>
      <c r="Z127" s="283"/>
      <c r="AA127" s="283"/>
      <c r="AB127" s="283"/>
    </row>
    <row r="128">
      <c r="A128" s="275" t="s">
        <v>440</v>
      </c>
      <c r="B128" s="281">
        <v>1790.0</v>
      </c>
      <c r="C128" s="281">
        <v>1790.0</v>
      </c>
      <c r="D128" s="282">
        <f t="shared" si="27"/>
        <v>0</v>
      </c>
      <c r="E128" s="279" t="s">
        <v>123</v>
      </c>
      <c r="F128" s="275">
        <f t="shared" si="28"/>
        <v>2273.3</v>
      </c>
      <c r="G128" s="276"/>
      <c r="H128" s="277"/>
      <c r="I128" s="283"/>
      <c r="J128" s="283"/>
      <c r="K128" s="283"/>
      <c r="L128" s="283"/>
      <c r="M128" s="283"/>
      <c r="N128" s="283"/>
      <c r="O128" s="283"/>
      <c r="P128" s="283"/>
      <c r="Q128" s="283"/>
      <c r="R128" s="283"/>
      <c r="S128" s="283"/>
      <c r="T128" s="283"/>
      <c r="U128" s="283"/>
      <c r="V128" s="283"/>
      <c r="W128" s="283"/>
      <c r="X128" s="283"/>
      <c r="Y128" s="283"/>
      <c r="Z128" s="283"/>
      <c r="AA128" s="283"/>
      <c r="AB128" s="283"/>
    </row>
    <row r="129">
      <c r="A129" s="242" t="s">
        <v>441</v>
      </c>
      <c r="B129" s="243">
        <v>1490.0</v>
      </c>
      <c r="C129" s="243">
        <v>1790.0</v>
      </c>
      <c r="D129" s="244">
        <f t="shared" si="27"/>
        <v>300</v>
      </c>
      <c r="E129" s="244" t="s">
        <v>123</v>
      </c>
      <c r="F129" s="242">
        <f t="shared" si="28"/>
        <v>2273.3</v>
      </c>
      <c r="G129" s="246"/>
      <c r="H129" s="247"/>
      <c r="I129" s="248"/>
      <c r="J129" s="248"/>
      <c r="K129" s="248"/>
      <c r="L129" s="248"/>
      <c r="M129" s="248"/>
      <c r="N129" s="248"/>
      <c r="O129" s="248"/>
      <c r="P129" s="248"/>
      <c r="Q129" s="248"/>
      <c r="R129" s="248"/>
      <c r="S129" s="248"/>
      <c r="T129" s="248"/>
      <c r="U129" s="248"/>
      <c r="V129" s="248"/>
      <c r="W129" s="248"/>
      <c r="X129" s="248"/>
      <c r="Y129" s="248"/>
      <c r="Z129" s="248"/>
      <c r="AA129" s="248"/>
      <c r="AB129" s="248"/>
    </row>
    <row r="130">
      <c r="A130" s="242" t="s">
        <v>442</v>
      </c>
      <c r="B130" s="243">
        <v>1790.0</v>
      </c>
      <c r="C130" s="243">
        <v>1790.0</v>
      </c>
      <c r="D130" s="244">
        <f t="shared" si="27"/>
        <v>0</v>
      </c>
      <c r="E130" s="244" t="s">
        <v>123</v>
      </c>
      <c r="F130" s="242">
        <f t="shared" si="28"/>
        <v>2273.3</v>
      </c>
      <c r="G130" s="246"/>
      <c r="H130" s="247"/>
      <c r="I130" s="248"/>
      <c r="J130" s="248"/>
      <c r="K130" s="248"/>
      <c r="L130" s="248"/>
      <c r="M130" s="248"/>
      <c r="N130" s="248"/>
      <c r="O130" s="248"/>
      <c r="P130" s="248"/>
      <c r="Q130" s="248"/>
      <c r="R130" s="248"/>
      <c r="S130" s="248"/>
      <c r="T130" s="248"/>
      <c r="U130" s="248"/>
      <c r="V130" s="248"/>
      <c r="W130" s="248"/>
      <c r="X130" s="248"/>
      <c r="Y130" s="248"/>
      <c r="Z130" s="248"/>
      <c r="AA130" s="248"/>
      <c r="AB130" s="248"/>
    </row>
    <row r="131">
      <c r="A131" s="285" t="s">
        <v>443</v>
      </c>
      <c r="B131" s="256">
        <v>1390.0</v>
      </c>
      <c r="C131" s="256">
        <v>1590.0</v>
      </c>
      <c r="D131" s="286">
        <f t="shared" si="27"/>
        <v>200</v>
      </c>
      <c r="E131" s="258" t="s">
        <v>123</v>
      </c>
      <c r="F131" s="259">
        <f t="shared" si="28"/>
        <v>2019.3</v>
      </c>
      <c r="G131" s="260"/>
      <c r="H131" s="261"/>
      <c r="I131" s="264"/>
      <c r="J131" s="264"/>
      <c r="K131" s="264"/>
      <c r="L131" s="264"/>
      <c r="M131" s="264"/>
      <c r="N131" s="264"/>
      <c r="O131" s="264"/>
      <c r="P131" s="264"/>
      <c r="Q131" s="264"/>
      <c r="R131" s="264"/>
      <c r="S131" s="264"/>
      <c r="T131" s="264"/>
      <c r="U131" s="264"/>
      <c r="V131" s="264"/>
      <c r="W131" s="264"/>
      <c r="X131" s="264"/>
      <c r="Y131" s="264"/>
      <c r="Z131" s="264"/>
      <c r="AA131" s="264"/>
      <c r="AB131" s="264"/>
    </row>
    <row r="132">
      <c r="A132" s="255" t="s">
        <v>443</v>
      </c>
      <c r="B132" s="256">
        <v>1390.0</v>
      </c>
      <c r="C132" s="256">
        <v>1590.0</v>
      </c>
      <c r="D132" s="286">
        <f t="shared" si="27"/>
        <v>200</v>
      </c>
      <c r="E132" s="258" t="s">
        <v>123</v>
      </c>
      <c r="F132" s="259">
        <f t="shared" si="28"/>
        <v>2019.3</v>
      </c>
      <c r="G132" s="260"/>
      <c r="H132" s="261"/>
      <c r="I132" s="264"/>
      <c r="J132" s="264"/>
      <c r="K132" s="264"/>
      <c r="L132" s="264"/>
      <c r="M132" s="264"/>
      <c r="N132" s="264"/>
      <c r="O132" s="264"/>
      <c r="P132" s="264"/>
      <c r="Q132" s="264"/>
      <c r="R132" s="264"/>
      <c r="S132" s="264"/>
      <c r="T132" s="264"/>
      <c r="U132" s="264"/>
      <c r="V132" s="264"/>
      <c r="W132" s="264"/>
      <c r="X132" s="264"/>
      <c r="Y132" s="264"/>
      <c r="Z132" s="264"/>
      <c r="AA132" s="264"/>
      <c r="AB132" s="264"/>
    </row>
    <row r="133">
      <c r="A133" s="255" t="s">
        <v>443</v>
      </c>
      <c r="B133" s="256">
        <v>1390.0</v>
      </c>
      <c r="C133" s="256">
        <v>1590.0</v>
      </c>
      <c r="D133" s="257">
        <f t="shared" si="27"/>
        <v>200</v>
      </c>
      <c r="E133" s="258" t="s">
        <v>123</v>
      </c>
      <c r="F133" s="259">
        <f t="shared" si="28"/>
        <v>2019.3</v>
      </c>
      <c r="G133" s="260"/>
      <c r="H133" s="261"/>
      <c r="I133" s="262"/>
      <c r="J133" s="262"/>
      <c r="K133" s="262"/>
      <c r="L133" s="262"/>
      <c r="M133" s="262"/>
      <c r="N133" s="262"/>
      <c r="O133" s="262"/>
      <c r="P133" s="262"/>
      <c r="Q133" s="262"/>
      <c r="R133" s="262"/>
      <c r="S133" s="262"/>
      <c r="T133" s="262"/>
      <c r="U133" s="262"/>
      <c r="V133" s="262"/>
      <c r="W133" s="262"/>
      <c r="X133" s="262"/>
      <c r="Y133" s="262"/>
      <c r="Z133" s="262"/>
      <c r="AA133" s="262"/>
      <c r="AB133" s="262"/>
    </row>
    <row r="134">
      <c r="A134" s="255" t="s">
        <v>443</v>
      </c>
      <c r="B134" s="256">
        <v>1390.0</v>
      </c>
      <c r="C134" s="256">
        <v>1590.0</v>
      </c>
      <c r="D134" s="257">
        <f t="shared" si="27"/>
        <v>200</v>
      </c>
      <c r="E134" s="258" t="s">
        <v>123</v>
      </c>
      <c r="F134" s="259">
        <f t="shared" si="28"/>
        <v>2019.3</v>
      </c>
      <c r="G134" s="260"/>
      <c r="H134" s="261"/>
      <c r="I134" s="262"/>
      <c r="J134" s="262"/>
      <c r="K134" s="262"/>
      <c r="L134" s="262"/>
      <c r="M134" s="262"/>
      <c r="N134" s="262"/>
      <c r="O134" s="262"/>
      <c r="P134" s="262"/>
      <c r="Q134" s="262"/>
      <c r="R134" s="262"/>
      <c r="S134" s="262"/>
      <c r="T134" s="262"/>
      <c r="U134" s="262"/>
      <c r="V134" s="262"/>
      <c r="W134" s="262"/>
      <c r="X134" s="262"/>
      <c r="Y134" s="262"/>
      <c r="Z134" s="262"/>
      <c r="AA134" s="262"/>
      <c r="AB134" s="262"/>
    </row>
    <row r="135">
      <c r="A135" s="255" t="s">
        <v>443</v>
      </c>
      <c r="B135" s="256">
        <v>1390.0</v>
      </c>
      <c r="C135" s="256">
        <v>1590.0</v>
      </c>
      <c r="D135" s="257">
        <f t="shared" si="27"/>
        <v>200</v>
      </c>
      <c r="E135" s="258" t="s">
        <v>123</v>
      </c>
      <c r="F135" s="259">
        <f t="shared" si="28"/>
        <v>2019.3</v>
      </c>
      <c r="G135" s="260"/>
      <c r="H135" s="261"/>
      <c r="I135" s="262"/>
      <c r="J135" s="262"/>
      <c r="K135" s="262"/>
      <c r="L135" s="262"/>
      <c r="M135" s="262"/>
      <c r="N135" s="262"/>
      <c r="O135" s="262"/>
      <c r="P135" s="262"/>
      <c r="Q135" s="262"/>
      <c r="R135" s="262"/>
      <c r="S135" s="262"/>
      <c r="T135" s="262"/>
      <c r="U135" s="262"/>
      <c r="V135" s="262"/>
      <c r="W135" s="262"/>
      <c r="X135" s="262"/>
      <c r="Y135" s="262"/>
      <c r="Z135" s="262"/>
      <c r="AA135" s="262"/>
      <c r="AB135" s="262"/>
    </row>
    <row r="136">
      <c r="A136" s="255" t="s">
        <v>443</v>
      </c>
      <c r="B136" s="256">
        <v>1390.0</v>
      </c>
      <c r="C136" s="256">
        <v>1590.0</v>
      </c>
      <c r="D136" s="257">
        <f t="shared" si="27"/>
        <v>200</v>
      </c>
      <c r="E136" s="258" t="s">
        <v>123</v>
      </c>
      <c r="F136" s="259">
        <f t="shared" si="28"/>
        <v>2019.3</v>
      </c>
      <c r="G136" s="260"/>
      <c r="H136" s="261"/>
      <c r="I136" s="262"/>
      <c r="J136" s="262"/>
      <c r="K136" s="262"/>
      <c r="L136" s="262"/>
      <c r="M136" s="262"/>
      <c r="N136" s="262"/>
      <c r="O136" s="262"/>
      <c r="P136" s="262"/>
      <c r="Q136" s="262"/>
      <c r="R136" s="262"/>
      <c r="S136" s="262"/>
      <c r="T136" s="262"/>
      <c r="U136" s="262"/>
      <c r="V136" s="262"/>
      <c r="W136" s="262"/>
      <c r="X136" s="262"/>
      <c r="Y136" s="262"/>
      <c r="Z136" s="262"/>
      <c r="AA136" s="262"/>
      <c r="AB136" s="262"/>
    </row>
    <row r="137">
      <c r="A137" s="255" t="s">
        <v>443</v>
      </c>
      <c r="B137" s="256">
        <v>1390.0</v>
      </c>
      <c r="C137" s="256">
        <v>1590.0</v>
      </c>
      <c r="D137" s="257">
        <f t="shared" si="27"/>
        <v>200</v>
      </c>
      <c r="E137" s="258" t="s">
        <v>123</v>
      </c>
      <c r="F137" s="259">
        <f t="shared" si="28"/>
        <v>2019.3</v>
      </c>
      <c r="G137" s="260"/>
      <c r="H137" s="261"/>
      <c r="I137" s="262"/>
      <c r="J137" s="262"/>
      <c r="K137" s="262"/>
      <c r="L137" s="262"/>
      <c r="M137" s="262"/>
      <c r="N137" s="262"/>
      <c r="O137" s="262"/>
      <c r="P137" s="262"/>
      <c r="Q137" s="262"/>
      <c r="R137" s="262"/>
      <c r="S137" s="262"/>
      <c r="T137" s="262"/>
      <c r="U137" s="262"/>
      <c r="V137" s="262"/>
      <c r="W137" s="262"/>
      <c r="X137" s="262"/>
      <c r="Y137" s="262"/>
      <c r="Z137" s="262"/>
      <c r="AA137" s="262"/>
      <c r="AB137" s="262"/>
    </row>
    <row r="138">
      <c r="A138" s="255" t="s">
        <v>443</v>
      </c>
      <c r="B138" s="256">
        <v>1390.0</v>
      </c>
      <c r="C138" s="256">
        <v>1590.0</v>
      </c>
      <c r="D138" s="257">
        <f t="shared" si="27"/>
        <v>200</v>
      </c>
      <c r="E138" s="258" t="s">
        <v>123</v>
      </c>
      <c r="F138" s="259">
        <f t="shared" si="28"/>
        <v>2019.3</v>
      </c>
      <c r="G138" s="260"/>
      <c r="H138" s="261"/>
      <c r="I138" s="262"/>
      <c r="J138" s="262"/>
      <c r="K138" s="262"/>
      <c r="L138" s="262"/>
      <c r="M138" s="262"/>
      <c r="N138" s="262"/>
      <c r="O138" s="262"/>
      <c r="P138" s="262"/>
      <c r="Q138" s="262"/>
      <c r="R138" s="262"/>
      <c r="S138" s="262"/>
      <c r="T138" s="262"/>
      <c r="U138" s="262"/>
      <c r="V138" s="262"/>
      <c r="W138" s="262"/>
      <c r="X138" s="262"/>
      <c r="Y138" s="262"/>
      <c r="Z138" s="262"/>
      <c r="AA138" s="262"/>
      <c r="AB138" s="262"/>
    </row>
    <row r="139">
      <c r="A139" s="255" t="s">
        <v>443</v>
      </c>
      <c r="B139" s="256">
        <v>1390.0</v>
      </c>
      <c r="C139" s="256">
        <v>1590.0</v>
      </c>
      <c r="D139" s="257">
        <f t="shared" si="27"/>
        <v>200</v>
      </c>
      <c r="E139" s="258" t="s">
        <v>123</v>
      </c>
      <c r="F139" s="259">
        <f t="shared" si="28"/>
        <v>2019.3</v>
      </c>
      <c r="G139" s="260"/>
      <c r="H139" s="261"/>
      <c r="I139" s="262"/>
      <c r="J139" s="262"/>
      <c r="K139" s="262"/>
      <c r="L139" s="262"/>
      <c r="M139" s="262"/>
      <c r="N139" s="262"/>
      <c r="O139" s="262"/>
      <c r="P139" s="262"/>
      <c r="Q139" s="262"/>
      <c r="R139" s="262"/>
      <c r="S139" s="262"/>
      <c r="T139" s="262"/>
      <c r="U139" s="262"/>
      <c r="V139" s="262"/>
      <c r="W139" s="262"/>
      <c r="X139" s="262"/>
      <c r="Y139" s="262"/>
      <c r="Z139" s="262"/>
      <c r="AA139" s="262"/>
      <c r="AB139" s="262"/>
    </row>
    <row r="140">
      <c r="A140" s="255" t="s">
        <v>443</v>
      </c>
      <c r="B140" s="256">
        <v>1390.0</v>
      </c>
      <c r="C140" s="256">
        <v>1590.0</v>
      </c>
      <c r="D140" s="257">
        <f t="shared" si="27"/>
        <v>200</v>
      </c>
      <c r="E140" s="258" t="s">
        <v>123</v>
      </c>
      <c r="F140" s="259">
        <f t="shared" si="28"/>
        <v>2019.3</v>
      </c>
      <c r="G140" s="260"/>
      <c r="H140" s="261"/>
      <c r="I140" s="262"/>
      <c r="J140" s="262"/>
      <c r="K140" s="262"/>
      <c r="L140" s="262"/>
      <c r="M140" s="262"/>
      <c r="N140" s="262"/>
      <c r="O140" s="262"/>
      <c r="P140" s="262"/>
      <c r="Q140" s="262"/>
      <c r="R140" s="262"/>
      <c r="S140" s="262"/>
      <c r="T140" s="262"/>
      <c r="U140" s="262"/>
      <c r="V140" s="262"/>
      <c r="W140" s="262"/>
      <c r="X140" s="262"/>
      <c r="Y140" s="262"/>
      <c r="Z140" s="262"/>
      <c r="AA140" s="262"/>
      <c r="AB140" s="262"/>
    </row>
    <row r="141">
      <c r="A141" s="287" t="s">
        <v>444</v>
      </c>
      <c r="B141" s="243">
        <v>1490.0</v>
      </c>
      <c r="C141" s="251">
        <v>1390.0</v>
      </c>
      <c r="D141" s="244">
        <f t="shared" si="27"/>
        <v>-100</v>
      </c>
      <c r="E141" s="244" t="s">
        <v>123</v>
      </c>
      <c r="F141" s="242">
        <f t="shared" si="28"/>
        <v>1765.3</v>
      </c>
      <c r="G141" s="246"/>
      <c r="H141" s="247"/>
      <c r="I141" s="248"/>
      <c r="J141" s="248"/>
      <c r="K141" s="248"/>
      <c r="L141" s="248"/>
      <c r="M141" s="248"/>
      <c r="N141" s="248"/>
      <c r="O141" s="248"/>
      <c r="P141" s="248"/>
      <c r="Q141" s="248"/>
      <c r="R141" s="248"/>
      <c r="S141" s="248"/>
      <c r="T141" s="248"/>
      <c r="U141" s="248"/>
      <c r="V141" s="248"/>
      <c r="W141" s="248"/>
      <c r="X141" s="248"/>
      <c r="Y141" s="248"/>
      <c r="Z141" s="248"/>
      <c r="AA141" s="248"/>
      <c r="AB141" s="248"/>
    </row>
    <row r="142">
      <c r="A142" s="287" t="s">
        <v>444</v>
      </c>
      <c r="B142" s="243">
        <v>1490.0</v>
      </c>
      <c r="C142" s="251">
        <v>1390.0</v>
      </c>
      <c r="D142" s="244">
        <f t="shared" si="27"/>
        <v>-100</v>
      </c>
      <c r="E142" s="244" t="s">
        <v>123</v>
      </c>
      <c r="F142" s="242">
        <f t="shared" si="28"/>
        <v>1765.3</v>
      </c>
      <c r="G142" s="246"/>
      <c r="H142" s="247"/>
      <c r="I142" s="248"/>
      <c r="J142" s="248"/>
      <c r="K142" s="248"/>
      <c r="L142" s="248"/>
      <c r="M142" s="248"/>
      <c r="N142" s="248"/>
      <c r="O142" s="248"/>
      <c r="P142" s="248"/>
      <c r="Q142" s="248"/>
      <c r="R142" s="248"/>
      <c r="S142" s="248"/>
      <c r="T142" s="248"/>
      <c r="U142" s="248"/>
      <c r="V142" s="248"/>
      <c r="W142" s="248"/>
      <c r="X142" s="248"/>
      <c r="Y142" s="248"/>
      <c r="Z142" s="248"/>
      <c r="AA142" s="248"/>
      <c r="AB142" s="248"/>
    </row>
    <row r="143">
      <c r="A143" s="242" t="s">
        <v>445</v>
      </c>
      <c r="B143" s="251">
        <v>1390.0</v>
      </c>
      <c r="C143" s="243">
        <v>1390.0</v>
      </c>
      <c r="D143" s="244">
        <f t="shared" si="27"/>
        <v>0</v>
      </c>
      <c r="E143" s="243" t="s">
        <v>120</v>
      </c>
      <c r="F143" s="242">
        <f t="shared" si="28"/>
        <v>1765.3</v>
      </c>
      <c r="G143" s="246"/>
      <c r="H143" s="247"/>
      <c r="I143" s="248"/>
      <c r="J143" s="248"/>
      <c r="K143" s="248"/>
      <c r="L143" s="248"/>
      <c r="M143" s="248"/>
      <c r="N143" s="248"/>
      <c r="O143" s="248"/>
      <c r="P143" s="248"/>
      <c r="Q143" s="248"/>
      <c r="R143" s="248"/>
      <c r="S143" s="248"/>
      <c r="T143" s="248"/>
      <c r="U143" s="248"/>
      <c r="V143" s="248"/>
      <c r="W143" s="248"/>
      <c r="X143" s="248"/>
      <c r="Y143" s="248"/>
      <c r="Z143" s="248"/>
      <c r="AA143" s="248"/>
      <c r="AB143" s="248"/>
    </row>
    <row r="144">
      <c r="A144" s="249" t="s">
        <v>446</v>
      </c>
      <c r="B144" s="243">
        <v>1590.0</v>
      </c>
      <c r="C144" s="251">
        <v>1390.0</v>
      </c>
      <c r="D144" s="244">
        <f t="shared" si="27"/>
        <v>-200</v>
      </c>
      <c r="E144" s="245" t="s">
        <v>123</v>
      </c>
      <c r="F144" s="242">
        <f t="shared" si="28"/>
        <v>1765.3</v>
      </c>
      <c r="G144" s="246"/>
      <c r="H144" s="247"/>
      <c r="I144" s="248"/>
      <c r="J144" s="248"/>
      <c r="K144" s="248"/>
      <c r="L144" s="248"/>
      <c r="M144" s="248"/>
      <c r="N144" s="248"/>
      <c r="O144" s="248"/>
      <c r="P144" s="248"/>
      <c r="Q144" s="248"/>
      <c r="R144" s="248"/>
      <c r="S144" s="248"/>
      <c r="T144" s="248"/>
      <c r="U144" s="248"/>
      <c r="V144" s="248"/>
      <c r="W144" s="248"/>
      <c r="X144" s="248"/>
      <c r="Y144" s="248"/>
      <c r="Z144" s="248"/>
      <c r="AA144" s="248"/>
      <c r="AB144" s="248"/>
    </row>
    <row r="145">
      <c r="A145" s="288" t="s">
        <v>447</v>
      </c>
      <c r="B145" s="243">
        <v>1290.0</v>
      </c>
      <c r="C145" s="243">
        <v>1390.0</v>
      </c>
      <c r="D145" s="244">
        <f t="shared" si="27"/>
        <v>100</v>
      </c>
      <c r="E145" s="244" t="s">
        <v>123</v>
      </c>
      <c r="F145" s="242">
        <f t="shared" si="28"/>
        <v>1765.3</v>
      </c>
      <c r="G145" s="246"/>
      <c r="H145" s="247"/>
      <c r="I145" s="248"/>
      <c r="J145" s="248"/>
      <c r="K145" s="248"/>
      <c r="L145" s="248"/>
      <c r="M145" s="248"/>
      <c r="N145" s="248"/>
      <c r="O145" s="248"/>
      <c r="P145" s="248"/>
      <c r="Q145" s="248"/>
      <c r="R145" s="248"/>
      <c r="S145" s="248"/>
      <c r="T145" s="248"/>
      <c r="U145" s="248"/>
      <c r="V145" s="248"/>
      <c r="W145" s="248"/>
      <c r="X145" s="248"/>
      <c r="Y145" s="248"/>
      <c r="Z145" s="248"/>
      <c r="AA145" s="248"/>
      <c r="AB145" s="248"/>
    </row>
    <row r="146">
      <c r="A146" s="288" t="s">
        <v>447</v>
      </c>
      <c r="B146" s="243">
        <v>1290.0</v>
      </c>
      <c r="C146" s="243">
        <v>1390.0</v>
      </c>
      <c r="D146" s="244">
        <f t="shared" si="27"/>
        <v>100</v>
      </c>
      <c r="E146" s="244" t="s">
        <v>123</v>
      </c>
      <c r="F146" s="242">
        <f t="shared" si="28"/>
        <v>1765.3</v>
      </c>
      <c r="G146" s="246"/>
      <c r="H146" s="247"/>
      <c r="I146" s="248"/>
      <c r="J146" s="248"/>
      <c r="K146" s="248"/>
      <c r="L146" s="248"/>
      <c r="M146" s="248"/>
      <c r="N146" s="248"/>
      <c r="O146" s="248"/>
      <c r="P146" s="248"/>
      <c r="Q146" s="248"/>
      <c r="R146" s="248"/>
      <c r="S146" s="248"/>
      <c r="T146" s="248"/>
      <c r="U146" s="248"/>
      <c r="V146" s="248"/>
      <c r="W146" s="248"/>
      <c r="X146" s="248"/>
      <c r="Y146" s="248"/>
      <c r="Z146" s="248"/>
      <c r="AA146" s="248"/>
      <c r="AB146" s="248"/>
    </row>
    <row r="147">
      <c r="A147" s="242" t="s">
        <v>448</v>
      </c>
      <c r="B147" s="243">
        <v>990.0</v>
      </c>
      <c r="C147" s="243">
        <v>1390.0</v>
      </c>
      <c r="D147" s="244">
        <f t="shared" si="27"/>
        <v>400</v>
      </c>
      <c r="E147" s="245" t="s">
        <v>123</v>
      </c>
      <c r="F147" s="242">
        <f t="shared" si="28"/>
        <v>1765.3</v>
      </c>
      <c r="G147" s="246"/>
      <c r="H147" s="247"/>
      <c r="I147" s="248"/>
      <c r="J147" s="248"/>
      <c r="K147" s="248"/>
      <c r="L147" s="248"/>
      <c r="M147" s="248"/>
      <c r="N147" s="248"/>
      <c r="O147" s="248"/>
      <c r="P147" s="248"/>
      <c r="Q147" s="248"/>
      <c r="R147" s="248"/>
      <c r="S147" s="248"/>
      <c r="T147" s="248"/>
      <c r="U147" s="248"/>
      <c r="V147" s="248"/>
      <c r="W147" s="248"/>
      <c r="X147" s="248"/>
      <c r="Y147" s="248"/>
      <c r="Z147" s="248"/>
      <c r="AA147" s="248"/>
      <c r="AB147" s="248"/>
    </row>
    <row r="148">
      <c r="A148" s="249" t="s">
        <v>449</v>
      </c>
      <c r="B148" s="243">
        <v>990.0</v>
      </c>
      <c r="C148" s="243">
        <v>1390.0</v>
      </c>
      <c r="D148" s="252">
        <f t="shared" si="27"/>
        <v>400</v>
      </c>
      <c r="E148" s="245" t="s">
        <v>123</v>
      </c>
      <c r="F148" s="242">
        <f t="shared" si="28"/>
        <v>1765.3</v>
      </c>
      <c r="G148" s="246"/>
      <c r="H148" s="247"/>
      <c r="I148" s="248"/>
      <c r="J148" s="248"/>
      <c r="K148" s="248"/>
      <c r="L148" s="248"/>
      <c r="M148" s="248"/>
      <c r="N148" s="248"/>
      <c r="O148" s="248"/>
      <c r="P148" s="248"/>
      <c r="Q148" s="248"/>
      <c r="R148" s="248"/>
      <c r="S148" s="248"/>
      <c r="T148" s="248"/>
      <c r="U148" s="248"/>
      <c r="V148" s="248"/>
      <c r="W148" s="248"/>
      <c r="X148" s="248"/>
      <c r="Y148" s="248"/>
      <c r="Z148" s="248"/>
      <c r="AA148" s="248"/>
      <c r="AB148" s="248"/>
    </row>
    <row r="149">
      <c r="A149" s="275" t="s">
        <v>450</v>
      </c>
      <c r="B149" s="274">
        <v>1290.0</v>
      </c>
      <c r="C149" s="273">
        <v>1390.0</v>
      </c>
      <c r="D149" s="274">
        <f t="shared" si="27"/>
        <v>100</v>
      </c>
      <c r="E149" s="274" t="s">
        <v>123</v>
      </c>
      <c r="F149" s="275">
        <f t="shared" si="28"/>
        <v>1765.3</v>
      </c>
      <c r="G149" s="276"/>
      <c r="H149" s="277"/>
      <c r="I149" s="278"/>
      <c r="J149" s="278"/>
      <c r="K149" s="278"/>
      <c r="L149" s="278"/>
      <c r="M149" s="278"/>
      <c r="N149" s="278"/>
      <c r="O149" s="278"/>
      <c r="P149" s="278"/>
      <c r="Q149" s="278"/>
      <c r="R149" s="278"/>
      <c r="S149" s="278"/>
      <c r="T149" s="278"/>
      <c r="U149" s="278"/>
      <c r="V149" s="278"/>
      <c r="W149" s="278"/>
      <c r="X149" s="278"/>
      <c r="Y149" s="278"/>
      <c r="Z149" s="278"/>
      <c r="AA149" s="278"/>
      <c r="AB149" s="278"/>
    </row>
    <row r="150">
      <c r="A150" s="275" t="s">
        <v>450</v>
      </c>
      <c r="B150" s="273">
        <v>1290.0</v>
      </c>
      <c r="C150" s="273">
        <v>1390.0</v>
      </c>
      <c r="D150" s="274">
        <f t="shared" si="27"/>
        <v>100</v>
      </c>
      <c r="E150" s="274" t="s">
        <v>123</v>
      </c>
      <c r="F150" s="275">
        <f t="shared" si="28"/>
        <v>1765.3</v>
      </c>
      <c r="G150" s="276"/>
      <c r="H150" s="277"/>
      <c r="I150" s="278"/>
      <c r="J150" s="278"/>
      <c r="K150" s="278"/>
      <c r="L150" s="278"/>
      <c r="M150" s="278"/>
      <c r="N150" s="278"/>
      <c r="O150" s="278"/>
      <c r="P150" s="278"/>
      <c r="Q150" s="278"/>
      <c r="R150" s="278"/>
      <c r="S150" s="278"/>
      <c r="T150" s="278"/>
      <c r="U150" s="278"/>
      <c r="V150" s="278"/>
      <c r="W150" s="278"/>
      <c r="X150" s="278"/>
      <c r="Y150" s="278"/>
      <c r="Z150" s="278"/>
      <c r="AA150" s="278"/>
      <c r="AB150" s="278"/>
    </row>
    <row r="151">
      <c r="A151" s="250" t="s">
        <v>451</v>
      </c>
      <c r="B151" s="243">
        <v>1190.0</v>
      </c>
      <c r="C151" s="251">
        <v>1390.0</v>
      </c>
      <c r="D151" s="252">
        <f t="shared" si="27"/>
        <v>200</v>
      </c>
      <c r="E151" s="244" t="s">
        <v>123</v>
      </c>
      <c r="F151" s="242">
        <f t="shared" si="28"/>
        <v>1765.3</v>
      </c>
      <c r="G151" s="246"/>
      <c r="H151" s="247"/>
      <c r="I151" s="248"/>
      <c r="J151" s="253"/>
      <c r="K151" s="253"/>
      <c r="L151" s="248"/>
      <c r="M151" s="248"/>
      <c r="N151" s="248"/>
      <c r="O151" s="248"/>
      <c r="P151" s="248"/>
      <c r="Q151" s="248"/>
      <c r="R151" s="248"/>
      <c r="S151" s="248"/>
      <c r="T151" s="248"/>
      <c r="U151" s="248"/>
      <c r="V151" s="248"/>
      <c r="W151" s="248"/>
      <c r="X151" s="248"/>
      <c r="Y151" s="248"/>
      <c r="Z151" s="248"/>
      <c r="AA151" s="248"/>
      <c r="AB151" s="248"/>
    </row>
    <row r="152">
      <c r="A152" s="250" t="s">
        <v>452</v>
      </c>
      <c r="B152" s="251">
        <v>1390.0</v>
      </c>
      <c r="C152" s="251">
        <v>1390.0</v>
      </c>
      <c r="D152" s="252">
        <f t="shared" si="27"/>
        <v>0</v>
      </c>
      <c r="E152" s="245" t="s">
        <v>120</v>
      </c>
      <c r="F152" s="242">
        <f t="shared" si="28"/>
        <v>1765.3</v>
      </c>
      <c r="G152" s="246"/>
      <c r="H152" s="247"/>
      <c r="I152" s="248"/>
      <c r="J152" s="248"/>
      <c r="K152" s="248"/>
      <c r="L152" s="248"/>
      <c r="M152" s="248"/>
      <c r="N152" s="248"/>
      <c r="O152" s="248"/>
      <c r="P152" s="248"/>
      <c r="Q152" s="248"/>
      <c r="R152" s="248"/>
      <c r="S152" s="248"/>
      <c r="T152" s="248"/>
      <c r="U152" s="248"/>
      <c r="V152" s="248"/>
      <c r="W152" s="248"/>
      <c r="X152" s="248"/>
      <c r="Y152" s="248"/>
      <c r="Z152" s="248"/>
      <c r="AA152" s="248"/>
      <c r="AB152" s="248"/>
    </row>
    <row r="153">
      <c r="A153" s="242" t="s">
        <v>453</v>
      </c>
      <c r="B153" s="243">
        <v>1490.0</v>
      </c>
      <c r="C153" s="243">
        <v>1290.0</v>
      </c>
      <c r="D153" s="244">
        <f t="shared" si="27"/>
        <v>-200</v>
      </c>
      <c r="E153" s="245" t="s">
        <v>120</v>
      </c>
      <c r="F153" s="242">
        <f t="shared" si="28"/>
        <v>1638.3</v>
      </c>
      <c r="G153" s="246"/>
      <c r="H153" s="247"/>
      <c r="I153" s="248"/>
      <c r="J153" s="248"/>
      <c r="K153" s="248"/>
      <c r="L153" s="248"/>
      <c r="M153" s="248"/>
      <c r="N153" s="248"/>
      <c r="O153" s="248"/>
      <c r="P153" s="248"/>
      <c r="Q153" s="248"/>
      <c r="R153" s="248"/>
      <c r="S153" s="248"/>
      <c r="T153" s="248"/>
      <c r="U153" s="248"/>
      <c r="V153" s="248"/>
      <c r="W153" s="248"/>
      <c r="X153" s="248"/>
      <c r="Y153" s="248"/>
      <c r="Z153" s="248"/>
      <c r="AA153" s="248"/>
      <c r="AB153" s="248"/>
    </row>
    <row r="154">
      <c r="A154" s="242" t="s">
        <v>453</v>
      </c>
      <c r="B154" s="243">
        <v>1490.0</v>
      </c>
      <c r="C154" s="243">
        <v>1290.0</v>
      </c>
      <c r="D154" s="244">
        <f t="shared" si="27"/>
        <v>-200</v>
      </c>
      <c r="E154" s="245" t="s">
        <v>120</v>
      </c>
      <c r="F154" s="242">
        <f t="shared" si="28"/>
        <v>1638.3</v>
      </c>
      <c r="G154" s="246"/>
      <c r="H154" s="247"/>
      <c r="I154" s="248"/>
      <c r="J154" s="248"/>
      <c r="K154" s="248"/>
      <c r="L154" s="248"/>
      <c r="M154" s="248"/>
      <c r="N154" s="248"/>
      <c r="O154" s="248"/>
      <c r="P154" s="248"/>
      <c r="Q154" s="248"/>
      <c r="R154" s="248"/>
      <c r="S154" s="248"/>
      <c r="T154" s="248"/>
      <c r="U154" s="248"/>
      <c r="V154" s="248"/>
      <c r="W154" s="248"/>
      <c r="X154" s="248"/>
      <c r="Y154" s="248"/>
      <c r="Z154" s="248"/>
      <c r="AA154" s="248"/>
      <c r="AB154" s="248"/>
    </row>
    <row r="155">
      <c r="A155" s="284" t="s">
        <v>454</v>
      </c>
      <c r="B155" s="281">
        <v>1190.0</v>
      </c>
      <c r="C155" s="281">
        <v>1290.0</v>
      </c>
      <c r="D155" s="282">
        <f t="shared" si="27"/>
        <v>100</v>
      </c>
      <c r="E155" s="279" t="s">
        <v>123</v>
      </c>
      <c r="F155" s="275">
        <f t="shared" si="28"/>
        <v>1638.3</v>
      </c>
      <c r="G155" s="276"/>
      <c r="H155" s="277"/>
      <c r="I155" s="283"/>
      <c r="J155" s="283"/>
      <c r="K155" s="283"/>
      <c r="L155" s="283"/>
      <c r="M155" s="283"/>
      <c r="N155" s="283"/>
      <c r="O155" s="283"/>
      <c r="P155" s="283"/>
      <c r="Q155" s="283"/>
      <c r="R155" s="283"/>
      <c r="S155" s="283"/>
      <c r="T155" s="283"/>
      <c r="U155" s="283"/>
      <c r="V155" s="283"/>
      <c r="W155" s="283"/>
      <c r="X155" s="283"/>
      <c r="Y155" s="283"/>
      <c r="Z155" s="283"/>
      <c r="AA155" s="283"/>
      <c r="AB155" s="283"/>
    </row>
    <row r="156">
      <c r="A156" s="284" t="s">
        <v>455</v>
      </c>
      <c r="B156" s="273">
        <v>990.0</v>
      </c>
      <c r="C156" s="289">
        <v>1290.0</v>
      </c>
      <c r="D156" s="274">
        <f t="shared" si="27"/>
        <v>300</v>
      </c>
      <c r="E156" s="273" t="s">
        <v>120</v>
      </c>
      <c r="F156" s="275">
        <f t="shared" si="28"/>
        <v>1638.3</v>
      </c>
      <c r="G156" s="276"/>
      <c r="H156" s="277"/>
      <c r="I156" s="283"/>
      <c r="J156" s="283"/>
      <c r="K156" s="283"/>
      <c r="L156" s="283"/>
      <c r="M156" s="283"/>
      <c r="N156" s="283"/>
      <c r="O156" s="283"/>
      <c r="P156" s="283"/>
      <c r="Q156" s="283"/>
      <c r="R156" s="283"/>
      <c r="S156" s="283"/>
      <c r="T156" s="283"/>
      <c r="U156" s="283"/>
      <c r="V156" s="283"/>
      <c r="W156" s="283"/>
      <c r="X156" s="283"/>
      <c r="Y156" s="283"/>
      <c r="Z156" s="283"/>
      <c r="AA156" s="283"/>
      <c r="AB156" s="283"/>
    </row>
    <row r="157">
      <c r="A157" s="242" t="s">
        <v>456</v>
      </c>
      <c r="B157" s="243">
        <v>1190.0</v>
      </c>
      <c r="C157" s="243">
        <v>1290.0</v>
      </c>
      <c r="D157" s="244">
        <f t="shared" si="27"/>
        <v>100</v>
      </c>
      <c r="E157" s="244" t="s">
        <v>123</v>
      </c>
      <c r="F157" s="242">
        <f t="shared" si="28"/>
        <v>1638.3</v>
      </c>
      <c r="G157" s="246"/>
      <c r="H157" s="247"/>
      <c r="I157" s="248"/>
      <c r="J157" s="248"/>
      <c r="K157" s="248"/>
      <c r="L157" s="248"/>
      <c r="M157" s="248"/>
      <c r="N157" s="248"/>
      <c r="O157" s="248"/>
      <c r="P157" s="248"/>
      <c r="Q157" s="248"/>
      <c r="R157" s="248"/>
      <c r="S157" s="248"/>
      <c r="T157" s="248"/>
      <c r="U157" s="248"/>
      <c r="V157" s="248"/>
      <c r="W157" s="248"/>
      <c r="X157" s="248"/>
      <c r="Y157" s="248"/>
      <c r="Z157" s="248"/>
      <c r="AA157" s="248"/>
      <c r="AB157" s="248"/>
    </row>
    <row r="158">
      <c r="A158" s="288" t="s">
        <v>457</v>
      </c>
      <c r="B158" s="243">
        <v>890.0</v>
      </c>
      <c r="C158" s="243">
        <v>1190.0</v>
      </c>
      <c r="D158" s="244">
        <f t="shared" si="27"/>
        <v>300</v>
      </c>
      <c r="E158" s="245" t="s">
        <v>123</v>
      </c>
      <c r="F158" s="242">
        <f t="shared" si="28"/>
        <v>1511.3</v>
      </c>
      <c r="G158" s="246"/>
      <c r="H158" s="247"/>
      <c r="I158" s="248"/>
      <c r="J158" s="248"/>
      <c r="K158" s="248"/>
      <c r="L158" s="248"/>
      <c r="M158" s="248"/>
      <c r="N158" s="248"/>
      <c r="O158" s="248"/>
      <c r="P158" s="248"/>
      <c r="Q158" s="248"/>
      <c r="R158" s="248"/>
      <c r="S158" s="248"/>
      <c r="T158" s="248"/>
      <c r="U158" s="248"/>
      <c r="V158" s="248"/>
      <c r="W158" s="248"/>
      <c r="X158" s="248"/>
      <c r="Y158" s="248"/>
      <c r="Z158" s="248"/>
      <c r="AA158" s="248"/>
      <c r="AB158" s="248"/>
    </row>
    <row r="159">
      <c r="A159" s="242" t="s">
        <v>458</v>
      </c>
      <c r="B159" s="243">
        <v>1190.0</v>
      </c>
      <c r="C159" s="243">
        <v>1190.0</v>
      </c>
      <c r="D159" s="244">
        <f t="shared" si="27"/>
        <v>0</v>
      </c>
      <c r="E159" s="245" t="s">
        <v>123</v>
      </c>
      <c r="F159" s="242">
        <f t="shared" si="28"/>
        <v>1511.3</v>
      </c>
      <c r="G159" s="246"/>
      <c r="H159" s="247"/>
      <c r="I159" s="248"/>
      <c r="J159" s="248"/>
      <c r="K159" s="248"/>
      <c r="L159" s="248"/>
      <c r="M159" s="248"/>
      <c r="N159" s="248"/>
      <c r="O159" s="248"/>
      <c r="P159" s="248"/>
      <c r="Q159" s="248"/>
      <c r="R159" s="248"/>
      <c r="S159" s="248"/>
      <c r="T159" s="248"/>
      <c r="U159" s="248"/>
      <c r="V159" s="248"/>
      <c r="W159" s="248"/>
      <c r="X159" s="248"/>
      <c r="Y159" s="248"/>
      <c r="Z159" s="248"/>
      <c r="AA159" s="248"/>
      <c r="AB159" s="248"/>
    </row>
    <row r="160">
      <c r="A160" s="272" t="s">
        <v>459</v>
      </c>
      <c r="B160" s="273">
        <v>1290.0</v>
      </c>
      <c r="C160" s="290">
        <v>1190.0</v>
      </c>
      <c r="D160" s="274">
        <f t="shared" si="27"/>
        <v>-100</v>
      </c>
      <c r="E160" s="274" t="s">
        <v>123</v>
      </c>
      <c r="F160" s="275">
        <f t="shared" si="28"/>
        <v>1511.3</v>
      </c>
      <c r="G160" s="276"/>
      <c r="H160" s="277"/>
      <c r="I160" s="278"/>
      <c r="J160" s="278"/>
      <c r="K160" s="278"/>
      <c r="L160" s="278"/>
      <c r="M160" s="278"/>
      <c r="N160" s="278"/>
      <c r="O160" s="278"/>
      <c r="P160" s="278"/>
      <c r="Q160" s="278"/>
      <c r="R160" s="278"/>
      <c r="S160" s="278"/>
      <c r="T160" s="278"/>
      <c r="U160" s="278"/>
      <c r="V160" s="278"/>
      <c r="W160" s="278"/>
      <c r="X160" s="278"/>
      <c r="Y160" s="278"/>
      <c r="Z160" s="278"/>
      <c r="AA160" s="278"/>
      <c r="AB160" s="278"/>
    </row>
    <row r="161">
      <c r="A161" s="272" t="s">
        <v>459</v>
      </c>
      <c r="B161" s="273">
        <v>1290.0</v>
      </c>
      <c r="C161" s="290">
        <v>1190.0</v>
      </c>
      <c r="D161" s="274">
        <f t="shared" si="27"/>
        <v>-100</v>
      </c>
      <c r="E161" s="274" t="s">
        <v>123</v>
      </c>
      <c r="F161" s="275">
        <f t="shared" si="28"/>
        <v>1511.3</v>
      </c>
      <c r="G161" s="276"/>
      <c r="H161" s="277"/>
      <c r="I161" s="278"/>
      <c r="J161" s="278"/>
      <c r="K161" s="278"/>
      <c r="L161" s="278"/>
      <c r="M161" s="278"/>
      <c r="N161" s="278"/>
      <c r="O161" s="278"/>
      <c r="P161" s="278"/>
      <c r="Q161" s="278"/>
      <c r="R161" s="278"/>
      <c r="S161" s="278"/>
      <c r="T161" s="278"/>
      <c r="U161" s="278"/>
      <c r="V161" s="278"/>
      <c r="W161" s="278"/>
      <c r="X161" s="278"/>
      <c r="Y161" s="278"/>
      <c r="Z161" s="278"/>
      <c r="AA161" s="278"/>
      <c r="AB161" s="278"/>
    </row>
    <row r="162">
      <c r="A162" s="272" t="s">
        <v>459</v>
      </c>
      <c r="B162" s="274">
        <v>1290.0</v>
      </c>
      <c r="C162" s="290">
        <v>1190.0</v>
      </c>
      <c r="D162" s="274">
        <f t="shared" si="27"/>
        <v>-100</v>
      </c>
      <c r="E162" s="274" t="s">
        <v>123</v>
      </c>
      <c r="F162" s="275">
        <f t="shared" si="28"/>
        <v>1511.3</v>
      </c>
      <c r="G162" s="276"/>
      <c r="H162" s="277"/>
      <c r="I162" s="278"/>
      <c r="J162" s="278"/>
      <c r="K162" s="278"/>
      <c r="L162" s="278"/>
      <c r="M162" s="278"/>
      <c r="N162" s="278"/>
      <c r="O162" s="278"/>
      <c r="P162" s="278"/>
      <c r="Q162" s="278"/>
      <c r="R162" s="278"/>
      <c r="S162" s="278"/>
      <c r="T162" s="278"/>
      <c r="U162" s="278"/>
      <c r="V162" s="278"/>
      <c r="W162" s="278"/>
      <c r="X162" s="278"/>
      <c r="Y162" s="278"/>
      <c r="Z162" s="278"/>
      <c r="AA162" s="278"/>
      <c r="AB162" s="278"/>
    </row>
    <row r="163">
      <c r="A163" s="272" t="s">
        <v>459</v>
      </c>
      <c r="B163" s="273">
        <v>1290.0</v>
      </c>
      <c r="C163" s="290">
        <v>1190.0</v>
      </c>
      <c r="D163" s="274">
        <f t="shared" si="27"/>
        <v>-100</v>
      </c>
      <c r="E163" s="274" t="s">
        <v>123</v>
      </c>
      <c r="F163" s="275">
        <f t="shared" si="28"/>
        <v>1511.3</v>
      </c>
      <c r="G163" s="276"/>
      <c r="H163" s="277"/>
      <c r="I163" s="278"/>
      <c r="J163" s="278"/>
      <c r="K163" s="278"/>
      <c r="L163" s="278"/>
      <c r="M163" s="278"/>
      <c r="N163" s="278"/>
      <c r="O163" s="278"/>
      <c r="P163" s="278"/>
      <c r="Q163" s="278"/>
      <c r="R163" s="278"/>
      <c r="S163" s="278"/>
      <c r="T163" s="278"/>
      <c r="U163" s="278"/>
      <c r="V163" s="278"/>
      <c r="W163" s="278"/>
      <c r="X163" s="278"/>
      <c r="Y163" s="278"/>
      <c r="Z163" s="278"/>
      <c r="AA163" s="278"/>
      <c r="AB163" s="278"/>
    </row>
    <row r="164">
      <c r="A164" s="249" t="s">
        <v>460</v>
      </c>
      <c r="B164" s="243">
        <v>1790.0</v>
      </c>
      <c r="C164" s="243">
        <v>1090.0</v>
      </c>
      <c r="D164" s="244">
        <f t="shared" si="27"/>
        <v>-700</v>
      </c>
      <c r="E164" s="244" t="s">
        <v>123</v>
      </c>
      <c r="F164" s="242">
        <f t="shared" si="28"/>
        <v>1384.3</v>
      </c>
      <c r="G164" s="246"/>
      <c r="H164" s="247"/>
      <c r="I164" s="248"/>
      <c r="J164" s="248"/>
      <c r="K164" s="248"/>
      <c r="L164" s="248"/>
      <c r="M164" s="248"/>
      <c r="N164" s="248"/>
      <c r="O164" s="248"/>
      <c r="P164" s="248"/>
      <c r="Q164" s="248"/>
      <c r="R164" s="248"/>
      <c r="S164" s="248"/>
      <c r="T164" s="248"/>
      <c r="U164" s="248"/>
      <c r="V164" s="248"/>
      <c r="W164" s="248"/>
      <c r="X164" s="248"/>
      <c r="Y164" s="248"/>
      <c r="Z164" s="248"/>
      <c r="AA164" s="248"/>
      <c r="AB164" s="248"/>
    </row>
    <row r="165">
      <c r="A165" s="249" t="s">
        <v>460</v>
      </c>
      <c r="B165" s="243">
        <v>1790.0</v>
      </c>
      <c r="C165" s="243">
        <v>1090.0</v>
      </c>
      <c r="D165" s="244">
        <f t="shared" si="27"/>
        <v>-700</v>
      </c>
      <c r="E165" s="244" t="s">
        <v>123</v>
      </c>
      <c r="F165" s="242">
        <f t="shared" si="28"/>
        <v>1384.3</v>
      </c>
      <c r="G165" s="246"/>
      <c r="H165" s="247"/>
      <c r="I165" s="248"/>
      <c r="J165" s="248"/>
      <c r="K165" s="248"/>
      <c r="L165" s="248"/>
      <c r="M165" s="248"/>
      <c r="N165" s="248"/>
      <c r="O165" s="248"/>
      <c r="P165" s="248"/>
      <c r="Q165" s="248"/>
      <c r="R165" s="248"/>
      <c r="S165" s="248"/>
      <c r="T165" s="248"/>
      <c r="U165" s="248"/>
      <c r="V165" s="248"/>
      <c r="W165" s="248"/>
      <c r="X165" s="248"/>
      <c r="Y165" s="248"/>
      <c r="Z165" s="248"/>
      <c r="AA165" s="248"/>
      <c r="AB165" s="248"/>
    </row>
    <row r="166">
      <c r="A166" s="249" t="s">
        <v>460</v>
      </c>
      <c r="B166" s="243">
        <v>1790.0</v>
      </c>
      <c r="C166" s="243">
        <v>1090.0</v>
      </c>
      <c r="D166" s="244">
        <f t="shared" si="27"/>
        <v>-700</v>
      </c>
      <c r="E166" s="244" t="s">
        <v>123</v>
      </c>
      <c r="F166" s="242">
        <f t="shared" si="28"/>
        <v>1384.3</v>
      </c>
      <c r="G166" s="246"/>
      <c r="H166" s="247"/>
      <c r="I166" s="248"/>
      <c r="J166" s="248"/>
      <c r="K166" s="248"/>
      <c r="L166" s="248"/>
      <c r="M166" s="248"/>
      <c r="N166" s="248"/>
      <c r="O166" s="248"/>
      <c r="P166" s="248"/>
      <c r="Q166" s="248"/>
      <c r="R166" s="248"/>
      <c r="S166" s="248"/>
      <c r="T166" s="248"/>
      <c r="U166" s="248"/>
      <c r="V166" s="248"/>
      <c r="W166" s="248"/>
      <c r="X166" s="248"/>
      <c r="Y166" s="248"/>
      <c r="Z166" s="248"/>
      <c r="AA166" s="248"/>
      <c r="AB166" s="248"/>
    </row>
    <row r="167">
      <c r="A167" s="288" t="s">
        <v>461</v>
      </c>
      <c r="B167" s="243">
        <v>590.0</v>
      </c>
      <c r="C167" s="243">
        <v>1090.0</v>
      </c>
      <c r="D167" s="244">
        <f t="shared" si="27"/>
        <v>500</v>
      </c>
      <c r="E167" s="244" t="s">
        <v>123</v>
      </c>
      <c r="F167" s="242">
        <f t="shared" si="28"/>
        <v>1384.3</v>
      </c>
      <c r="G167" s="246"/>
      <c r="H167" s="247"/>
      <c r="I167" s="248"/>
      <c r="J167" s="248"/>
      <c r="K167" s="248"/>
      <c r="L167" s="248"/>
      <c r="M167" s="248"/>
      <c r="N167" s="248"/>
      <c r="O167" s="248"/>
      <c r="P167" s="248"/>
      <c r="Q167" s="248"/>
      <c r="R167" s="248"/>
      <c r="S167" s="248"/>
      <c r="T167" s="248"/>
      <c r="U167" s="248"/>
      <c r="V167" s="248"/>
      <c r="W167" s="248"/>
      <c r="X167" s="248"/>
      <c r="Y167" s="248"/>
      <c r="Z167" s="248"/>
      <c r="AA167" s="248"/>
      <c r="AB167" s="248"/>
    </row>
    <row r="168">
      <c r="A168" s="275" t="s">
        <v>462</v>
      </c>
      <c r="B168" s="281">
        <v>1190.0</v>
      </c>
      <c r="C168" s="273">
        <v>1090.0</v>
      </c>
      <c r="D168" s="274">
        <f t="shared" si="27"/>
        <v>-100</v>
      </c>
      <c r="E168" s="274" t="s">
        <v>123</v>
      </c>
      <c r="F168" s="275">
        <f t="shared" si="28"/>
        <v>1384.3</v>
      </c>
      <c r="G168" s="276"/>
      <c r="H168" s="277"/>
      <c r="I168" s="278"/>
      <c r="J168" s="278"/>
      <c r="K168" s="278"/>
      <c r="L168" s="278"/>
      <c r="M168" s="278"/>
      <c r="N168" s="278"/>
      <c r="O168" s="278"/>
      <c r="P168" s="278"/>
      <c r="Q168" s="278"/>
      <c r="R168" s="278"/>
      <c r="S168" s="278"/>
      <c r="T168" s="278"/>
      <c r="U168" s="278"/>
      <c r="V168" s="278"/>
      <c r="W168" s="278"/>
      <c r="X168" s="278"/>
      <c r="Y168" s="278"/>
      <c r="Z168" s="278"/>
      <c r="AA168" s="278"/>
      <c r="AB168" s="278"/>
    </row>
    <row r="169">
      <c r="A169" s="275" t="s">
        <v>462</v>
      </c>
      <c r="B169" s="281">
        <v>1190.0</v>
      </c>
      <c r="C169" s="273">
        <v>1090.0</v>
      </c>
      <c r="D169" s="274">
        <f t="shared" si="27"/>
        <v>-100</v>
      </c>
      <c r="E169" s="274" t="s">
        <v>123</v>
      </c>
      <c r="F169" s="275">
        <f t="shared" si="28"/>
        <v>1384.3</v>
      </c>
      <c r="G169" s="276"/>
      <c r="H169" s="277"/>
      <c r="I169" s="278"/>
      <c r="J169" s="278"/>
      <c r="K169" s="278"/>
      <c r="L169" s="278"/>
      <c r="M169" s="278"/>
      <c r="N169" s="278"/>
      <c r="O169" s="278"/>
      <c r="P169" s="278"/>
      <c r="Q169" s="278"/>
      <c r="R169" s="278"/>
      <c r="S169" s="278"/>
      <c r="T169" s="278"/>
      <c r="U169" s="278"/>
      <c r="V169" s="278"/>
      <c r="W169" s="278"/>
      <c r="X169" s="278"/>
      <c r="Y169" s="278"/>
      <c r="Z169" s="278"/>
      <c r="AA169" s="278"/>
      <c r="AB169" s="278"/>
    </row>
    <row r="170">
      <c r="A170" s="275" t="s">
        <v>462</v>
      </c>
      <c r="B170" s="281">
        <v>1190.0</v>
      </c>
      <c r="C170" s="273">
        <v>1090.0</v>
      </c>
      <c r="D170" s="274">
        <f t="shared" si="27"/>
        <v>-100</v>
      </c>
      <c r="E170" s="273" t="s">
        <v>123</v>
      </c>
      <c r="F170" s="275">
        <f t="shared" si="28"/>
        <v>1384.3</v>
      </c>
      <c r="G170" s="276"/>
      <c r="H170" s="277"/>
      <c r="I170" s="278"/>
      <c r="J170" s="278"/>
      <c r="K170" s="278"/>
      <c r="L170" s="278"/>
      <c r="M170" s="278"/>
      <c r="N170" s="278"/>
      <c r="O170" s="278"/>
      <c r="P170" s="278"/>
      <c r="Q170" s="278"/>
      <c r="R170" s="278"/>
      <c r="S170" s="278"/>
      <c r="T170" s="278"/>
      <c r="U170" s="278"/>
      <c r="V170" s="278"/>
      <c r="W170" s="278"/>
      <c r="X170" s="278"/>
      <c r="Y170" s="278"/>
      <c r="Z170" s="278"/>
      <c r="AA170" s="278"/>
      <c r="AB170" s="278"/>
    </row>
    <row r="171">
      <c r="A171" s="272" t="s">
        <v>463</v>
      </c>
      <c r="B171" s="281">
        <v>1190.0</v>
      </c>
      <c r="C171" s="273">
        <v>1090.0</v>
      </c>
      <c r="D171" s="274">
        <f t="shared" si="27"/>
        <v>-100</v>
      </c>
      <c r="E171" s="274" t="s">
        <v>123</v>
      </c>
      <c r="F171" s="275">
        <f t="shared" si="28"/>
        <v>1384.3</v>
      </c>
      <c r="G171" s="276"/>
      <c r="H171" s="277"/>
      <c r="I171" s="278"/>
      <c r="J171" s="278"/>
      <c r="K171" s="278"/>
      <c r="L171" s="278"/>
      <c r="M171" s="278"/>
      <c r="N171" s="278"/>
      <c r="O171" s="278"/>
      <c r="P171" s="278"/>
      <c r="Q171" s="278"/>
      <c r="R171" s="278"/>
      <c r="S171" s="278"/>
      <c r="T171" s="278"/>
      <c r="U171" s="278"/>
      <c r="V171" s="278"/>
      <c r="W171" s="278"/>
      <c r="X171" s="278"/>
      <c r="Y171" s="278"/>
      <c r="Z171" s="278"/>
      <c r="AA171" s="278"/>
      <c r="AB171" s="278"/>
    </row>
    <row r="172">
      <c r="A172" s="291" t="s">
        <v>464</v>
      </c>
      <c r="B172" s="273">
        <v>1290.0</v>
      </c>
      <c r="C172" s="273">
        <v>1090.0</v>
      </c>
      <c r="D172" s="274">
        <f t="shared" si="27"/>
        <v>-200</v>
      </c>
      <c r="E172" s="274" t="s">
        <v>123</v>
      </c>
      <c r="F172" s="275">
        <f t="shared" si="28"/>
        <v>1384.3</v>
      </c>
      <c r="G172" s="276"/>
      <c r="H172" s="277"/>
      <c r="I172" s="278"/>
      <c r="J172" s="278"/>
      <c r="K172" s="278"/>
      <c r="L172" s="278"/>
      <c r="M172" s="278"/>
      <c r="N172" s="278"/>
      <c r="O172" s="278"/>
      <c r="P172" s="278"/>
      <c r="Q172" s="278"/>
      <c r="R172" s="278"/>
      <c r="S172" s="278"/>
      <c r="T172" s="278"/>
      <c r="U172" s="278"/>
      <c r="V172" s="278"/>
      <c r="W172" s="278"/>
      <c r="X172" s="278"/>
      <c r="Y172" s="278"/>
      <c r="Z172" s="278"/>
      <c r="AA172" s="278"/>
      <c r="AB172" s="278"/>
    </row>
    <row r="173">
      <c r="A173" s="242" t="s">
        <v>465</v>
      </c>
      <c r="B173" s="243">
        <v>890.0</v>
      </c>
      <c r="C173" s="243">
        <v>1090.0</v>
      </c>
      <c r="D173" s="244">
        <f t="shared" si="27"/>
        <v>200</v>
      </c>
      <c r="E173" s="245" t="s">
        <v>123</v>
      </c>
      <c r="F173" s="242">
        <f t="shared" si="28"/>
        <v>1384.3</v>
      </c>
      <c r="G173" s="246"/>
      <c r="H173" s="247"/>
      <c r="I173" s="248"/>
      <c r="J173" s="248"/>
      <c r="K173" s="248"/>
      <c r="L173" s="248"/>
      <c r="M173" s="248"/>
      <c r="N173" s="248"/>
      <c r="O173" s="248"/>
      <c r="P173" s="248"/>
      <c r="Q173" s="248"/>
      <c r="R173" s="248"/>
      <c r="S173" s="248"/>
      <c r="T173" s="248"/>
      <c r="U173" s="248"/>
      <c r="V173" s="248"/>
      <c r="W173" s="248"/>
      <c r="X173" s="248"/>
      <c r="Y173" s="248"/>
      <c r="Z173" s="248"/>
      <c r="AA173" s="248"/>
      <c r="AB173" s="248"/>
    </row>
    <row r="174">
      <c r="A174" s="288" t="s">
        <v>466</v>
      </c>
      <c r="B174" s="243">
        <v>890.0</v>
      </c>
      <c r="C174" s="243">
        <v>1090.0</v>
      </c>
      <c r="D174" s="244">
        <f t="shared" si="27"/>
        <v>200</v>
      </c>
      <c r="E174" s="245" t="s">
        <v>123</v>
      </c>
      <c r="F174" s="242">
        <f t="shared" si="28"/>
        <v>1384.3</v>
      </c>
      <c r="G174" s="246"/>
      <c r="H174" s="247"/>
      <c r="I174" s="248"/>
      <c r="J174" s="248"/>
      <c r="K174" s="248"/>
      <c r="L174" s="248"/>
      <c r="M174" s="248"/>
      <c r="N174" s="248"/>
      <c r="O174" s="248"/>
      <c r="P174" s="248"/>
      <c r="Q174" s="248"/>
      <c r="R174" s="248"/>
      <c r="S174" s="248"/>
      <c r="T174" s="248"/>
      <c r="U174" s="248"/>
      <c r="V174" s="248"/>
      <c r="W174" s="248"/>
      <c r="X174" s="248"/>
      <c r="Y174" s="248"/>
      <c r="Z174" s="248"/>
      <c r="AA174" s="248"/>
      <c r="AB174" s="248"/>
    </row>
    <row r="175">
      <c r="A175" s="242" t="s">
        <v>467</v>
      </c>
      <c r="B175" s="243">
        <v>990.0</v>
      </c>
      <c r="C175" s="243">
        <v>990.0</v>
      </c>
      <c r="D175" s="244">
        <f t="shared" si="27"/>
        <v>0</v>
      </c>
      <c r="E175" s="243" t="s">
        <v>123</v>
      </c>
      <c r="F175" s="242">
        <f t="shared" si="28"/>
        <v>1257.3</v>
      </c>
      <c r="G175" s="246"/>
      <c r="H175" s="247"/>
      <c r="I175" s="248"/>
      <c r="J175" s="248"/>
      <c r="K175" s="248"/>
      <c r="L175" s="248"/>
      <c r="M175" s="248"/>
      <c r="N175" s="248"/>
      <c r="O175" s="248"/>
      <c r="P175" s="248"/>
      <c r="Q175" s="248"/>
      <c r="R175" s="248"/>
      <c r="S175" s="248"/>
      <c r="T175" s="248"/>
      <c r="U175" s="248"/>
      <c r="V175" s="248"/>
      <c r="W175" s="248"/>
      <c r="X175" s="248"/>
      <c r="Y175" s="248"/>
      <c r="Z175" s="248"/>
      <c r="AA175" s="248"/>
      <c r="AB175" s="248"/>
    </row>
    <row r="176">
      <c r="A176" s="242" t="s">
        <v>468</v>
      </c>
      <c r="B176" s="243">
        <v>1190.0</v>
      </c>
      <c r="C176" s="243">
        <v>990.0</v>
      </c>
      <c r="D176" s="244">
        <f t="shared" si="27"/>
        <v>-200</v>
      </c>
      <c r="E176" s="244" t="s">
        <v>123</v>
      </c>
      <c r="F176" s="242">
        <f t="shared" si="28"/>
        <v>1257.3</v>
      </c>
      <c r="G176" s="246"/>
      <c r="H176" s="247"/>
      <c r="I176" s="248"/>
      <c r="J176" s="248"/>
      <c r="K176" s="248"/>
      <c r="L176" s="248"/>
      <c r="M176" s="248"/>
      <c r="N176" s="248"/>
      <c r="O176" s="248"/>
      <c r="P176" s="248"/>
      <c r="Q176" s="248"/>
      <c r="R176" s="248"/>
      <c r="S176" s="248"/>
      <c r="T176" s="248"/>
      <c r="U176" s="248"/>
      <c r="V176" s="248"/>
      <c r="W176" s="248"/>
      <c r="X176" s="248"/>
      <c r="Y176" s="248"/>
      <c r="Z176" s="248"/>
      <c r="AA176" s="248"/>
      <c r="AB176" s="248"/>
    </row>
    <row r="177">
      <c r="A177" s="288" t="s">
        <v>469</v>
      </c>
      <c r="B177" s="243">
        <v>890.0</v>
      </c>
      <c r="C177" s="243">
        <v>990.0</v>
      </c>
      <c r="D177" s="244">
        <f t="shared" si="27"/>
        <v>100</v>
      </c>
      <c r="E177" s="244" t="s">
        <v>123</v>
      </c>
      <c r="F177" s="242">
        <f t="shared" si="28"/>
        <v>1257.3</v>
      </c>
      <c r="G177" s="246"/>
      <c r="H177" s="247"/>
      <c r="I177" s="248"/>
      <c r="J177" s="248"/>
      <c r="K177" s="248"/>
      <c r="L177" s="248"/>
      <c r="M177" s="248"/>
      <c r="N177" s="248"/>
      <c r="O177" s="248"/>
      <c r="P177" s="248"/>
      <c r="Q177" s="248"/>
      <c r="R177" s="248"/>
      <c r="S177" s="248"/>
      <c r="T177" s="248"/>
      <c r="U177" s="248"/>
      <c r="V177" s="248"/>
      <c r="W177" s="248"/>
      <c r="X177" s="248"/>
      <c r="Y177" s="248"/>
      <c r="Z177" s="248"/>
      <c r="AA177" s="248"/>
      <c r="AB177" s="248"/>
    </row>
    <row r="178">
      <c r="A178" s="275" t="s">
        <v>470</v>
      </c>
      <c r="B178" s="289">
        <v>890.0</v>
      </c>
      <c r="C178" s="273">
        <v>890.0</v>
      </c>
      <c r="D178" s="274">
        <f t="shared" si="27"/>
        <v>0</v>
      </c>
      <c r="E178" s="273" t="s">
        <v>471</v>
      </c>
      <c r="F178" s="275">
        <f t="shared" si="28"/>
        <v>1130.3</v>
      </c>
      <c r="G178" s="276"/>
      <c r="H178" s="277"/>
      <c r="I178" s="278"/>
      <c r="J178" s="278"/>
      <c r="K178" s="278"/>
      <c r="L178" s="278"/>
      <c r="M178" s="278"/>
      <c r="N178" s="278"/>
      <c r="O178" s="278"/>
      <c r="P178" s="278"/>
      <c r="Q178" s="278"/>
      <c r="R178" s="278"/>
      <c r="S178" s="278"/>
      <c r="T178" s="278"/>
      <c r="U178" s="278"/>
      <c r="V178" s="278"/>
      <c r="W178" s="278"/>
      <c r="X178" s="278"/>
      <c r="Y178" s="278"/>
      <c r="Z178" s="278"/>
      <c r="AA178" s="278"/>
      <c r="AB178" s="278"/>
    </row>
    <row r="179">
      <c r="A179" s="292" t="s">
        <v>472</v>
      </c>
      <c r="B179" s="256">
        <v>990.0</v>
      </c>
      <c r="C179" s="256">
        <v>890.0</v>
      </c>
      <c r="D179" s="286">
        <f t="shared" si="27"/>
        <v>-100</v>
      </c>
      <c r="E179" s="286" t="s">
        <v>123</v>
      </c>
      <c r="F179" s="259">
        <f t="shared" si="28"/>
        <v>1130.3</v>
      </c>
      <c r="G179" s="260"/>
      <c r="H179" s="261"/>
      <c r="I179" s="264"/>
      <c r="J179" s="264"/>
      <c r="K179" s="264"/>
      <c r="L179" s="264"/>
      <c r="M179" s="264"/>
      <c r="N179" s="264"/>
      <c r="O179" s="264"/>
      <c r="P179" s="264"/>
      <c r="Q179" s="264"/>
      <c r="R179" s="264"/>
      <c r="S179" s="264"/>
      <c r="T179" s="264"/>
      <c r="U179" s="264"/>
      <c r="V179" s="264"/>
      <c r="W179" s="264"/>
      <c r="X179" s="264"/>
      <c r="Y179" s="264"/>
      <c r="Z179" s="264"/>
      <c r="AA179" s="264"/>
      <c r="AB179" s="264"/>
    </row>
    <row r="180">
      <c r="A180" s="293" t="s">
        <v>472</v>
      </c>
      <c r="B180" s="256">
        <v>990.0</v>
      </c>
      <c r="C180" s="263">
        <v>890.0</v>
      </c>
      <c r="D180" s="286">
        <f t="shared" si="27"/>
        <v>-100</v>
      </c>
      <c r="E180" s="258" t="s">
        <v>123</v>
      </c>
      <c r="F180" s="259">
        <f t="shared" si="28"/>
        <v>1130.3</v>
      </c>
      <c r="G180" s="260"/>
      <c r="H180" s="261"/>
      <c r="I180" s="264"/>
      <c r="J180" s="264"/>
      <c r="K180" s="264"/>
      <c r="L180" s="264"/>
      <c r="M180" s="264"/>
      <c r="N180" s="264"/>
      <c r="O180" s="264"/>
      <c r="P180" s="264"/>
      <c r="Q180" s="264"/>
      <c r="R180" s="264"/>
      <c r="S180" s="264"/>
      <c r="T180" s="264"/>
      <c r="U180" s="264"/>
      <c r="V180" s="264"/>
      <c r="W180" s="264"/>
      <c r="X180" s="264"/>
      <c r="Y180" s="264"/>
      <c r="Z180" s="264"/>
      <c r="AA180" s="264"/>
      <c r="AB180" s="264"/>
    </row>
    <row r="181">
      <c r="A181" s="272" t="s">
        <v>473</v>
      </c>
      <c r="B181" s="273">
        <v>990.0</v>
      </c>
      <c r="C181" s="273">
        <v>890.0</v>
      </c>
      <c r="D181" s="274">
        <f t="shared" si="27"/>
        <v>-100</v>
      </c>
      <c r="E181" s="274" t="s">
        <v>123</v>
      </c>
      <c r="F181" s="275">
        <f t="shared" si="28"/>
        <v>1130.3</v>
      </c>
      <c r="G181" s="276"/>
      <c r="H181" s="277"/>
      <c r="I181" s="278"/>
      <c r="J181" s="278"/>
      <c r="K181" s="278"/>
      <c r="L181" s="278"/>
      <c r="M181" s="278"/>
      <c r="N181" s="278"/>
      <c r="O181" s="278"/>
      <c r="P181" s="278"/>
      <c r="Q181" s="278"/>
      <c r="R181" s="278"/>
      <c r="S181" s="278"/>
      <c r="T181" s="278"/>
      <c r="U181" s="278"/>
      <c r="V181" s="278"/>
      <c r="W181" s="278"/>
      <c r="X181" s="278"/>
      <c r="Y181" s="278"/>
      <c r="Z181" s="278"/>
      <c r="AA181" s="278"/>
      <c r="AB181" s="278"/>
    </row>
    <row r="182">
      <c r="A182" s="284" t="s">
        <v>474</v>
      </c>
      <c r="B182" s="273">
        <v>990.0</v>
      </c>
      <c r="C182" s="281">
        <v>790.0</v>
      </c>
      <c r="D182" s="282">
        <f t="shared" si="27"/>
        <v>-200</v>
      </c>
      <c r="E182" s="279" t="s">
        <v>123</v>
      </c>
      <c r="F182" s="275">
        <f t="shared" si="28"/>
        <v>1003.3</v>
      </c>
      <c r="G182" s="276"/>
      <c r="H182" s="277"/>
      <c r="I182" s="283"/>
      <c r="J182" s="283"/>
      <c r="K182" s="283"/>
      <c r="L182" s="283"/>
      <c r="M182" s="283"/>
      <c r="N182" s="283"/>
      <c r="O182" s="283"/>
      <c r="P182" s="283"/>
      <c r="Q182" s="283"/>
      <c r="R182" s="283"/>
      <c r="S182" s="283"/>
      <c r="T182" s="283"/>
      <c r="U182" s="283"/>
      <c r="V182" s="283"/>
      <c r="W182" s="283"/>
      <c r="X182" s="283"/>
      <c r="Y182" s="283"/>
      <c r="Z182" s="283"/>
      <c r="AA182" s="283"/>
      <c r="AB182" s="283"/>
    </row>
    <row r="183">
      <c r="A183" s="284" t="s">
        <v>475</v>
      </c>
      <c r="B183" s="273">
        <v>790.0</v>
      </c>
      <c r="C183" s="281">
        <v>790.0</v>
      </c>
      <c r="D183" s="282">
        <f t="shared" si="27"/>
        <v>0</v>
      </c>
      <c r="E183" s="273" t="s">
        <v>120</v>
      </c>
      <c r="F183" s="275">
        <f t="shared" si="28"/>
        <v>1003.3</v>
      </c>
      <c r="G183" s="276"/>
      <c r="H183" s="277"/>
      <c r="I183" s="283"/>
      <c r="J183" s="283"/>
      <c r="K183" s="283"/>
      <c r="L183" s="283"/>
      <c r="M183" s="283"/>
      <c r="N183" s="283"/>
      <c r="O183" s="283"/>
      <c r="P183" s="283"/>
      <c r="Q183" s="283"/>
      <c r="R183" s="283"/>
      <c r="S183" s="283"/>
      <c r="T183" s="283"/>
      <c r="U183" s="283"/>
      <c r="V183" s="283"/>
      <c r="W183" s="283"/>
      <c r="X183" s="283"/>
      <c r="Y183" s="283"/>
      <c r="Z183" s="283"/>
      <c r="AA183" s="283"/>
      <c r="AB183" s="283"/>
    </row>
    <row r="184">
      <c r="A184" s="242" t="s">
        <v>476</v>
      </c>
      <c r="B184" s="243">
        <v>690.0</v>
      </c>
      <c r="C184" s="243">
        <v>790.0</v>
      </c>
      <c r="D184" s="244">
        <f t="shared" si="27"/>
        <v>100</v>
      </c>
      <c r="E184" s="244" t="s">
        <v>123</v>
      </c>
      <c r="F184" s="242">
        <f t="shared" si="28"/>
        <v>1003.3</v>
      </c>
      <c r="G184" s="246"/>
      <c r="H184" s="247"/>
      <c r="I184" s="248"/>
      <c r="J184" s="248"/>
      <c r="K184" s="248"/>
      <c r="L184" s="248"/>
      <c r="M184" s="248"/>
      <c r="N184" s="248"/>
      <c r="O184" s="248"/>
      <c r="P184" s="248"/>
      <c r="Q184" s="248"/>
      <c r="R184" s="248"/>
      <c r="S184" s="248"/>
      <c r="T184" s="248"/>
      <c r="U184" s="248"/>
      <c r="V184" s="248"/>
      <c r="W184" s="248"/>
      <c r="X184" s="248"/>
      <c r="Y184" s="248"/>
      <c r="Z184" s="248"/>
      <c r="AA184" s="248"/>
      <c r="AB184" s="248"/>
    </row>
    <row r="185">
      <c r="A185" s="250" t="s">
        <v>477</v>
      </c>
      <c r="B185" s="243">
        <v>990.0</v>
      </c>
      <c r="C185" s="294">
        <v>690.0</v>
      </c>
      <c r="D185" s="244">
        <f t="shared" si="27"/>
        <v>-300</v>
      </c>
      <c r="E185" s="243" t="s">
        <v>120</v>
      </c>
      <c r="F185" s="242">
        <f t="shared" si="28"/>
        <v>876.3</v>
      </c>
      <c r="G185" s="246"/>
      <c r="H185" s="247"/>
      <c r="I185" s="253"/>
      <c r="J185" s="253"/>
      <c r="K185" s="253"/>
      <c r="L185" s="253"/>
      <c r="M185" s="253"/>
      <c r="N185" s="253"/>
      <c r="O185" s="253"/>
      <c r="P185" s="253"/>
      <c r="Q185" s="253"/>
      <c r="R185" s="253"/>
      <c r="S185" s="253"/>
      <c r="T185" s="253"/>
      <c r="U185" s="253"/>
      <c r="V185" s="253"/>
      <c r="W185" s="253"/>
      <c r="X185" s="253"/>
      <c r="Y185" s="253"/>
      <c r="Z185" s="253"/>
      <c r="AA185" s="253"/>
      <c r="AB185" s="253"/>
    </row>
    <row r="186">
      <c r="A186" s="250" t="s">
        <v>478</v>
      </c>
      <c r="B186" s="243">
        <v>1190.0</v>
      </c>
      <c r="C186" s="251">
        <v>690.0</v>
      </c>
      <c r="D186" s="252">
        <f t="shared" si="27"/>
        <v>-500</v>
      </c>
      <c r="E186" s="244" t="s">
        <v>123</v>
      </c>
      <c r="F186" s="242">
        <f t="shared" si="28"/>
        <v>876.3</v>
      </c>
      <c r="G186" s="246"/>
      <c r="H186" s="247"/>
      <c r="I186" s="253"/>
      <c r="J186" s="253"/>
      <c r="K186" s="253"/>
      <c r="L186" s="253"/>
      <c r="M186" s="253"/>
      <c r="N186" s="253"/>
      <c r="O186" s="253"/>
      <c r="P186" s="253"/>
      <c r="Q186" s="253"/>
      <c r="R186" s="253"/>
      <c r="S186" s="253"/>
      <c r="T186" s="253"/>
      <c r="U186" s="253"/>
      <c r="V186" s="253"/>
      <c r="W186" s="253"/>
      <c r="X186" s="253"/>
      <c r="Y186" s="253"/>
      <c r="Z186" s="253"/>
      <c r="AA186" s="253"/>
      <c r="AB186" s="253"/>
    </row>
    <row r="187">
      <c r="A187" s="242" t="s">
        <v>479</v>
      </c>
      <c r="B187" s="295">
        <v>1490.0</v>
      </c>
      <c r="C187" s="295">
        <v>690.0</v>
      </c>
      <c r="D187" s="252">
        <f t="shared" si="27"/>
        <v>-800</v>
      </c>
      <c r="E187" s="244" t="s">
        <v>123</v>
      </c>
      <c r="F187" s="242">
        <f t="shared" si="28"/>
        <v>876.3</v>
      </c>
      <c r="G187" s="246"/>
      <c r="H187" s="247"/>
      <c r="I187" s="248"/>
      <c r="J187" s="248"/>
      <c r="K187" s="248"/>
      <c r="L187" s="248"/>
      <c r="M187" s="248"/>
      <c r="N187" s="248"/>
      <c r="O187" s="248"/>
      <c r="P187" s="248"/>
      <c r="Q187" s="248"/>
      <c r="R187" s="248"/>
      <c r="S187" s="248"/>
      <c r="T187" s="248"/>
      <c r="U187" s="248"/>
      <c r="V187" s="248"/>
      <c r="W187" s="248"/>
      <c r="X187" s="248"/>
      <c r="Y187" s="248"/>
      <c r="Z187" s="248"/>
      <c r="AA187" s="248"/>
      <c r="AB187" s="248"/>
    </row>
    <row r="188">
      <c r="A188" s="288" t="s">
        <v>480</v>
      </c>
      <c r="B188" s="243">
        <v>1490.0</v>
      </c>
      <c r="C188" s="251">
        <v>690.0</v>
      </c>
      <c r="D188" s="244">
        <f t="shared" si="27"/>
        <v>-800</v>
      </c>
      <c r="E188" s="244" t="s">
        <v>123</v>
      </c>
      <c r="F188" s="242">
        <f t="shared" si="28"/>
        <v>876.3</v>
      </c>
      <c r="G188" s="246"/>
      <c r="H188" s="247"/>
      <c r="I188" s="248"/>
      <c r="J188" s="248"/>
      <c r="K188" s="248"/>
      <c r="L188" s="248"/>
      <c r="M188" s="248"/>
      <c r="N188" s="248"/>
      <c r="O188" s="248"/>
      <c r="P188" s="248"/>
      <c r="Q188" s="248"/>
      <c r="R188" s="248"/>
      <c r="S188" s="248"/>
      <c r="T188" s="248"/>
      <c r="U188" s="248"/>
      <c r="V188" s="248"/>
      <c r="W188" s="248"/>
      <c r="X188" s="248"/>
      <c r="Y188" s="248"/>
      <c r="Z188" s="248"/>
      <c r="AA188" s="248"/>
      <c r="AB188" s="248"/>
    </row>
    <row r="189">
      <c r="A189" s="288" t="s">
        <v>481</v>
      </c>
      <c r="B189" s="243">
        <v>690.0</v>
      </c>
      <c r="C189" s="243">
        <v>690.0</v>
      </c>
      <c r="D189" s="244">
        <f t="shared" si="27"/>
        <v>0</v>
      </c>
      <c r="E189" s="245" t="s">
        <v>123</v>
      </c>
      <c r="F189" s="242">
        <f t="shared" si="28"/>
        <v>876.3</v>
      </c>
      <c r="G189" s="246"/>
      <c r="H189" s="247"/>
      <c r="I189" s="248"/>
      <c r="J189" s="248"/>
      <c r="K189" s="248"/>
      <c r="L189" s="248"/>
      <c r="M189" s="248"/>
      <c r="N189" s="248"/>
      <c r="O189" s="248"/>
      <c r="P189" s="248"/>
      <c r="Q189" s="248"/>
      <c r="R189" s="248"/>
      <c r="S189" s="248"/>
      <c r="T189" s="248"/>
      <c r="U189" s="248"/>
      <c r="V189" s="248"/>
      <c r="W189" s="248"/>
      <c r="X189" s="248"/>
      <c r="Y189" s="248"/>
      <c r="Z189" s="248"/>
      <c r="AA189" s="248"/>
      <c r="AB189" s="248"/>
    </row>
    <row r="190">
      <c r="A190" s="123"/>
      <c r="B190" s="124"/>
      <c r="C190" s="124"/>
      <c r="D190" s="132"/>
      <c r="E190" s="132"/>
      <c r="F190" s="132"/>
    </row>
    <row r="191">
      <c r="A191" s="122" t="s">
        <v>482</v>
      </c>
      <c r="B191" s="124"/>
      <c r="C191" s="124"/>
    </row>
    <row r="192">
      <c r="A192" s="275" t="s">
        <v>483</v>
      </c>
      <c r="B192" s="273">
        <v>1090.0</v>
      </c>
      <c r="C192" s="273">
        <v>2090.0</v>
      </c>
      <c r="D192" s="274">
        <f t="shared" ref="D192:D215" si="29">C192-B192</f>
        <v>1000</v>
      </c>
      <c r="E192" s="279" t="s">
        <v>123</v>
      </c>
      <c r="F192" s="275">
        <f t="shared" ref="F192:F215" si="30">C192*1.27</f>
        <v>2654.3</v>
      </c>
      <c r="G192" s="276"/>
      <c r="H192" s="277"/>
      <c r="I192" s="278"/>
      <c r="J192" s="278"/>
      <c r="K192" s="278"/>
      <c r="L192" s="278"/>
      <c r="M192" s="278"/>
      <c r="N192" s="278"/>
      <c r="O192" s="278"/>
      <c r="P192" s="278"/>
      <c r="Q192" s="278"/>
      <c r="R192" s="278"/>
      <c r="S192" s="278"/>
      <c r="T192" s="278"/>
      <c r="U192" s="278"/>
      <c r="V192" s="278"/>
      <c r="W192" s="278"/>
      <c r="X192" s="278"/>
      <c r="Y192" s="278"/>
      <c r="Z192" s="278"/>
      <c r="AA192" s="278"/>
      <c r="AB192" s="278"/>
    </row>
    <row r="193">
      <c r="A193" s="275" t="s">
        <v>484</v>
      </c>
      <c r="B193" s="273">
        <v>1090.0</v>
      </c>
      <c r="C193" s="273">
        <v>2090.0</v>
      </c>
      <c r="D193" s="274">
        <f t="shared" si="29"/>
        <v>1000</v>
      </c>
      <c r="E193" s="279" t="s">
        <v>123</v>
      </c>
      <c r="F193" s="275">
        <f t="shared" si="30"/>
        <v>2654.3</v>
      </c>
      <c r="G193" s="276"/>
      <c r="H193" s="277"/>
      <c r="I193" s="278"/>
      <c r="J193" s="278"/>
      <c r="K193" s="278"/>
      <c r="L193" s="278"/>
      <c r="M193" s="278"/>
      <c r="N193" s="278"/>
      <c r="O193" s="278"/>
      <c r="P193" s="278"/>
      <c r="Q193" s="278"/>
      <c r="R193" s="278"/>
      <c r="S193" s="278"/>
      <c r="T193" s="278"/>
      <c r="U193" s="278"/>
      <c r="V193" s="278"/>
      <c r="W193" s="278"/>
      <c r="X193" s="278"/>
      <c r="Y193" s="278"/>
      <c r="Z193" s="278"/>
      <c r="AA193" s="278"/>
      <c r="AB193" s="278"/>
    </row>
    <row r="194">
      <c r="A194" s="296" t="s">
        <v>485</v>
      </c>
      <c r="B194" s="297">
        <v>1190.0</v>
      </c>
      <c r="C194" s="297">
        <v>1990.0</v>
      </c>
      <c r="D194" s="298">
        <f t="shared" si="29"/>
        <v>800</v>
      </c>
      <c r="E194" s="279" t="s">
        <v>123</v>
      </c>
      <c r="F194" s="275">
        <f t="shared" si="30"/>
        <v>2527.3</v>
      </c>
      <c r="G194" s="276"/>
      <c r="H194" s="277"/>
      <c r="I194" s="278"/>
      <c r="J194" s="278"/>
      <c r="K194" s="278"/>
      <c r="L194" s="278"/>
      <c r="M194" s="278"/>
      <c r="N194" s="278"/>
      <c r="O194" s="278"/>
      <c r="P194" s="278"/>
      <c r="Q194" s="278"/>
      <c r="R194" s="278"/>
      <c r="S194" s="278"/>
      <c r="T194" s="278"/>
      <c r="U194" s="278"/>
      <c r="V194" s="278"/>
      <c r="W194" s="278"/>
      <c r="X194" s="278"/>
      <c r="Y194" s="278"/>
      <c r="Z194" s="278"/>
      <c r="AA194" s="278"/>
      <c r="AB194" s="278"/>
    </row>
    <row r="195">
      <c r="A195" s="299" t="s">
        <v>486</v>
      </c>
      <c r="B195" s="300">
        <v>1990.0</v>
      </c>
      <c r="C195" s="300">
        <v>1890.0</v>
      </c>
      <c r="D195" s="301">
        <f t="shared" si="29"/>
        <v>-100</v>
      </c>
      <c r="E195" s="302" t="s">
        <v>123</v>
      </c>
      <c r="F195" s="299">
        <f t="shared" si="30"/>
        <v>2400.3</v>
      </c>
      <c r="G195" s="303"/>
      <c r="H195" s="304"/>
      <c r="I195" s="217"/>
      <c r="J195" s="217"/>
      <c r="K195" s="217"/>
      <c r="L195" s="217"/>
      <c r="M195" s="217"/>
      <c r="N195" s="217"/>
      <c r="O195" s="217"/>
      <c r="P195" s="217"/>
      <c r="Q195" s="217"/>
      <c r="R195" s="217"/>
      <c r="S195" s="217"/>
      <c r="T195" s="217"/>
      <c r="U195" s="217"/>
      <c r="V195" s="217"/>
      <c r="W195" s="217"/>
      <c r="X195" s="217"/>
      <c r="Y195" s="217"/>
      <c r="Z195" s="217"/>
      <c r="AA195" s="217"/>
      <c r="AB195" s="217"/>
    </row>
    <row r="196">
      <c r="A196" s="275" t="s">
        <v>487</v>
      </c>
      <c r="B196" s="273">
        <v>1190.0</v>
      </c>
      <c r="C196" s="273">
        <v>1690.0</v>
      </c>
      <c r="D196" s="274">
        <f t="shared" si="29"/>
        <v>500</v>
      </c>
      <c r="E196" s="274" t="s">
        <v>123</v>
      </c>
      <c r="F196" s="275">
        <f t="shared" si="30"/>
        <v>2146.3</v>
      </c>
      <c r="G196" s="276"/>
      <c r="H196" s="277"/>
      <c r="I196" s="278"/>
      <c r="J196" s="278"/>
      <c r="K196" s="278"/>
      <c r="L196" s="278"/>
      <c r="M196" s="278"/>
      <c r="N196" s="278"/>
      <c r="O196" s="278"/>
      <c r="P196" s="278"/>
      <c r="Q196" s="278"/>
      <c r="R196" s="278"/>
      <c r="S196" s="278"/>
      <c r="T196" s="278"/>
      <c r="U196" s="278"/>
      <c r="V196" s="278"/>
      <c r="W196" s="278"/>
      <c r="X196" s="278"/>
      <c r="Y196" s="278"/>
      <c r="Z196" s="278"/>
      <c r="AA196" s="278"/>
      <c r="AB196" s="278"/>
    </row>
    <row r="197">
      <c r="A197" s="305" t="s">
        <v>488</v>
      </c>
      <c r="B197" s="298">
        <v>290.0</v>
      </c>
      <c r="C197" s="297">
        <v>1790.0</v>
      </c>
      <c r="D197" s="298">
        <f t="shared" si="29"/>
        <v>1500</v>
      </c>
      <c r="E197" s="279" t="s">
        <v>120</v>
      </c>
      <c r="F197" s="275">
        <f t="shared" si="30"/>
        <v>2273.3</v>
      </c>
      <c r="G197" s="276"/>
      <c r="H197" s="277"/>
      <c r="I197" s="278"/>
      <c r="J197" s="278"/>
      <c r="K197" s="278"/>
      <c r="L197" s="278"/>
      <c r="M197" s="278"/>
      <c r="N197" s="278"/>
      <c r="O197" s="278"/>
      <c r="P197" s="278"/>
      <c r="Q197" s="278"/>
      <c r="R197" s="278"/>
      <c r="S197" s="278"/>
      <c r="T197" s="278"/>
      <c r="U197" s="278"/>
      <c r="V197" s="278"/>
      <c r="W197" s="278"/>
      <c r="X197" s="278"/>
      <c r="Y197" s="278"/>
      <c r="Z197" s="278"/>
      <c r="AA197" s="278"/>
      <c r="AB197" s="278"/>
    </row>
    <row r="198">
      <c r="A198" s="275" t="s">
        <v>489</v>
      </c>
      <c r="B198" s="297">
        <v>1090.0</v>
      </c>
      <c r="C198" s="297">
        <v>1690.0</v>
      </c>
      <c r="D198" s="274">
        <f t="shared" si="29"/>
        <v>600</v>
      </c>
      <c r="E198" s="274" t="s">
        <v>123</v>
      </c>
      <c r="F198" s="275">
        <f t="shared" si="30"/>
        <v>2146.3</v>
      </c>
      <c r="G198" s="276"/>
      <c r="H198" s="277"/>
      <c r="I198" s="278"/>
      <c r="J198" s="278"/>
      <c r="K198" s="278"/>
      <c r="L198" s="278"/>
      <c r="M198" s="278"/>
      <c r="N198" s="278"/>
      <c r="O198" s="278"/>
      <c r="P198" s="278"/>
      <c r="Q198" s="278"/>
      <c r="R198" s="278"/>
      <c r="S198" s="278"/>
      <c r="T198" s="278"/>
      <c r="U198" s="278"/>
      <c r="V198" s="278"/>
      <c r="W198" s="278"/>
      <c r="X198" s="278"/>
      <c r="Y198" s="278"/>
      <c r="Z198" s="278"/>
      <c r="AA198" s="278"/>
      <c r="AB198" s="278"/>
    </row>
    <row r="199">
      <c r="A199" s="275" t="s">
        <v>489</v>
      </c>
      <c r="B199" s="297">
        <v>1090.0</v>
      </c>
      <c r="C199" s="297">
        <v>1690.0</v>
      </c>
      <c r="D199" s="274">
        <f t="shared" si="29"/>
        <v>600</v>
      </c>
      <c r="E199" s="274" t="s">
        <v>123</v>
      </c>
      <c r="F199" s="275">
        <f t="shared" si="30"/>
        <v>2146.3</v>
      </c>
      <c r="G199" s="276"/>
      <c r="H199" s="277"/>
      <c r="I199" s="278"/>
      <c r="J199" s="278"/>
      <c r="K199" s="278"/>
      <c r="L199" s="278"/>
      <c r="M199" s="278"/>
      <c r="N199" s="278"/>
      <c r="O199" s="278"/>
      <c r="P199" s="278"/>
      <c r="Q199" s="278"/>
      <c r="R199" s="278"/>
      <c r="S199" s="278"/>
      <c r="T199" s="278"/>
      <c r="U199" s="278"/>
      <c r="V199" s="278"/>
      <c r="W199" s="278"/>
      <c r="X199" s="278"/>
      <c r="Y199" s="278"/>
      <c r="Z199" s="278"/>
      <c r="AA199" s="278"/>
      <c r="AB199" s="278"/>
    </row>
    <row r="200">
      <c r="A200" s="275" t="s">
        <v>490</v>
      </c>
      <c r="B200" s="273">
        <v>1190.0</v>
      </c>
      <c r="C200" s="273">
        <v>1590.0</v>
      </c>
      <c r="D200" s="274">
        <f t="shared" si="29"/>
        <v>400</v>
      </c>
      <c r="E200" s="279" t="s">
        <v>123</v>
      </c>
      <c r="F200" s="275">
        <f t="shared" si="30"/>
        <v>2019.3</v>
      </c>
      <c r="G200" s="276"/>
      <c r="H200" s="277"/>
      <c r="I200" s="278"/>
      <c r="J200" s="278"/>
      <c r="K200" s="278"/>
      <c r="L200" s="278"/>
      <c r="M200" s="278"/>
      <c r="N200" s="278"/>
      <c r="O200" s="278"/>
      <c r="P200" s="278"/>
      <c r="Q200" s="278"/>
      <c r="R200" s="278"/>
      <c r="S200" s="278"/>
      <c r="T200" s="278"/>
      <c r="U200" s="278"/>
      <c r="V200" s="278"/>
      <c r="W200" s="278"/>
      <c r="X200" s="278"/>
      <c r="Y200" s="278"/>
      <c r="Z200" s="278"/>
      <c r="AA200" s="278"/>
      <c r="AB200" s="278"/>
    </row>
    <row r="201">
      <c r="A201" s="305" t="s">
        <v>491</v>
      </c>
      <c r="B201" s="298">
        <v>790.0</v>
      </c>
      <c r="C201" s="297">
        <v>1390.0</v>
      </c>
      <c r="D201" s="298">
        <f t="shared" si="29"/>
        <v>600</v>
      </c>
      <c r="E201" s="298" t="s">
        <v>123</v>
      </c>
      <c r="F201" s="275">
        <f t="shared" si="30"/>
        <v>1765.3</v>
      </c>
      <c r="G201" s="276"/>
      <c r="H201" s="277"/>
      <c r="I201" s="278"/>
      <c r="J201" s="278"/>
      <c r="K201" s="278"/>
      <c r="L201" s="278"/>
      <c r="M201" s="278"/>
      <c r="N201" s="278"/>
      <c r="O201" s="278"/>
      <c r="P201" s="278"/>
      <c r="Q201" s="278"/>
      <c r="R201" s="278"/>
      <c r="S201" s="278"/>
      <c r="T201" s="278"/>
      <c r="U201" s="278"/>
      <c r="V201" s="278"/>
      <c r="W201" s="278"/>
      <c r="X201" s="278"/>
      <c r="Y201" s="278"/>
      <c r="Z201" s="278"/>
      <c r="AA201" s="278"/>
      <c r="AB201" s="278"/>
    </row>
    <row r="202">
      <c r="A202" s="305" t="s">
        <v>492</v>
      </c>
      <c r="B202" s="298">
        <v>790.0</v>
      </c>
      <c r="C202" s="297">
        <v>1390.0</v>
      </c>
      <c r="D202" s="298">
        <f t="shared" si="29"/>
        <v>600</v>
      </c>
      <c r="E202" s="298" t="s">
        <v>123</v>
      </c>
      <c r="F202" s="275">
        <f t="shared" si="30"/>
        <v>1765.3</v>
      </c>
      <c r="G202" s="276"/>
      <c r="H202" s="277"/>
      <c r="I202" s="278"/>
      <c r="J202" s="278"/>
      <c r="K202" s="278"/>
      <c r="L202" s="278"/>
      <c r="M202" s="278"/>
      <c r="N202" s="278"/>
      <c r="O202" s="278"/>
      <c r="P202" s="278"/>
      <c r="Q202" s="278"/>
      <c r="R202" s="278"/>
      <c r="S202" s="278"/>
      <c r="T202" s="278"/>
      <c r="U202" s="278"/>
      <c r="V202" s="278"/>
      <c r="W202" s="278"/>
      <c r="X202" s="278"/>
      <c r="Y202" s="278"/>
      <c r="Z202" s="278"/>
      <c r="AA202" s="278"/>
      <c r="AB202" s="278"/>
    </row>
    <row r="203">
      <c r="A203" s="305" t="s">
        <v>493</v>
      </c>
      <c r="B203" s="298">
        <v>790.0</v>
      </c>
      <c r="C203" s="297">
        <v>1390.0</v>
      </c>
      <c r="D203" s="298">
        <f t="shared" si="29"/>
        <v>600</v>
      </c>
      <c r="E203" s="298" t="s">
        <v>123</v>
      </c>
      <c r="F203" s="275">
        <f t="shared" si="30"/>
        <v>1765.3</v>
      </c>
      <c r="G203" s="276"/>
      <c r="H203" s="277"/>
      <c r="I203" s="278"/>
      <c r="J203" s="278"/>
      <c r="K203" s="278"/>
      <c r="L203" s="278"/>
      <c r="M203" s="278"/>
      <c r="N203" s="278"/>
      <c r="O203" s="278"/>
      <c r="P203" s="278"/>
      <c r="Q203" s="278"/>
      <c r="R203" s="278"/>
      <c r="S203" s="278"/>
      <c r="T203" s="278"/>
      <c r="U203" s="278"/>
      <c r="V203" s="278"/>
      <c r="W203" s="278"/>
      <c r="X203" s="278"/>
      <c r="Y203" s="278"/>
      <c r="Z203" s="278"/>
      <c r="AA203" s="278"/>
      <c r="AB203" s="278"/>
    </row>
    <row r="204">
      <c r="A204" s="305" t="s">
        <v>493</v>
      </c>
      <c r="B204" s="298">
        <v>790.0</v>
      </c>
      <c r="C204" s="297">
        <v>1390.0</v>
      </c>
      <c r="D204" s="298">
        <f t="shared" si="29"/>
        <v>600</v>
      </c>
      <c r="E204" s="298" t="s">
        <v>123</v>
      </c>
      <c r="F204" s="275">
        <f t="shared" si="30"/>
        <v>1765.3</v>
      </c>
      <c r="G204" s="276"/>
      <c r="H204" s="277"/>
      <c r="I204" s="278"/>
      <c r="J204" s="278"/>
      <c r="K204" s="278"/>
      <c r="L204" s="278"/>
      <c r="M204" s="278"/>
      <c r="N204" s="278"/>
      <c r="O204" s="278"/>
      <c r="P204" s="278"/>
      <c r="Q204" s="278"/>
      <c r="R204" s="278"/>
      <c r="S204" s="278"/>
      <c r="T204" s="278"/>
      <c r="U204" s="278"/>
      <c r="V204" s="278"/>
      <c r="W204" s="278"/>
      <c r="X204" s="278"/>
      <c r="Y204" s="278"/>
      <c r="Z204" s="278"/>
      <c r="AA204" s="278"/>
      <c r="AB204" s="278"/>
    </row>
    <row r="205">
      <c r="A205" s="285" t="s">
        <v>494</v>
      </c>
      <c r="B205" s="256">
        <v>1290.0</v>
      </c>
      <c r="C205" s="256">
        <v>1390.0</v>
      </c>
      <c r="D205" s="286">
        <f t="shared" si="29"/>
        <v>100</v>
      </c>
      <c r="E205" s="286" t="s">
        <v>123</v>
      </c>
      <c r="F205" s="259">
        <f t="shared" si="30"/>
        <v>1765.3</v>
      </c>
      <c r="G205" s="260"/>
      <c r="H205" s="261"/>
      <c r="I205" s="264"/>
      <c r="J205" s="264"/>
      <c r="K205" s="264"/>
      <c r="L205" s="264"/>
      <c r="M205" s="264"/>
      <c r="N205" s="264"/>
      <c r="O205" s="264"/>
      <c r="P205" s="264"/>
      <c r="Q205" s="264"/>
      <c r="R205" s="264"/>
      <c r="S205" s="264"/>
      <c r="T205" s="264"/>
      <c r="U205" s="264"/>
      <c r="V205" s="264"/>
      <c r="W205" s="264"/>
      <c r="X205" s="264"/>
      <c r="Y205" s="264"/>
      <c r="Z205" s="264"/>
      <c r="AA205" s="264"/>
      <c r="AB205" s="264"/>
    </row>
    <row r="206">
      <c r="A206" s="259" t="s">
        <v>495</v>
      </c>
      <c r="B206" s="256">
        <v>1290.0</v>
      </c>
      <c r="C206" s="256">
        <v>1390.0</v>
      </c>
      <c r="D206" s="286">
        <f t="shared" si="29"/>
        <v>100</v>
      </c>
      <c r="E206" s="286" t="s">
        <v>123</v>
      </c>
      <c r="F206" s="259">
        <f t="shared" si="30"/>
        <v>1765.3</v>
      </c>
      <c r="G206" s="260"/>
      <c r="H206" s="261"/>
      <c r="I206" s="264"/>
      <c r="J206" s="264"/>
      <c r="K206" s="264"/>
      <c r="L206" s="264"/>
      <c r="M206" s="264"/>
      <c r="N206" s="264"/>
      <c r="O206" s="264"/>
      <c r="P206" s="264"/>
      <c r="Q206" s="264"/>
      <c r="R206" s="264"/>
      <c r="S206" s="264"/>
      <c r="T206" s="264"/>
      <c r="U206" s="264"/>
      <c r="V206" s="264"/>
      <c r="W206" s="264"/>
      <c r="X206" s="264"/>
      <c r="Y206" s="264"/>
      <c r="Z206" s="264"/>
      <c r="AA206" s="264"/>
      <c r="AB206" s="264"/>
    </row>
    <row r="207">
      <c r="A207" s="259" t="s">
        <v>496</v>
      </c>
      <c r="B207" s="286">
        <v>1090.0</v>
      </c>
      <c r="C207" s="256">
        <v>1090.0</v>
      </c>
      <c r="D207" s="306">
        <f t="shared" si="29"/>
        <v>0</v>
      </c>
      <c r="E207" s="258" t="s">
        <v>123</v>
      </c>
      <c r="F207" s="259">
        <f t="shared" si="30"/>
        <v>1384.3</v>
      </c>
      <c r="G207" s="260"/>
      <c r="H207" s="261"/>
      <c r="I207" s="264"/>
      <c r="J207" s="264"/>
      <c r="K207" s="264"/>
      <c r="L207" s="264"/>
      <c r="M207" s="264"/>
      <c r="N207" s="264"/>
      <c r="O207" s="264"/>
      <c r="P207" s="264"/>
      <c r="Q207" s="264"/>
      <c r="R207" s="264"/>
      <c r="S207" s="264"/>
      <c r="T207" s="264"/>
      <c r="U207" s="264"/>
      <c r="V207" s="264"/>
      <c r="W207" s="264"/>
      <c r="X207" s="264"/>
      <c r="Y207" s="264"/>
      <c r="Z207" s="264"/>
      <c r="AA207" s="264"/>
      <c r="AB207" s="264"/>
    </row>
    <row r="208">
      <c r="A208" s="307" t="s">
        <v>497</v>
      </c>
      <c r="B208" s="308">
        <v>790.0</v>
      </c>
      <c r="C208" s="308">
        <v>990.0</v>
      </c>
      <c r="D208" s="308">
        <f t="shared" si="29"/>
        <v>200</v>
      </c>
      <c r="E208" s="308" t="s">
        <v>123</v>
      </c>
      <c r="F208" s="242">
        <f t="shared" si="30"/>
        <v>1257.3</v>
      </c>
      <c r="G208" s="246"/>
      <c r="H208" s="247"/>
      <c r="I208" s="248"/>
      <c r="J208" s="248"/>
      <c r="K208" s="248"/>
      <c r="L208" s="248"/>
      <c r="M208" s="248"/>
      <c r="N208" s="248"/>
      <c r="O208" s="248"/>
      <c r="P208" s="248"/>
      <c r="Q208" s="248"/>
      <c r="R208" s="248"/>
      <c r="S208" s="248"/>
      <c r="T208" s="248"/>
      <c r="U208" s="248"/>
      <c r="V208" s="248"/>
      <c r="W208" s="248"/>
      <c r="X208" s="248"/>
      <c r="Y208" s="248"/>
      <c r="Z208" s="248"/>
      <c r="AA208" s="248"/>
      <c r="AB208" s="248"/>
    </row>
    <row r="209">
      <c r="A209" s="309" t="s">
        <v>498</v>
      </c>
      <c r="B209" s="308">
        <v>990.0</v>
      </c>
      <c r="C209" s="310">
        <v>990.0</v>
      </c>
      <c r="D209" s="308">
        <f t="shared" si="29"/>
        <v>0</v>
      </c>
      <c r="E209" s="308" t="s">
        <v>123</v>
      </c>
      <c r="F209" s="242">
        <f t="shared" si="30"/>
        <v>1257.3</v>
      </c>
      <c r="G209" s="246"/>
      <c r="H209" s="247"/>
      <c r="I209" s="248"/>
      <c r="J209" s="248"/>
      <c r="K209" s="248"/>
      <c r="L209" s="248"/>
      <c r="M209" s="248"/>
      <c r="N209" s="248"/>
      <c r="O209" s="248"/>
      <c r="P209" s="248"/>
      <c r="Q209" s="248"/>
      <c r="R209" s="248"/>
      <c r="S209" s="248"/>
      <c r="T209" s="248"/>
      <c r="U209" s="248"/>
      <c r="V209" s="248"/>
      <c r="W209" s="248"/>
      <c r="X209" s="248"/>
      <c r="Y209" s="248"/>
      <c r="Z209" s="248"/>
      <c r="AA209" s="248"/>
      <c r="AB209" s="248"/>
    </row>
    <row r="210">
      <c r="A210" s="309" t="s">
        <v>499</v>
      </c>
      <c r="B210" s="311">
        <v>590.0</v>
      </c>
      <c r="C210" s="311">
        <v>790.0</v>
      </c>
      <c r="D210" s="308">
        <f t="shared" si="29"/>
        <v>200</v>
      </c>
      <c r="E210" s="308" t="s">
        <v>123</v>
      </c>
      <c r="F210" s="242">
        <f t="shared" si="30"/>
        <v>1003.3</v>
      </c>
      <c r="G210" s="246"/>
      <c r="H210" s="247"/>
      <c r="I210" s="248"/>
      <c r="J210" s="248"/>
      <c r="K210" s="248"/>
      <c r="L210" s="248"/>
      <c r="M210" s="248"/>
      <c r="N210" s="248"/>
      <c r="O210" s="248"/>
      <c r="P210" s="248"/>
      <c r="Q210" s="248"/>
      <c r="R210" s="248"/>
      <c r="S210" s="248"/>
      <c r="T210" s="248"/>
      <c r="U210" s="248"/>
      <c r="V210" s="248"/>
      <c r="W210" s="248"/>
      <c r="X210" s="248"/>
      <c r="Y210" s="248"/>
      <c r="Z210" s="248"/>
      <c r="AA210" s="248"/>
      <c r="AB210" s="248"/>
    </row>
    <row r="211">
      <c r="A211" s="309" t="s">
        <v>500</v>
      </c>
      <c r="B211" s="311">
        <v>590.0</v>
      </c>
      <c r="C211" s="311">
        <v>790.0</v>
      </c>
      <c r="D211" s="308">
        <f t="shared" si="29"/>
        <v>200</v>
      </c>
      <c r="E211" s="308" t="s">
        <v>123</v>
      </c>
      <c r="F211" s="242">
        <f t="shared" si="30"/>
        <v>1003.3</v>
      </c>
      <c r="G211" s="246"/>
      <c r="H211" s="247"/>
      <c r="I211" s="248"/>
      <c r="J211" s="248"/>
      <c r="K211" s="248"/>
      <c r="L211" s="248"/>
      <c r="M211" s="248"/>
      <c r="N211" s="248"/>
      <c r="O211" s="248"/>
      <c r="P211" s="248"/>
      <c r="Q211" s="248"/>
      <c r="R211" s="248"/>
      <c r="S211" s="248"/>
      <c r="T211" s="248"/>
      <c r="U211" s="248"/>
      <c r="V211" s="248"/>
      <c r="W211" s="248"/>
      <c r="X211" s="248"/>
      <c r="Y211" s="248"/>
      <c r="Z211" s="248"/>
      <c r="AA211" s="248"/>
      <c r="AB211" s="248"/>
    </row>
    <row r="212">
      <c r="A212" s="309" t="s">
        <v>501</v>
      </c>
      <c r="B212" s="308">
        <v>790.0</v>
      </c>
      <c r="C212" s="310">
        <v>790.0</v>
      </c>
      <c r="D212" s="308">
        <f t="shared" si="29"/>
        <v>0</v>
      </c>
      <c r="E212" s="308" t="s">
        <v>123</v>
      </c>
      <c r="F212" s="242">
        <f t="shared" si="30"/>
        <v>1003.3</v>
      </c>
      <c r="G212" s="246"/>
      <c r="H212" s="247"/>
      <c r="I212" s="248"/>
      <c r="J212" s="248"/>
      <c r="K212" s="248"/>
      <c r="L212" s="248"/>
      <c r="M212" s="248"/>
      <c r="N212" s="248"/>
      <c r="O212" s="248"/>
      <c r="P212" s="248"/>
      <c r="Q212" s="248"/>
      <c r="R212" s="248"/>
      <c r="S212" s="248"/>
      <c r="T212" s="248"/>
      <c r="U212" s="248"/>
      <c r="V212" s="248"/>
      <c r="W212" s="248"/>
      <c r="X212" s="248"/>
      <c r="Y212" s="248"/>
      <c r="Z212" s="248"/>
      <c r="AA212" s="248"/>
      <c r="AB212" s="248"/>
    </row>
    <row r="213">
      <c r="A213" s="309" t="s">
        <v>502</v>
      </c>
      <c r="B213" s="308">
        <v>390.0</v>
      </c>
      <c r="C213" s="308">
        <v>590.0</v>
      </c>
      <c r="D213" s="308">
        <f t="shared" si="29"/>
        <v>200</v>
      </c>
      <c r="E213" s="308" t="s">
        <v>123</v>
      </c>
      <c r="F213" s="242">
        <f t="shared" si="30"/>
        <v>749.3</v>
      </c>
      <c r="G213" s="246"/>
      <c r="H213" s="247"/>
      <c r="I213" s="248"/>
      <c r="J213" s="248"/>
      <c r="K213" s="248"/>
      <c r="L213" s="248"/>
      <c r="M213" s="248"/>
      <c r="N213" s="248"/>
      <c r="O213" s="248"/>
      <c r="P213" s="248"/>
      <c r="Q213" s="248"/>
      <c r="R213" s="248"/>
      <c r="S213" s="248"/>
      <c r="T213" s="248"/>
      <c r="U213" s="248"/>
      <c r="V213" s="248"/>
      <c r="W213" s="248"/>
      <c r="X213" s="248"/>
      <c r="Y213" s="248"/>
      <c r="Z213" s="248"/>
      <c r="AA213" s="248"/>
      <c r="AB213" s="248"/>
    </row>
    <row r="214">
      <c r="A214" s="309" t="s">
        <v>503</v>
      </c>
      <c r="B214" s="308">
        <v>390.0</v>
      </c>
      <c r="C214" s="308">
        <v>590.0</v>
      </c>
      <c r="D214" s="308">
        <f t="shared" si="29"/>
        <v>200</v>
      </c>
      <c r="E214" s="308" t="s">
        <v>123</v>
      </c>
      <c r="F214" s="242">
        <f t="shared" si="30"/>
        <v>749.3</v>
      </c>
      <c r="G214" s="246"/>
      <c r="H214" s="247"/>
      <c r="I214" s="248"/>
      <c r="J214" s="248"/>
      <c r="K214" s="248"/>
      <c r="L214" s="248"/>
      <c r="M214" s="248"/>
      <c r="N214" s="248"/>
      <c r="O214" s="248"/>
      <c r="P214" s="248"/>
      <c r="Q214" s="248"/>
      <c r="R214" s="248"/>
      <c r="S214" s="248"/>
      <c r="T214" s="248"/>
      <c r="U214" s="248"/>
      <c r="V214" s="248"/>
      <c r="W214" s="248"/>
      <c r="X214" s="248"/>
      <c r="Y214" s="248"/>
      <c r="Z214" s="248"/>
      <c r="AA214" s="248"/>
      <c r="AB214" s="248"/>
    </row>
    <row r="215">
      <c r="A215" s="309" t="s">
        <v>504</v>
      </c>
      <c r="B215" s="308">
        <v>290.0</v>
      </c>
      <c r="C215" s="308">
        <v>490.0</v>
      </c>
      <c r="D215" s="308">
        <f t="shared" si="29"/>
        <v>200</v>
      </c>
      <c r="E215" s="308" t="s">
        <v>123</v>
      </c>
      <c r="F215" s="242">
        <f t="shared" si="30"/>
        <v>622.3</v>
      </c>
      <c r="G215" s="246"/>
      <c r="H215" s="247"/>
      <c r="I215" s="248"/>
      <c r="J215" s="248"/>
      <c r="K215" s="248"/>
      <c r="L215" s="248"/>
      <c r="M215" s="248"/>
      <c r="N215" s="248"/>
      <c r="O215" s="248"/>
      <c r="P215" s="248"/>
      <c r="Q215" s="248"/>
      <c r="R215" s="248"/>
      <c r="S215" s="248"/>
      <c r="T215" s="248"/>
      <c r="U215" s="248"/>
      <c r="V215" s="248"/>
      <c r="W215" s="248"/>
      <c r="X215" s="248"/>
      <c r="Y215" s="248"/>
      <c r="Z215" s="248"/>
      <c r="AA215" s="248"/>
      <c r="AB215" s="248"/>
    </row>
    <row r="216">
      <c r="A216" s="123"/>
      <c r="B216" s="124"/>
      <c r="C216" s="123"/>
      <c r="D216" s="312"/>
      <c r="F216" s="313"/>
    </row>
    <row r="217">
      <c r="A217" s="122" t="s">
        <v>505</v>
      </c>
      <c r="B217" s="124"/>
      <c r="C217" s="124"/>
      <c r="E217" s="124"/>
      <c r="F217" s="124"/>
    </row>
    <row r="218">
      <c r="A218" s="272" t="s">
        <v>506</v>
      </c>
      <c r="B218" s="273">
        <v>1490.0</v>
      </c>
      <c r="C218" s="273">
        <v>2490.0</v>
      </c>
      <c r="D218" s="274">
        <f t="shared" ref="D218:D237" si="31">C218-B218</f>
        <v>1000</v>
      </c>
      <c r="E218" s="279" t="s">
        <v>123</v>
      </c>
      <c r="F218" s="275">
        <f t="shared" ref="F218:F237" si="32">C218*1.27</f>
        <v>3162.3</v>
      </c>
      <c r="G218" s="276"/>
      <c r="H218" s="277"/>
      <c r="I218" s="278"/>
      <c r="J218" s="278"/>
      <c r="K218" s="278"/>
      <c r="L218" s="278"/>
      <c r="M218" s="278"/>
      <c r="N218" s="278"/>
      <c r="O218" s="278"/>
      <c r="P218" s="278"/>
      <c r="Q218" s="278"/>
      <c r="R218" s="278"/>
      <c r="S218" s="278"/>
      <c r="T218" s="278"/>
      <c r="U218" s="278"/>
      <c r="V218" s="278"/>
      <c r="W218" s="278"/>
      <c r="X218" s="278"/>
      <c r="Y218" s="278"/>
      <c r="Z218" s="278"/>
      <c r="AA218" s="278"/>
      <c r="AB218" s="278"/>
    </row>
    <row r="219">
      <c r="A219" s="272" t="s">
        <v>126</v>
      </c>
      <c r="B219" s="281">
        <v>1790.0</v>
      </c>
      <c r="C219" s="273">
        <v>2090.0</v>
      </c>
      <c r="D219" s="274">
        <f t="shared" si="31"/>
        <v>300</v>
      </c>
      <c r="E219" s="279" t="s">
        <v>123</v>
      </c>
      <c r="F219" s="275">
        <f t="shared" si="32"/>
        <v>2654.3</v>
      </c>
      <c r="G219" s="276"/>
      <c r="H219" s="277"/>
      <c r="I219" s="278"/>
      <c r="J219" s="278"/>
      <c r="K219" s="278"/>
      <c r="L219" s="278"/>
      <c r="M219" s="278"/>
      <c r="N219" s="278"/>
      <c r="O219" s="278"/>
      <c r="P219" s="278"/>
      <c r="Q219" s="278"/>
      <c r="R219" s="278"/>
      <c r="S219" s="278"/>
      <c r="T219" s="278"/>
      <c r="U219" s="278"/>
      <c r="V219" s="278"/>
      <c r="W219" s="278"/>
      <c r="X219" s="278"/>
      <c r="Y219" s="278"/>
      <c r="Z219" s="278"/>
      <c r="AA219" s="278"/>
      <c r="AB219" s="278"/>
    </row>
    <row r="220">
      <c r="A220" s="284" t="s">
        <v>395</v>
      </c>
      <c r="B220" s="273">
        <v>1990.0</v>
      </c>
      <c r="C220" s="273">
        <v>1790.0</v>
      </c>
      <c r="D220" s="282">
        <f t="shared" si="31"/>
        <v>-200</v>
      </c>
      <c r="E220" s="279" t="s">
        <v>123</v>
      </c>
      <c r="F220" s="275">
        <f t="shared" si="32"/>
        <v>2273.3</v>
      </c>
      <c r="G220" s="276"/>
      <c r="H220" s="277"/>
      <c r="I220" s="283"/>
      <c r="J220" s="283"/>
      <c r="K220" s="283"/>
      <c r="L220" s="283"/>
      <c r="M220" s="283"/>
      <c r="N220" s="283"/>
      <c r="O220" s="283"/>
      <c r="P220" s="283"/>
      <c r="Q220" s="283"/>
      <c r="R220" s="283"/>
      <c r="S220" s="283"/>
      <c r="T220" s="283"/>
      <c r="U220" s="283"/>
      <c r="V220" s="283"/>
      <c r="W220" s="283"/>
      <c r="X220" s="283"/>
      <c r="Y220" s="283"/>
      <c r="Z220" s="283"/>
      <c r="AA220" s="283"/>
      <c r="AB220" s="283"/>
    </row>
    <row r="221">
      <c r="A221" s="284" t="s">
        <v>395</v>
      </c>
      <c r="B221" s="273">
        <v>1990.0</v>
      </c>
      <c r="C221" s="273">
        <v>1790.0</v>
      </c>
      <c r="D221" s="282">
        <f t="shared" si="31"/>
        <v>-200</v>
      </c>
      <c r="E221" s="279" t="s">
        <v>123</v>
      </c>
      <c r="F221" s="275">
        <f t="shared" si="32"/>
        <v>2273.3</v>
      </c>
      <c r="G221" s="276"/>
      <c r="H221" s="277"/>
      <c r="I221" s="283"/>
      <c r="J221" s="283"/>
      <c r="K221" s="283"/>
      <c r="L221" s="283"/>
      <c r="M221" s="283"/>
      <c r="N221" s="283"/>
      <c r="O221" s="283"/>
      <c r="P221" s="283"/>
      <c r="Q221" s="283"/>
      <c r="R221" s="283"/>
      <c r="S221" s="283"/>
      <c r="T221" s="283"/>
      <c r="U221" s="283"/>
      <c r="V221" s="283"/>
      <c r="W221" s="283"/>
      <c r="X221" s="283"/>
      <c r="Y221" s="283"/>
      <c r="Z221" s="283"/>
      <c r="AA221" s="283"/>
      <c r="AB221" s="283"/>
    </row>
    <row r="222">
      <c r="A222" s="272" t="s">
        <v>396</v>
      </c>
      <c r="B222" s="273">
        <v>1990.0</v>
      </c>
      <c r="C222" s="273">
        <v>1390.0</v>
      </c>
      <c r="D222" s="274">
        <f t="shared" si="31"/>
        <v>-600</v>
      </c>
      <c r="E222" s="279" t="s">
        <v>123</v>
      </c>
      <c r="F222" s="275">
        <f t="shared" si="32"/>
        <v>1765.3</v>
      </c>
      <c r="G222" s="276"/>
      <c r="H222" s="277"/>
      <c r="I222" s="278"/>
      <c r="J222" s="278"/>
      <c r="K222" s="278"/>
      <c r="L222" s="278"/>
      <c r="M222" s="278"/>
      <c r="N222" s="278"/>
      <c r="O222" s="278"/>
      <c r="P222" s="278"/>
      <c r="Q222" s="278"/>
      <c r="R222" s="278"/>
      <c r="S222" s="278"/>
      <c r="T222" s="278"/>
      <c r="U222" s="278"/>
      <c r="V222" s="278"/>
      <c r="W222" s="278"/>
      <c r="X222" s="278"/>
      <c r="Y222" s="278"/>
      <c r="Z222" s="278"/>
      <c r="AA222" s="278"/>
      <c r="AB222" s="278"/>
    </row>
    <row r="223">
      <c r="A223" s="272" t="s">
        <v>122</v>
      </c>
      <c r="B223" s="273">
        <v>690.0</v>
      </c>
      <c r="C223" s="314">
        <v>790.0</v>
      </c>
      <c r="D223" s="274">
        <f t="shared" si="31"/>
        <v>100</v>
      </c>
      <c r="E223" s="315" t="s">
        <v>123</v>
      </c>
      <c r="F223" s="275">
        <f t="shared" si="32"/>
        <v>1003.3</v>
      </c>
      <c r="G223" s="276"/>
      <c r="H223" s="277"/>
      <c r="I223" s="278"/>
      <c r="J223" s="278"/>
      <c r="K223" s="278"/>
      <c r="L223" s="278"/>
      <c r="M223" s="278"/>
      <c r="N223" s="278"/>
      <c r="O223" s="278"/>
      <c r="P223" s="278"/>
      <c r="Q223" s="278"/>
      <c r="R223" s="278"/>
      <c r="S223" s="278"/>
      <c r="T223" s="278"/>
      <c r="U223" s="278"/>
      <c r="V223" s="278"/>
      <c r="W223" s="278"/>
      <c r="X223" s="278"/>
      <c r="Y223" s="278"/>
      <c r="Z223" s="278"/>
      <c r="AA223" s="278"/>
      <c r="AB223" s="278"/>
    </row>
    <row r="224">
      <c r="A224" s="272" t="s">
        <v>122</v>
      </c>
      <c r="B224" s="273">
        <v>690.0</v>
      </c>
      <c r="C224" s="314">
        <v>790.0</v>
      </c>
      <c r="D224" s="274">
        <f t="shared" si="31"/>
        <v>100</v>
      </c>
      <c r="E224" s="315" t="s">
        <v>123</v>
      </c>
      <c r="F224" s="275">
        <f t="shared" si="32"/>
        <v>1003.3</v>
      </c>
      <c r="G224" s="276"/>
      <c r="H224" s="277"/>
      <c r="I224" s="278"/>
      <c r="J224" s="278"/>
      <c r="K224" s="278"/>
      <c r="L224" s="278"/>
      <c r="M224" s="278"/>
      <c r="N224" s="278"/>
      <c r="O224" s="278"/>
      <c r="P224" s="278"/>
      <c r="Q224" s="278"/>
      <c r="R224" s="278"/>
      <c r="S224" s="278"/>
      <c r="T224" s="278"/>
      <c r="U224" s="278"/>
      <c r="V224" s="278"/>
      <c r="W224" s="278"/>
      <c r="X224" s="278"/>
      <c r="Y224" s="278"/>
      <c r="Z224" s="278"/>
      <c r="AA224" s="278"/>
      <c r="AB224" s="278"/>
    </row>
    <row r="225">
      <c r="A225" s="284" t="s">
        <v>507</v>
      </c>
      <c r="B225" s="314">
        <v>1090.0</v>
      </c>
      <c r="C225" s="314">
        <v>790.0</v>
      </c>
      <c r="D225" s="316">
        <f t="shared" si="31"/>
        <v>-300</v>
      </c>
      <c r="E225" s="279" t="s">
        <v>123</v>
      </c>
      <c r="F225" s="275">
        <f t="shared" si="32"/>
        <v>1003.3</v>
      </c>
      <c r="G225" s="276"/>
      <c r="H225" s="277"/>
      <c r="I225" s="283"/>
      <c r="J225" s="283"/>
      <c r="K225" s="283"/>
      <c r="L225" s="283"/>
      <c r="M225" s="283"/>
      <c r="N225" s="283"/>
      <c r="O225" s="283"/>
      <c r="P225" s="283"/>
      <c r="Q225" s="283"/>
      <c r="R225" s="283"/>
      <c r="S225" s="283"/>
      <c r="T225" s="283"/>
      <c r="U225" s="283"/>
      <c r="V225" s="283"/>
      <c r="W225" s="283"/>
      <c r="X225" s="283"/>
      <c r="Y225" s="283"/>
      <c r="Z225" s="283"/>
      <c r="AA225" s="283"/>
      <c r="AB225" s="283"/>
    </row>
    <row r="226">
      <c r="A226" s="272" t="s">
        <v>508</v>
      </c>
      <c r="B226" s="277">
        <v>1090.0</v>
      </c>
      <c r="C226" s="290">
        <v>790.0</v>
      </c>
      <c r="D226" s="274">
        <f t="shared" si="31"/>
        <v>-300</v>
      </c>
      <c r="E226" s="274" t="s">
        <v>123</v>
      </c>
      <c r="F226" s="275">
        <f t="shared" si="32"/>
        <v>1003.3</v>
      </c>
      <c r="G226" s="276"/>
      <c r="H226" s="277"/>
      <c r="I226" s="278"/>
      <c r="J226" s="278"/>
      <c r="K226" s="278"/>
      <c r="L226" s="278"/>
      <c r="M226" s="278"/>
      <c r="N226" s="278"/>
      <c r="O226" s="278"/>
      <c r="P226" s="278"/>
      <c r="Q226" s="278"/>
      <c r="R226" s="278"/>
      <c r="S226" s="278"/>
      <c r="T226" s="278"/>
      <c r="U226" s="278"/>
      <c r="V226" s="278"/>
      <c r="W226" s="278"/>
      <c r="X226" s="278"/>
      <c r="Y226" s="278"/>
      <c r="Z226" s="278"/>
      <c r="AA226" s="278"/>
      <c r="AB226" s="278"/>
    </row>
    <row r="227">
      <c r="A227" s="272" t="s">
        <v>508</v>
      </c>
      <c r="B227" s="290">
        <v>1090.0</v>
      </c>
      <c r="C227" s="290">
        <v>790.0</v>
      </c>
      <c r="D227" s="274">
        <f t="shared" si="31"/>
        <v>-300</v>
      </c>
      <c r="E227" s="274" t="s">
        <v>123</v>
      </c>
      <c r="F227" s="275">
        <f t="shared" si="32"/>
        <v>1003.3</v>
      </c>
      <c r="G227" s="276"/>
      <c r="H227" s="277"/>
      <c r="I227" s="278"/>
      <c r="J227" s="278"/>
      <c r="K227" s="278"/>
      <c r="L227" s="278"/>
      <c r="M227" s="278"/>
      <c r="N227" s="278"/>
      <c r="O227" s="278"/>
      <c r="P227" s="278"/>
      <c r="Q227" s="278"/>
      <c r="R227" s="278"/>
      <c r="S227" s="278"/>
      <c r="T227" s="278"/>
      <c r="U227" s="278"/>
      <c r="V227" s="278"/>
      <c r="W227" s="278"/>
      <c r="X227" s="278"/>
      <c r="Y227" s="278"/>
      <c r="Z227" s="278"/>
      <c r="AA227" s="278"/>
      <c r="AB227" s="278"/>
    </row>
    <row r="228">
      <c r="A228" s="272" t="s">
        <v>508</v>
      </c>
      <c r="B228" s="290">
        <v>1090.0</v>
      </c>
      <c r="C228" s="290">
        <v>790.0</v>
      </c>
      <c r="D228" s="274">
        <f t="shared" si="31"/>
        <v>-300</v>
      </c>
      <c r="E228" s="274" t="s">
        <v>123</v>
      </c>
      <c r="F228" s="275">
        <f t="shared" si="32"/>
        <v>1003.3</v>
      </c>
      <c r="G228" s="276"/>
      <c r="H228" s="277"/>
      <c r="I228" s="278"/>
      <c r="J228" s="278"/>
      <c r="K228" s="278"/>
      <c r="L228" s="278"/>
      <c r="M228" s="278"/>
      <c r="N228" s="278"/>
      <c r="O228" s="278"/>
      <c r="P228" s="278"/>
      <c r="Q228" s="278"/>
      <c r="R228" s="278"/>
      <c r="S228" s="278"/>
      <c r="T228" s="278"/>
      <c r="U228" s="278"/>
      <c r="V228" s="278"/>
      <c r="W228" s="278"/>
      <c r="X228" s="278"/>
      <c r="Y228" s="278"/>
      <c r="Z228" s="278"/>
      <c r="AA228" s="278"/>
      <c r="AB228" s="278"/>
    </row>
    <row r="229">
      <c r="A229" s="272" t="s">
        <v>508</v>
      </c>
      <c r="B229" s="290">
        <v>1090.0</v>
      </c>
      <c r="C229" s="290">
        <v>790.0</v>
      </c>
      <c r="D229" s="274">
        <f t="shared" si="31"/>
        <v>-300</v>
      </c>
      <c r="E229" s="274" t="s">
        <v>123</v>
      </c>
      <c r="F229" s="275">
        <f t="shared" si="32"/>
        <v>1003.3</v>
      </c>
      <c r="G229" s="276"/>
      <c r="H229" s="277"/>
      <c r="I229" s="278"/>
      <c r="J229" s="278"/>
      <c r="K229" s="278"/>
      <c r="L229" s="278"/>
      <c r="M229" s="278"/>
      <c r="N229" s="278"/>
      <c r="O229" s="278"/>
      <c r="P229" s="278"/>
      <c r="Q229" s="278"/>
      <c r="R229" s="278"/>
      <c r="S229" s="278"/>
      <c r="T229" s="278"/>
      <c r="U229" s="278"/>
      <c r="V229" s="278"/>
      <c r="W229" s="278"/>
      <c r="X229" s="278"/>
      <c r="Y229" s="278"/>
      <c r="Z229" s="278"/>
      <c r="AA229" s="278"/>
      <c r="AB229" s="278"/>
    </row>
    <row r="230">
      <c r="A230" s="259" t="s">
        <v>509</v>
      </c>
      <c r="B230" s="256">
        <v>890.0</v>
      </c>
      <c r="C230" s="256">
        <v>990.0</v>
      </c>
      <c r="D230" s="286">
        <f t="shared" si="31"/>
        <v>100</v>
      </c>
      <c r="E230" s="286" t="s">
        <v>123</v>
      </c>
      <c r="F230" s="259">
        <f t="shared" si="32"/>
        <v>1257.3</v>
      </c>
      <c r="G230" s="260"/>
      <c r="H230" s="261"/>
      <c r="I230" s="264"/>
      <c r="J230" s="264"/>
      <c r="K230" s="264"/>
      <c r="L230" s="264"/>
      <c r="M230" s="264"/>
      <c r="N230" s="264"/>
      <c r="O230" s="264"/>
      <c r="P230" s="264"/>
      <c r="Q230" s="264"/>
      <c r="R230" s="264"/>
      <c r="S230" s="264"/>
      <c r="T230" s="264"/>
      <c r="U230" s="264"/>
      <c r="V230" s="264"/>
      <c r="W230" s="264"/>
      <c r="X230" s="264"/>
      <c r="Y230" s="264"/>
      <c r="Z230" s="264"/>
      <c r="AA230" s="264"/>
      <c r="AB230" s="264"/>
    </row>
    <row r="231">
      <c r="A231" s="285" t="s">
        <v>510</v>
      </c>
      <c r="B231" s="286">
        <v>590.0</v>
      </c>
      <c r="C231" s="256">
        <v>790.0</v>
      </c>
      <c r="D231" s="286">
        <f t="shared" si="31"/>
        <v>200</v>
      </c>
      <c r="E231" s="286" t="s">
        <v>123</v>
      </c>
      <c r="F231" s="259">
        <f t="shared" si="32"/>
        <v>1003.3</v>
      </c>
      <c r="G231" s="260"/>
      <c r="H231" s="261"/>
      <c r="I231" s="264"/>
      <c r="J231" s="264"/>
      <c r="K231" s="264"/>
      <c r="L231" s="264"/>
      <c r="M231" s="264"/>
      <c r="N231" s="264"/>
      <c r="O231" s="264"/>
      <c r="P231" s="264"/>
      <c r="Q231" s="264"/>
      <c r="R231" s="264"/>
      <c r="S231" s="264"/>
      <c r="T231" s="264"/>
      <c r="U231" s="264"/>
      <c r="V231" s="264"/>
      <c r="W231" s="264"/>
      <c r="X231" s="264"/>
      <c r="Y231" s="264"/>
      <c r="Z231" s="264"/>
      <c r="AA231" s="264"/>
      <c r="AB231" s="264"/>
    </row>
    <row r="232">
      <c r="A232" s="259" t="s">
        <v>511</v>
      </c>
      <c r="B232" s="256">
        <v>690.0</v>
      </c>
      <c r="C232" s="256">
        <v>790.0</v>
      </c>
      <c r="D232" s="286">
        <f t="shared" si="31"/>
        <v>100</v>
      </c>
      <c r="E232" s="286" t="s">
        <v>123</v>
      </c>
      <c r="F232" s="259">
        <f t="shared" si="32"/>
        <v>1003.3</v>
      </c>
      <c r="G232" s="260"/>
      <c r="H232" s="261"/>
      <c r="I232" s="264"/>
      <c r="J232" s="264"/>
      <c r="K232" s="264"/>
      <c r="L232" s="264"/>
      <c r="M232" s="264"/>
      <c r="N232" s="264"/>
      <c r="O232" s="264"/>
      <c r="P232" s="264"/>
      <c r="Q232" s="264"/>
      <c r="R232" s="264"/>
      <c r="S232" s="264"/>
      <c r="T232" s="264"/>
      <c r="U232" s="264"/>
      <c r="V232" s="264"/>
      <c r="W232" s="264"/>
      <c r="X232" s="264"/>
      <c r="Y232" s="264"/>
      <c r="Z232" s="264"/>
      <c r="AA232" s="264"/>
      <c r="AB232" s="264"/>
    </row>
    <row r="233">
      <c r="A233" s="259" t="s">
        <v>512</v>
      </c>
      <c r="B233" s="256">
        <v>290.0</v>
      </c>
      <c r="C233" s="256">
        <v>490.0</v>
      </c>
      <c r="D233" s="286">
        <f t="shared" si="31"/>
        <v>200</v>
      </c>
      <c r="E233" s="256" t="s">
        <v>120</v>
      </c>
      <c r="F233" s="259">
        <f t="shared" si="32"/>
        <v>622.3</v>
      </c>
      <c r="G233" s="260"/>
      <c r="H233" s="261"/>
      <c r="I233" s="264"/>
      <c r="J233" s="264"/>
      <c r="K233" s="264"/>
      <c r="L233" s="264"/>
      <c r="M233" s="264"/>
      <c r="N233" s="264"/>
      <c r="O233" s="264"/>
      <c r="P233" s="262"/>
      <c r="Q233" s="262"/>
      <c r="R233" s="262"/>
      <c r="S233" s="264"/>
      <c r="T233" s="264"/>
      <c r="U233" s="264"/>
      <c r="V233" s="264"/>
      <c r="W233" s="264"/>
      <c r="X233" s="264"/>
      <c r="Y233" s="264"/>
      <c r="Z233" s="264"/>
      <c r="AA233" s="264"/>
      <c r="AB233" s="264"/>
    </row>
    <row r="234">
      <c r="A234" s="259" t="s">
        <v>512</v>
      </c>
      <c r="B234" s="256">
        <v>290.0</v>
      </c>
      <c r="C234" s="256">
        <v>490.0</v>
      </c>
      <c r="D234" s="286">
        <f t="shared" si="31"/>
        <v>200</v>
      </c>
      <c r="E234" s="256" t="s">
        <v>120</v>
      </c>
      <c r="F234" s="259">
        <f t="shared" si="32"/>
        <v>622.3</v>
      </c>
      <c r="G234" s="260"/>
      <c r="H234" s="261"/>
      <c r="I234" s="264"/>
      <c r="J234" s="264"/>
      <c r="K234" s="264"/>
      <c r="L234" s="264"/>
      <c r="M234" s="264"/>
      <c r="N234" s="264"/>
      <c r="O234" s="264"/>
      <c r="P234" s="262"/>
      <c r="Q234" s="262"/>
      <c r="R234" s="262"/>
      <c r="S234" s="264"/>
      <c r="T234" s="264"/>
      <c r="U234" s="264"/>
      <c r="V234" s="264"/>
      <c r="W234" s="264"/>
      <c r="X234" s="264"/>
      <c r="Y234" s="264"/>
      <c r="Z234" s="264"/>
      <c r="AA234" s="264"/>
      <c r="AB234" s="264"/>
    </row>
    <row r="235">
      <c r="A235" s="259" t="s">
        <v>513</v>
      </c>
      <c r="B235" s="256">
        <v>490.0</v>
      </c>
      <c r="C235" s="256">
        <v>490.0</v>
      </c>
      <c r="D235" s="286">
        <f t="shared" si="31"/>
        <v>0</v>
      </c>
      <c r="E235" s="286" t="s">
        <v>123</v>
      </c>
      <c r="F235" s="259">
        <f t="shared" si="32"/>
        <v>622.3</v>
      </c>
      <c r="G235" s="260"/>
      <c r="H235" s="261"/>
      <c r="I235" s="264"/>
      <c r="J235" s="264"/>
      <c r="K235" s="264"/>
      <c r="L235" s="264"/>
      <c r="M235" s="264"/>
      <c r="N235" s="264"/>
      <c r="O235" s="264"/>
      <c r="P235" s="264"/>
      <c r="Q235" s="264"/>
      <c r="R235" s="264"/>
      <c r="S235" s="264"/>
      <c r="T235" s="264"/>
      <c r="U235" s="264"/>
      <c r="V235" s="264"/>
      <c r="W235" s="264"/>
      <c r="X235" s="264"/>
      <c r="Y235" s="264"/>
      <c r="Z235" s="264"/>
      <c r="AA235" s="264"/>
      <c r="AB235" s="264"/>
    </row>
    <row r="236">
      <c r="A236" s="259" t="s">
        <v>514</v>
      </c>
      <c r="B236" s="256">
        <v>490.0</v>
      </c>
      <c r="C236" s="256">
        <v>290.0</v>
      </c>
      <c r="D236" s="286">
        <f t="shared" si="31"/>
        <v>-200</v>
      </c>
      <c r="E236" s="317" t="s">
        <v>471</v>
      </c>
      <c r="F236" s="259">
        <f t="shared" si="32"/>
        <v>368.3</v>
      </c>
      <c r="G236" s="260"/>
      <c r="H236" s="261"/>
      <c r="I236" s="264"/>
      <c r="J236" s="264"/>
      <c r="K236" s="264"/>
      <c r="L236" s="264"/>
      <c r="M236" s="264"/>
      <c r="N236" s="264"/>
      <c r="O236" s="264"/>
      <c r="P236" s="264"/>
      <c r="Q236" s="264"/>
      <c r="R236" s="264"/>
      <c r="S236" s="264"/>
      <c r="T236" s="264"/>
      <c r="U236" s="264"/>
      <c r="V236" s="264"/>
      <c r="W236" s="264"/>
      <c r="X236" s="264"/>
      <c r="Y236" s="264"/>
      <c r="Z236" s="264"/>
      <c r="AA236" s="264"/>
      <c r="AB236" s="264"/>
    </row>
    <row r="237">
      <c r="A237" s="259" t="s">
        <v>514</v>
      </c>
      <c r="B237" s="256">
        <v>490.0</v>
      </c>
      <c r="C237" s="256">
        <v>290.0</v>
      </c>
      <c r="D237" s="286">
        <f t="shared" si="31"/>
        <v>-200</v>
      </c>
      <c r="E237" s="318" t="s">
        <v>471</v>
      </c>
      <c r="F237" s="259">
        <f t="shared" si="32"/>
        <v>368.3</v>
      </c>
      <c r="G237" s="260"/>
      <c r="H237" s="261"/>
      <c r="I237" s="264"/>
      <c r="J237" s="264"/>
      <c r="K237" s="264"/>
      <c r="L237" s="264"/>
      <c r="M237" s="264"/>
      <c r="N237" s="264"/>
      <c r="O237" s="264"/>
      <c r="P237" s="262"/>
      <c r="Q237" s="262"/>
      <c r="R237" s="262"/>
      <c r="S237" s="264"/>
      <c r="T237" s="264"/>
      <c r="U237" s="264"/>
      <c r="V237" s="264"/>
      <c r="W237" s="264"/>
      <c r="X237" s="264"/>
      <c r="Y237" s="264"/>
      <c r="Z237" s="264"/>
      <c r="AA237" s="264"/>
      <c r="AB237" s="264"/>
    </row>
    <row r="238">
      <c r="A238" s="150"/>
      <c r="B238" s="147"/>
      <c r="C238" s="147"/>
      <c r="D238" s="132"/>
      <c r="E238" s="126"/>
      <c r="F238" s="139"/>
      <c r="I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</row>
    <row r="239">
      <c r="A239" s="205" t="s">
        <v>515</v>
      </c>
      <c r="B239" s="147"/>
      <c r="C239" s="147"/>
      <c r="D239" s="132"/>
      <c r="E239" s="126"/>
      <c r="F239" s="139"/>
      <c r="I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</row>
    <row r="240">
      <c r="A240" s="272" t="s">
        <v>516</v>
      </c>
      <c r="B240" s="274">
        <v>2290.0</v>
      </c>
      <c r="C240" s="273">
        <v>6290.0</v>
      </c>
      <c r="D240" s="274">
        <f t="shared" ref="D240:D246" si="33">C240-B240</f>
        <v>4000</v>
      </c>
      <c r="E240" s="279" t="s">
        <v>123</v>
      </c>
      <c r="F240" s="275">
        <f t="shared" ref="F240:F246" si="34">C240*1.27</f>
        <v>7988.3</v>
      </c>
      <c r="G240" s="276"/>
      <c r="H240" s="277"/>
      <c r="I240" s="278"/>
      <c r="J240" s="278"/>
      <c r="K240" s="278"/>
      <c r="L240" s="278"/>
      <c r="M240" s="278"/>
      <c r="N240" s="278"/>
      <c r="O240" s="278"/>
      <c r="P240" s="278"/>
      <c r="Q240" s="278"/>
      <c r="R240" s="278"/>
      <c r="S240" s="278"/>
      <c r="T240" s="278"/>
      <c r="U240" s="278"/>
      <c r="V240" s="278"/>
      <c r="W240" s="278"/>
      <c r="X240" s="278"/>
      <c r="Y240" s="278"/>
      <c r="Z240" s="278"/>
      <c r="AA240" s="278"/>
      <c r="AB240" s="278"/>
    </row>
    <row r="241">
      <c r="A241" s="275" t="s">
        <v>517</v>
      </c>
      <c r="B241" s="273">
        <v>1490.0</v>
      </c>
      <c r="C241" s="273">
        <v>3190.0</v>
      </c>
      <c r="D241" s="274">
        <f t="shared" si="33"/>
        <v>1700</v>
      </c>
      <c r="E241" s="279" t="s">
        <v>123</v>
      </c>
      <c r="F241" s="275">
        <f t="shared" si="34"/>
        <v>4051.3</v>
      </c>
      <c r="G241" s="276"/>
      <c r="H241" s="277"/>
      <c r="I241" s="278"/>
      <c r="J241" s="278"/>
      <c r="K241" s="278"/>
      <c r="L241" s="278"/>
      <c r="M241" s="278"/>
      <c r="N241" s="278"/>
      <c r="O241" s="278"/>
      <c r="P241" s="278"/>
      <c r="Q241" s="278"/>
      <c r="R241" s="278"/>
      <c r="S241" s="278"/>
      <c r="T241" s="278"/>
      <c r="U241" s="278"/>
      <c r="V241" s="278"/>
      <c r="W241" s="278"/>
      <c r="X241" s="278"/>
      <c r="Y241" s="278"/>
      <c r="Z241" s="278"/>
      <c r="AA241" s="278"/>
      <c r="AB241" s="278"/>
    </row>
    <row r="242">
      <c r="A242" s="275" t="s">
        <v>518</v>
      </c>
      <c r="B242" s="273">
        <v>490.0</v>
      </c>
      <c r="C242" s="281">
        <v>2290.0</v>
      </c>
      <c r="D242" s="274">
        <f t="shared" si="33"/>
        <v>1800</v>
      </c>
      <c r="E242" s="274" t="s">
        <v>123</v>
      </c>
      <c r="F242" s="275">
        <f t="shared" si="34"/>
        <v>2908.3</v>
      </c>
      <c r="G242" s="276"/>
      <c r="H242" s="277"/>
      <c r="I242" s="278"/>
      <c r="J242" s="278"/>
      <c r="K242" s="278"/>
      <c r="L242" s="278"/>
      <c r="M242" s="278"/>
      <c r="N242" s="278"/>
      <c r="O242" s="278"/>
      <c r="P242" s="278"/>
      <c r="Q242" s="278"/>
      <c r="R242" s="278"/>
      <c r="S242" s="278"/>
      <c r="T242" s="278"/>
      <c r="U242" s="278"/>
      <c r="V242" s="278"/>
      <c r="W242" s="278"/>
      <c r="X242" s="278"/>
      <c r="Y242" s="278"/>
      <c r="Z242" s="278"/>
      <c r="AA242" s="278"/>
      <c r="AB242" s="278"/>
    </row>
    <row r="243">
      <c r="A243" s="275" t="s">
        <v>519</v>
      </c>
      <c r="B243" s="273">
        <v>1490.0</v>
      </c>
      <c r="C243" s="273">
        <v>2190.0</v>
      </c>
      <c r="D243" s="274">
        <f t="shared" si="33"/>
        <v>700</v>
      </c>
      <c r="E243" s="279" t="s">
        <v>123</v>
      </c>
      <c r="F243" s="275">
        <f t="shared" si="34"/>
        <v>2781.3</v>
      </c>
      <c r="G243" s="276"/>
      <c r="H243" s="277"/>
      <c r="I243" s="278"/>
      <c r="J243" s="278"/>
      <c r="K243" s="278"/>
      <c r="L243" s="278"/>
      <c r="M243" s="278"/>
      <c r="N243" s="278"/>
      <c r="O243" s="278"/>
      <c r="P243" s="278"/>
      <c r="Q243" s="278"/>
      <c r="R243" s="278"/>
      <c r="S243" s="278"/>
      <c r="T243" s="278"/>
      <c r="U243" s="278"/>
      <c r="V243" s="278"/>
      <c r="W243" s="278"/>
      <c r="X243" s="278"/>
      <c r="Y243" s="278"/>
      <c r="Z243" s="278"/>
      <c r="AA243" s="278"/>
      <c r="AB243" s="278"/>
    </row>
    <row r="244">
      <c r="A244" s="275" t="s">
        <v>520</v>
      </c>
      <c r="B244" s="273">
        <v>1990.0</v>
      </c>
      <c r="C244" s="273">
        <v>2190.0</v>
      </c>
      <c r="D244" s="274">
        <f t="shared" si="33"/>
        <v>200</v>
      </c>
      <c r="E244" s="279" t="s">
        <v>123</v>
      </c>
      <c r="F244" s="275">
        <f t="shared" si="34"/>
        <v>2781.3</v>
      </c>
      <c r="G244" s="276"/>
      <c r="H244" s="277"/>
      <c r="I244" s="278"/>
      <c r="J244" s="278"/>
      <c r="K244" s="278"/>
      <c r="L244" s="278"/>
      <c r="M244" s="278"/>
      <c r="N244" s="278"/>
      <c r="O244" s="278"/>
      <c r="P244" s="278"/>
      <c r="Q244" s="278"/>
      <c r="R244" s="278"/>
      <c r="S244" s="278"/>
      <c r="T244" s="278"/>
      <c r="U244" s="278"/>
      <c r="V244" s="278"/>
      <c r="W244" s="278"/>
      <c r="X244" s="278"/>
      <c r="Y244" s="278"/>
      <c r="Z244" s="278"/>
      <c r="AA244" s="278"/>
      <c r="AB244" s="278"/>
    </row>
    <row r="245">
      <c r="A245" s="272" t="s">
        <v>521</v>
      </c>
      <c r="B245" s="273">
        <v>1490.0</v>
      </c>
      <c r="C245" s="273">
        <v>2190.0</v>
      </c>
      <c r="D245" s="274">
        <f t="shared" si="33"/>
        <v>700</v>
      </c>
      <c r="E245" s="279" t="s">
        <v>123</v>
      </c>
      <c r="F245" s="275">
        <f t="shared" si="34"/>
        <v>2781.3</v>
      </c>
      <c r="G245" s="276"/>
      <c r="H245" s="277"/>
      <c r="I245" s="278"/>
      <c r="J245" s="278"/>
      <c r="K245" s="278"/>
      <c r="L245" s="278"/>
      <c r="M245" s="278"/>
      <c r="N245" s="278"/>
      <c r="O245" s="278"/>
      <c r="P245" s="278"/>
      <c r="Q245" s="278"/>
      <c r="R245" s="278"/>
      <c r="S245" s="278"/>
      <c r="T245" s="278"/>
      <c r="U245" s="278"/>
      <c r="V245" s="278"/>
      <c r="W245" s="278"/>
      <c r="X245" s="278"/>
      <c r="Y245" s="278"/>
      <c r="Z245" s="278"/>
      <c r="AA245" s="278"/>
      <c r="AB245" s="278"/>
    </row>
    <row r="246">
      <c r="A246" s="280" t="s">
        <v>522</v>
      </c>
      <c r="B246" s="273">
        <v>1490.0</v>
      </c>
      <c r="C246" s="281">
        <v>1690.0</v>
      </c>
      <c r="D246" s="282">
        <f t="shared" si="33"/>
        <v>200</v>
      </c>
      <c r="E246" s="279" t="s">
        <v>123</v>
      </c>
      <c r="F246" s="275">
        <f t="shared" si="34"/>
        <v>2146.3</v>
      </c>
      <c r="G246" s="276"/>
      <c r="H246" s="277"/>
      <c r="I246" s="283"/>
      <c r="J246" s="283"/>
      <c r="K246" s="283"/>
      <c r="L246" s="283"/>
      <c r="M246" s="283"/>
      <c r="N246" s="283"/>
      <c r="O246" s="283"/>
      <c r="P246" s="283"/>
      <c r="Q246" s="283"/>
      <c r="R246" s="283"/>
      <c r="S246" s="283"/>
      <c r="T246" s="283"/>
      <c r="U246" s="283"/>
      <c r="V246" s="283"/>
      <c r="W246" s="283"/>
      <c r="X246" s="283"/>
      <c r="Y246" s="283"/>
      <c r="Z246" s="283"/>
      <c r="AA246" s="283"/>
      <c r="AB246" s="283"/>
    </row>
    <row r="247">
      <c r="A247" s="123"/>
      <c r="B247" s="124"/>
      <c r="C247" s="124"/>
      <c r="E247" s="132"/>
      <c r="F247" s="124"/>
    </row>
    <row r="248">
      <c r="A248" s="122" t="s">
        <v>523</v>
      </c>
      <c r="B248" s="124"/>
      <c r="C248" s="124"/>
    </row>
    <row r="249">
      <c r="A249" s="250" t="s">
        <v>524</v>
      </c>
      <c r="B249" s="251">
        <v>3290.0</v>
      </c>
      <c r="C249" s="251">
        <v>6990.0</v>
      </c>
      <c r="D249" s="252">
        <f t="shared" ref="D249:D261" si="35">C249-B249</f>
        <v>3700</v>
      </c>
      <c r="E249" s="319" t="s">
        <v>365</v>
      </c>
      <c r="F249" s="242">
        <f t="shared" ref="F249:F261" si="36">C249*1.15</f>
        <v>8038.5</v>
      </c>
      <c r="G249" s="246"/>
      <c r="H249" s="247"/>
      <c r="I249" s="253"/>
      <c r="J249" s="253"/>
      <c r="K249" s="253"/>
      <c r="L249" s="253"/>
      <c r="M249" s="253"/>
      <c r="N249" s="253"/>
      <c r="O249" s="253"/>
      <c r="P249" s="253"/>
      <c r="Q249" s="253"/>
      <c r="R249" s="253"/>
      <c r="S249" s="253"/>
      <c r="T249" s="253"/>
      <c r="U249" s="253"/>
      <c r="V249" s="253"/>
      <c r="W249" s="253"/>
      <c r="X249" s="253"/>
      <c r="Y249" s="253"/>
      <c r="Z249" s="253"/>
      <c r="AA249" s="253"/>
      <c r="AB249" s="253"/>
    </row>
    <row r="250">
      <c r="A250" s="287" t="s">
        <v>525</v>
      </c>
      <c r="B250" s="243">
        <v>4490.0</v>
      </c>
      <c r="C250" s="243">
        <v>5990.0</v>
      </c>
      <c r="D250" s="244">
        <f t="shared" si="35"/>
        <v>1500</v>
      </c>
      <c r="E250" s="319" t="s">
        <v>365</v>
      </c>
      <c r="F250" s="242">
        <f t="shared" si="36"/>
        <v>6888.5</v>
      </c>
      <c r="G250" s="246"/>
      <c r="H250" s="247"/>
      <c r="I250" s="248"/>
      <c r="J250" s="248"/>
      <c r="K250" s="248"/>
      <c r="L250" s="248"/>
      <c r="M250" s="248"/>
      <c r="N250" s="248"/>
      <c r="O250" s="248"/>
      <c r="P250" s="248"/>
      <c r="Q250" s="248"/>
      <c r="R250" s="248"/>
      <c r="S250" s="248"/>
      <c r="T250" s="248"/>
      <c r="U250" s="248"/>
      <c r="V250" s="248"/>
      <c r="W250" s="248"/>
      <c r="X250" s="248"/>
      <c r="Y250" s="248"/>
      <c r="Z250" s="248"/>
      <c r="AA250" s="248"/>
      <c r="AB250" s="248"/>
    </row>
    <row r="251">
      <c r="A251" s="254" t="s">
        <v>525</v>
      </c>
      <c r="B251" s="243">
        <v>4490.0</v>
      </c>
      <c r="C251" s="243">
        <v>5990.0</v>
      </c>
      <c r="D251" s="244">
        <f t="shared" si="35"/>
        <v>1500</v>
      </c>
      <c r="E251" s="319" t="s">
        <v>365</v>
      </c>
      <c r="F251" s="242">
        <f t="shared" si="36"/>
        <v>6888.5</v>
      </c>
      <c r="G251" s="246"/>
      <c r="H251" s="247"/>
      <c r="I251" s="248"/>
      <c r="J251" s="248"/>
      <c r="K251" s="248"/>
      <c r="L251" s="248"/>
      <c r="M251" s="248"/>
      <c r="N251" s="248"/>
      <c r="O251" s="248"/>
      <c r="P251" s="248"/>
      <c r="Q251" s="248"/>
      <c r="R251" s="248"/>
      <c r="S251" s="248"/>
      <c r="T251" s="248"/>
      <c r="U251" s="248"/>
      <c r="V251" s="248"/>
      <c r="W251" s="248"/>
      <c r="X251" s="248"/>
      <c r="Y251" s="248"/>
      <c r="Z251" s="248"/>
      <c r="AA251" s="248"/>
      <c r="AB251" s="248"/>
    </row>
    <row r="252">
      <c r="A252" s="242" t="s">
        <v>526</v>
      </c>
      <c r="B252" s="243">
        <v>4490.0</v>
      </c>
      <c r="C252" s="243">
        <v>4490.0</v>
      </c>
      <c r="D252" s="244">
        <f t="shared" si="35"/>
        <v>0</v>
      </c>
      <c r="E252" s="319" t="s">
        <v>365</v>
      </c>
      <c r="F252" s="242">
        <f t="shared" si="36"/>
        <v>5163.5</v>
      </c>
      <c r="G252" s="246"/>
      <c r="H252" s="247"/>
      <c r="I252" s="248"/>
      <c r="J252" s="248"/>
      <c r="K252" s="248"/>
      <c r="L252" s="248"/>
      <c r="M252" s="248"/>
      <c r="N252" s="248"/>
      <c r="O252" s="248"/>
      <c r="P252" s="248"/>
      <c r="Q252" s="248"/>
      <c r="R252" s="248"/>
      <c r="S252" s="248"/>
      <c r="T252" s="248"/>
      <c r="U252" s="248"/>
      <c r="V252" s="248"/>
      <c r="W252" s="248"/>
      <c r="X252" s="248"/>
      <c r="Y252" s="248"/>
      <c r="Z252" s="248"/>
      <c r="AA252" s="248"/>
      <c r="AB252" s="248"/>
    </row>
    <row r="253">
      <c r="A253" s="242" t="s">
        <v>527</v>
      </c>
      <c r="B253" s="243">
        <v>3990.0</v>
      </c>
      <c r="C253" s="243">
        <v>3990.0</v>
      </c>
      <c r="D253" s="252">
        <f t="shared" si="35"/>
        <v>0</v>
      </c>
      <c r="E253" s="319" t="s">
        <v>365</v>
      </c>
      <c r="F253" s="242">
        <f t="shared" si="36"/>
        <v>4588.5</v>
      </c>
      <c r="G253" s="246"/>
      <c r="H253" s="247"/>
      <c r="I253" s="248"/>
      <c r="J253" s="248"/>
      <c r="K253" s="248"/>
      <c r="L253" s="248"/>
      <c r="M253" s="248"/>
      <c r="N253" s="248"/>
      <c r="O253" s="248"/>
      <c r="P253" s="248"/>
      <c r="Q253" s="248"/>
      <c r="R253" s="248"/>
      <c r="S253" s="248"/>
      <c r="T253" s="248"/>
      <c r="U253" s="248"/>
      <c r="V253" s="248"/>
      <c r="W253" s="248"/>
      <c r="X253" s="248"/>
      <c r="Y253" s="248"/>
      <c r="Z253" s="248"/>
      <c r="AA253" s="248"/>
      <c r="AB253" s="248"/>
    </row>
    <row r="254">
      <c r="A254" s="242" t="s">
        <v>527</v>
      </c>
      <c r="B254" s="243">
        <v>3990.0</v>
      </c>
      <c r="C254" s="243">
        <v>3990.0</v>
      </c>
      <c r="D254" s="252">
        <f t="shared" si="35"/>
        <v>0</v>
      </c>
      <c r="E254" s="319" t="s">
        <v>365</v>
      </c>
      <c r="F254" s="242">
        <f t="shared" si="36"/>
        <v>4588.5</v>
      </c>
      <c r="G254" s="246"/>
      <c r="H254" s="247"/>
      <c r="I254" s="248"/>
      <c r="J254" s="248"/>
      <c r="K254" s="248"/>
      <c r="L254" s="248"/>
      <c r="M254" s="248"/>
      <c r="N254" s="248"/>
      <c r="O254" s="248"/>
      <c r="P254" s="248"/>
      <c r="Q254" s="248"/>
      <c r="R254" s="248"/>
      <c r="S254" s="248"/>
      <c r="T254" s="248"/>
      <c r="U254" s="248"/>
      <c r="V254" s="248"/>
      <c r="W254" s="248"/>
      <c r="X254" s="248"/>
      <c r="Y254" s="248"/>
      <c r="Z254" s="248"/>
      <c r="AA254" s="248"/>
      <c r="AB254" s="248"/>
    </row>
    <row r="255">
      <c r="A255" s="242" t="s">
        <v>527</v>
      </c>
      <c r="B255" s="243">
        <v>3990.0</v>
      </c>
      <c r="C255" s="243">
        <v>3990.0</v>
      </c>
      <c r="D255" s="252">
        <f t="shared" si="35"/>
        <v>0</v>
      </c>
      <c r="E255" s="319" t="s">
        <v>365</v>
      </c>
      <c r="F255" s="242">
        <f t="shared" si="36"/>
        <v>4588.5</v>
      </c>
      <c r="G255" s="246"/>
      <c r="H255" s="247"/>
      <c r="I255" s="248"/>
      <c r="J255" s="248"/>
      <c r="K255" s="248"/>
      <c r="L255" s="248"/>
      <c r="M255" s="248"/>
      <c r="N255" s="248"/>
      <c r="O255" s="248"/>
      <c r="P255" s="248"/>
      <c r="Q255" s="248"/>
      <c r="R255" s="248"/>
      <c r="S255" s="248"/>
      <c r="T255" s="248"/>
      <c r="U255" s="248"/>
      <c r="V255" s="248"/>
      <c r="W255" s="248"/>
      <c r="X255" s="248"/>
      <c r="Y255" s="248"/>
      <c r="Z255" s="248"/>
      <c r="AA255" s="248"/>
      <c r="AB255" s="248"/>
    </row>
    <row r="256">
      <c r="A256" s="250" t="s">
        <v>528</v>
      </c>
      <c r="B256" s="251">
        <v>2190.0</v>
      </c>
      <c r="C256" s="251">
        <v>2990.0</v>
      </c>
      <c r="D256" s="252">
        <f t="shared" si="35"/>
        <v>800</v>
      </c>
      <c r="E256" s="319" t="s">
        <v>365</v>
      </c>
      <c r="F256" s="242">
        <f t="shared" si="36"/>
        <v>3438.5</v>
      </c>
      <c r="G256" s="246"/>
      <c r="H256" s="247"/>
      <c r="I256" s="253"/>
      <c r="J256" s="253"/>
      <c r="K256" s="253"/>
      <c r="L256" s="253"/>
      <c r="M256" s="253"/>
      <c r="N256" s="253"/>
      <c r="O256" s="253"/>
      <c r="P256" s="253"/>
      <c r="Q256" s="253"/>
      <c r="R256" s="253"/>
      <c r="S256" s="253"/>
      <c r="T256" s="253"/>
      <c r="U256" s="253"/>
      <c r="V256" s="253"/>
      <c r="W256" s="253"/>
      <c r="X256" s="253"/>
      <c r="Y256" s="253"/>
      <c r="Z256" s="253"/>
      <c r="AA256" s="253"/>
      <c r="AB256" s="253"/>
    </row>
    <row r="257">
      <c r="A257" s="250" t="s">
        <v>529</v>
      </c>
      <c r="B257" s="251">
        <v>2190.0</v>
      </c>
      <c r="C257" s="251">
        <v>2190.0</v>
      </c>
      <c r="D257" s="252">
        <f t="shared" si="35"/>
        <v>0</v>
      </c>
      <c r="E257" s="319" t="s">
        <v>365</v>
      </c>
      <c r="F257" s="242">
        <f t="shared" si="36"/>
        <v>2518.5</v>
      </c>
      <c r="G257" s="246"/>
      <c r="H257" s="247"/>
      <c r="I257" s="253"/>
      <c r="J257" s="253"/>
      <c r="K257" s="253"/>
      <c r="L257" s="253"/>
      <c r="M257" s="253"/>
      <c r="N257" s="253"/>
      <c r="O257" s="253"/>
      <c r="P257" s="253"/>
      <c r="Q257" s="253"/>
      <c r="R257" s="253"/>
      <c r="S257" s="253"/>
      <c r="T257" s="253"/>
      <c r="U257" s="253"/>
      <c r="V257" s="253"/>
      <c r="W257" s="253"/>
      <c r="X257" s="253"/>
      <c r="Y257" s="253"/>
      <c r="Z257" s="253"/>
      <c r="AA257" s="253"/>
      <c r="AB257" s="253"/>
    </row>
    <row r="258">
      <c r="A258" s="249" t="s">
        <v>530</v>
      </c>
      <c r="B258" s="244">
        <v>2190.0</v>
      </c>
      <c r="C258" s="243">
        <v>2190.0</v>
      </c>
      <c r="D258" s="244">
        <f t="shared" si="35"/>
        <v>0</v>
      </c>
      <c r="E258" s="319" t="s">
        <v>365</v>
      </c>
      <c r="F258" s="242">
        <f t="shared" si="36"/>
        <v>2518.5</v>
      </c>
      <c r="G258" s="246"/>
      <c r="H258" s="247"/>
      <c r="I258" s="248"/>
      <c r="J258" s="248"/>
      <c r="K258" s="248"/>
      <c r="L258" s="248"/>
      <c r="M258" s="248"/>
      <c r="N258" s="248"/>
      <c r="O258" s="248"/>
      <c r="P258" s="248"/>
      <c r="Q258" s="248"/>
      <c r="R258" s="248"/>
      <c r="S258" s="248"/>
      <c r="T258" s="248"/>
      <c r="U258" s="248"/>
      <c r="V258" s="248"/>
      <c r="W258" s="248"/>
      <c r="X258" s="248"/>
      <c r="Y258" s="248"/>
      <c r="Z258" s="248"/>
      <c r="AA258" s="248"/>
      <c r="AB258" s="248"/>
    </row>
    <row r="259">
      <c r="A259" s="242" t="s">
        <v>530</v>
      </c>
      <c r="B259" s="243">
        <v>2190.0</v>
      </c>
      <c r="C259" s="243">
        <v>2190.0</v>
      </c>
      <c r="D259" s="244">
        <f t="shared" si="35"/>
        <v>0</v>
      </c>
      <c r="E259" s="319" t="s">
        <v>365</v>
      </c>
      <c r="F259" s="242">
        <f t="shared" si="36"/>
        <v>2518.5</v>
      </c>
      <c r="G259" s="246"/>
      <c r="H259" s="247"/>
      <c r="I259" s="248"/>
      <c r="J259" s="248"/>
      <c r="K259" s="248"/>
      <c r="L259" s="248"/>
      <c r="M259" s="248"/>
      <c r="N259" s="248"/>
      <c r="O259" s="248"/>
      <c r="P259" s="248"/>
      <c r="Q259" s="248"/>
      <c r="R259" s="248"/>
      <c r="S259" s="248"/>
      <c r="T259" s="248"/>
      <c r="U259" s="248"/>
      <c r="V259" s="248"/>
      <c r="W259" s="248"/>
      <c r="X259" s="248"/>
      <c r="Y259" s="248"/>
      <c r="Z259" s="248"/>
      <c r="AA259" s="248"/>
      <c r="AB259" s="248"/>
    </row>
    <row r="260">
      <c r="A260" s="242" t="s">
        <v>531</v>
      </c>
      <c r="B260" s="243">
        <v>1890.0</v>
      </c>
      <c r="C260" s="243">
        <v>1890.0</v>
      </c>
      <c r="D260" s="244">
        <f t="shared" si="35"/>
        <v>0</v>
      </c>
      <c r="E260" s="319" t="s">
        <v>365</v>
      </c>
      <c r="F260" s="242">
        <f t="shared" si="36"/>
        <v>2173.5</v>
      </c>
      <c r="G260" s="246"/>
      <c r="H260" s="247"/>
      <c r="I260" s="248"/>
      <c r="J260" s="248"/>
      <c r="K260" s="248"/>
      <c r="L260" s="248"/>
      <c r="M260" s="248"/>
      <c r="N260" s="248"/>
      <c r="O260" s="248"/>
      <c r="P260" s="248"/>
      <c r="Q260" s="248"/>
      <c r="R260" s="248"/>
      <c r="S260" s="248"/>
      <c r="T260" s="248"/>
      <c r="U260" s="248"/>
      <c r="V260" s="248"/>
      <c r="W260" s="248"/>
      <c r="X260" s="248"/>
      <c r="Y260" s="248"/>
      <c r="Z260" s="248"/>
      <c r="AA260" s="248"/>
      <c r="AB260" s="248"/>
    </row>
    <row r="261">
      <c r="A261" s="242" t="s">
        <v>532</v>
      </c>
      <c r="B261" s="243">
        <v>1290.0</v>
      </c>
      <c r="C261" s="243">
        <v>1290.0</v>
      </c>
      <c r="D261" s="252">
        <f t="shared" si="35"/>
        <v>0</v>
      </c>
      <c r="E261" s="319" t="s">
        <v>365</v>
      </c>
      <c r="F261" s="242">
        <f t="shared" si="36"/>
        <v>1483.5</v>
      </c>
      <c r="G261" s="246"/>
      <c r="H261" s="247"/>
      <c r="I261" s="248"/>
      <c r="J261" s="248"/>
      <c r="K261" s="248"/>
      <c r="L261" s="248"/>
      <c r="M261" s="248"/>
      <c r="N261" s="248"/>
      <c r="O261" s="248"/>
      <c r="P261" s="248"/>
      <c r="Q261" s="248"/>
      <c r="R261" s="248"/>
      <c r="S261" s="248"/>
      <c r="T261" s="248"/>
      <c r="U261" s="248"/>
      <c r="V261" s="248"/>
      <c r="W261" s="248"/>
      <c r="X261" s="248"/>
      <c r="Y261" s="248"/>
      <c r="Z261" s="248"/>
      <c r="AA261" s="248"/>
      <c r="AB261" s="248"/>
    </row>
    <row r="262">
      <c r="A262" s="128"/>
      <c r="B262" s="147"/>
      <c r="C262" s="147"/>
      <c r="D262" s="132"/>
      <c r="E262" s="130"/>
      <c r="F262" s="128"/>
      <c r="G262" s="231"/>
      <c r="H262" s="168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  <c r="AA262" s="129"/>
      <c r="AB262" s="129"/>
    </row>
    <row r="263">
      <c r="A263" s="242" t="s">
        <v>533</v>
      </c>
      <c r="B263" s="244">
        <v>2290.0</v>
      </c>
      <c r="C263" s="243">
        <v>2290.0</v>
      </c>
      <c r="D263" s="244">
        <f t="shared" ref="D263:D287" si="37">C263-B263</f>
        <v>0</v>
      </c>
      <c r="E263" s="319" t="s">
        <v>365</v>
      </c>
      <c r="F263" s="242">
        <f t="shared" ref="F263:F272" si="38">C263*1.27</f>
        <v>2908.3</v>
      </c>
      <c r="G263" s="246"/>
      <c r="H263" s="247"/>
      <c r="I263" s="248"/>
      <c r="J263" s="248"/>
      <c r="K263" s="248"/>
      <c r="L263" s="248"/>
      <c r="M263" s="248"/>
      <c r="N263" s="248"/>
      <c r="O263" s="248"/>
      <c r="P263" s="248"/>
      <c r="Q263" s="248"/>
      <c r="R263" s="248"/>
      <c r="S263" s="248"/>
      <c r="T263" s="248"/>
      <c r="U263" s="248"/>
      <c r="V263" s="248"/>
      <c r="W263" s="248"/>
      <c r="X263" s="248"/>
      <c r="Y263" s="248"/>
      <c r="Z263" s="248"/>
      <c r="AA263" s="248"/>
      <c r="AB263" s="248"/>
    </row>
    <row r="264">
      <c r="A264" s="242" t="s">
        <v>534</v>
      </c>
      <c r="B264" s="243">
        <v>2290.0</v>
      </c>
      <c r="C264" s="243">
        <v>2290.0</v>
      </c>
      <c r="D264" s="244">
        <f t="shared" si="37"/>
        <v>0</v>
      </c>
      <c r="E264" s="319" t="s">
        <v>365</v>
      </c>
      <c r="F264" s="242">
        <f t="shared" si="38"/>
        <v>2908.3</v>
      </c>
      <c r="G264" s="246"/>
      <c r="H264" s="247"/>
      <c r="I264" s="248"/>
      <c r="J264" s="248"/>
      <c r="K264" s="248"/>
      <c r="L264" s="248"/>
      <c r="M264" s="248"/>
      <c r="N264" s="248"/>
      <c r="O264" s="248"/>
      <c r="P264" s="248"/>
      <c r="Q264" s="248"/>
      <c r="R264" s="248"/>
      <c r="S264" s="248"/>
      <c r="T264" s="248"/>
      <c r="U264" s="248"/>
      <c r="V264" s="248"/>
      <c r="W264" s="248"/>
      <c r="X264" s="248"/>
      <c r="Y264" s="248"/>
      <c r="Z264" s="248"/>
      <c r="AA264" s="248"/>
      <c r="AB264" s="248"/>
    </row>
    <row r="265">
      <c r="A265" s="250" t="s">
        <v>535</v>
      </c>
      <c r="B265" s="251">
        <v>2290.0</v>
      </c>
      <c r="C265" s="251">
        <v>2290.0</v>
      </c>
      <c r="D265" s="252">
        <f t="shared" si="37"/>
        <v>0</v>
      </c>
      <c r="E265" s="319" t="s">
        <v>365</v>
      </c>
      <c r="F265" s="242">
        <f t="shared" si="38"/>
        <v>2908.3</v>
      </c>
      <c r="G265" s="246"/>
      <c r="H265" s="247"/>
      <c r="I265" s="253"/>
      <c r="J265" s="253"/>
      <c r="K265" s="253"/>
      <c r="L265" s="253"/>
      <c r="M265" s="253"/>
      <c r="N265" s="253"/>
      <c r="O265" s="253"/>
      <c r="P265" s="253"/>
      <c r="Q265" s="253"/>
      <c r="R265" s="253"/>
      <c r="S265" s="253"/>
      <c r="T265" s="253"/>
      <c r="U265" s="253"/>
      <c r="V265" s="253"/>
      <c r="W265" s="253"/>
      <c r="X265" s="253"/>
      <c r="Y265" s="253"/>
      <c r="Z265" s="253"/>
      <c r="AA265" s="253"/>
      <c r="AB265" s="253"/>
    </row>
    <row r="266">
      <c r="A266" s="242" t="s">
        <v>536</v>
      </c>
      <c r="B266" s="243">
        <v>2290.0</v>
      </c>
      <c r="C266" s="243">
        <v>2290.0</v>
      </c>
      <c r="D266" s="244">
        <f t="shared" si="37"/>
        <v>0</v>
      </c>
      <c r="E266" s="319" t="s">
        <v>365</v>
      </c>
      <c r="F266" s="242">
        <f t="shared" si="38"/>
        <v>2908.3</v>
      </c>
      <c r="G266" s="246"/>
      <c r="H266" s="247"/>
      <c r="I266" s="248"/>
      <c r="J266" s="248"/>
      <c r="K266" s="248"/>
      <c r="L266" s="248"/>
      <c r="M266" s="248"/>
      <c r="N266" s="248"/>
      <c r="O266" s="248"/>
      <c r="P266" s="248"/>
      <c r="Q266" s="248"/>
      <c r="R266" s="248"/>
      <c r="S266" s="248"/>
      <c r="T266" s="248"/>
      <c r="U266" s="248"/>
      <c r="V266" s="248"/>
      <c r="W266" s="248"/>
      <c r="X266" s="248"/>
      <c r="Y266" s="248"/>
      <c r="Z266" s="248"/>
      <c r="AA266" s="248"/>
      <c r="AB266" s="248"/>
    </row>
    <row r="267">
      <c r="A267" s="250" t="s">
        <v>537</v>
      </c>
      <c r="B267" s="251">
        <v>2190.0</v>
      </c>
      <c r="C267" s="251">
        <v>2190.0</v>
      </c>
      <c r="D267" s="252">
        <f t="shared" si="37"/>
        <v>0</v>
      </c>
      <c r="E267" s="319" t="s">
        <v>365</v>
      </c>
      <c r="F267" s="242">
        <f t="shared" si="38"/>
        <v>2781.3</v>
      </c>
      <c r="G267" s="246"/>
      <c r="H267" s="247"/>
      <c r="I267" s="253"/>
      <c r="J267" s="253"/>
      <c r="K267" s="253"/>
      <c r="L267" s="253"/>
      <c r="M267" s="253"/>
      <c r="N267" s="253"/>
      <c r="O267" s="253"/>
      <c r="P267" s="253"/>
      <c r="Q267" s="253"/>
      <c r="R267" s="253"/>
      <c r="S267" s="253"/>
      <c r="T267" s="253"/>
      <c r="U267" s="253"/>
      <c r="V267" s="253"/>
      <c r="W267" s="253"/>
      <c r="X267" s="253"/>
      <c r="Y267" s="253"/>
      <c r="Z267" s="253"/>
      <c r="AA267" s="253"/>
      <c r="AB267" s="253"/>
    </row>
    <row r="268">
      <c r="A268" s="242" t="s">
        <v>538</v>
      </c>
      <c r="B268" s="243">
        <v>2190.0</v>
      </c>
      <c r="C268" s="243">
        <v>2190.0</v>
      </c>
      <c r="D268" s="244">
        <f t="shared" si="37"/>
        <v>0</v>
      </c>
      <c r="E268" s="319" t="s">
        <v>365</v>
      </c>
      <c r="F268" s="242">
        <f t="shared" si="38"/>
        <v>2781.3</v>
      </c>
      <c r="G268" s="246"/>
      <c r="H268" s="247"/>
      <c r="I268" s="248"/>
      <c r="J268" s="248"/>
      <c r="K268" s="248"/>
      <c r="L268" s="248"/>
      <c r="M268" s="248"/>
      <c r="N268" s="248"/>
      <c r="O268" s="248"/>
      <c r="P268" s="248"/>
      <c r="Q268" s="248"/>
      <c r="R268" s="248"/>
      <c r="S268" s="248"/>
      <c r="T268" s="248"/>
      <c r="U268" s="248"/>
      <c r="V268" s="248"/>
      <c r="W268" s="248"/>
      <c r="X268" s="248"/>
      <c r="Y268" s="248"/>
      <c r="Z268" s="248"/>
      <c r="AA268" s="248"/>
      <c r="AB268" s="248"/>
    </row>
    <row r="269">
      <c r="A269" s="242" t="s">
        <v>539</v>
      </c>
      <c r="B269" s="243">
        <v>1990.0</v>
      </c>
      <c r="C269" s="243">
        <v>1990.0</v>
      </c>
      <c r="D269" s="244">
        <f t="shared" si="37"/>
        <v>0</v>
      </c>
      <c r="E269" s="319" t="s">
        <v>365</v>
      </c>
      <c r="F269" s="242">
        <f t="shared" si="38"/>
        <v>2527.3</v>
      </c>
      <c r="G269" s="246"/>
      <c r="H269" s="247"/>
      <c r="I269" s="248"/>
      <c r="J269" s="248"/>
      <c r="K269" s="248"/>
      <c r="L269" s="248"/>
      <c r="M269" s="248"/>
      <c r="N269" s="248"/>
      <c r="O269" s="248"/>
      <c r="P269" s="248"/>
      <c r="Q269" s="248"/>
      <c r="R269" s="248"/>
      <c r="S269" s="248"/>
      <c r="T269" s="248"/>
      <c r="U269" s="248"/>
      <c r="V269" s="248"/>
      <c r="W269" s="248"/>
      <c r="X269" s="248"/>
      <c r="Y269" s="248"/>
      <c r="Z269" s="248"/>
      <c r="AA269" s="248"/>
      <c r="AB269" s="248"/>
    </row>
    <row r="270">
      <c r="A270" s="250" t="s">
        <v>540</v>
      </c>
      <c r="B270" s="251">
        <v>1990.0</v>
      </c>
      <c r="C270" s="251">
        <v>1990.0</v>
      </c>
      <c r="D270" s="252">
        <f t="shared" si="37"/>
        <v>0</v>
      </c>
      <c r="E270" s="319" t="s">
        <v>365</v>
      </c>
      <c r="F270" s="242">
        <f t="shared" si="38"/>
        <v>2527.3</v>
      </c>
      <c r="G270" s="246"/>
      <c r="H270" s="247"/>
      <c r="I270" s="253"/>
      <c r="J270" s="253"/>
      <c r="K270" s="253"/>
      <c r="L270" s="253"/>
      <c r="M270" s="253"/>
      <c r="N270" s="253"/>
      <c r="O270" s="253"/>
      <c r="P270" s="253"/>
      <c r="Q270" s="253"/>
      <c r="R270" s="253"/>
      <c r="S270" s="253"/>
      <c r="T270" s="253"/>
      <c r="U270" s="253"/>
      <c r="V270" s="253"/>
      <c r="W270" s="253"/>
      <c r="X270" s="253"/>
      <c r="Y270" s="253"/>
      <c r="Z270" s="253"/>
      <c r="AA270" s="253"/>
      <c r="AB270" s="253"/>
    </row>
    <row r="271">
      <c r="A271" s="250" t="s">
        <v>541</v>
      </c>
      <c r="B271" s="251">
        <v>1990.0</v>
      </c>
      <c r="C271" s="251">
        <v>1990.0</v>
      </c>
      <c r="D271" s="252">
        <f t="shared" si="37"/>
        <v>0</v>
      </c>
      <c r="E271" s="319" t="s">
        <v>365</v>
      </c>
      <c r="F271" s="242">
        <f t="shared" si="38"/>
        <v>2527.3</v>
      </c>
      <c r="G271" s="246"/>
      <c r="H271" s="247"/>
      <c r="I271" s="253"/>
      <c r="J271" s="253"/>
      <c r="K271" s="253"/>
      <c r="L271" s="253"/>
      <c r="M271" s="253"/>
      <c r="N271" s="253"/>
      <c r="O271" s="253"/>
      <c r="P271" s="253"/>
      <c r="Q271" s="253"/>
      <c r="R271" s="253"/>
      <c r="S271" s="253"/>
      <c r="T271" s="253"/>
      <c r="U271" s="253"/>
      <c r="V271" s="253"/>
      <c r="W271" s="253"/>
      <c r="X271" s="253"/>
      <c r="Y271" s="253"/>
      <c r="Z271" s="253"/>
      <c r="AA271" s="253"/>
      <c r="AB271" s="253"/>
    </row>
    <row r="272">
      <c r="A272" s="242" t="s">
        <v>542</v>
      </c>
      <c r="B272" s="243">
        <v>1790.0</v>
      </c>
      <c r="C272" s="243">
        <v>1790.0</v>
      </c>
      <c r="D272" s="244">
        <f t="shared" si="37"/>
        <v>0</v>
      </c>
      <c r="E272" s="319" t="s">
        <v>365</v>
      </c>
      <c r="F272" s="242">
        <f t="shared" si="38"/>
        <v>2273.3</v>
      </c>
      <c r="G272" s="246"/>
      <c r="H272" s="247"/>
      <c r="I272" s="248"/>
      <c r="J272" s="248"/>
      <c r="K272" s="248"/>
      <c r="L272" s="248"/>
      <c r="M272" s="248"/>
      <c r="N272" s="248"/>
      <c r="O272" s="248"/>
      <c r="P272" s="248"/>
      <c r="Q272" s="248"/>
      <c r="R272" s="248"/>
      <c r="S272" s="248"/>
      <c r="T272" s="248"/>
      <c r="U272" s="248"/>
      <c r="V272" s="248"/>
      <c r="W272" s="248"/>
      <c r="X272" s="248"/>
      <c r="Y272" s="248"/>
      <c r="Z272" s="248"/>
      <c r="AA272" s="248"/>
      <c r="AB272" s="248"/>
    </row>
    <row r="273">
      <c r="A273" s="250" t="s">
        <v>543</v>
      </c>
      <c r="B273" s="243">
        <v>790.0</v>
      </c>
      <c r="C273" s="243">
        <v>1790.0</v>
      </c>
      <c r="D273" s="252">
        <f t="shared" si="37"/>
        <v>1000</v>
      </c>
      <c r="E273" s="319" t="s">
        <v>365</v>
      </c>
      <c r="F273" s="242">
        <f>C273*1.15</f>
        <v>2058.5</v>
      </c>
      <c r="G273" s="246"/>
      <c r="H273" s="247"/>
      <c r="I273" s="253"/>
      <c r="J273" s="253"/>
      <c r="K273" s="253"/>
      <c r="L273" s="253"/>
      <c r="M273" s="253"/>
      <c r="N273" s="253"/>
      <c r="O273" s="253"/>
      <c r="P273" s="253"/>
      <c r="Q273" s="253"/>
      <c r="R273" s="253"/>
      <c r="S273" s="253"/>
      <c r="T273" s="253"/>
      <c r="U273" s="253"/>
      <c r="V273" s="253"/>
      <c r="W273" s="253"/>
      <c r="X273" s="253"/>
      <c r="Y273" s="253"/>
      <c r="Z273" s="253"/>
      <c r="AA273" s="253"/>
      <c r="AB273" s="253"/>
    </row>
    <row r="274">
      <c r="A274" s="242" t="s">
        <v>544</v>
      </c>
      <c r="B274" s="243">
        <v>790.0</v>
      </c>
      <c r="C274" s="243">
        <v>1790.0</v>
      </c>
      <c r="D274" s="244">
        <f t="shared" si="37"/>
        <v>1000</v>
      </c>
      <c r="E274" s="319" t="s">
        <v>365</v>
      </c>
      <c r="F274" s="242">
        <f t="shared" ref="F274:F287" si="39">C274*1.27</f>
        <v>2273.3</v>
      </c>
      <c r="G274" s="246"/>
      <c r="H274" s="247"/>
      <c r="I274" s="248"/>
      <c r="J274" s="248"/>
      <c r="K274" s="248"/>
      <c r="L274" s="248"/>
      <c r="M274" s="248"/>
      <c r="N274" s="248"/>
      <c r="O274" s="248"/>
      <c r="P274" s="248"/>
      <c r="Q274" s="248"/>
      <c r="R274" s="248"/>
      <c r="S274" s="248"/>
      <c r="T274" s="248"/>
      <c r="U274" s="248"/>
      <c r="V274" s="248"/>
      <c r="W274" s="248"/>
      <c r="X274" s="248"/>
      <c r="Y274" s="248"/>
      <c r="Z274" s="248"/>
      <c r="AA274" s="248"/>
      <c r="AB274" s="248"/>
    </row>
    <row r="275">
      <c r="A275" s="242" t="s">
        <v>545</v>
      </c>
      <c r="B275" s="244">
        <v>1690.0</v>
      </c>
      <c r="C275" s="243">
        <v>1690.0</v>
      </c>
      <c r="D275" s="244">
        <f t="shared" si="37"/>
        <v>0</v>
      </c>
      <c r="E275" s="319" t="s">
        <v>365</v>
      </c>
      <c r="F275" s="242">
        <f t="shared" si="39"/>
        <v>2146.3</v>
      </c>
      <c r="G275" s="246"/>
      <c r="H275" s="247"/>
      <c r="I275" s="248"/>
      <c r="J275" s="248"/>
      <c r="K275" s="248"/>
      <c r="L275" s="248"/>
      <c r="M275" s="248"/>
      <c r="N275" s="248"/>
      <c r="O275" s="248"/>
      <c r="P275" s="248"/>
      <c r="Q275" s="248"/>
      <c r="R275" s="248"/>
      <c r="S275" s="248"/>
      <c r="T275" s="248"/>
      <c r="U275" s="248"/>
      <c r="V275" s="248"/>
      <c r="W275" s="248"/>
      <c r="X275" s="248"/>
      <c r="Y275" s="248"/>
      <c r="Z275" s="248"/>
      <c r="AA275" s="248"/>
      <c r="AB275" s="248"/>
    </row>
    <row r="276">
      <c r="A276" s="250" t="s">
        <v>546</v>
      </c>
      <c r="B276" s="251">
        <v>1690.0</v>
      </c>
      <c r="C276" s="251">
        <v>1690.0</v>
      </c>
      <c r="D276" s="252">
        <f t="shared" si="37"/>
        <v>0</v>
      </c>
      <c r="E276" s="319" t="s">
        <v>365</v>
      </c>
      <c r="F276" s="242">
        <f t="shared" si="39"/>
        <v>2146.3</v>
      </c>
      <c r="G276" s="246"/>
      <c r="H276" s="247"/>
      <c r="I276" s="253"/>
      <c r="J276" s="253"/>
      <c r="K276" s="253"/>
      <c r="L276" s="253"/>
      <c r="M276" s="253"/>
      <c r="N276" s="253"/>
      <c r="O276" s="253"/>
      <c r="P276" s="253"/>
      <c r="Q276" s="253"/>
      <c r="R276" s="253"/>
      <c r="S276" s="253"/>
      <c r="T276" s="253"/>
      <c r="U276" s="253"/>
      <c r="V276" s="253"/>
      <c r="W276" s="253"/>
      <c r="X276" s="253"/>
      <c r="Y276" s="253"/>
      <c r="Z276" s="253"/>
      <c r="AA276" s="253"/>
      <c r="AB276" s="253"/>
    </row>
    <row r="277">
      <c r="A277" s="250" t="s">
        <v>547</v>
      </c>
      <c r="B277" s="251">
        <v>1690.0</v>
      </c>
      <c r="C277" s="251">
        <v>1690.0</v>
      </c>
      <c r="D277" s="252">
        <f t="shared" si="37"/>
        <v>0</v>
      </c>
      <c r="E277" s="319" t="s">
        <v>365</v>
      </c>
      <c r="F277" s="242">
        <f t="shared" si="39"/>
        <v>2146.3</v>
      </c>
      <c r="G277" s="246"/>
      <c r="H277" s="247"/>
      <c r="I277" s="253"/>
      <c r="J277" s="253"/>
      <c r="K277" s="253"/>
      <c r="L277" s="253"/>
      <c r="M277" s="253"/>
      <c r="N277" s="253"/>
      <c r="O277" s="253"/>
      <c r="P277" s="253"/>
      <c r="Q277" s="253"/>
      <c r="R277" s="253"/>
      <c r="S277" s="253"/>
      <c r="T277" s="253"/>
      <c r="U277" s="253"/>
      <c r="V277" s="253"/>
      <c r="W277" s="253"/>
      <c r="X277" s="253"/>
      <c r="Y277" s="253"/>
      <c r="Z277" s="253"/>
      <c r="AA277" s="253"/>
      <c r="AB277" s="253"/>
    </row>
    <row r="278">
      <c r="A278" s="250" t="s">
        <v>548</v>
      </c>
      <c r="B278" s="251">
        <v>1690.0</v>
      </c>
      <c r="C278" s="251">
        <v>1690.0</v>
      </c>
      <c r="D278" s="252">
        <f t="shared" si="37"/>
        <v>0</v>
      </c>
      <c r="E278" s="319" t="s">
        <v>365</v>
      </c>
      <c r="F278" s="242">
        <f t="shared" si="39"/>
        <v>2146.3</v>
      </c>
      <c r="G278" s="246"/>
      <c r="H278" s="247"/>
      <c r="I278" s="253"/>
      <c r="J278" s="253"/>
      <c r="K278" s="253"/>
      <c r="L278" s="253"/>
      <c r="M278" s="253"/>
      <c r="N278" s="253"/>
      <c r="O278" s="253"/>
      <c r="P278" s="253"/>
      <c r="Q278" s="253"/>
      <c r="R278" s="253"/>
      <c r="S278" s="253"/>
      <c r="T278" s="253"/>
      <c r="U278" s="253"/>
      <c r="V278" s="253"/>
      <c r="W278" s="253"/>
      <c r="X278" s="253"/>
      <c r="Y278" s="253"/>
      <c r="Z278" s="253"/>
      <c r="AA278" s="253"/>
      <c r="AB278" s="253"/>
    </row>
    <row r="279">
      <c r="A279" s="250" t="s">
        <v>549</v>
      </c>
      <c r="B279" s="251">
        <v>990.0</v>
      </c>
      <c r="C279" s="251">
        <v>1490.0</v>
      </c>
      <c r="D279" s="252">
        <f t="shared" si="37"/>
        <v>500</v>
      </c>
      <c r="E279" s="319" t="s">
        <v>365</v>
      </c>
      <c r="F279" s="242">
        <f t="shared" si="39"/>
        <v>1892.3</v>
      </c>
      <c r="G279" s="246"/>
      <c r="H279" s="247"/>
      <c r="I279" s="253"/>
      <c r="J279" s="253"/>
      <c r="K279" s="253"/>
      <c r="L279" s="253"/>
      <c r="M279" s="253"/>
      <c r="N279" s="253"/>
      <c r="O279" s="253"/>
      <c r="P279" s="253"/>
      <c r="Q279" s="253"/>
      <c r="R279" s="253"/>
      <c r="S279" s="253"/>
      <c r="T279" s="253"/>
      <c r="U279" s="253"/>
      <c r="V279" s="253"/>
      <c r="W279" s="253"/>
      <c r="X279" s="253"/>
      <c r="Y279" s="253"/>
      <c r="Z279" s="253"/>
      <c r="AA279" s="253"/>
      <c r="AB279" s="253"/>
    </row>
    <row r="280">
      <c r="A280" s="249" t="s">
        <v>550</v>
      </c>
      <c r="B280" s="244">
        <v>1290.0</v>
      </c>
      <c r="C280" s="244">
        <v>1290.0</v>
      </c>
      <c r="D280" s="244">
        <f t="shared" si="37"/>
        <v>0</v>
      </c>
      <c r="E280" s="319" t="s">
        <v>365</v>
      </c>
      <c r="F280" s="242">
        <f t="shared" si="39"/>
        <v>1638.3</v>
      </c>
      <c r="G280" s="246"/>
      <c r="H280" s="247"/>
      <c r="I280" s="248"/>
      <c r="J280" s="248"/>
      <c r="K280" s="248"/>
      <c r="L280" s="248"/>
      <c r="M280" s="248"/>
      <c r="N280" s="248"/>
      <c r="O280" s="248"/>
      <c r="P280" s="248"/>
      <c r="Q280" s="248"/>
      <c r="R280" s="248"/>
      <c r="S280" s="248"/>
      <c r="T280" s="248"/>
      <c r="U280" s="248"/>
      <c r="V280" s="248"/>
      <c r="W280" s="248"/>
      <c r="X280" s="248"/>
      <c r="Y280" s="248"/>
      <c r="Z280" s="248"/>
      <c r="AA280" s="248"/>
      <c r="AB280" s="248"/>
    </row>
    <row r="281">
      <c r="A281" s="242" t="s">
        <v>551</v>
      </c>
      <c r="B281" s="243">
        <v>1290.0</v>
      </c>
      <c r="C281" s="243">
        <v>1290.0</v>
      </c>
      <c r="D281" s="244">
        <f t="shared" si="37"/>
        <v>0</v>
      </c>
      <c r="E281" s="319" t="s">
        <v>365</v>
      </c>
      <c r="F281" s="242">
        <f t="shared" si="39"/>
        <v>1638.3</v>
      </c>
      <c r="G281" s="246"/>
      <c r="H281" s="247"/>
      <c r="I281" s="248"/>
      <c r="J281" s="253"/>
      <c r="K281" s="253"/>
      <c r="L281" s="248"/>
      <c r="M281" s="248"/>
      <c r="N281" s="248"/>
      <c r="O281" s="248"/>
      <c r="P281" s="248"/>
      <c r="Q281" s="248"/>
      <c r="R281" s="248"/>
      <c r="S281" s="248"/>
      <c r="T281" s="248"/>
      <c r="U281" s="248"/>
      <c r="V281" s="248"/>
      <c r="W281" s="248"/>
      <c r="X281" s="248"/>
      <c r="Y281" s="248"/>
      <c r="Z281" s="248"/>
      <c r="AA281" s="248"/>
      <c r="AB281" s="248"/>
    </row>
    <row r="282">
      <c r="A282" s="242" t="s">
        <v>551</v>
      </c>
      <c r="B282" s="243">
        <v>1290.0</v>
      </c>
      <c r="C282" s="243">
        <v>1290.0</v>
      </c>
      <c r="D282" s="244">
        <f t="shared" si="37"/>
        <v>0</v>
      </c>
      <c r="E282" s="319" t="s">
        <v>365</v>
      </c>
      <c r="F282" s="242">
        <f t="shared" si="39"/>
        <v>1638.3</v>
      </c>
      <c r="G282" s="246"/>
      <c r="H282" s="247"/>
      <c r="I282" s="248"/>
      <c r="J282" s="248"/>
      <c r="K282" s="248"/>
      <c r="L282" s="248"/>
      <c r="M282" s="248"/>
      <c r="N282" s="248"/>
      <c r="O282" s="248"/>
      <c r="P282" s="248"/>
      <c r="Q282" s="248"/>
      <c r="R282" s="248"/>
      <c r="S282" s="248"/>
      <c r="T282" s="248"/>
      <c r="U282" s="248"/>
      <c r="V282" s="248"/>
      <c r="W282" s="248"/>
      <c r="X282" s="248"/>
      <c r="Y282" s="248"/>
      <c r="Z282" s="248"/>
      <c r="AA282" s="248"/>
      <c r="AB282" s="248"/>
    </row>
    <row r="283">
      <c r="A283" s="242" t="s">
        <v>552</v>
      </c>
      <c r="B283" s="243">
        <v>1290.0</v>
      </c>
      <c r="C283" s="243">
        <v>1290.0</v>
      </c>
      <c r="D283" s="244">
        <f t="shared" si="37"/>
        <v>0</v>
      </c>
      <c r="E283" s="319" t="s">
        <v>365</v>
      </c>
      <c r="F283" s="242">
        <f t="shared" si="39"/>
        <v>1638.3</v>
      </c>
      <c r="G283" s="246"/>
      <c r="H283" s="247"/>
      <c r="I283" s="248"/>
      <c r="J283" s="248"/>
      <c r="K283" s="248"/>
      <c r="L283" s="248"/>
      <c r="M283" s="248"/>
      <c r="N283" s="248"/>
      <c r="O283" s="248"/>
      <c r="P283" s="248"/>
      <c r="Q283" s="248"/>
      <c r="R283" s="248"/>
      <c r="S283" s="248"/>
      <c r="T283" s="248"/>
      <c r="U283" s="248"/>
      <c r="V283" s="248"/>
      <c r="W283" s="248"/>
      <c r="X283" s="248"/>
      <c r="Y283" s="248"/>
      <c r="Z283" s="248"/>
      <c r="AA283" s="248"/>
      <c r="AB283" s="248"/>
    </row>
    <row r="284">
      <c r="A284" s="249" t="s">
        <v>553</v>
      </c>
      <c r="B284" s="244">
        <v>1190.0</v>
      </c>
      <c r="C284" s="244">
        <v>1190.0</v>
      </c>
      <c r="D284" s="244">
        <f t="shared" si="37"/>
        <v>0</v>
      </c>
      <c r="E284" s="319" t="s">
        <v>365</v>
      </c>
      <c r="F284" s="242">
        <f t="shared" si="39"/>
        <v>1511.3</v>
      </c>
      <c r="G284" s="246"/>
      <c r="H284" s="247"/>
      <c r="I284" s="248"/>
      <c r="J284" s="248"/>
      <c r="K284" s="248"/>
      <c r="L284" s="248"/>
      <c r="M284" s="248"/>
      <c r="N284" s="248"/>
      <c r="O284" s="248"/>
      <c r="P284" s="248"/>
      <c r="Q284" s="248"/>
      <c r="R284" s="248"/>
      <c r="S284" s="248"/>
      <c r="T284" s="248"/>
      <c r="U284" s="248"/>
      <c r="V284" s="248"/>
      <c r="W284" s="248"/>
      <c r="X284" s="248"/>
      <c r="Y284" s="248"/>
      <c r="Z284" s="248"/>
      <c r="AA284" s="248"/>
      <c r="AB284" s="248"/>
    </row>
    <row r="285">
      <c r="A285" s="249" t="s">
        <v>553</v>
      </c>
      <c r="B285" s="244">
        <v>1190.0</v>
      </c>
      <c r="C285" s="244">
        <v>1190.0</v>
      </c>
      <c r="D285" s="244">
        <f t="shared" si="37"/>
        <v>0</v>
      </c>
      <c r="E285" s="319" t="s">
        <v>365</v>
      </c>
      <c r="F285" s="242">
        <f t="shared" si="39"/>
        <v>1511.3</v>
      </c>
      <c r="G285" s="246"/>
      <c r="H285" s="247"/>
      <c r="I285" s="248"/>
      <c r="J285" s="248"/>
      <c r="K285" s="248"/>
      <c r="L285" s="248"/>
      <c r="M285" s="248"/>
      <c r="N285" s="248"/>
      <c r="O285" s="248"/>
      <c r="P285" s="248"/>
      <c r="Q285" s="248"/>
      <c r="R285" s="248"/>
      <c r="S285" s="248"/>
      <c r="T285" s="248"/>
      <c r="U285" s="248"/>
      <c r="V285" s="248"/>
      <c r="W285" s="248"/>
      <c r="X285" s="248"/>
      <c r="Y285" s="248"/>
      <c r="Z285" s="248"/>
      <c r="AA285" s="248"/>
      <c r="AB285" s="248"/>
    </row>
    <row r="286">
      <c r="A286" s="242" t="s">
        <v>553</v>
      </c>
      <c r="B286" s="243">
        <v>1190.0</v>
      </c>
      <c r="C286" s="243">
        <v>1190.0</v>
      </c>
      <c r="D286" s="244">
        <f t="shared" si="37"/>
        <v>0</v>
      </c>
      <c r="E286" s="319" t="s">
        <v>365</v>
      </c>
      <c r="F286" s="242">
        <f t="shared" si="39"/>
        <v>1511.3</v>
      </c>
      <c r="G286" s="246"/>
      <c r="H286" s="247"/>
      <c r="I286" s="248"/>
      <c r="J286" s="248"/>
      <c r="K286" s="248"/>
      <c r="L286" s="248"/>
      <c r="M286" s="248"/>
      <c r="N286" s="248"/>
      <c r="O286" s="248"/>
      <c r="P286" s="248"/>
      <c r="Q286" s="248"/>
      <c r="R286" s="248"/>
      <c r="S286" s="248"/>
      <c r="T286" s="248"/>
      <c r="U286" s="248"/>
      <c r="V286" s="248"/>
      <c r="W286" s="248"/>
      <c r="X286" s="248"/>
      <c r="Y286" s="248"/>
      <c r="Z286" s="248"/>
      <c r="AA286" s="248"/>
      <c r="AB286" s="248"/>
    </row>
    <row r="287">
      <c r="A287" s="242" t="s">
        <v>554</v>
      </c>
      <c r="B287" s="243">
        <v>1190.0</v>
      </c>
      <c r="C287" s="243">
        <v>1190.0</v>
      </c>
      <c r="D287" s="244">
        <f t="shared" si="37"/>
        <v>0</v>
      </c>
      <c r="E287" s="319" t="s">
        <v>365</v>
      </c>
      <c r="F287" s="242">
        <f t="shared" si="39"/>
        <v>1511.3</v>
      </c>
      <c r="G287" s="246"/>
      <c r="H287" s="247"/>
      <c r="I287" s="248"/>
      <c r="J287" s="248"/>
      <c r="K287" s="248"/>
      <c r="L287" s="248"/>
      <c r="M287" s="248"/>
      <c r="N287" s="248"/>
      <c r="O287" s="248"/>
      <c r="P287" s="248"/>
      <c r="Q287" s="248"/>
      <c r="R287" s="248"/>
      <c r="S287" s="248"/>
      <c r="T287" s="248"/>
      <c r="U287" s="248"/>
      <c r="V287" s="248"/>
      <c r="W287" s="248"/>
      <c r="X287" s="248"/>
      <c r="Y287" s="248"/>
      <c r="Z287" s="248"/>
      <c r="AA287" s="248"/>
      <c r="AB287" s="248"/>
    </row>
    <row r="288">
      <c r="A288" s="123"/>
      <c r="B288" s="124"/>
      <c r="C288" s="124"/>
      <c r="E288" s="132"/>
      <c r="F288" s="124"/>
    </row>
    <row r="289">
      <c r="A289" s="122" t="s">
        <v>555</v>
      </c>
      <c r="B289" s="214"/>
      <c r="C289" s="214"/>
      <c r="D289" s="134"/>
      <c r="E289" s="145"/>
      <c r="F289" s="214"/>
      <c r="G289" s="134"/>
      <c r="H289" s="134"/>
      <c r="I289" s="134"/>
      <c r="J289" s="134"/>
      <c r="K289" s="134"/>
      <c r="L289" s="134"/>
      <c r="M289" s="134"/>
      <c r="N289" s="134"/>
      <c r="O289" s="134"/>
      <c r="P289" s="134"/>
      <c r="Q289" s="134"/>
      <c r="R289" s="134"/>
      <c r="S289" s="134"/>
      <c r="T289" s="134"/>
      <c r="U289" s="134"/>
      <c r="V289" s="134"/>
      <c r="W289" s="134"/>
      <c r="X289" s="134"/>
      <c r="Y289" s="134"/>
      <c r="Z289" s="134"/>
      <c r="AA289" s="134"/>
      <c r="AB289" s="134"/>
    </row>
    <row r="290">
      <c r="A290" s="242" t="s">
        <v>556</v>
      </c>
      <c r="B290" s="243">
        <v>125.0</v>
      </c>
      <c r="C290" s="243">
        <v>250.0</v>
      </c>
      <c r="D290" s="244">
        <f t="shared" ref="D290:D321" si="40">C290-B290</f>
        <v>125</v>
      </c>
      <c r="E290" s="243" t="s">
        <v>557</v>
      </c>
      <c r="F290" s="244">
        <f t="shared" ref="F290:F321" si="41">C290*1.27</f>
        <v>317.5</v>
      </c>
      <c r="G290" s="246"/>
      <c r="H290" s="247">
        <f t="shared" ref="H290:H321" si="42">D290/(C290/100)</f>
        <v>50</v>
      </c>
      <c r="I290" s="248"/>
      <c r="J290" s="248"/>
      <c r="K290" s="248"/>
      <c r="L290" s="248"/>
      <c r="M290" s="248"/>
      <c r="N290" s="248"/>
      <c r="O290" s="248"/>
      <c r="P290" s="248"/>
      <c r="Q290" s="248"/>
      <c r="R290" s="248"/>
      <c r="S290" s="248"/>
      <c r="T290" s="248"/>
      <c r="U290" s="248"/>
      <c r="V290" s="248"/>
      <c r="W290" s="248"/>
      <c r="X290" s="248"/>
      <c r="Y290" s="248"/>
      <c r="Z290" s="248"/>
      <c r="AA290" s="248"/>
      <c r="AB290" s="248"/>
    </row>
    <row r="291">
      <c r="A291" s="242" t="s">
        <v>556</v>
      </c>
      <c r="B291" s="243">
        <v>125.0</v>
      </c>
      <c r="C291" s="243">
        <v>250.0</v>
      </c>
      <c r="D291" s="244">
        <f t="shared" si="40"/>
        <v>125</v>
      </c>
      <c r="E291" s="243" t="s">
        <v>557</v>
      </c>
      <c r="F291" s="244">
        <f t="shared" si="41"/>
        <v>317.5</v>
      </c>
      <c r="G291" s="246"/>
      <c r="H291" s="247">
        <f t="shared" si="42"/>
        <v>50</v>
      </c>
      <c r="I291" s="248"/>
      <c r="J291" s="248"/>
      <c r="K291" s="248"/>
      <c r="L291" s="248"/>
      <c r="M291" s="248"/>
      <c r="N291" s="248"/>
      <c r="O291" s="248"/>
      <c r="P291" s="248"/>
      <c r="Q291" s="248"/>
      <c r="R291" s="248"/>
      <c r="S291" s="248"/>
      <c r="T291" s="248"/>
      <c r="U291" s="248"/>
      <c r="V291" s="248"/>
      <c r="W291" s="248"/>
      <c r="X291" s="248"/>
      <c r="Y291" s="248"/>
      <c r="Z291" s="248"/>
      <c r="AA291" s="248"/>
      <c r="AB291" s="248"/>
    </row>
    <row r="292">
      <c r="A292" s="242" t="s">
        <v>556</v>
      </c>
      <c r="B292" s="243">
        <v>125.0</v>
      </c>
      <c r="C292" s="243">
        <v>250.0</v>
      </c>
      <c r="D292" s="244">
        <f t="shared" si="40"/>
        <v>125</v>
      </c>
      <c r="E292" s="243" t="s">
        <v>557</v>
      </c>
      <c r="F292" s="244">
        <f t="shared" si="41"/>
        <v>317.5</v>
      </c>
      <c r="G292" s="246"/>
      <c r="H292" s="247">
        <f t="shared" si="42"/>
        <v>50</v>
      </c>
      <c r="I292" s="248"/>
      <c r="J292" s="248"/>
      <c r="K292" s="248"/>
      <c r="L292" s="248"/>
      <c r="M292" s="248"/>
      <c r="N292" s="248"/>
      <c r="O292" s="248"/>
      <c r="P292" s="248"/>
      <c r="Q292" s="248"/>
      <c r="R292" s="248"/>
      <c r="S292" s="248"/>
      <c r="T292" s="248"/>
      <c r="U292" s="248"/>
      <c r="V292" s="248"/>
      <c r="W292" s="248"/>
      <c r="X292" s="248"/>
      <c r="Y292" s="248"/>
      <c r="Z292" s="248"/>
      <c r="AA292" s="248"/>
      <c r="AB292" s="248"/>
    </row>
    <row r="293">
      <c r="A293" s="242" t="s">
        <v>556</v>
      </c>
      <c r="B293" s="243">
        <v>125.0</v>
      </c>
      <c r="C293" s="243">
        <v>250.0</v>
      </c>
      <c r="D293" s="244">
        <f t="shared" si="40"/>
        <v>125</v>
      </c>
      <c r="E293" s="243" t="s">
        <v>557</v>
      </c>
      <c r="F293" s="244">
        <f t="shared" si="41"/>
        <v>317.5</v>
      </c>
      <c r="G293" s="246"/>
      <c r="H293" s="247">
        <f t="shared" si="42"/>
        <v>50</v>
      </c>
      <c r="I293" s="248"/>
      <c r="J293" s="248"/>
      <c r="K293" s="248"/>
      <c r="L293" s="248"/>
      <c r="M293" s="248"/>
      <c r="N293" s="248"/>
      <c r="O293" s="248"/>
      <c r="P293" s="248"/>
      <c r="Q293" s="248"/>
      <c r="R293" s="248"/>
      <c r="S293" s="248"/>
      <c r="T293" s="248"/>
      <c r="U293" s="248"/>
      <c r="V293" s="248"/>
      <c r="W293" s="248"/>
      <c r="X293" s="248"/>
      <c r="Y293" s="248"/>
      <c r="Z293" s="248"/>
      <c r="AA293" s="248"/>
      <c r="AB293" s="248"/>
    </row>
    <row r="294">
      <c r="A294" s="242" t="s">
        <v>556</v>
      </c>
      <c r="B294" s="243">
        <v>125.0</v>
      </c>
      <c r="C294" s="243">
        <v>250.0</v>
      </c>
      <c r="D294" s="244">
        <f t="shared" si="40"/>
        <v>125</v>
      </c>
      <c r="E294" s="243" t="s">
        <v>557</v>
      </c>
      <c r="F294" s="244">
        <f t="shared" si="41"/>
        <v>317.5</v>
      </c>
      <c r="G294" s="246"/>
      <c r="H294" s="247">
        <f t="shared" si="42"/>
        <v>50</v>
      </c>
      <c r="I294" s="248"/>
      <c r="J294" s="248"/>
      <c r="K294" s="248"/>
      <c r="L294" s="248"/>
      <c r="M294" s="248"/>
      <c r="N294" s="248"/>
      <c r="O294" s="248"/>
      <c r="P294" s="248"/>
      <c r="Q294" s="248"/>
      <c r="R294" s="248"/>
      <c r="S294" s="248"/>
      <c r="T294" s="248"/>
      <c r="U294" s="248"/>
      <c r="V294" s="248"/>
      <c r="W294" s="248"/>
      <c r="X294" s="248"/>
      <c r="Y294" s="248"/>
      <c r="Z294" s="248"/>
      <c r="AA294" s="248"/>
      <c r="AB294" s="248"/>
    </row>
    <row r="295">
      <c r="A295" s="242" t="s">
        <v>556</v>
      </c>
      <c r="B295" s="243">
        <v>125.0</v>
      </c>
      <c r="C295" s="243">
        <v>250.0</v>
      </c>
      <c r="D295" s="244">
        <f t="shared" si="40"/>
        <v>125</v>
      </c>
      <c r="E295" s="243" t="s">
        <v>557</v>
      </c>
      <c r="F295" s="244">
        <f t="shared" si="41"/>
        <v>317.5</v>
      </c>
      <c r="G295" s="246"/>
      <c r="H295" s="247">
        <f t="shared" si="42"/>
        <v>50</v>
      </c>
      <c r="I295" s="248"/>
      <c r="J295" s="248"/>
      <c r="K295" s="248"/>
      <c r="L295" s="248"/>
      <c r="M295" s="248"/>
      <c r="N295" s="248"/>
      <c r="O295" s="248"/>
      <c r="P295" s="248"/>
      <c r="Q295" s="248"/>
      <c r="R295" s="248"/>
      <c r="S295" s="248"/>
      <c r="T295" s="248"/>
      <c r="U295" s="248"/>
      <c r="V295" s="248"/>
      <c r="W295" s="248"/>
      <c r="X295" s="248"/>
      <c r="Y295" s="248"/>
      <c r="Z295" s="248"/>
      <c r="AA295" s="248"/>
      <c r="AB295" s="248"/>
    </row>
    <row r="296">
      <c r="A296" s="242" t="s">
        <v>556</v>
      </c>
      <c r="B296" s="243">
        <v>125.0</v>
      </c>
      <c r="C296" s="243">
        <v>250.0</v>
      </c>
      <c r="D296" s="244">
        <f t="shared" si="40"/>
        <v>125</v>
      </c>
      <c r="E296" s="243" t="s">
        <v>557</v>
      </c>
      <c r="F296" s="244">
        <f t="shared" si="41"/>
        <v>317.5</v>
      </c>
      <c r="G296" s="246"/>
      <c r="H296" s="247">
        <f t="shared" si="42"/>
        <v>50</v>
      </c>
      <c r="I296" s="248"/>
      <c r="J296" s="248"/>
      <c r="K296" s="248"/>
      <c r="L296" s="248"/>
      <c r="M296" s="248"/>
      <c r="N296" s="248"/>
      <c r="O296" s="248"/>
      <c r="P296" s="248"/>
      <c r="Q296" s="248"/>
      <c r="R296" s="248"/>
      <c r="S296" s="248"/>
      <c r="T296" s="248"/>
      <c r="U296" s="248"/>
      <c r="V296" s="248"/>
      <c r="W296" s="248"/>
      <c r="X296" s="248"/>
      <c r="Y296" s="248"/>
      <c r="Z296" s="248"/>
      <c r="AA296" s="248"/>
      <c r="AB296" s="248"/>
    </row>
    <row r="297">
      <c r="A297" s="242" t="s">
        <v>556</v>
      </c>
      <c r="B297" s="243">
        <v>125.0</v>
      </c>
      <c r="C297" s="243">
        <v>250.0</v>
      </c>
      <c r="D297" s="244">
        <f t="shared" si="40"/>
        <v>125</v>
      </c>
      <c r="E297" s="243" t="s">
        <v>557</v>
      </c>
      <c r="F297" s="244">
        <f t="shared" si="41"/>
        <v>317.5</v>
      </c>
      <c r="G297" s="246"/>
      <c r="H297" s="247">
        <f t="shared" si="42"/>
        <v>50</v>
      </c>
      <c r="I297" s="248"/>
      <c r="J297" s="248"/>
      <c r="K297" s="248"/>
      <c r="L297" s="248"/>
      <c r="M297" s="248"/>
      <c r="N297" s="248"/>
      <c r="O297" s="248"/>
      <c r="P297" s="248"/>
      <c r="Q297" s="248"/>
      <c r="R297" s="248"/>
      <c r="S297" s="248"/>
      <c r="T297" s="248"/>
      <c r="U297" s="248"/>
      <c r="V297" s="248"/>
      <c r="W297" s="248"/>
      <c r="X297" s="248"/>
      <c r="Y297" s="248"/>
      <c r="Z297" s="248"/>
      <c r="AA297" s="248"/>
      <c r="AB297" s="248"/>
    </row>
    <row r="298">
      <c r="A298" s="242" t="s">
        <v>556</v>
      </c>
      <c r="B298" s="243">
        <v>125.0</v>
      </c>
      <c r="C298" s="243">
        <v>250.0</v>
      </c>
      <c r="D298" s="244">
        <f t="shared" si="40"/>
        <v>125</v>
      </c>
      <c r="E298" s="243" t="s">
        <v>557</v>
      </c>
      <c r="F298" s="244">
        <f t="shared" si="41"/>
        <v>317.5</v>
      </c>
      <c r="G298" s="246"/>
      <c r="H298" s="247">
        <f t="shared" si="42"/>
        <v>50</v>
      </c>
      <c r="I298" s="248"/>
      <c r="J298" s="248"/>
      <c r="K298" s="248"/>
      <c r="L298" s="248"/>
      <c r="M298" s="248"/>
      <c r="N298" s="248"/>
      <c r="O298" s="248"/>
      <c r="P298" s="248"/>
      <c r="Q298" s="248"/>
      <c r="R298" s="248"/>
      <c r="S298" s="248"/>
      <c r="T298" s="248"/>
      <c r="U298" s="248"/>
      <c r="V298" s="248"/>
      <c r="W298" s="248"/>
      <c r="X298" s="248"/>
      <c r="Y298" s="248"/>
      <c r="Z298" s="248"/>
      <c r="AA298" s="248"/>
      <c r="AB298" s="248"/>
    </row>
    <row r="299">
      <c r="A299" s="242" t="s">
        <v>556</v>
      </c>
      <c r="B299" s="243">
        <v>125.0</v>
      </c>
      <c r="C299" s="243">
        <v>250.0</v>
      </c>
      <c r="D299" s="244">
        <f t="shared" si="40"/>
        <v>125</v>
      </c>
      <c r="E299" s="243" t="s">
        <v>557</v>
      </c>
      <c r="F299" s="244">
        <f t="shared" si="41"/>
        <v>317.5</v>
      </c>
      <c r="G299" s="246"/>
      <c r="H299" s="247">
        <f t="shared" si="42"/>
        <v>50</v>
      </c>
      <c r="I299" s="248"/>
      <c r="J299" s="248"/>
      <c r="K299" s="248"/>
      <c r="L299" s="248"/>
      <c r="M299" s="248"/>
      <c r="N299" s="248"/>
      <c r="O299" s="248"/>
      <c r="P299" s="248"/>
      <c r="Q299" s="248"/>
      <c r="R299" s="248"/>
      <c r="S299" s="248"/>
      <c r="T299" s="248"/>
      <c r="U299" s="248"/>
      <c r="V299" s="248"/>
      <c r="W299" s="248"/>
      <c r="X299" s="248"/>
      <c r="Y299" s="248"/>
      <c r="Z299" s="248"/>
      <c r="AA299" s="248"/>
      <c r="AB299" s="248"/>
    </row>
    <row r="300">
      <c r="A300" s="242" t="s">
        <v>556</v>
      </c>
      <c r="B300" s="243">
        <v>125.0</v>
      </c>
      <c r="C300" s="243">
        <v>250.0</v>
      </c>
      <c r="D300" s="244">
        <f t="shared" si="40"/>
        <v>125</v>
      </c>
      <c r="E300" s="243" t="s">
        <v>557</v>
      </c>
      <c r="F300" s="244">
        <f t="shared" si="41"/>
        <v>317.5</v>
      </c>
      <c r="G300" s="246"/>
      <c r="H300" s="247">
        <f t="shared" si="42"/>
        <v>50</v>
      </c>
      <c r="I300" s="248"/>
      <c r="J300" s="248"/>
      <c r="K300" s="248"/>
      <c r="L300" s="248"/>
      <c r="M300" s="248"/>
      <c r="N300" s="248"/>
      <c r="O300" s="248"/>
      <c r="P300" s="248"/>
      <c r="Q300" s="248"/>
      <c r="R300" s="248"/>
      <c r="S300" s="248"/>
      <c r="T300" s="248"/>
      <c r="U300" s="248"/>
      <c r="V300" s="248"/>
      <c r="W300" s="248"/>
      <c r="X300" s="248"/>
      <c r="Y300" s="248"/>
      <c r="Z300" s="248"/>
      <c r="AA300" s="248"/>
      <c r="AB300" s="248"/>
    </row>
    <row r="301">
      <c r="A301" s="242" t="s">
        <v>556</v>
      </c>
      <c r="B301" s="243">
        <v>125.0</v>
      </c>
      <c r="C301" s="243">
        <v>250.0</v>
      </c>
      <c r="D301" s="244">
        <f t="shared" si="40"/>
        <v>125</v>
      </c>
      <c r="E301" s="243" t="s">
        <v>557</v>
      </c>
      <c r="F301" s="244">
        <f t="shared" si="41"/>
        <v>317.5</v>
      </c>
      <c r="G301" s="246"/>
      <c r="H301" s="247">
        <f t="shared" si="42"/>
        <v>50</v>
      </c>
      <c r="I301" s="248"/>
      <c r="J301" s="248"/>
      <c r="K301" s="248"/>
      <c r="L301" s="248"/>
      <c r="M301" s="248"/>
      <c r="N301" s="248"/>
      <c r="O301" s="248"/>
      <c r="P301" s="248"/>
      <c r="Q301" s="248"/>
      <c r="R301" s="248"/>
      <c r="S301" s="248"/>
      <c r="T301" s="248"/>
      <c r="U301" s="248"/>
      <c r="V301" s="248"/>
      <c r="W301" s="248"/>
      <c r="X301" s="248"/>
      <c r="Y301" s="248"/>
      <c r="Z301" s="248"/>
      <c r="AA301" s="248"/>
      <c r="AB301" s="248"/>
    </row>
    <row r="302">
      <c r="A302" s="242" t="s">
        <v>556</v>
      </c>
      <c r="B302" s="243">
        <v>125.0</v>
      </c>
      <c r="C302" s="243">
        <v>250.0</v>
      </c>
      <c r="D302" s="244">
        <f t="shared" si="40"/>
        <v>125</v>
      </c>
      <c r="E302" s="243" t="s">
        <v>557</v>
      </c>
      <c r="F302" s="244">
        <f t="shared" si="41"/>
        <v>317.5</v>
      </c>
      <c r="G302" s="246"/>
      <c r="H302" s="247">
        <f t="shared" si="42"/>
        <v>50</v>
      </c>
      <c r="I302" s="248"/>
      <c r="J302" s="248"/>
      <c r="K302" s="248"/>
      <c r="L302" s="248"/>
      <c r="M302" s="248"/>
      <c r="N302" s="248"/>
      <c r="O302" s="248"/>
      <c r="P302" s="248"/>
      <c r="Q302" s="248"/>
      <c r="R302" s="248"/>
      <c r="S302" s="248"/>
      <c r="T302" s="248"/>
      <c r="U302" s="248"/>
      <c r="V302" s="248"/>
      <c r="W302" s="248"/>
      <c r="X302" s="248"/>
      <c r="Y302" s="248"/>
      <c r="Z302" s="248"/>
      <c r="AA302" s="248"/>
      <c r="AB302" s="248"/>
    </row>
    <row r="303">
      <c r="A303" s="242" t="s">
        <v>556</v>
      </c>
      <c r="B303" s="243">
        <v>125.0</v>
      </c>
      <c r="C303" s="243">
        <v>250.0</v>
      </c>
      <c r="D303" s="244">
        <f t="shared" si="40"/>
        <v>125</v>
      </c>
      <c r="E303" s="243" t="s">
        <v>557</v>
      </c>
      <c r="F303" s="244">
        <f t="shared" si="41"/>
        <v>317.5</v>
      </c>
      <c r="G303" s="246"/>
      <c r="H303" s="247">
        <f t="shared" si="42"/>
        <v>50</v>
      </c>
      <c r="I303" s="248"/>
      <c r="J303" s="248"/>
      <c r="K303" s="248"/>
      <c r="L303" s="248"/>
      <c r="M303" s="248"/>
      <c r="N303" s="248"/>
      <c r="O303" s="248"/>
      <c r="P303" s="248"/>
      <c r="Q303" s="248"/>
      <c r="R303" s="248"/>
      <c r="S303" s="248"/>
      <c r="T303" s="248"/>
      <c r="U303" s="248"/>
      <c r="V303" s="248"/>
      <c r="W303" s="248"/>
      <c r="X303" s="248"/>
      <c r="Y303" s="248"/>
      <c r="Z303" s="248"/>
      <c r="AA303" s="248"/>
      <c r="AB303" s="248"/>
    </row>
    <row r="304">
      <c r="A304" s="242" t="s">
        <v>556</v>
      </c>
      <c r="B304" s="243">
        <v>125.0</v>
      </c>
      <c r="C304" s="243">
        <v>250.0</v>
      </c>
      <c r="D304" s="244">
        <f t="shared" si="40"/>
        <v>125</v>
      </c>
      <c r="E304" s="243" t="s">
        <v>557</v>
      </c>
      <c r="F304" s="244">
        <f t="shared" si="41"/>
        <v>317.5</v>
      </c>
      <c r="G304" s="246"/>
      <c r="H304" s="247">
        <f t="shared" si="42"/>
        <v>50</v>
      </c>
      <c r="I304" s="248"/>
      <c r="J304" s="248"/>
      <c r="K304" s="248"/>
      <c r="L304" s="248"/>
      <c r="M304" s="248"/>
      <c r="N304" s="248"/>
      <c r="O304" s="248"/>
      <c r="P304" s="248"/>
      <c r="Q304" s="248"/>
      <c r="R304" s="248"/>
      <c r="S304" s="248"/>
      <c r="T304" s="248"/>
      <c r="U304" s="248"/>
      <c r="V304" s="248"/>
      <c r="W304" s="248"/>
      <c r="X304" s="248"/>
      <c r="Y304" s="248"/>
      <c r="Z304" s="248"/>
      <c r="AA304" s="248"/>
      <c r="AB304" s="248"/>
    </row>
    <row r="305">
      <c r="A305" s="242" t="s">
        <v>556</v>
      </c>
      <c r="B305" s="243">
        <v>125.0</v>
      </c>
      <c r="C305" s="243">
        <v>250.0</v>
      </c>
      <c r="D305" s="244">
        <f t="shared" si="40"/>
        <v>125</v>
      </c>
      <c r="E305" s="243" t="s">
        <v>557</v>
      </c>
      <c r="F305" s="244">
        <f t="shared" si="41"/>
        <v>317.5</v>
      </c>
      <c r="G305" s="246"/>
      <c r="H305" s="247">
        <f t="shared" si="42"/>
        <v>50</v>
      </c>
      <c r="I305" s="248"/>
      <c r="J305" s="248"/>
      <c r="K305" s="248"/>
      <c r="L305" s="248"/>
      <c r="M305" s="248"/>
      <c r="N305" s="248"/>
      <c r="O305" s="248"/>
      <c r="P305" s="248"/>
      <c r="Q305" s="248"/>
      <c r="R305" s="248"/>
      <c r="S305" s="248"/>
      <c r="T305" s="248"/>
      <c r="U305" s="248"/>
      <c r="V305" s="248"/>
      <c r="W305" s="248"/>
      <c r="X305" s="248"/>
      <c r="Y305" s="248"/>
      <c r="Z305" s="248"/>
      <c r="AA305" s="248"/>
      <c r="AB305" s="248"/>
    </row>
    <row r="306">
      <c r="A306" s="242" t="s">
        <v>556</v>
      </c>
      <c r="B306" s="243">
        <v>125.0</v>
      </c>
      <c r="C306" s="243">
        <v>250.0</v>
      </c>
      <c r="D306" s="244">
        <f t="shared" si="40"/>
        <v>125</v>
      </c>
      <c r="E306" s="243" t="s">
        <v>557</v>
      </c>
      <c r="F306" s="244">
        <f t="shared" si="41"/>
        <v>317.5</v>
      </c>
      <c r="G306" s="246"/>
      <c r="H306" s="247">
        <f t="shared" si="42"/>
        <v>50</v>
      </c>
      <c r="I306" s="248"/>
      <c r="J306" s="248"/>
      <c r="K306" s="248"/>
      <c r="L306" s="248"/>
      <c r="M306" s="248"/>
      <c r="N306" s="248"/>
      <c r="O306" s="248"/>
      <c r="P306" s="248"/>
      <c r="Q306" s="248"/>
      <c r="R306" s="248"/>
      <c r="S306" s="248"/>
      <c r="T306" s="248"/>
      <c r="U306" s="248"/>
      <c r="V306" s="248"/>
      <c r="W306" s="248"/>
      <c r="X306" s="248"/>
      <c r="Y306" s="248"/>
      <c r="Z306" s="248"/>
      <c r="AA306" s="248"/>
      <c r="AB306" s="248"/>
    </row>
    <row r="307">
      <c r="A307" s="242" t="s">
        <v>556</v>
      </c>
      <c r="B307" s="243">
        <v>125.0</v>
      </c>
      <c r="C307" s="243">
        <v>250.0</v>
      </c>
      <c r="D307" s="244">
        <f t="shared" si="40"/>
        <v>125</v>
      </c>
      <c r="E307" s="243" t="s">
        <v>557</v>
      </c>
      <c r="F307" s="244">
        <f t="shared" si="41"/>
        <v>317.5</v>
      </c>
      <c r="G307" s="246"/>
      <c r="H307" s="247">
        <f t="shared" si="42"/>
        <v>50</v>
      </c>
      <c r="I307" s="248"/>
      <c r="J307" s="248"/>
      <c r="K307" s="248"/>
      <c r="L307" s="248"/>
      <c r="M307" s="248"/>
      <c r="N307" s="248"/>
      <c r="O307" s="248"/>
      <c r="P307" s="248"/>
      <c r="Q307" s="248"/>
      <c r="R307" s="248"/>
      <c r="S307" s="248"/>
      <c r="T307" s="248"/>
      <c r="U307" s="248"/>
      <c r="V307" s="248"/>
      <c r="W307" s="248"/>
      <c r="X307" s="248"/>
      <c r="Y307" s="248"/>
      <c r="Z307" s="248"/>
      <c r="AA307" s="248"/>
      <c r="AB307" s="248"/>
    </row>
    <row r="308">
      <c r="A308" s="242" t="s">
        <v>556</v>
      </c>
      <c r="B308" s="243">
        <v>125.0</v>
      </c>
      <c r="C308" s="243">
        <v>250.0</v>
      </c>
      <c r="D308" s="244">
        <f t="shared" si="40"/>
        <v>125</v>
      </c>
      <c r="E308" s="243" t="s">
        <v>557</v>
      </c>
      <c r="F308" s="244">
        <f t="shared" si="41"/>
        <v>317.5</v>
      </c>
      <c r="G308" s="246"/>
      <c r="H308" s="247">
        <f t="shared" si="42"/>
        <v>50</v>
      </c>
      <c r="I308" s="248"/>
      <c r="J308" s="248"/>
      <c r="K308" s="248"/>
      <c r="L308" s="248"/>
      <c r="M308" s="248"/>
      <c r="N308" s="248"/>
      <c r="O308" s="248"/>
      <c r="P308" s="248"/>
      <c r="Q308" s="248"/>
      <c r="R308" s="248"/>
      <c r="S308" s="248"/>
      <c r="T308" s="248"/>
      <c r="U308" s="248"/>
      <c r="V308" s="248"/>
      <c r="W308" s="248"/>
      <c r="X308" s="248"/>
      <c r="Y308" s="248"/>
      <c r="Z308" s="248"/>
      <c r="AA308" s="248"/>
      <c r="AB308" s="248"/>
    </row>
    <row r="309">
      <c r="A309" s="242" t="s">
        <v>556</v>
      </c>
      <c r="B309" s="243">
        <v>125.0</v>
      </c>
      <c r="C309" s="243">
        <v>250.0</v>
      </c>
      <c r="D309" s="244">
        <f t="shared" si="40"/>
        <v>125</v>
      </c>
      <c r="E309" s="243" t="s">
        <v>557</v>
      </c>
      <c r="F309" s="244">
        <f t="shared" si="41"/>
        <v>317.5</v>
      </c>
      <c r="G309" s="246"/>
      <c r="H309" s="247">
        <f t="shared" si="42"/>
        <v>50</v>
      </c>
      <c r="I309" s="248"/>
      <c r="J309" s="248"/>
      <c r="K309" s="248"/>
      <c r="L309" s="248"/>
      <c r="M309" s="248"/>
      <c r="N309" s="248"/>
      <c r="O309" s="248"/>
      <c r="P309" s="248"/>
      <c r="Q309" s="248"/>
      <c r="R309" s="248"/>
      <c r="S309" s="248"/>
      <c r="T309" s="248"/>
      <c r="U309" s="248"/>
      <c r="V309" s="248"/>
      <c r="W309" s="248"/>
      <c r="X309" s="248"/>
      <c r="Y309" s="248"/>
      <c r="Z309" s="248"/>
      <c r="AA309" s="248"/>
      <c r="AB309" s="248"/>
    </row>
    <row r="310">
      <c r="A310" s="242" t="s">
        <v>556</v>
      </c>
      <c r="B310" s="243">
        <v>125.0</v>
      </c>
      <c r="C310" s="243">
        <v>250.0</v>
      </c>
      <c r="D310" s="244">
        <f t="shared" si="40"/>
        <v>125</v>
      </c>
      <c r="E310" s="243" t="s">
        <v>557</v>
      </c>
      <c r="F310" s="244">
        <f t="shared" si="41"/>
        <v>317.5</v>
      </c>
      <c r="G310" s="246"/>
      <c r="H310" s="247">
        <f t="shared" si="42"/>
        <v>50</v>
      </c>
      <c r="I310" s="248"/>
      <c r="J310" s="248"/>
      <c r="K310" s="248"/>
      <c r="L310" s="248"/>
      <c r="M310" s="248"/>
      <c r="N310" s="248"/>
      <c r="O310" s="248"/>
      <c r="P310" s="248"/>
      <c r="Q310" s="248"/>
      <c r="R310" s="248"/>
      <c r="S310" s="248"/>
      <c r="T310" s="248"/>
      <c r="U310" s="248"/>
      <c r="V310" s="248"/>
      <c r="W310" s="248"/>
      <c r="X310" s="248"/>
      <c r="Y310" s="248"/>
      <c r="Z310" s="248"/>
      <c r="AA310" s="248"/>
      <c r="AB310" s="248"/>
    </row>
    <row r="311">
      <c r="A311" s="242" t="s">
        <v>556</v>
      </c>
      <c r="B311" s="243">
        <v>125.0</v>
      </c>
      <c r="C311" s="243">
        <v>250.0</v>
      </c>
      <c r="D311" s="244">
        <f t="shared" si="40"/>
        <v>125</v>
      </c>
      <c r="E311" s="243" t="s">
        <v>557</v>
      </c>
      <c r="F311" s="244">
        <f t="shared" si="41"/>
        <v>317.5</v>
      </c>
      <c r="G311" s="246"/>
      <c r="H311" s="247">
        <f t="shared" si="42"/>
        <v>50</v>
      </c>
      <c r="I311" s="248"/>
      <c r="J311" s="248"/>
      <c r="K311" s="248"/>
      <c r="L311" s="248"/>
      <c r="M311" s="248"/>
      <c r="N311" s="248"/>
      <c r="O311" s="248"/>
      <c r="P311" s="248"/>
      <c r="Q311" s="248"/>
      <c r="R311" s="248"/>
      <c r="S311" s="248"/>
      <c r="T311" s="248"/>
      <c r="U311" s="248"/>
      <c r="V311" s="248"/>
      <c r="W311" s="248"/>
      <c r="X311" s="248"/>
      <c r="Y311" s="248"/>
      <c r="Z311" s="248"/>
      <c r="AA311" s="248"/>
      <c r="AB311" s="248"/>
    </row>
    <row r="312">
      <c r="A312" s="242" t="s">
        <v>556</v>
      </c>
      <c r="B312" s="243">
        <v>125.0</v>
      </c>
      <c r="C312" s="243">
        <v>250.0</v>
      </c>
      <c r="D312" s="244">
        <f t="shared" si="40"/>
        <v>125</v>
      </c>
      <c r="E312" s="243" t="s">
        <v>557</v>
      </c>
      <c r="F312" s="244">
        <f t="shared" si="41"/>
        <v>317.5</v>
      </c>
      <c r="G312" s="246"/>
      <c r="H312" s="247">
        <f t="shared" si="42"/>
        <v>50</v>
      </c>
      <c r="I312" s="248"/>
      <c r="J312" s="248"/>
      <c r="K312" s="248"/>
      <c r="L312" s="248"/>
      <c r="M312" s="248"/>
      <c r="N312" s="248"/>
      <c r="O312" s="248"/>
      <c r="P312" s="248"/>
      <c r="Q312" s="248"/>
      <c r="R312" s="248"/>
      <c r="S312" s="248"/>
      <c r="T312" s="248"/>
      <c r="U312" s="248"/>
      <c r="V312" s="248"/>
      <c r="W312" s="248"/>
      <c r="X312" s="248"/>
      <c r="Y312" s="248"/>
      <c r="Z312" s="248"/>
      <c r="AA312" s="248"/>
      <c r="AB312" s="248"/>
    </row>
    <row r="313">
      <c r="A313" s="242" t="s">
        <v>556</v>
      </c>
      <c r="B313" s="243">
        <v>125.0</v>
      </c>
      <c r="C313" s="243">
        <v>250.0</v>
      </c>
      <c r="D313" s="244">
        <f t="shared" si="40"/>
        <v>125</v>
      </c>
      <c r="E313" s="243" t="s">
        <v>557</v>
      </c>
      <c r="F313" s="244">
        <f t="shared" si="41"/>
        <v>317.5</v>
      </c>
      <c r="G313" s="246"/>
      <c r="H313" s="247">
        <f t="shared" si="42"/>
        <v>50</v>
      </c>
      <c r="I313" s="248"/>
      <c r="J313" s="248"/>
      <c r="K313" s="248"/>
      <c r="L313" s="248"/>
      <c r="M313" s="248"/>
      <c r="N313" s="248"/>
      <c r="O313" s="248"/>
      <c r="P313" s="248"/>
      <c r="Q313" s="248"/>
      <c r="R313" s="248"/>
      <c r="S313" s="248"/>
      <c r="T313" s="248"/>
      <c r="U313" s="248"/>
      <c r="V313" s="248"/>
      <c r="W313" s="248"/>
      <c r="X313" s="248"/>
      <c r="Y313" s="248"/>
      <c r="Z313" s="248"/>
      <c r="AA313" s="248"/>
      <c r="AB313" s="248"/>
    </row>
    <row r="314">
      <c r="A314" s="242" t="s">
        <v>556</v>
      </c>
      <c r="B314" s="243">
        <v>125.0</v>
      </c>
      <c r="C314" s="243">
        <v>250.0</v>
      </c>
      <c r="D314" s="244">
        <f t="shared" si="40"/>
        <v>125</v>
      </c>
      <c r="E314" s="243" t="s">
        <v>557</v>
      </c>
      <c r="F314" s="244">
        <f t="shared" si="41"/>
        <v>317.5</v>
      </c>
      <c r="G314" s="246"/>
      <c r="H314" s="247">
        <f t="shared" si="42"/>
        <v>50</v>
      </c>
      <c r="I314" s="248"/>
      <c r="J314" s="248"/>
      <c r="K314" s="248"/>
      <c r="L314" s="248"/>
      <c r="M314" s="248"/>
      <c r="N314" s="248"/>
      <c r="O314" s="248"/>
      <c r="P314" s="248"/>
      <c r="Q314" s="248"/>
      <c r="R314" s="248"/>
      <c r="S314" s="248"/>
      <c r="T314" s="248"/>
      <c r="U314" s="248"/>
      <c r="V314" s="248"/>
      <c r="W314" s="248"/>
      <c r="X314" s="248"/>
      <c r="Y314" s="248"/>
      <c r="Z314" s="248"/>
      <c r="AA314" s="248"/>
      <c r="AB314" s="248"/>
    </row>
    <row r="315">
      <c r="A315" s="242" t="s">
        <v>556</v>
      </c>
      <c r="B315" s="243">
        <v>125.0</v>
      </c>
      <c r="C315" s="243">
        <v>250.0</v>
      </c>
      <c r="D315" s="244">
        <f t="shared" si="40"/>
        <v>125</v>
      </c>
      <c r="E315" s="243" t="s">
        <v>557</v>
      </c>
      <c r="F315" s="244">
        <f t="shared" si="41"/>
        <v>317.5</v>
      </c>
      <c r="G315" s="246"/>
      <c r="H315" s="247">
        <f t="shared" si="42"/>
        <v>50</v>
      </c>
      <c r="I315" s="248"/>
      <c r="J315" s="248"/>
      <c r="K315" s="248"/>
      <c r="L315" s="248"/>
      <c r="M315" s="248"/>
      <c r="N315" s="248"/>
      <c r="O315" s="248"/>
      <c r="P315" s="248"/>
      <c r="Q315" s="248"/>
      <c r="R315" s="248"/>
      <c r="S315" s="248"/>
      <c r="T315" s="248"/>
      <c r="U315" s="248"/>
      <c r="V315" s="248"/>
      <c r="W315" s="248"/>
      <c r="X315" s="248"/>
      <c r="Y315" s="248"/>
      <c r="Z315" s="248"/>
      <c r="AA315" s="248"/>
      <c r="AB315" s="248"/>
    </row>
    <row r="316">
      <c r="A316" s="242" t="s">
        <v>556</v>
      </c>
      <c r="B316" s="243">
        <v>125.0</v>
      </c>
      <c r="C316" s="243">
        <v>250.0</v>
      </c>
      <c r="D316" s="244">
        <f t="shared" si="40"/>
        <v>125</v>
      </c>
      <c r="E316" s="243" t="s">
        <v>557</v>
      </c>
      <c r="F316" s="244">
        <f t="shared" si="41"/>
        <v>317.5</v>
      </c>
      <c r="G316" s="246"/>
      <c r="H316" s="247">
        <f t="shared" si="42"/>
        <v>50</v>
      </c>
      <c r="I316" s="248"/>
      <c r="J316" s="248"/>
      <c r="K316" s="248"/>
      <c r="L316" s="248"/>
      <c r="M316" s="248"/>
      <c r="N316" s="248"/>
      <c r="O316" s="248"/>
      <c r="P316" s="248"/>
      <c r="Q316" s="248"/>
      <c r="R316" s="248"/>
      <c r="S316" s="248"/>
      <c r="T316" s="248"/>
      <c r="U316" s="248"/>
      <c r="V316" s="248"/>
      <c r="W316" s="248"/>
      <c r="X316" s="248"/>
      <c r="Y316" s="248"/>
      <c r="Z316" s="248"/>
      <c r="AA316" s="248"/>
      <c r="AB316" s="248"/>
    </row>
    <row r="317">
      <c r="A317" s="242" t="s">
        <v>556</v>
      </c>
      <c r="B317" s="243">
        <v>125.0</v>
      </c>
      <c r="C317" s="243">
        <v>250.0</v>
      </c>
      <c r="D317" s="244">
        <f t="shared" si="40"/>
        <v>125</v>
      </c>
      <c r="E317" s="243" t="s">
        <v>557</v>
      </c>
      <c r="F317" s="244">
        <f t="shared" si="41"/>
        <v>317.5</v>
      </c>
      <c r="G317" s="246"/>
      <c r="H317" s="247">
        <f t="shared" si="42"/>
        <v>50</v>
      </c>
      <c r="I317" s="248"/>
      <c r="J317" s="248"/>
      <c r="K317" s="248"/>
      <c r="L317" s="248"/>
      <c r="M317" s="248"/>
      <c r="N317" s="248"/>
      <c r="O317" s="248"/>
      <c r="P317" s="248"/>
      <c r="Q317" s="248"/>
      <c r="R317" s="248"/>
      <c r="S317" s="248"/>
      <c r="T317" s="248"/>
      <c r="U317" s="248"/>
      <c r="V317" s="248"/>
      <c r="W317" s="248"/>
      <c r="X317" s="248"/>
      <c r="Y317" s="248"/>
      <c r="Z317" s="248"/>
      <c r="AA317" s="248"/>
      <c r="AB317" s="248"/>
    </row>
    <row r="318">
      <c r="A318" s="242" t="s">
        <v>556</v>
      </c>
      <c r="B318" s="243">
        <v>125.0</v>
      </c>
      <c r="C318" s="243">
        <v>250.0</v>
      </c>
      <c r="D318" s="244">
        <f t="shared" si="40"/>
        <v>125</v>
      </c>
      <c r="E318" s="243" t="s">
        <v>557</v>
      </c>
      <c r="F318" s="244">
        <f t="shared" si="41"/>
        <v>317.5</v>
      </c>
      <c r="G318" s="246"/>
      <c r="H318" s="247">
        <f t="shared" si="42"/>
        <v>50</v>
      </c>
      <c r="I318" s="248"/>
      <c r="J318" s="248"/>
      <c r="K318" s="248"/>
      <c r="L318" s="248"/>
      <c r="M318" s="248"/>
      <c r="N318" s="248"/>
      <c r="O318" s="248"/>
      <c r="P318" s="248"/>
      <c r="Q318" s="248"/>
      <c r="R318" s="248"/>
      <c r="S318" s="248"/>
      <c r="T318" s="248"/>
      <c r="U318" s="248"/>
      <c r="V318" s="248"/>
      <c r="W318" s="248"/>
      <c r="X318" s="248"/>
      <c r="Y318" s="248"/>
      <c r="Z318" s="248"/>
      <c r="AA318" s="248"/>
      <c r="AB318" s="248"/>
    </row>
    <row r="319">
      <c r="A319" s="242" t="s">
        <v>556</v>
      </c>
      <c r="B319" s="243">
        <v>125.0</v>
      </c>
      <c r="C319" s="243">
        <v>250.0</v>
      </c>
      <c r="D319" s="244">
        <f t="shared" si="40"/>
        <v>125</v>
      </c>
      <c r="E319" s="243" t="s">
        <v>557</v>
      </c>
      <c r="F319" s="244">
        <f t="shared" si="41"/>
        <v>317.5</v>
      </c>
      <c r="G319" s="246"/>
      <c r="H319" s="247">
        <f t="shared" si="42"/>
        <v>50</v>
      </c>
      <c r="I319" s="248"/>
      <c r="J319" s="248"/>
      <c r="K319" s="248"/>
      <c r="L319" s="248"/>
      <c r="M319" s="248"/>
      <c r="N319" s="248"/>
      <c r="O319" s="248"/>
      <c r="P319" s="248"/>
      <c r="Q319" s="248"/>
      <c r="R319" s="248"/>
      <c r="S319" s="248"/>
      <c r="T319" s="248"/>
      <c r="U319" s="248"/>
      <c r="V319" s="248"/>
      <c r="W319" s="248"/>
      <c r="X319" s="248"/>
      <c r="Y319" s="248"/>
      <c r="Z319" s="248"/>
      <c r="AA319" s="248"/>
      <c r="AB319" s="248"/>
    </row>
    <row r="320">
      <c r="A320" s="242" t="s">
        <v>556</v>
      </c>
      <c r="B320" s="243">
        <v>125.0</v>
      </c>
      <c r="C320" s="243">
        <v>250.0</v>
      </c>
      <c r="D320" s="244">
        <f t="shared" si="40"/>
        <v>125</v>
      </c>
      <c r="E320" s="243" t="s">
        <v>557</v>
      </c>
      <c r="F320" s="244">
        <f t="shared" si="41"/>
        <v>317.5</v>
      </c>
      <c r="G320" s="246"/>
      <c r="H320" s="247">
        <f t="shared" si="42"/>
        <v>50</v>
      </c>
      <c r="I320" s="248"/>
      <c r="J320" s="248"/>
      <c r="K320" s="248"/>
      <c r="L320" s="248"/>
      <c r="M320" s="248"/>
      <c r="N320" s="248"/>
      <c r="O320" s="248"/>
      <c r="P320" s="248"/>
      <c r="Q320" s="248"/>
      <c r="R320" s="248"/>
      <c r="S320" s="248"/>
      <c r="T320" s="248"/>
      <c r="U320" s="248"/>
      <c r="V320" s="248"/>
      <c r="W320" s="248"/>
      <c r="X320" s="248"/>
      <c r="Y320" s="248"/>
      <c r="Z320" s="248"/>
      <c r="AA320" s="248"/>
      <c r="AB320" s="248"/>
    </row>
    <row r="321">
      <c r="A321" s="242" t="s">
        <v>556</v>
      </c>
      <c r="B321" s="243">
        <v>125.0</v>
      </c>
      <c r="C321" s="243">
        <v>250.0</v>
      </c>
      <c r="D321" s="244">
        <f t="shared" si="40"/>
        <v>125</v>
      </c>
      <c r="E321" s="243" t="s">
        <v>557</v>
      </c>
      <c r="F321" s="244">
        <f t="shared" si="41"/>
        <v>317.5</v>
      </c>
      <c r="G321" s="246"/>
      <c r="H321" s="247">
        <f t="shared" si="42"/>
        <v>50</v>
      </c>
      <c r="I321" s="248"/>
      <c r="J321" s="248"/>
      <c r="K321" s="248"/>
      <c r="L321" s="248"/>
      <c r="M321" s="248"/>
      <c r="N321" s="248"/>
      <c r="O321" s="248"/>
      <c r="P321" s="248"/>
      <c r="Q321" s="248"/>
      <c r="R321" s="248"/>
      <c r="S321" s="248"/>
      <c r="T321" s="248"/>
      <c r="U321" s="248"/>
      <c r="V321" s="248"/>
      <c r="W321" s="248"/>
      <c r="X321" s="248"/>
      <c r="Y321" s="248"/>
      <c r="Z321" s="248"/>
      <c r="AA321" s="248"/>
      <c r="AB321" s="248"/>
    </row>
    <row r="322">
      <c r="A322" s="128"/>
      <c r="B322" s="147"/>
      <c r="C322" s="147"/>
      <c r="D322" s="132"/>
      <c r="E322" s="132"/>
      <c r="F322" s="152"/>
      <c r="G322" s="231"/>
      <c r="H322" s="168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</row>
    <row r="323">
      <c r="A323" s="320" t="s">
        <v>558</v>
      </c>
      <c r="B323" s="321">
        <v>21490.0</v>
      </c>
      <c r="C323" s="321">
        <v>36490.0</v>
      </c>
      <c r="D323" s="322">
        <f t="shared" ref="D323:D343" si="43">C323-B323</f>
        <v>15000</v>
      </c>
      <c r="E323" s="321" t="s">
        <v>559</v>
      </c>
      <c r="F323" s="321">
        <v>39500.0</v>
      </c>
      <c r="G323" s="323"/>
      <c r="H323" s="324">
        <f t="shared" ref="H323:H332" si="44">D323/(C323/100)</f>
        <v>41.10715264</v>
      </c>
      <c r="I323" s="325"/>
      <c r="J323" s="325"/>
      <c r="K323" s="325"/>
      <c r="L323" s="325"/>
      <c r="M323" s="325"/>
      <c r="N323" s="325"/>
      <c r="O323" s="325"/>
      <c r="P323" s="325"/>
      <c r="Q323" s="325"/>
      <c r="R323" s="325"/>
      <c r="S323" s="325"/>
      <c r="T323" s="325"/>
      <c r="U323" s="325"/>
      <c r="V323" s="325"/>
      <c r="W323" s="325"/>
      <c r="X323" s="325"/>
      <c r="Y323" s="325"/>
      <c r="Z323" s="325"/>
      <c r="AA323" s="325"/>
      <c r="AB323" s="325"/>
    </row>
    <row r="324">
      <c r="A324" s="259" t="s">
        <v>560</v>
      </c>
      <c r="B324" s="256">
        <v>12990.0</v>
      </c>
      <c r="C324" s="256">
        <v>17490.0</v>
      </c>
      <c r="D324" s="286">
        <f t="shared" si="43"/>
        <v>4500</v>
      </c>
      <c r="E324" s="256" t="s">
        <v>559</v>
      </c>
      <c r="F324" s="326">
        <v>18000.0</v>
      </c>
      <c r="G324" s="260"/>
      <c r="H324" s="261">
        <f t="shared" si="44"/>
        <v>25.72898799</v>
      </c>
      <c r="I324" s="264"/>
      <c r="J324" s="264"/>
      <c r="K324" s="264"/>
      <c r="L324" s="264"/>
      <c r="M324" s="264"/>
      <c r="N324" s="264"/>
      <c r="O324" s="264"/>
      <c r="P324" s="264"/>
      <c r="Q324" s="264"/>
      <c r="R324" s="264"/>
      <c r="S324" s="264"/>
      <c r="T324" s="264"/>
      <c r="U324" s="264"/>
      <c r="V324" s="264"/>
      <c r="W324" s="264"/>
      <c r="X324" s="264"/>
      <c r="Y324" s="264"/>
      <c r="Z324" s="264"/>
      <c r="AA324" s="264"/>
      <c r="AB324" s="264"/>
    </row>
    <row r="325">
      <c r="A325" s="327" t="s">
        <v>561</v>
      </c>
      <c r="B325" s="321">
        <v>11990.0</v>
      </c>
      <c r="C325" s="321">
        <v>14490.0</v>
      </c>
      <c r="D325" s="322">
        <f t="shared" si="43"/>
        <v>2500</v>
      </c>
      <c r="E325" s="321" t="s">
        <v>559</v>
      </c>
      <c r="F325" s="328">
        <v>15000.0</v>
      </c>
      <c r="G325" s="323"/>
      <c r="H325" s="324">
        <f t="shared" si="44"/>
        <v>17.25327812</v>
      </c>
      <c r="I325" s="325"/>
      <c r="J325" s="325"/>
      <c r="K325" s="325"/>
      <c r="L325" s="325"/>
      <c r="M325" s="325"/>
      <c r="N325" s="325"/>
      <c r="O325" s="325"/>
      <c r="P325" s="325"/>
      <c r="Q325" s="325"/>
      <c r="R325" s="325"/>
      <c r="S325" s="325"/>
      <c r="T325" s="325"/>
      <c r="U325" s="325"/>
      <c r="V325" s="325"/>
      <c r="W325" s="325"/>
      <c r="X325" s="325"/>
      <c r="Y325" s="325"/>
      <c r="Z325" s="325"/>
      <c r="AA325" s="325"/>
      <c r="AB325" s="325"/>
    </row>
    <row r="326">
      <c r="A326" s="327" t="s">
        <v>562</v>
      </c>
      <c r="B326" s="321">
        <v>7490.0</v>
      </c>
      <c r="C326" s="321">
        <v>10990.0</v>
      </c>
      <c r="D326" s="322">
        <f t="shared" si="43"/>
        <v>3500</v>
      </c>
      <c r="E326" s="321" t="s">
        <v>559</v>
      </c>
      <c r="F326" s="328">
        <v>11500.0</v>
      </c>
      <c r="G326" s="323"/>
      <c r="H326" s="324">
        <f t="shared" si="44"/>
        <v>31.84713376</v>
      </c>
      <c r="I326" s="325"/>
      <c r="J326" s="325"/>
      <c r="K326" s="325"/>
      <c r="L326" s="325"/>
      <c r="M326" s="325"/>
      <c r="N326" s="325"/>
      <c r="O326" s="325"/>
      <c r="P326" s="325"/>
      <c r="Q326" s="325"/>
      <c r="R326" s="325"/>
      <c r="S326" s="325"/>
      <c r="T326" s="325"/>
      <c r="U326" s="325"/>
      <c r="V326" s="325"/>
      <c r="W326" s="325"/>
      <c r="X326" s="325"/>
      <c r="Y326" s="325"/>
      <c r="Z326" s="325"/>
      <c r="AA326" s="325"/>
      <c r="AB326" s="325"/>
    </row>
    <row r="327">
      <c r="A327" s="327" t="s">
        <v>563</v>
      </c>
      <c r="B327" s="321">
        <v>7490.0</v>
      </c>
      <c r="C327" s="321">
        <v>9990.0</v>
      </c>
      <c r="D327" s="322">
        <f t="shared" si="43"/>
        <v>2500</v>
      </c>
      <c r="E327" s="321" t="s">
        <v>559</v>
      </c>
      <c r="F327" s="328">
        <v>10500.0</v>
      </c>
      <c r="G327" s="323"/>
      <c r="H327" s="324">
        <f t="shared" si="44"/>
        <v>25.02502503</v>
      </c>
      <c r="I327" s="325"/>
      <c r="J327" s="325"/>
      <c r="K327" s="325"/>
      <c r="L327" s="325"/>
      <c r="M327" s="325"/>
      <c r="N327" s="325"/>
      <c r="O327" s="325"/>
      <c r="P327" s="325"/>
      <c r="Q327" s="325"/>
      <c r="R327" s="325"/>
      <c r="S327" s="325"/>
      <c r="T327" s="325"/>
      <c r="U327" s="325"/>
      <c r="V327" s="325"/>
      <c r="W327" s="325"/>
      <c r="X327" s="325"/>
      <c r="Y327" s="325"/>
      <c r="Z327" s="325"/>
      <c r="AA327" s="325"/>
      <c r="AB327" s="325"/>
    </row>
    <row r="328">
      <c r="A328" s="329" t="s">
        <v>564</v>
      </c>
      <c r="B328" s="330">
        <v>7490.0</v>
      </c>
      <c r="C328" s="330">
        <v>8990.0</v>
      </c>
      <c r="D328" s="322">
        <f t="shared" si="43"/>
        <v>1500</v>
      </c>
      <c r="E328" s="321" t="s">
        <v>559</v>
      </c>
      <c r="F328" s="328">
        <v>9500.0</v>
      </c>
      <c r="G328" s="323"/>
      <c r="H328" s="324">
        <f t="shared" si="44"/>
        <v>16.68520578</v>
      </c>
      <c r="I328" s="331"/>
      <c r="J328" s="331"/>
      <c r="K328" s="331"/>
      <c r="L328" s="331"/>
      <c r="M328" s="331"/>
      <c r="N328" s="331"/>
      <c r="O328" s="331"/>
      <c r="P328" s="331"/>
      <c r="Q328" s="331"/>
      <c r="R328" s="331"/>
      <c r="S328" s="331"/>
      <c r="T328" s="331"/>
      <c r="U328" s="331"/>
      <c r="V328" s="331"/>
      <c r="W328" s="331"/>
      <c r="X328" s="331"/>
      <c r="Y328" s="331"/>
      <c r="Z328" s="331"/>
      <c r="AA328" s="331"/>
      <c r="AB328" s="331"/>
    </row>
    <row r="329">
      <c r="A329" s="327" t="s">
        <v>565</v>
      </c>
      <c r="B329" s="321">
        <v>7490.0</v>
      </c>
      <c r="C329" s="321">
        <v>8990.0</v>
      </c>
      <c r="D329" s="322">
        <f t="shared" si="43"/>
        <v>1500</v>
      </c>
      <c r="E329" s="321" t="s">
        <v>559</v>
      </c>
      <c r="F329" s="328">
        <v>9500.0</v>
      </c>
      <c r="G329" s="323"/>
      <c r="H329" s="324">
        <f t="shared" si="44"/>
        <v>16.68520578</v>
      </c>
      <c r="I329" s="325"/>
      <c r="J329" s="325"/>
      <c r="K329" s="325"/>
      <c r="L329" s="325"/>
      <c r="M329" s="325"/>
      <c r="N329" s="325"/>
      <c r="O329" s="325"/>
      <c r="P329" s="325"/>
      <c r="Q329" s="325"/>
      <c r="R329" s="325"/>
      <c r="S329" s="325"/>
      <c r="T329" s="325"/>
      <c r="U329" s="325"/>
      <c r="V329" s="325"/>
      <c r="W329" s="325"/>
      <c r="X329" s="325"/>
      <c r="Y329" s="325"/>
      <c r="Z329" s="325"/>
      <c r="AA329" s="325"/>
      <c r="AB329" s="325"/>
    </row>
    <row r="330">
      <c r="A330" s="332" t="s">
        <v>566</v>
      </c>
      <c r="B330" s="256">
        <v>5990.0</v>
      </c>
      <c r="C330" s="256">
        <v>7490.0</v>
      </c>
      <c r="D330" s="286">
        <f t="shared" si="43"/>
        <v>1500</v>
      </c>
      <c r="E330" s="286" t="s">
        <v>559</v>
      </c>
      <c r="F330" s="256">
        <v>8000.0</v>
      </c>
      <c r="G330" s="260"/>
      <c r="H330" s="261">
        <f t="shared" si="44"/>
        <v>20.02670227</v>
      </c>
      <c r="I330" s="262"/>
      <c r="J330" s="262"/>
      <c r="K330" s="262"/>
      <c r="L330" s="262"/>
      <c r="M330" s="262"/>
      <c r="N330" s="262"/>
      <c r="O330" s="262"/>
      <c r="P330" s="262"/>
      <c r="Q330" s="262"/>
      <c r="R330" s="262"/>
      <c r="S330" s="262"/>
      <c r="T330" s="262"/>
      <c r="U330" s="262"/>
      <c r="V330" s="262"/>
      <c r="W330" s="262"/>
      <c r="X330" s="262"/>
      <c r="Y330" s="262"/>
      <c r="Z330" s="262"/>
      <c r="AA330" s="262"/>
      <c r="AB330" s="262"/>
    </row>
    <row r="331">
      <c r="A331" s="299" t="s">
        <v>567</v>
      </c>
      <c r="B331" s="300">
        <v>5240.0</v>
      </c>
      <c r="C331" s="300">
        <v>6990.0</v>
      </c>
      <c r="D331" s="301">
        <f t="shared" si="43"/>
        <v>1750</v>
      </c>
      <c r="E331" s="300" t="s">
        <v>559</v>
      </c>
      <c r="F331" s="300">
        <v>7500.0</v>
      </c>
      <c r="G331" s="303"/>
      <c r="H331" s="304">
        <f t="shared" si="44"/>
        <v>25.03576538</v>
      </c>
      <c r="I331" s="217"/>
      <c r="J331" s="217"/>
      <c r="K331" s="217"/>
      <c r="L331" s="217"/>
      <c r="M331" s="217"/>
      <c r="N331" s="217"/>
      <c r="O331" s="217"/>
      <c r="P331" s="217"/>
      <c r="Q331" s="217"/>
      <c r="R331" s="217"/>
      <c r="S331" s="217"/>
      <c r="T331" s="217"/>
      <c r="U331" s="217"/>
      <c r="V331" s="217"/>
      <c r="W331" s="217"/>
      <c r="X331" s="217"/>
      <c r="Y331" s="217"/>
      <c r="Z331" s="217"/>
      <c r="AA331" s="217"/>
      <c r="AB331" s="217"/>
    </row>
    <row r="332">
      <c r="A332" s="327" t="s">
        <v>568</v>
      </c>
      <c r="B332" s="321">
        <v>3990.0</v>
      </c>
      <c r="C332" s="321">
        <v>4990.0</v>
      </c>
      <c r="D332" s="322">
        <f t="shared" si="43"/>
        <v>1000</v>
      </c>
      <c r="E332" s="321" t="s">
        <v>559</v>
      </c>
      <c r="F332" s="321">
        <v>5500.0</v>
      </c>
      <c r="G332" s="323"/>
      <c r="H332" s="324">
        <f t="shared" si="44"/>
        <v>20.04008016</v>
      </c>
      <c r="I332" s="325"/>
      <c r="J332" s="325"/>
      <c r="K332" s="325"/>
      <c r="L332" s="325"/>
      <c r="M332" s="325"/>
      <c r="N332" s="325"/>
      <c r="O332" s="325"/>
      <c r="P332" s="325"/>
      <c r="Q332" s="325"/>
      <c r="R332" s="325"/>
      <c r="S332" s="325"/>
      <c r="T332" s="325"/>
      <c r="U332" s="325"/>
      <c r="V332" s="325"/>
      <c r="W332" s="325"/>
      <c r="X332" s="325"/>
      <c r="Y332" s="325"/>
      <c r="Z332" s="325"/>
      <c r="AA332" s="325"/>
      <c r="AB332" s="325"/>
    </row>
    <row r="333">
      <c r="A333" s="255" t="s">
        <v>569</v>
      </c>
      <c r="B333" s="256">
        <v>3490.0</v>
      </c>
      <c r="C333" s="263">
        <v>4490.0</v>
      </c>
      <c r="D333" s="286">
        <f t="shared" si="43"/>
        <v>1000</v>
      </c>
      <c r="E333" s="256" t="s">
        <v>559</v>
      </c>
      <c r="F333" s="326">
        <v>5000.0</v>
      </c>
      <c r="G333" s="260"/>
      <c r="H333" s="261">
        <f>D333/(B333/100)</f>
        <v>28.65329513</v>
      </c>
      <c r="I333" s="262"/>
      <c r="J333" s="262"/>
      <c r="K333" s="262"/>
      <c r="L333" s="262"/>
      <c r="M333" s="262"/>
      <c r="N333" s="262"/>
      <c r="O333" s="262"/>
      <c r="P333" s="262"/>
      <c r="Q333" s="262"/>
      <c r="R333" s="262"/>
      <c r="S333" s="262"/>
      <c r="T333" s="262"/>
      <c r="U333" s="262"/>
      <c r="V333" s="262"/>
      <c r="W333" s="262"/>
      <c r="X333" s="262"/>
      <c r="Y333" s="262"/>
      <c r="Z333" s="262"/>
      <c r="AA333" s="262"/>
      <c r="AB333" s="262"/>
    </row>
    <row r="334">
      <c r="A334" s="255" t="s">
        <v>570</v>
      </c>
      <c r="B334" s="263">
        <v>3490.0</v>
      </c>
      <c r="C334" s="256">
        <v>4490.0</v>
      </c>
      <c r="D334" s="286">
        <f t="shared" si="43"/>
        <v>1000</v>
      </c>
      <c r="E334" s="256" t="s">
        <v>559</v>
      </c>
      <c r="F334" s="326">
        <v>5000.0</v>
      </c>
      <c r="G334" s="260"/>
      <c r="H334" s="261">
        <f t="shared" ref="H334:H343" si="45">D334/(C334/100)</f>
        <v>22.27171492</v>
      </c>
      <c r="I334" s="262"/>
      <c r="J334" s="262"/>
      <c r="K334" s="262"/>
      <c r="L334" s="262"/>
      <c r="M334" s="262"/>
      <c r="N334" s="262"/>
      <c r="O334" s="262"/>
      <c r="P334" s="262"/>
      <c r="Q334" s="262"/>
      <c r="R334" s="262"/>
      <c r="S334" s="262"/>
      <c r="T334" s="262"/>
      <c r="U334" s="262"/>
      <c r="V334" s="262"/>
      <c r="W334" s="262"/>
      <c r="X334" s="262"/>
      <c r="Y334" s="262"/>
      <c r="Z334" s="262"/>
      <c r="AA334" s="262"/>
      <c r="AB334" s="262"/>
    </row>
    <row r="335">
      <c r="A335" s="259" t="s">
        <v>571</v>
      </c>
      <c r="B335" s="256">
        <v>3490.0</v>
      </c>
      <c r="C335" s="256">
        <v>4490.0</v>
      </c>
      <c r="D335" s="286">
        <f t="shared" si="43"/>
        <v>1000</v>
      </c>
      <c r="E335" s="256" t="s">
        <v>559</v>
      </c>
      <c r="F335" s="326">
        <v>5000.0</v>
      </c>
      <c r="G335" s="260"/>
      <c r="H335" s="261">
        <f t="shared" si="45"/>
        <v>22.27171492</v>
      </c>
      <c r="I335" s="264"/>
      <c r="J335" s="264"/>
      <c r="K335" s="264"/>
      <c r="L335" s="264"/>
      <c r="M335" s="264"/>
      <c r="N335" s="264"/>
      <c r="O335" s="264"/>
      <c r="P335" s="264"/>
      <c r="Q335" s="264"/>
      <c r="R335" s="264"/>
      <c r="S335" s="264"/>
      <c r="T335" s="264"/>
      <c r="U335" s="264"/>
      <c r="V335" s="264"/>
      <c r="W335" s="264"/>
      <c r="X335" s="264"/>
      <c r="Y335" s="264"/>
      <c r="Z335" s="264"/>
      <c r="AA335" s="264"/>
      <c r="AB335" s="264"/>
    </row>
    <row r="336">
      <c r="A336" s="179" t="s">
        <v>572</v>
      </c>
      <c r="B336" s="333">
        <v>2490.0</v>
      </c>
      <c r="C336" s="300">
        <v>3490.0</v>
      </c>
      <c r="D336" s="301">
        <f t="shared" si="43"/>
        <v>1000</v>
      </c>
      <c r="E336" s="301" t="s">
        <v>559</v>
      </c>
      <c r="F336" s="300">
        <v>4000.0</v>
      </c>
      <c r="G336" s="303"/>
      <c r="H336" s="304">
        <f t="shared" si="45"/>
        <v>28.65329513</v>
      </c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1"/>
      <c r="V336" s="121"/>
      <c r="W336" s="121"/>
      <c r="X336" s="121"/>
      <c r="Y336" s="121"/>
      <c r="Z336" s="121"/>
      <c r="AA336" s="121"/>
      <c r="AB336" s="121"/>
    </row>
    <row r="337">
      <c r="A337" s="299" t="s">
        <v>573</v>
      </c>
      <c r="B337" s="300">
        <v>2490.0</v>
      </c>
      <c r="C337" s="300">
        <v>3490.0</v>
      </c>
      <c r="D337" s="301">
        <f t="shared" si="43"/>
        <v>1000</v>
      </c>
      <c r="E337" s="301" t="s">
        <v>559</v>
      </c>
      <c r="F337" s="300">
        <v>4000.0</v>
      </c>
      <c r="G337" s="334"/>
      <c r="H337" s="304">
        <f t="shared" si="45"/>
        <v>28.65329513</v>
      </c>
      <c r="I337" s="217"/>
      <c r="J337" s="217"/>
      <c r="K337" s="217"/>
      <c r="L337" s="217"/>
      <c r="M337" s="217"/>
      <c r="N337" s="217"/>
      <c r="O337" s="217"/>
      <c r="P337" s="217"/>
      <c r="Q337" s="217"/>
      <c r="R337" s="217"/>
      <c r="S337" s="217"/>
      <c r="T337" s="217"/>
      <c r="U337" s="217"/>
      <c r="V337" s="217"/>
      <c r="W337" s="217"/>
      <c r="X337" s="217"/>
      <c r="Y337" s="217"/>
      <c r="Z337" s="217"/>
      <c r="AA337" s="217"/>
      <c r="AB337" s="217"/>
    </row>
    <row r="338">
      <c r="A338" s="299" t="s">
        <v>574</v>
      </c>
      <c r="B338" s="300">
        <v>2490.0</v>
      </c>
      <c r="C338" s="300">
        <v>3490.0</v>
      </c>
      <c r="D338" s="301">
        <f t="shared" si="43"/>
        <v>1000</v>
      </c>
      <c r="E338" s="301" t="s">
        <v>559</v>
      </c>
      <c r="F338" s="300">
        <v>4000.0</v>
      </c>
      <c r="G338" s="334"/>
      <c r="H338" s="304">
        <f t="shared" si="45"/>
        <v>28.65329513</v>
      </c>
      <c r="I338" s="217"/>
      <c r="J338" s="217"/>
      <c r="K338" s="217"/>
      <c r="L338" s="217"/>
      <c r="M338" s="217"/>
      <c r="N338" s="217"/>
      <c r="O338" s="217"/>
      <c r="P338" s="217"/>
      <c r="Q338" s="217"/>
      <c r="R338" s="217"/>
      <c r="S338" s="217"/>
      <c r="T338" s="217"/>
      <c r="U338" s="217"/>
      <c r="V338" s="217"/>
      <c r="W338" s="217"/>
      <c r="X338" s="217"/>
      <c r="Y338" s="217"/>
      <c r="Z338" s="217"/>
      <c r="AA338" s="217"/>
      <c r="AB338" s="217"/>
    </row>
    <row r="339">
      <c r="A339" s="259" t="s">
        <v>575</v>
      </c>
      <c r="B339" s="256">
        <v>2490.0</v>
      </c>
      <c r="C339" s="256">
        <v>3490.0</v>
      </c>
      <c r="D339" s="286">
        <f t="shared" si="43"/>
        <v>1000</v>
      </c>
      <c r="E339" s="286" t="s">
        <v>559</v>
      </c>
      <c r="F339" s="256">
        <v>4000.0</v>
      </c>
      <c r="G339" s="335"/>
      <c r="H339" s="261">
        <f t="shared" si="45"/>
        <v>28.65329513</v>
      </c>
      <c r="I339" s="264"/>
      <c r="J339" s="264"/>
      <c r="K339" s="264"/>
      <c r="L339" s="264"/>
      <c r="M339" s="264"/>
      <c r="N339" s="264"/>
      <c r="O339" s="264"/>
      <c r="P339" s="264"/>
      <c r="Q339" s="264"/>
      <c r="R339" s="264"/>
      <c r="S339" s="264"/>
      <c r="T339" s="264"/>
      <c r="U339" s="264"/>
      <c r="V339" s="264"/>
      <c r="W339" s="264"/>
      <c r="X339" s="264"/>
      <c r="Y339" s="264"/>
      <c r="Z339" s="264"/>
      <c r="AA339" s="264"/>
      <c r="AB339" s="264"/>
    </row>
    <row r="340">
      <c r="A340" s="259" t="s">
        <v>576</v>
      </c>
      <c r="B340" s="256">
        <v>2490.0</v>
      </c>
      <c r="C340" s="256">
        <v>3490.0</v>
      </c>
      <c r="D340" s="286">
        <f t="shared" si="43"/>
        <v>1000</v>
      </c>
      <c r="E340" s="286" t="s">
        <v>559</v>
      </c>
      <c r="F340" s="256">
        <v>4000.0</v>
      </c>
      <c r="G340" s="335"/>
      <c r="H340" s="261">
        <f t="shared" si="45"/>
        <v>28.65329513</v>
      </c>
      <c r="I340" s="264"/>
      <c r="J340" s="264"/>
      <c r="K340" s="264"/>
      <c r="L340" s="264"/>
      <c r="M340" s="264"/>
      <c r="N340" s="264"/>
      <c r="O340" s="264"/>
      <c r="P340" s="264"/>
      <c r="Q340" s="264"/>
      <c r="R340" s="264"/>
      <c r="S340" s="264"/>
      <c r="T340" s="264"/>
      <c r="U340" s="264"/>
      <c r="V340" s="264"/>
      <c r="W340" s="264"/>
      <c r="X340" s="264"/>
      <c r="Y340" s="264"/>
      <c r="Z340" s="264"/>
      <c r="AA340" s="264"/>
      <c r="AB340" s="264"/>
    </row>
    <row r="341">
      <c r="A341" s="259" t="s">
        <v>577</v>
      </c>
      <c r="B341" s="256">
        <v>2490.0</v>
      </c>
      <c r="C341" s="256">
        <v>3490.0</v>
      </c>
      <c r="D341" s="286">
        <f t="shared" si="43"/>
        <v>1000</v>
      </c>
      <c r="E341" s="256" t="s">
        <v>559</v>
      </c>
      <c r="F341" s="256">
        <v>4000.0</v>
      </c>
      <c r="G341" s="335"/>
      <c r="H341" s="261">
        <f t="shared" si="45"/>
        <v>28.65329513</v>
      </c>
      <c r="I341" s="264"/>
      <c r="J341" s="264"/>
      <c r="K341" s="264"/>
      <c r="L341" s="264"/>
      <c r="M341" s="264"/>
      <c r="N341" s="264"/>
      <c r="O341" s="264"/>
      <c r="P341" s="264"/>
      <c r="Q341" s="264"/>
      <c r="R341" s="264"/>
      <c r="S341" s="264"/>
      <c r="T341" s="264"/>
      <c r="U341" s="264"/>
      <c r="V341" s="264"/>
      <c r="W341" s="264"/>
      <c r="X341" s="264"/>
      <c r="Y341" s="264"/>
      <c r="Z341" s="264"/>
      <c r="AA341" s="264"/>
      <c r="AB341" s="264"/>
    </row>
    <row r="342">
      <c r="A342" s="259" t="s">
        <v>578</v>
      </c>
      <c r="B342" s="256">
        <v>1990.0</v>
      </c>
      <c r="C342" s="256">
        <v>2990.0</v>
      </c>
      <c r="D342" s="286">
        <f t="shared" si="43"/>
        <v>1000</v>
      </c>
      <c r="E342" s="256" t="s">
        <v>559</v>
      </c>
      <c r="F342" s="256">
        <v>3500.0</v>
      </c>
      <c r="G342" s="335"/>
      <c r="H342" s="261">
        <f t="shared" si="45"/>
        <v>33.44481605</v>
      </c>
      <c r="I342" s="264"/>
      <c r="J342" s="264"/>
      <c r="K342" s="264"/>
      <c r="L342" s="264"/>
      <c r="M342" s="264"/>
      <c r="N342" s="264"/>
      <c r="O342" s="264"/>
      <c r="P342" s="264"/>
      <c r="Q342" s="264"/>
      <c r="R342" s="264"/>
      <c r="S342" s="264"/>
      <c r="T342" s="264"/>
      <c r="U342" s="264"/>
      <c r="V342" s="264"/>
      <c r="W342" s="264"/>
      <c r="X342" s="264"/>
      <c r="Y342" s="264"/>
      <c r="Z342" s="264"/>
      <c r="AA342" s="264"/>
      <c r="AB342" s="264"/>
    </row>
    <row r="343">
      <c r="A343" s="336" t="s">
        <v>579</v>
      </c>
      <c r="B343" s="300">
        <v>1990.0</v>
      </c>
      <c r="C343" s="300">
        <v>2990.0</v>
      </c>
      <c r="D343" s="301">
        <f t="shared" si="43"/>
        <v>1000</v>
      </c>
      <c r="E343" s="301" t="s">
        <v>559</v>
      </c>
      <c r="F343" s="300">
        <v>3500.0</v>
      </c>
      <c r="G343" s="303"/>
      <c r="H343" s="304">
        <f t="shared" si="45"/>
        <v>33.44481605</v>
      </c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1"/>
      <c r="V343" s="121"/>
      <c r="W343" s="121"/>
      <c r="X343" s="121"/>
      <c r="Y343" s="121"/>
      <c r="Z343" s="121"/>
      <c r="AA343" s="121"/>
      <c r="AB343" s="121"/>
    </row>
    <row r="344">
      <c r="A344" s="128"/>
      <c r="B344" s="147"/>
      <c r="C344" s="147"/>
      <c r="D344" s="132"/>
      <c r="E344" s="132"/>
      <c r="F344" s="132"/>
      <c r="G344" s="337"/>
      <c r="H344" s="168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  <c r="AA344" s="129"/>
      <c r="AB344" s="129"/>
    </row>
    <row r="345">
      <c r="A345" s="255" t="s">
        <v>580</v>
      </c>
      <c r="B345" s="256">
        <v>2490.0</v>
      </c>
      <c r="C345" s="263">
        <v>3490.0</v>
      </c>
      <c r="D345" s="286">
        <f t="shared" ref="D345:D352" si="46">C345-B345</f>
        <v>1000</v>
      </c>
      <c r="E345" s="256" t="s">
        <v>559</v>
      </c>
      <c r="F345" s="326">
        <f t="shared" ref="F345:F352" si="47">C345*1.27</f>
        <v>4432.3</v>
      </c>
      <c r="G345" s="260"/>
      <c r="H345" s="261">
        <f>D345/(B345/100)</f>
        <v>40.16064257</v>
      </c>
      <c r="I345" s="262"/>
      <c r="J345" s="262"/>
      <c r="K345" s="262"/>
      <c r="L345" s="262"/>
      <c r="M345" s="262"/>
      <c r="N345" s="262"/>
      <c r="O345" s="262"/>
      <c r="P345" s="262"/>
      <c r="Q345" s="262"/>
      <c r="R345" s="262"/>
      <c r="S345" s="262"/>
      <c r="T345" s="262"/>
      <c r="U345" s="262"/>
      <c r="V345" s="262"/>
      <c r="W345" s="262"/>
      <c r="X345" s="262"/>
      <c r="Y345" s="262"/>
      <c r="Z345" s="262"/>
      <c r="AA345" s="262"/>
      <c r="AB345" s="262"/>
    </row>
    <row r="346">
      <c r="A346" s="259" t="s">
        <v>581</v>
      </c>
      <c r="B346" s="256">
        <v>1190.0</v>
      </c>
      <c r="C346" s="263">
        <v>1690.0</v>
      </c>
      <c r="D346" s="286">
        <f t="shared" si="46"/>
        <v>500</v>
      </c>
      <c r="E346" s="256" t="s">
        <v>559</v>
      </c>
      <c r="F346" s="286">
        <f t="shared" si="47"/>
        <v>2146.3</v>
      </c>
      <c r="G346" s="335"/>
      <c r="H346" s="261">
        <f t="shared" ref="H346:H352" si="48">D346/(C346/100)</f>
        <v>29.58579882</v>
      </c>
      <c r="I346" s="264"/>
      <c r="J346" s="264"/>
      <c r="K346" s="264"/>
      <c r="L346" s="264"/>
      <c r="M346" s="264"/>
      <c r="N346" s="264"/>
      <c r="O346" s="264"/>
      <c r="P346" s="264"/>
      <c r="Q346" s="264"/>
      <c r="R346" s="264"/>
      <c r="S346" s="264"/>
      <c r="T346" s="264"/>
      <c r="U346" s="264"/>
      <c r="V346" s="264"/>
      <c r="W346" s="264"/>
      <c r="X346" s="264"/>
      <c r="Y346" s="264"/>
      <c r="Z346" s="264"/>
      <c r="AA346" s="264"/>
      <c r="AB346" s="264"/>
    </row>
    <row r="347">
      <c r="A347" s="255" t="s">
        <v>582</v>
      </c>
      <c r="B347" s="263">
        <v>990.0</v>
      </c>
      <c r="C347" s="263">
        <v>1490.0</v>
      </c>
      <c r="D347" s="286">
        <f t="shared" si="46"/>
        <v>500</v>
      </c>
      <c r="E347" s="256" t="s">
        <v>559</v>
      </c>
      <c r="F347" s="326">
        <f t="shared" si="47"/>
        <v>1892.3</v>
      </c>
      <c r="G347" s="260"/>
      <c r="H347" s="261">
        <f t="shared" si="48"/>
        <v>33.55704698</v>
      </c>
      <c r="I347" s="262"/>
      <c r="J347" s="262"/>
      <c r="K347" s="262"/>
      <c r="L347" s="262"/>
      <c r="M347" s="262"/>
      <c r="N347" s="262"/>
      <c r="O347" s="262"/>
      <c r="P347" s="262"/>
      <c r="Q347" s="262"/>
      <c r="R347" s="262"/>
      <c r="S347" s="262"/>
      <c r="T347" s="262"/>
      <c r="U347" s="262"/>
      <c r="V347" s="262"/>
      <c r="W347" s="262"/>
      <c r="X347" s="262"/>
      <c r="Y347" s="262"/>
      <c r="Z347" s="262"/>
      <c r="AA347" s="262"/>
      <c r="AB347" s="262"/>
    </row>
    <row r="348">
      <c r="A348" s="259" t="s">
        <v>583</v>
      </c>
      <c r="B348" s="256">
        <v>990.0</v>
      </c>
      <c r="C348" s="263">
        <v>1490.0</v>
      </c>
      <c r="D348" s="286">
        <f t="shared" si="46"/>
        <v>500</v>
      </c>
      <c r="E348" s="256" t="s">
        <v>559</v>
      </c>
      <c r="F348" s="326">
        <f t="shared" si="47"/>
        <v>1892.3</v>
      </c>
      <c r="G348" s="260"/>
      <c r="H348" s="261">
        <f t="shared" si="48"/>
        <v>33.55704698</v>
      </c>
      <c r="I348" s="264"/>
      <c r="J348" s="264"/>
      <c r="K348" s="264"/>
      <c r="L348" s="264"/>
      <c r="M348" s="264"/>
      <c r="N348" s="264"/>
      <c r="O348" s="264"/>
      <c r="P348" s="264"/>
      <c r="Q348" s="264"/>
      <c r="R348" s="264"/>
      <c r="S348" s="264"/>
      <c r="T348" s="264"/>
      <c r="U348" s="264"/>
      <c r="V348" s="264"/>
      <c r="W348" s="264"/>
      <c r="X348" s="264"/>
      <c r="Y348" s="264"/>
      <c r="Z348" s="264"/>
      <c r="AA348" s="264"/>
      <c r="AB348" s="264"/>
    </row>
    <row r="349">
      <c r="A349" s="255" t="s">
        <v>584</v>
      </c>
      <c r="B349" s="256">
        <v>990.0</v>
      </c>
      <c r="C349" s="263">
        <v>1490.0</v>
      </c>
      <c r="D349" s="286">
        <f t="shared" si="46"/>
        <v>500</v>
      </c>
      <c r="E349" s="256" t="s">
        <v>559</v>
      </c>
      <c r="F349" s="326">
        <f t="shared" si="47"/>
        <v>1892.3</v>
      </c>
      <c r="G349" s="260"/>
      <c r="H349" s="261">
        <f t="shared" si="48"/>
        <v>33.55704698</v>
      </c>
      <c r="I349" s="262"/>
      <c r="J349" s="262"/>
      <c r="K349" s="262"/>
      <c r="L349" s="262"/>
      <c r="M349" s="262"/>
      <c r="N349" s="262"/>
      <c r="O349" s="262"/>
      <c r="P349" s="262"/>
      <c r="Q349" s="262"/>
      <c r="R349" s="262"/>
      <c r="S349" s="262"/>
      <c r="T349" s="262"/>
      <c r="U349" s="262"/>
      <c r="V349" s="262"/>
      <c r="W349" s="262"/>
      <c r="X349" s="262"/>
      <c r="Y349" s="262"/>
      <c r="Z349" s="262"/>
      <c r="AA349" s="262"/>
      <c r="AB349" s="262"/>
    </row>
    <row r="350">
      <c r="A350" s="259" t="s">
        <v>585</v>
      </c>
      <c r="B350" s="256">
        <v>990.0</v>
      </c>
      <c r="C350" s="263">
        <v>1490.0</v>
      </c>
      <c r="D350" s="286">
        <f t="shared" si="46"/>
        <v>500</v>
      </c>
      <c r="E350" s="256" t="s">
        <v>559</v>
      </c>
      <c r="F350" s="326">
        <f t="shared" si="47"/>
        <v>1892.3</v>
      </c>
      <c r="G350" s="260"/>
      <c r="H350" s="261">
        <f t="shared" si="48"/>
        <v>33.55704698</v>
      </c>
      <c r="I350" s="264"/>
      <c r="J350" s="264"/>
      <c r="K350" s="264"/>
      <c r="L350" s="264"/>
      <c r="M350" s="264"/>
      <c r="N350" s="264"/>
      <c r="O350" s="264"/>
      <c r="P350" s="264"/>
      <c r="Q350" s="264"/>
      <c r="R350" s="264"/>
      <c r="S350" s="264"/>
      <c r="T350" s="264"/>
      <c r="U350" s="264"/>
      <c r="V350" s="264"/>
      <c r="W350" s="264"/>
      <c r="X350" s="264"/>
      <c r="Y350" s="264"/>
      <c r="Z350" s="264"/>
      <c r="AA350" s="264"/>
      <c r="AB350" s="264"/>
    </row>
    <row r="351">
      <c r="A351" s="259" t="s">
        <v>586</v>
      </c>
      <c r="B351" s="256">
        <v>990.0</v>
      </c>
      <c r="C351" s="263">
        <v>1490.0</v>
      </c>
      <c r="D351" s="286">
        <f t="shared" si="46"/>
        <v>500</v>
      </c>
      <c r="E351" s="256" t="s">
        <v>559</v>
      </c>
      <c r="F351" s="326">
        <f t="shared" si="47"/>
        <v>1892.3</v>
      </c>
      <c r="G351" s="260"/>
      <c r="H351" s="261">
        <f t="shared" si="48"/>
        <v>33.55704698</v>
      </c>
      <c r="I351" s="264"/>
      <c r="J351" s="264"/>
      <c r="K351" s="264"/>
      <c r="L351" s="264"/>
      <c r="M351" s="264"/>
      <c r="N351" s="264"/>
      <c r="O351" s="264"/>
      <c r="P351" s="264"/>
      <c r="Q351" s="264"/>
      <c r="R351" s="264"/>
      <c r="S351" s="264"/>
      <c r="T351" s="264"/>
      <c r="U351" s="264"/>
      <c r="V351" s="264"/>
      <c r="W351" s="264"/>
      <c r="X351" s="264"/>
      <c r="Y351" s="264"/>
      <c r="Z351" s="264"/>
      <c r="AA351" s="264"/>
      <c r="AB351" s="264"/>
    </row>
    <row r="352">
      <c r="A352" s="259" t="s">
        <v>587</v>
      </c>
      <c r="B352" s="256">
        <v>990.0</v>
      </c>
      <c r="C352" s="263">
        <v>1490.0</v>
      </c>
      <c r="D352" s="286">
        <f t="shared" si="46"/>
        <v>500</v>
      </c>
      <c r="E352" s="256" t="s">
        <v>559</v>
      </c>
      <c r="F352" s="326">
        <f t="shared" si="47"/>
        <v>1892.3</v>
      </c>
      <c r="G352" s="260"/>
      <c r="H352" s="261">
        <f t="shared" si="48"/>
        <v>33.55704698</v>
      </c>
      <c r="I352" s="264"/>
      <c r="J352" s="264"/>
      <c r="K352" s="264"/>
      <c r="L352" s="264"/>
      <c r="M352" s="264"/>
      <c r="N352" s="264"/>
      <c r="O352" s="264"/>
      <c r="P352" s="264"/>
      <c r="Q352" s="264"/>
      <c r="R352" s="264"/>
      <c r="S352" s="264"/>
      <c r="T352" s="264"/>
      <c r="U352" s="264"/>
      <c r="V352" s="264"/>
      <c r="W352" s="264"/>
      <c r="X352" s="264"/>
      <c r="Y352" s="264"/>
      <c r="Z352" s="264"/>
      <c r="AA352" s="264"/>
      <c r="AB352" s="264"/>
    </row>
    <row r="353">
      <c r="A353" s="123"/>
      <c r="B353" s="147"/>
      <c r="C353" s="147"/>
      <c r="D353" s="132"/>
      <c r="E353" s="147"/>
      <c r="F353" s="127"/>
      <c r="G353" s="231"/>
      <c r="H353" s="168"/>
    </row>
    <row r="354">
      <c r="A354" s="255" t="s">
        <v>588</v>
      </c>
      <c r="B354" s="256">
        <v>2640.0</v>
      </c>
      <c r="C354" s="256">
        <v>3140.0</v>
      </c>
      <c r="D354" s="286">
        <f>C354-B354</f>
        <v>500</v>
      </c>
      <c r="E354" s="256" t="s">
        <v>559</v>
      </c>
      <c r="F354" s="326">
        <f>C354*1.27</f>
        <v>3987.8</v>
      </c>
      <c r="G354" s="260"/>
      <c r="H354" s="261">
        <f>D354/(C354/100)</f>
        <v>15.92356688</v>
      </c>
      <c r="I354" s="262"/>
      <c r="J354" s="262"/>
      <c r="K354" s="262"/>
      <c r="L354" s="262"/>
      <c r="M354" s="262"/>
      <c r="N354" s="262"/>
      <c r="O354" s="262"/>
      <c r="P354" s="262"/>
      <c r="Q354" s="262"/>
      <c r="R354" s="262"/>
      <c r="S354" s="262"/>
      <c r="T354" s="262"/>
      <c r="U354" s="262"/>
      <c r="V354" s="262"/>
      <c r="W354" s="262"/>
      <c r="X354" s="262"/>
      <c r="Y354" s="262"/>
      <c r="Z354" s="262"/>
      <c r="AA354" s="262"/>
      <c r="AB354" s="262"/>
    </row>
    <row r="355">
      <c r="A355" s="338"/>
      <c r="B355" s="147"/>
      <c r="C355" s="147"/>
      <c r="D355" s="132"/>
      <c r="E355" s="147"/>
      <c r="F355" s="152"/>
      <c r="G355" s="231"/>
      <c r="H355" s="168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</row>
    <row r="356">
      <c r="A356" s="275" t="s">
        <v>589</v>
      </c>
      <c r="B356" s="273">
        <v>7440.0</v>
      </c>
      <c r="C356" s="273">
        <v>9040.0</v>
      </c>
      <c r="D356" s="274">
        <f t="shared" ref="D356:D371" si="49">C356-B356</f>
        <v>1600</v>
      </c>
      <c r="E356" s="273" t="s">
        <v>559</v>
      </c>
      <c r="F356" s="274">
        <f t="shared" ref="F356:F371" si="50">C356*1.27</f>
        <v>11480.8</v>
      </c>
      <c r="G356" s="339"/>
      <c r="H356" s="277">
        <f t="shared" ref="H356:H359" si="51">D356/(C356/100)</f>
        <v>17.69911504</v>
      </c>
      <c r="I356" s="278"/>
      <c r="J356" s="278"/>
      <c r="K356" s="278"/>
      <c r="L356" s="278"/>
      <c r="M356" s="278"/>
      <c r="N356" s="278"/>
      <c r="O356" s="278"/>
      <c r="P356" s="278"/>
      <c r="Q356" s="278"/>
      <c r="R356" s="278"/>
      <c r="S356" s="278"/>
      <c r="T356" s="278"/>
      <c r="U356" s="278"/>
      <c r="V356" s="278"/>
      <c r="W356" s="278"/>
      <c r="X356" s="278"/>
      <c r="Y356" s="278"/>
      <c r="Z356" s="278"/>
      <c r="AA356" s="278"/>
      <c r="AB356" s="278"/>
    </row>
    <row r="357">
      <c r="A357" s="327" t="s">
        <v>590</v>
      </c>
      <c r="B357" s="321">
        <v>5490.0</v>
      </c>
      <c r="C357" s="321">
        <v>7090.0</v>
      </c>
      <c r="D357" s="322">
        <f t="shared" si="49"/>
        <v>1600</v>
      </c>
      <c r="E357" s="321" t="s">
        <v>559</v>
      </c>
      <c r="F357" s="322">
        <f t="shared" si="50"/>
        <v>9004.3</v>
      </c>
      <c r="G357" s="323"/>
      <c r="H357" s="324">
        <f t="shared" si="51"/>
        <v>22.56699577</v>
      </c>
      <c r="I357" s="325"/>
      <c r="J357" s="325"/>
      <c r="K357" s="325"/>
      <c r="L357" s="325"/>
      <c r="M357" s="325"/>
      <c r="N357" s="325"/>
      <c r="O357" s="325"/>
      <c r="P357" s="325"/>
      <c r="Q357" s="325"/>
      <c r="R357" s="325"/>
      <c r="S357" s="325"/>
      <c r="T357" s="325"/>
      <c r="U357" s="325"/>
      <c r="V357" s="325"/>
      <c r="W357" s="325"/>
      <c r="X357" s="325"/>
      <c r="Y357" s="325"/>
      <c r="Z357" s="325"/>
      <c r="AA357" s="325"/>
      <c r="AB357" s="325"/>
    </row>
    <row r="358">
      <c r="A358" s="275" t="s">
        <v>591</v>
      </c>
      <c r="B358" s="273">
        <v>4290.0</v>
      </c>
      <c r="C358" s="273">
        <v>6190.0</v>
      </c>
      <c r="D358" s="274">
        <f t="shared" si="49"/>
        <v>1900</v>
      </c>
      <c r="E358" s="273" t="s">
        <v>559</v>
      </c>
      <c r="F358" s="274">
        <f t="shared" si="50"/>
        <v>7861.3</v>
      </c>
      <c r="G358" s="339"/>
      <c r="H358" s="277">
        <f t="shared" si="51"/>
        <v>30.69466882</v>
      </c>
      <c r="I358" s="278"/>
      <c r="J358" s="278"/>
      <c r="K358" s="278"/>
      <c r="L358" s="278"/>
      <c r="M358" s="278"/>
      <c r="N358" s="278"/>
      <c r="O358" s="278"/>
      <c r="P358" s="278"/>
      <c r="Q358" s="278"/>
      <c r="R358" s="278"/>
      <c r="S358" s="278"/>
      <c r="T358" s="278"/>
      <c r="U358" s="278"/>
      <c r="V358" s="278"/>
      <c r="W358" s="278"/>
      <c r="X358" s="278"/>
      <c r="Y358" s="278"/>
      <c r="Z358" s="278"/>
      <c r="AA358" s="278"/>
      <c r="AB358" s="278"/>
    </row>
    <row r="359">
      <c r="A359" s="275" t="s">
        <v>592</v>
      </c>
      <c r="B359" s="273">
        <v>4290.0</v>
      </c>
      <c r="C359" s="273">
        <v>6190.0</v>
      </c>
      <c r="D359" s="274">
        <f t="shared" si="49"/>
        <v>1900</v>
      </c>
      <c r="E359" s="273" t="s">
        <v>559</v>
      </c>
      <c r="F359" s="274">
        <f t="shared" si="50"/>
        <v>7861.3</v>
      </c>
      <c r="G359" s="339"/>
      <c r="H359" s="277">
        <f t="shared" si="51"/>
        <v>30.69466882</v>
      </c>
      <c r="I359" s="278"/>
      <c r="J359" s="278"/>
      <c r="K359" s="278"/>
      <c r="L359" s="278"/>
      <c r="M359" s="278"/>
      <c r="N359" s="278"/>
      <c r="O359" s="278"/>
      <c r="P359" s="278"/>
      <c r="Q359" s="278"/>
      <c r="R359" s="278"/>
      <c r="S359" s="278"/>
      <c r="T359" s="278"/>
      <c r="U359" s="278"/>
      <c r="V359" s="278"/>
      <c r="W359" s="278"/>
      <c r="X359" s="278"/>
      <c r="Y359" s="278"/>
      <c r="Z359" s="278"/>
      <c r="AA359" s="278"/>
      <c r="AB359" s="278"/>
    </row>
    <row r="360">
      <c r="A360" s="284" t="s">
        <v>593</v>
      </c>
      <c r="B360" s="281">
        <v>2790.0</v>
      </c>
      <c r="C360" s="281">
        <v>3540.0</v>
      </c>
      <c r="D360" s="274">
        <f t="shared" si="49"/>
        <v>750</v>
      </c>
      <c r="E360" s="273" t="s">
        <v>559</v>
      </c>
      <c r="F360" s="289">
        <f t="shared" si="50"/>
        <v>4495.8</v>
      </c>
      <c r="G360" s="276"/>
      <c r="H360" s="277">
        <f>D360/(B360/100)</f>
        <v>26.88172043</v>
      </c>
      <c r="I360" s="283"/>
      <c r="J360" s="283"/>
      <c r="K360" s="283"/>
      <c r="L360" s="283"/>
      <c r="M360" s="283"/>
      <c r="N360" s="283"/>
      <c r="O360" s="283"/>
      <c r="P360" s="283"/>
      <c r="Q360" s="283"/>
      <c r="R360" s="283"/>
      <c r="S360" s="283"/>
      <c r="T360" s="283"/>
      <c r="U360" s="283"/>
      <c r="V360" s="283"/>
      <c r="W360" s="283"/>
      <c r="X360" s="283"/>
      <c r="Y360" s="283"/>
      <c r="Z360" s="283"/>
      <c r="AA360" s="283"/>
      <c r="AB360" s="283"/>
    </row>
    <row r="361">
      <c r="A361" s="275" t="s">
        <v>594</v>
      </c>
      <c r="B361" s="273">
        <v>2790.0</v>
      </c>
      <c r="C361" s="273">
        <v>3540.0</v>
      </c>
      <c r="D361" s="274">
        <f t="shared" si="49"/>
        <v>750</v>
      </c>
      <c r="E361" s="273" t="s">
        <v>559</v>
      </c>
      <c r="F361" s="274">
        <f t="shared" si="50"/>
        <v>4495.8</v>
      </c>
      <c r="G361" s="339"/>
      <c r="H361" s="277">
        <f t="shared" ref="H361:H371" si="52">D361/(C361/100)</f>
        <v>21.18644068</v>
      </c>
      <c r="I361" s="278"/>
      <c r="J361" s="278"/>
      <c r="K361" s="278"/>
      <c r="L361" s="278"/>
      <c r="M361" s="278"/>
      <c r="N361" s="278"/>
      <c r="O361" s="278"/>
      <c r="P361" s="278"/>
      <c r="Q361" s="278"/>
      <c r="R361" s="278"/>
      <c r="S361" s="278"/>
      <c r="T361" s="278"/>
      <c r="U361" s="278"/>
      <c r="V361" s="278"/>
      <c r="W361" s="278"/>
      <c r="X361" s="278"/>
      <c r="Y361" s="278"/>
      <c r="Z361" s="278"/>
      <c r="AA361" s="278"/>
      <c r="AB361" s="278"/>
    </row>
    <row r="362">
      <c r="A362" s="275" t="s">
        <v>595</v>
      </c>
      <c r="B362" s="273">
        <v>2390.0</v>
      </c>
      <c r="C362" s="273">
        <v>3140.0</v>
      </c>
      <c r="D362" s="274">
        <f t="shared" si="49"/>
        <v>750</v>
      </c>
      <c r="E362" s="273" t="s">
        <v>559</v>
      </c>
      <c r="F362" s="274">
        <f t="shared" si="50"/>
        <v>3987.8</v>
      </c>
      <c r="G362" s="339"/>
      <c r="H362" s="277">
        <f t="shared" si="52"/>
        <v>23.88535032</v>
      </c>
      <c r="I362" s="278"/>
      <c r="J362" s="278"/>
      <c r="K362" s="278"/>
      <c r="L362" s="278"/>
      <c r="M362" s="278"/>
      <c r="N362" s="278"/>
      <c r="O362" s="278"/>
      <c r="P362" s="278"/>
      <c r="Q362" s="278"/>
      <c r="R362" s="278"/>
      <c r="S362" s="278"/>
      <c r="T362" s="278"/>
      <c r="U362" s="278"/>
      <c r="V362" s="278"/>
      <c r="W362" s="278"/>
      <c r="X362" s="278"/>
      <c r="Y362" s="278"/>
      <c r="Z362" s="278"/>
      <c r="AA362" s="278"/>
      <c r="AB362" s="278"/>
    </row>
    <row r="363">
      <c r="A363" s="275" t="s">
        <v>596</v>
      </c>
      <c r="B363" s="273">
        <v>2390.0</v>
      </c>
      <c r="C363" s="273">
        <v>3140.0</v>
      </c>
      <c r="D363" s="274">
        <f t="shared" si="49"/>
        <v>750</v>
      </c>
      <c r="E363" s="273" t="s">
        <v>559</v>
      </c>
      <c r="F363" s="289">
        <f t="shared" si="50"/>
        <v>3987.8</v>
      </c>
      <c r="G363" s="276"/>
      <c r="H363" s="277">
        <f t="shared" si="52"/>
        <v>23.88535032</v>
      </c>
      <c r="I363" s="278"/>
      <c r="J363" s="278"/>
      <c r="K363" s="278"/>
      <c r="L363" s="278"/>
      <c r="M363" s="278"/>
      <c r="N363" s="278"/>
      <c r="O363" s="278"/>
      <c r="P363" s="278"/>
      <c r="Q363" s="278"/>
      <c r="R363" s="278"/>
      <c r="S363" s="278"/>
      <c r="T363" s="278"/>
      <c r="U363" s="278"/>
      <c r="V363" s="278"/>
      <c r="W363" s="278"/>
      <c r="X363" s="278"/>
      <c r="Y363" s="278"/>
      <c r="Z363" s="278"/>
      <c r="AA363" s="278"/>
      <c r="AB363" s="278"/>
    </row>
    <row r="364">
      <c r="A364" s="275" t="s">
        <v>597</v>
      </c>
      <c r="B364" s="273">
        <v>1990.0</v>
      </c>
      <c r="C364" s="273">
        <v>2740.0</v>
      </c>
      <c r="D364" s="274">
        <f t="shared" si="49"/>
        <v>750</v>
      </c>
      <c r="E364" s="274" t="s">
        <v>559</v>
      </c>
      <c r="F364" s="274">
        <f t="shared" si="50"/>
        <v>3479.8</v>
      </c>
      <c r="G364" s="339"/>
      <c r="H364" s="277">
        <f t="shared" si="52"/>
        <v>27.37226277</v>
      </c>
      <c r="I364" s="278"/>
      <c r="J364" s="278"/>
      <c r="K364" s="278"/>
      <c r="L364" s="278"/>
      <c r="M364" s="278"/>
      <c r="N364" s="278"/>
      <c r="O364" s="278"/>
      <c r="P364" s="278"/>
      <c r="Q364" s="278"/>
      <c r="R364" s="278"/>
      <c r="S364" s="278"/>
      <c r="T364" s="278"/>
      <c r="U364" s="278"/>
      <c r="V364" s="278"/>
      <c r="W364" s="278"/>
      <c r="X364" s="278"/>
      <c r="Y364" s="278"/>
      <c r="Z364" s="278"/>
      <c r="AA364" s="278"/>
      <c r="AB364" s="278"/>
    </row>
    <row r="365">
      <c r="A365" s="259" t="s">
        <v>598</v>
      </c>
      <c r="B365" s="256">
        <v>1990.0</v>
      </c>
      <c r="C365" s="256">
        <v>2740.0</v>
      </c>
      <c r="D365" s="286">
        <f t="shared" si="49"/>
        <v>750</v>
      </c>
      <c r="E365" s="286" t="s">
        <v>559</v>
      </c>
      <c r="F365" s="286">
        <f t="shared" si="50"/>
        <v>3479.8</v>
      </c>
      <c r="G365" s="335"/>
      <c r="H365" s="261">
        <f t="shared" si="52"/>
        <v>27.37226277</v>
      </c>
      <c r="I365" s="264"/>
      <c r="J365" s="264"/>
      <c r="K365" s="264"/>
      <c r="L365" s="264"/>
      <c r="M365" s="264"/>
      <c r="N365" s="264"/>
      <c r="O365" s="264"/>
      <c r="P365" s="264"/>
      <c r="Q365" s="264"/>
      <c r="R365" s="264"/>
      <c r="S365" s="264"/>
      <c r="T365" s="264"/>
      <c r="U365" s="264"/>
      <c r="V365" s="264"/>
      <c r="W365" s="264"/>
      <c r="X365" s="264"/>
      <c r="Y365" s="264"/>
      <c r="Z365" s="264"/>
      <c r="AA365" s="264"/>
      <c r="AB365" s="264"/>
    </row>
    <row r="366">
      <c r="A366" s="275" t="s">
        <v>599</v>
      </c>
      <c r="B366" s="273">
        <v>1890.0</v>
      </c>
      <c r="C366" s="273">
        <v>2390.0</v>
      </c>
      <c r="D366" s="274">
        <f t="shared" si="49"/>
        <v>500</v>
      </c>
      <c r="E366" s="274" t="s">
        <v>559</v>
      </c>
      <c r="F366" s="274">
        <f t="shared" si="50"/>
        <v>3035.3</v>
      </c>
      <c r="G366" s="339"/>
      <c r="H366" s="277">
        <f t="shared" si="52"/>
        <v>20.92050209</v>
      </c>
      <c r="I366" s="278"/>
      <c r="J366" s="278"/>
      <c r="K366" s="278"/>
      <c r="L366" s="278"/>
      <c r="M366" s="278"/>
      <c r="N366" s="278"/>
      <c r="O366" s="278"/>
      <c r="P366" s="278"/>
      <c r="Q366" s="278"/>
      <c r="R366" s="278"/>
      <c r="S366" s="278"/>
      <c r="T366" s="278"/>
      <c r="U366" s="278"/>
      <c r="V366" s="278"/>
      <c r="W366" s="278"/>
      <c r="X366" s="278"/>
      <c r="Y366" s="278"/>
      <c r="Z366" s="278"/>
      <c r="AA366" s="278"/>
      <c r="AB366" s="278"/>
    </row>
    <row r="367">
      <c r="A367" s="340" t="s">
        <v>600</v>
      </c>
      <c r="B367" s="281">
        <v>1490.0</v>
      </c>
      <c r="C367" s="273">
        <v>1990.0</v>
      </c>
      <c r="D367" s="274">
        <f t="shared" si="49"/>
        <v>500</v>
      </c>
      <c r="E367" s="273" t="s">
        <v>559</v>
      </c>
      <c r="F367" s="289">
        <f t="shared" si="50"/>
        <v>2527.3</v>
      </c>
      <c r="G367" s="276"/>
      <c r="H367" s="277">
        <f t="shared" si="52"/>
        <v>25.12562814</v>
      </c>
      <c r="I367" s="283"/>
      <c r="J367" s="283"/>
      <c r="K367" s="283"/>
      <c r="L367" s="283"/>
      <c r="M367" s="283"/>
      <c r="N367" s="283"/>
      <c r="O367" s="283"/>
      <c r="P367" s="283"/>
      <c r="Q367" s="283"/>
      <c r="R367" s="283"/>
      <c r="S367" s="283"/>
      <c r="T367" s="283"/>
      <c r="U367" s="283"/>
      <c r="V367" s="283"/>
      <c r="W367" s="283"/>
      <c r="X367" s="283"/>
      <c r="Y367" s="283"/>
      <c r="Z367" s="283"/>
      <c r="AA367" s="283"/>
      <c r="AB367" s="283"/>
    </row>
    <row r="368">
      <c r="A368" s="275" t="s">
        <v>601</v>
      </c>
      <c r="B368" s="273">
        <v>1290.0</v>
      </c>
      <c r="C368" s="273">
        <v>1790.0</v>
      </c>
      <c r="D368" s="274">
        <f t="shared" si="49"/>
        <v>500</v>
      </c>
      <c r="E368" s="273" t="s">
        <v>559</v>
      </c>
      <c r="F368" s="274">
        <f t="shared" si="50"/>
        <v>2273.3</v>
      </c>
      <c r="G368" s="339"/>
      <c r="H368" s="277">
        <f t="shared" si="52"/>
        <v>27.93296089</v>
      </c>
      <c r="I368" s="278"/>
      <c r="J368" s="278"/>
      <c r="K368" s="278"/>
      <c r="L368" s="278"/>
      <c r="M368" s="278"/>
      <c r="N368" s="278"/>
      <c r="O368" s="278"/>
      <c r="P368" s="278"/>
      <c r="Q368" s="278"/>
      <c r="R368" s="278"/>
      <c r="S368" s="278"/>
      <c r="T368" s="278"/>
      <c r="U368" s="278"/>
      <c r="V368" s="278"/>
      <c r="W368" s="278"/>
      <c r="X368" s="278"/>
      <c r="Y368" s="278"/>
      <c r="Z368" s="278"/>
      <c r="AA368" s="278"/>
      <c r="AB368" s="278"/>
    </row>
    <row r="369">
      <c r="A369" s="275" t="s">
        <v>602</v>
      </c>
      <c r="B369" s="273">
        <v>1290.0</v>
      </c>
      <c r="C369" s="273">
        <v>1790.0</v>
      </c>
      <c r="D369" s="274">
        <f t="shared" si="49"/>
        <v>500</v>
      </c>
      <c r="E369" s="273" t="s">
        <v>559</v>
      </c>
      <c r="F369" s="274">
        <f t="shared" si="50"/>
        <v>2273.3</v>
      </c>
      <c r="G369" s="339"/>
      <c r="H369" s="277">
        <f t="shared" si="52"/>
        <v>27.93296089</v>
      </c>
      <c r="I369" s="278"/>
      <c r="J369" s="278"/>
      <c r="K369" s="278"/>
      <c r="L369" s="278"/>
      <c r="M369" s="278"/>
      <c r="N369" s="278"/>
      <c r="O369" s="278"/>
      <c r="P369" s="278"/>
      <c r="Q369" s="278"/>
      <c r="R369" s="278"/>
      <c r="S369" s="278"/>
      <c r="T369" s="278"/>
      <c r="U369" s="278"/>
      <c r="V369" s="278"/>
      <c r="W369" s="278"/>
      <c r="X369" s="278"/>
      <c r="Y369" s="278"/>
      <c r="Z369" s="278"/>
      <c r="AA369" s="278"/>
      <c r="AB369" s="278"/>
    </row>
    <row r="370">
      <c r="A370" s="275" t="s">
        <v>603</v>
      </c>
      <c r="B370" s="273">
        <v>1290.0</v>
      </c>
      <c r="C370" s="281">
        <v>1790.0</v>
      </c>
      <c r="D370" s="274">
        <f t="shared" si="49"/>
        <v>500</v>
      </c>
      <c r="E370" s="273" t="s">
        <v>559</v>
      </c>
      <c r="F370" s="289">
        <f t="shared" si="50"/>
        <v>2273.3</v>
      </c>
      <c r="G370" s="276"/>
      <c r="H370" s="277">
        <f t="shared" si="52"/>
        <v>27.93296089</v>
      </c>
      <c r="I370" s="278"/>
      <c r="J370" s="278"/>
      <c r="K370" s="278"/>
      <c r="L370" s="278"/>
      <c r="M370" s="278"/>
      <c r="N370" s="278"/>
      <c r="O370" s="278"/>
      <c r="P370" s="278"/>
      <c r="Q370" s="278"/>
      <c r="R370" s="278"/>
      <c r="S370" s="278"/>
      <c r="T370" s="278"/>
      <c r="U370" s="278"/>
      <c r="V370" s="278"/>
      <c r="W370" s="278"/>
      <c r="X370" s="278"/>
      <c r="Y370" s="278"/>
      <c r="Z370" s="278"/>
      <c r="AA370" s="278"/>
      <c r="AB370" s="278"/>
    </row>
    <row r="371">
      <c r="A371" s="284" t="s">
        <v>604</v>
      </c>
      <c r="B371" s="273">
        <v>1090.0</v>
      </c>
      <c r="C371" s="281">
        <v>1590.0</v>
      </c>
      <c r="D371" s="274">
        <f t="shared" si="49"/>
        <v>500</v>
      </c>
      <c r="E371" s="273" t="s">
        <v>559</v>
      </c>
      <c r="F371" s="274">
        <f t="shared" si="50"/>
        <v>2019.3</v>
      </c>
      <c r="G371" s="339"/>
      <c r="H371" s="277">
        <f t="shared" si="52"/>
        <v>31.44654088</v>
      </c>
      <c r="I371" s="283"/>
      <c r="J371" s="283"/>
      <c r="K371" s="283"/>
      <c r="L371" s="283"/>
      <c r="M371" s="283"/>
      <c r="N371" s="283"/>
      <c r="O371" s="283"/>
      <c r="P371" s="283"/>
      <c r="Q371" s="283"/>
      <c r="R371" s="283"/>
      <c r="S371" s="283"/>
      <c r="T371" s="283"/>
      <c r="U371" s="283"/>
      <c r="V371" s="283"/>
      <c r="W371" s="283"/>
      <c r="X371" s="283"/>
      <c r="Y371" s="283"/>
      <c r="Z371" s="283"/>
      <c r="AA371" s="283"/>
      <c r="AB371" s="283"/>
    </row>
    <row r="372">
      <c r="A372" s="123"/>
      <c r="B372" s="147"/>
      <c r="C372" s="124"/>
      <c r="D372" s="132"/>
      <c r="E372" s="147"/>
      <c r="F372" s="127"/>
      <c r="G372" s="231"/>
      <c r="H372" s="168"/>
    </row>
    <row r="373">
      <c r="A373" s="341" t="s">
        <v>605</v>
      </c>
      <c r="B373" s="300">
        <v>7990.0</v>
      </c>
      <c r="C373" s="300">
        <v>9840.0</v>
      </c>
      <c r="D373" s="301">
        <f t="shared" ref="D373:D383" si="53">C373-B373</f>
        <v>1850</v>
      </c>
      <c r="E373" s="300" t="s">
        <v>557</v>
      </c>
      <c r="F373" s="342">
        <f t="shared" ref="F373:F383" si="54">C373*1.27</f>
        <v>12496.8</v>
      </c>
      <c r="G373" s="303"/>
      <c r="H373" s="304">
        <f t="shared" ref="H373:H383" si="55">D373/(C373/100)</f>
        <v>18.80081301</v>
      </c>
      <c r="I373" s="217"/>
      <c r="J373" s="217"/>
      <c r="K373" s="217"/>
      <c r="L373" s="217"/>
      <c r="M373" s="217"/>
      <c r="N373" s="217"/>
      <c r="O373" s="217"/>
      <c r="P373" s="217"/>
      <c r="Q373" s="217"/>
      <c r="R373" s="217"/>
      <c r="S373" s="217"/>
      <c r="T373" s="217"/>
      <c r="U373" s="217"/>
      <c r="V373" s="217"/>
      <c r="W373" s="217"/>
      <c r="X373" s="217"/>
      <c r="Y373" s="217"/>
      <c r="Z373" s="217"/>
      <c r="AA373" s="217"/>
      <c r="AB373" s="217"/>
    </row>
    <row r="374">
      <c r="A374" s="242" t="s">
        <v>606</v>
      </c>
      <c r="B374" s="243">
        <v>1540.0</v>
      </c>
      <c r="C374" s="243">
        <v>1540.0</v>
      </c>
      <c r="D374" s="244">
        <f t="shared" si="53"/>
        <v>0</v>
      </c>
      <c r="E374" s="243" t="s">
        <v>557</v>
      </c>
      <c r="F374" s="294">
        <f t="shared" si="54"/>
        <v>1955.8</v>
      </c>
      <c r="G374" s="343"/>
      <c r="H374" s="247">
        <f t="shared" si="55"/>
        <v>0</v>
      </c>
      <c r="I374" s="248"/>
      <c r="J374" s="248"/>
      <c r="K374" s="248"/>
      <c r="L374" s="248"/>
      <c r="M374" s="248"/>
      <c r="N374" s="248"/>
      <c r="O374" s="248"/>
      <c r="P374" s="248"/>
      <c r="Q374" s="248"/>
      <c r="R374" s="248"/>
      <c r="S374" s="248"/>
      <c r="T374" s="248"/>
      <c r="U374" s="248"/>
      <c r="V374" s="248"/>
      <c r="W374" s="248"/>
      <c r="X374" s="248"/>
      <c r="Y374" s="248"/>
      <c r="Z374" s="248"/>
      <c r="AA374" s="248"/>
      <c r="AB374" s="248"/>
    </row>
    <row r="375">
      <c r="A375" s="255" t="s">
        <v>607</v>
      </c>
      <c r="B375" s="263">
        <v>1090.0</v>
      </c>
      <c r="C375" s="256">
        <v>1340.0</v>
      </c>
      <c r="D375" s="286">
        <f t="shared" si="53"/>
        <v>250</v>
      </c>
      <c r="E375" s="256" t="s">
        <v>557</v>
      </c>
      <c r="F375" s="326">
        <f t="shared" si="54"/>
        <v>1701.8</v>
      </c>
      <c r="G375" s="260"/>
      <c r="H375" s="261">
        <f t="shared" si="55"/>
        <v>18.65671642</v>
      </c>
      <c r="I375" s="262"/>
      <c r="J375" s="262"/>
      <c r="K375" s="262"/>
      <c r="L375" s="262"/>
      <c r="M375" s="262"/>
      <c r="N375" s="262"/>
      <c r="O375" s="262"/>
      <c r="P375" s="262"/>
      <c r="Q375" s="262"/>
      <c r="R375" s="262"/>
      <c r="S375" s="262"/>
      <c r="T375" s="262"/>
      <c r="U375" s="262"/>
      <c r="V375" s="262"/>
      <c r="W375" s="262"/>
      <c r="X375" s="262"/>
      <c r="Y375" s="262"/>
      <c r="Z375" s="262"/>
      <c r="AA375" s="262"/>
      <c r="AB375" s="262"/>
    </row>
    <row r="376">
      <c r="A376" s="255" t="s">
        <v>608</v>
      </c>
      <c r="B376" s="263">
        <v>1090.0</v>
      </c>
      <c r="C376" s="256">
        <v>1340.0</v>
      </c>
      <c r="D376" s="286">
        <f t="shared" si="53"/>
        <v>250</v>
      </c>
      <c r="E376" s="256" t="s">
        <v>557</v>
      </c>
      <c r="F376" s="326">
        <f t="shared" si="54"/>
        <v>1701.8</v>
      </c>
      <c r="G376" s="260"/>
      <c r="H376" s="261">
        <f t="shared" si="55"/>
        <v>18.65671642</v>
      </c>
      <c r="I376" s="262"/>
      <c r="J376" s="262"/>
      <c r="K376" s="262"/>
      <c r="L376" s="262"/>
      <c r="M376" s="262"/>
      <c r="N376" s="262"/>
      <c r="O376" s="262"/>
      <c r="P376" s="262"/>
      <c r="Q376" s="262"/>
      <c r="R376" s="262"/>
      <c r="S376" s="262"/>
      <c r="T376" s="262"/>
      <c r="U376" s="262"/>
      <c r="V376" s="262"/>
      <c r="W376" s="262"/>
      <c r="X376" s="262"/>
      <c r="Y376" s="262"/>
      <c r="Z376" s="262"/>
      <c r="AA376" s="262"/>
      <c r="AB376" s="262"/>
    </row>
    <row r="377">
      <c r="A377" s="336" t="s">
        <v>609</v>
      </c>
      <c r="B377" s="300">
        <v>440.0</v>
      </c>
      <c r="C377" s="300">
        <v>690.0</v>
      </c>
      <c r="D377" s="301">
        <f t="shared" si="53"/>
        <v>250</v>
      </c>
      <c r="E377" s="300" t="s">
        <v>557</v>
      </c>
      <c r="F377" s="342">
        <f t="shared" si="54"/>
        <v>876.3</v>
      </c>
      <c r="G377" s="303"/>
      <c r="H377" s="304">
        <f t="shared" si="55"/>
        <v>36.23188406</v>
      </c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1"/>
      <c r="V377" s="121"/>
      <c r="W377" s="121"/>
      <c r="X377" s="121"/>
      <c r="Y377" s="121"/>
      <c r="Z377" s="121"/>
      <c r="AA377" s="121"/>
      <c r="AB377" s="121"/>
    </row>
    <row r="378">
      <c r="A378" s="336" t="s">
        <v>610</v>
      </c>
      <c r="B378" s="300">
        <v>340.0</v>
      </c>
      <c r="C378" s="300">
        <v>590.0</v>
      </c>
      <c r="D378" s="301">
        <f t="shared" si="53"/>
        <v>250</v>
      </c>
      <c r="E378" s="300" t="s">
        <v>557</v>
      </c>
      <c r="F378" s="342">
        <f t="shared" si="54"/>
        <v>749.3</v>
      </c>
      <c r="G378" s="303"/>
      <c r="H378" s="304">
        <f t="shared" si="55"/>
        <v>42.37288136</v>
      </c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</row>
    <row r="379">
      <c r="A379" s="332" t="s">
        <v>611</v>
      </c>
      <c r="B379" s="256">
        <v>240.0</v>
      </c>
      <c r="C379" s="256">
        <v>490.0</v>
      </c>
      <c r="D379" s="286">
        <f t="shared" si="53"/>
        <v>250</v>
      </c>
      <c r="E379" s="256" t="s">
        <v>557</v>
      </c>
      <c r="F379" s="326">
        <f t="shared" si="54"/>
        <v>622.3</v>
      </c>
      <c r="G379" s="260"/>
      <c r="H379" s="261">
        <f t="shared" si="55"/>
        <v>51.02040816</v>
      </c>
      <c r="I379" s="262"/>
      <c r="J379" s="262"/>
      <c r="K379" s="262"/>
      <c r="L379" s="262"/>
      <c r="M379" s="262"/>
      <c r="N379" s="262"/>
      <c r="O379" s="262"/>
      <c r="P379" s="262"/>
      <c r="Q379" s="262"/>
      <c r="R379" s="262"/>
      <c r="S379" s="262"/>
      <c r="T379" s="262"/>
      <c r="U379" s="262"/>
      <c r="V379" s="262"/>
      <c r="W379" s="262"/>
      <c r="X379" s="262"/>
      <c r="Y379" s="262"/>
      <c r="Z379" s="262"/>
      <c r="AA379" s="262"/>
      <c r="AB379" s="262"/>
    </row>
    <row r="380">
      <c r="A380" s="259" t="s">
        <v>612</v>
      </c>
      <c r="B380" s="286">
        <v>90.0</v>
      </c>
      <c r="C380" s="286">
        <v>340.0</v>
      </c>
      <c r="D380" s="286">
        <f t="shared" si="53"/>
        <v>250</v>
      </c>
      <c r="E380" s="286" t="s">
        <v>557</v>
      </c>
      <c r="F380" s="286">
        <f t="shared" si="54"/>
        <v>431.8</v>
      </c>
      <c r="G380" s="335"/>
      <c r="H380" s="261">
        <f t="shared" si="55"/>
        <v>73.52941176</v>
      </c>
      <c r="I380" s="264"/>
      <c r="J380" s="264"/>
      <c r="K380" s="264"/>
      <c r="L380" s="264"/>
      <c r="M380" s="264"/>
      <c r="N380" s="264"/>
      <c r="O380" s="264"/>
      <c r="P380" s="264"/>
      <c r="Q380" s="264"/>
      <c r="R380" s="264"/>
      <c r="S380" s="264"/>
      <c r="T380" s="264"/>
      <c r="U380" s="264"/>
      <c r="V380" s="264"/>
      <c r="W380" s="264"/>
      <c r="X380" s="264"/>
      <c r="Y380" s="264"/>
      <c r="Z380" s="264"/>
      <c r="AA380" s="264"/>
      <c r="AB380" s="264"/>
    </row>
    <row r="381">
      <c r="A381" s="259" t="s">
        <v>613</v>
      </c>
      <c r="B381" s="286">
        <v>90.0</v>
      </c>
      <c r="C381" s="286">
        <v>340.0</v>
      </c>
      <c r="D381" s="286">
        <f t="shared" si="53"/>
        <v>250</v>
      </c>
      <c r="E381" s="286" t="s">
        <v>557</v>
      </c>
      <c r="F381" s="286">
        <f t="shared" si="54"/>
        <v>431.8</v>
      </c>
      <c r="G381" s="335"/>
      <c r="H381" s="261">
        <f t="shared" si="55"/>
        <v>73.52941176</v>
      </c>
      <c r="I381" s="264"/>
      <c r="J381" s="264"/>
      <c r="K381" s="264"/>
      <c r="L381" s="264"/>
      <c r="M381" s="264"/>
      <c r="N381" s="264"/>
      <c r="O381" s="264"/>
      <c r="P381" s="264"/>
      <c r="Q381" s="264"/>
      <c r="R381" s="264"/>
      <c r="S381" s="264"/>
      <c r="T381" s="264"/>
      <c r="U381" s="264"/>
      <c r="V381" s="264"/>
      <c r="W381" s="264"/>
      <c r="X381" s="264"/>
      <c r="Y381" s="264"/>
      <c r="Z381" s="264"/>
      <c r="AA381" s="264"/>
      <c r="AB381" s="264"/>
    </row>
    <row r="382">
      <c r="A382" s="259" t="s">
        <v>614</v>
      </c>
      <c r="B382" s="286">
        <v>90.0</v>
      </c>
      <c r="C382" s="286">
        <v>340.0</v>
      </c>
      <c r="D382" s="286">
        <f t="shared" si="53"/>
        <v>250</v>
      </c>
      <c r="E382" s="286" t="s">
        <v>557</v>
      </c>
      <c r="F382" s="286">
        <f t="shared" si="54"/>
        <v>431.8</v>
      </c>
      <c r="G382" s="335"/>
      <c r="H382" s="261">
        <f t="shared" si="55"/>
        <v>73.52941176</v>
      </c>
      <c r="I382" s="264"/>
      <c r="J382" s="264"/>
      <c r="K382" s="264"/>
      <c r="L382" s="264"/>
      <c r="M382" s="264"/>
      <c r="N382" s="264"/>
      <c r="O382" s="264"/>
      <c r="P382" s="264"/>
      <c r="Q382" s="264"/>
      <c r="R382" s="264"/>
      <c r="S382" s="264"/>
      <c r="T382" s="264"/>
      <c r="U382" s="264"/>
      <c r="V382" s="264"/>
      <c r="W382" s="264"/>
      <c r="X382" s="264"/>
      <c r="Y382" s="264"/>
      <c r="Z382" s="264"/>
      <c r="AA382" s="264"/>
      <c r="AB382" s="264"/>
    </row>
    <row r="383">
      <c r="A383" s="259" t="s">
        <v>615</v>
      </c>
      <c r="B383" s="286">
        <v>90.0</v>
      </c>
      <c r="C383" s="256">
        <v>340.0</v>
      </c>
      <c r="D383" s="286">
        <f t="shared" si="53"/>
        <v>250</v>
      </c>
      <c r="E383" s="286" t="s">
        <v>557</v>
      </c>
      <c r="F383" s="286">
        <f t="shared" si="54"/>
        <v>431.8</v>
      </c>
      <c r="G383" s="335"/>
      <c r="H383" s="261">
        <f t="shared" si="55"/>
        <v>73.52941176</v>
      </c>
      <c r="I383" s="264"/>
      <c r="J383" s="264"/>
      <c r="K383" s="264"/>
      <c r="L383" s="264"/>
      <c r="M383" s="264"/>
      <c r="N383" s="264"/>
      <c r="O383" s="264"/>
      <c r="P383" s="264"/>
      <c r="Q383" s="264"/>
      <c r="R383" s="264"/>
      <c r="S383" s="264"/>
      <c r="T383" s="264"/>
      <c r="U383" s="264"/>
      <c r="V383" s="264"/>
      <c r="W383" s="264"/>
      <c r="X383" s="264"/>
      <c r="Y383" s="264"/>
      <c r="Z383" s="264"/>
      <c r="AA383" s="264"/>
      <c r="AB383" s="264"/>
    </row>
    <row r="384">
      <c r="A384" s="128"/>
      <c r="B384" s="147"/>
      <c r="C384" s="147"/>
      <c r="D384" s="132"/>
      <c r="E384" s="147"/>
      <c r="F384" s="132"/>
      <c r="G384" s="231"/>
      <c r="H384" s="168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  <c r="AA384" s="129"/>
      <c r="AB384" s="129"/>
    </row>
    <row r="385">
      <c r="A385" s="242" t="s">
        <v>616</v>
      </c>
      <c r="B385" s="243">
        <v>3490.0</v>
      </c>
      <c r="C385" s="243">
        <v>3490.0</v>
      </c>
      <c r="D385" s="244">
        <f t="shared" ref="D385:D386" si="56">C385-B385</f>
        <v>0</v>
      </c>
      <c r="E385" s="243" t="s">
        <v>557</v>
      </c>
      <c r="F385" s="244">
        <f t="shared" ref="F385:F386" si="57">C385*1.27</f>
        <v>4432.3</v>
      </c>
      <c r="G385" s="246"/>
      <c r="H385" s="247">
        <f t="shared" ref="H385:H386" si="58">D385/(C385/100)</f>
        <v>0</v>
      </c>
      <c r="I385" s="248"/>
      <c r="J385" s="248"/>
      <c r="K385" s="248"/>
      <c r="L385" s="248"/>
      <c r="M385" s="248"/>
      <c r="N385" s="248"/>
      <c r="O385" s="248"/>
      <c r="P385" s="248"/>
      <c r="Q385" s="248"/>
      <c r="R385" s="248"/>
      <c r="S385" s="248"/>
      <c r="T385" s="248"/>
      <c r="U385" s="248"/>
      <c r="V385" s="248"/>
      <c r="W385" s="248"/>
      <c r="X385" s="248"/>
      <c r="Y385" s="248"/>
      <c r="Z385" s="248"/>
      <c r="AA385" s="248"/>
      <c r="AB385" s="248"/>
    </row>
    <row r="386">
      <c r="A386" s="242" t="s">
        <v>617</v>
      </c>
      <c r="B386" s="243">
        <v>6990.0</v>
      </c>
      <c r="C386" s="243">
        <v>6990.0</v>
      </c>
      <c r="D386" s="244">
        <f t="shared" si="56"/>
        <v>0</v>
      </c>
      <c r="E386" s="243" t="s">
        <v>557</v>
      </c>
      <c r="F386" s="244">
        <f t="shared" si="57"/>
        <v>8877.3</v>
      </c>
      <c r="G386" s="246"/>
      <c r="H386" s="247">
        <f t="shared" si="58"/>
        <v>0</v>
      </c>
      <c r="I386" s="248"/>
      <c r="J386" s="248"/>
      <c r="K386" s="248"/>
      <c r="L386" s="248"/>
      <c r="M386" s="248"/>
      <c r="N386" s="248"/>
      <c r="O386" s="248"/>
      <c r="P386" s="248"/>
      <c r="Q386" s="248"/>
      <c r="R386" s="248"/>
      <c r="S386" s="248"/>
      <c r="T386" s="248"/>
      <c r="U386" s="248"/>
      <c r="V386" s="248"/>
      <c r="W386" s="248"/>
      <c r="X386" s="248"/>
      <c r="Y386" s="248"/>
      <c r="Z386" s="248"/>
      <c r="AA386" s="248"/>
      <c r="AB386" s="248"/>
    </row>
    <row r="387">
      <c r="A387" s="128"/>
      <c r="B387" s="147"/>
      <c r="C387" s="147"/>
      <c r="D387" s="132"/>
      <c r="E387" s="132"/>
      <c r="F387" s="231"/>
      <c r="G387" s="344"/>
      <c r="H387" s="168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</row>
    <row r="388">
      <c r="A388" s="128" t="s">
        <v>618</v>
      </c>
      <c r="B388" s="128">
        <v>-200.0</v>
      </c>
      <c r="C388" s="147"/>
      <c r="D388" s="132"/>
      <c r="E388" s="132"/>
      <c r="F388" s="231"/>
      <c r="G388" s="231"/>
      <c r="H388" s="168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  <c r="AA388" s="129"/>
      <c r="AB388" s="129"/>
    </row>
    <row r="389">
      <c r="A389" s="128"/>
      <c r="B389" s="147"/>
      <c r="C389" s="147"/>
      <c r="D389" s="132"/>
      <c r="E389" s="132"/>
      <c r="F389" s="231"/>
      <c r="G389" s="231"/>
      <c r="H389" s="168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</row>
    <row r="390">
      <c r="A390" s="259" t="s">
        <v>619</v>
      </c>
      <c r="B390" s="256">
        <v>1.0</v>
      </c>
      <c r="C390" s="256">
        <f>125*1</f>
        <v>125</v>
      </c>
      <c r="D390" s="286">
        <f t="shared" ref="D390:D392" si="59">C390-B390</f>
        <v>124</v>
      </c>
      <c r="E390" s="256" t="s">
        <v>557</v>
      </c>
      <c r="F390" s="260">
        <f t="shared" ref="F390:F392" si="60">C390*1.27</f>
        <v>158.75</v>
      </c>
      <c r="G390" s="260"/>
      <c r="H390" s="261">
        <f t="shared" ref="H390:H392" si="61">D390/(C390/100)</f>
        <v>99.2</v>
      </c>
      <c r="I390" s="264"/>
      <c r="J390" s="264"/>
      <c r="K390" s="264"/>
      <c r="L390" s="264"/>
      <c r="M390" s="264"/>
      <c r="N390" s="264"/>
      <c r="O390" s="264"/>
      <c r="P390" s="264"/>
      <c r="Q390" s="264"/>
      <c r="R390" s="264"/>
      <c r="S390" s="264"/>
      <c r="T390" s="264"/>
      <c r="U390" s="264"/>
      <c r="V390" s="264"/>
      <c r="W390" s="264"/>
      <c r="X390" s="264"/>
      <c r="Y390" s="264"/>
      <c r="Z390" s="264"/>
      <c r="AA390" s="264"/>
      <c r="AB390" s="264"/>
    </row>
    <row r="391">
      <c r="A391" s="259" t="s">
        <v>620</v>
      </c>
      <c r="B391" s="256">
        <v>1.0</v>
      </c>
      <c r="C391" s="286">
        <f>125*3</f>
        <v>375</v>
      </c>
      <c r="D391" s="286">
        <f t="shared" si="59"/>
        <v>374</v>
      </c>
      <c r="E391" s="256" t="s">
        <v>557</v>
      </c>
      <c r="F391" s="260">
        <f t="shared" si="60"/>
        <v>476.25</v>
      </c>
      <c r="G391" s="260"/>
      <c r="H391" s="261">
        <f t="shared" si="61"/>
        <v>99.73333333</v>
      </c>
      <c r="I391" s="264"/>
      <c r="J391" s="264"/>
      <c r="K391" s="264"/>
      <c r="L391" s="264"/>
      <c r="M391" s="264"/>
      <c r="N391" s="264"/>
      <c r="O391" s="264"/>
      <c r="P391" s="264"/>
      <c r="Q391" s="264"/>
      <c r="R391" s="264"/>
      <c r="S391" s="264"/>
      <c r="T391" s="264"/>
      <c r="U391" s="264"/>
      <c r="V391" s="264"/>
      <c r="W391" s="264"/>
      <c r="X391" s="264"/>
      <c r="Y391" s="264"/>
      <c r="Z391" s="264"/>
      <c r="AA391" s="264"/>
      <c r="AB391" s="264"/>
    </row>
    <row r="392">
      <c r="A392" s="259" t="s">
        <v>621</v>
      </c>
      <c r="B392" s="256">
        <v>1.0</v>
      </c>
      <c r="C392" s="256">
        <f>125*1</f>
        <v>125</v>
      </c>
      <c r="D392" s="286">
        <f t="shared" si="59"/>
        <v>124</v>
      </c>
      <c r="E392" s="256" t="s">
        <v>557</v>
      </c>
      <c r="F392" s="260">
        <f t="shared" si="60"/>
        <v>158.75</v>
      </c>
      <c r="G392" s="260"/>
      <c r="H392" s="261">
        <f t="shared" si="61"/>
        <v>99.2</v>
      </c>
      <c r="I392" s="264"/>
      <c r="J392" s="264"/>
      <c r="K392" s="264"/>
      <c r="L392" s="264"/>
      <c r="M392" s="264"/>
      <c r="N392" s="264"/>
      <c r="O392" s="264"/>
      <c r="P392" s="264"/>
      <c r="Q392" s="264"/>
      <c r="R392" s="264"/>
      <c r="S392" s="264"/>
      <c r="T392" s="264"/>
      <c r="U392" s="264"/>
      <c r="V392" s="264"/>
      <c r="W392" s="264"/>
      <c r="X392" s="264"/>
      <c r="Y392" s="264"/>
      <c r="Z392" s="264"/>
      <c r="AA392" s="264"/>
      <c r="AB392" s="264"/>
    </row>
    <row r="393">
      <c r="A393" s="128"/>
      <c r="B393" s="147"/>
      <c r="C393" s="147"/>
      <c r="D393" s="132"/>
      <c r="E393" s="132"/>
      <c r="F393" s="231"/>
      <c r="G393" s="344"/>
      <c r="H393" s="168"/>
    </row>
    <row r="394">
      <c r="A394" s="259" t="s">
        <v>622</v>
      </c>
      <c r="B394" s="256">
        <v>1.0</v>
      </c>
      <c r="C394" s="256">
        <f>100*6</f>
        <v>600</v>
      </c>
      <c r="D394" s="286">
        <f t="shared" ref="D394:D395" si="62">C394-B394</f>
        <v>599</v>
      </c>
      <c r="E394" s="256" t="s">
        <v>557</v>
      </c>
      <c r="F394" s="260">
        <f t="shared" ref="F394:F395" si="63">C394*1.27</f>
        <v>762</v>
      </c>
      <c r="G394" s="260"/>
      <c r="H394" s="261">
        <f t="shared" ref="H394:H395" si="64">D394/(C394/100)</f>
        <v>99.83333333</v>
      </c>
      <c r="I394" s="262"/>
      <c r="J394" s="262"/>
      <c r="K394" s="262"/>
      <c r="L394" s="262"/>
      <c r="M394" s="262"/>
      <c r="N394" s="262"/>
      <c r="O394" s="262"/>
      <c r="P394" s="262"/>
      <c r="Q394" s="262"/>
      <c r="R394" s="262"/>
      <c r="S394" s="262"/>
      <c r="T394" s="262"/>
      <c r="U394" s="262"/>
      <c r="V394" s="262"/>
      <c r="W394" s="262"/>
      <c r="X394" s="262"/>
      <c r="Y394" s="262"/>
      <c r="Z394" s="262"/>
      <c r="AA394" s="262"/>
      <c r="AB394" s="262"/>
    </row>
    <row r="395">
      <c r="A395" s="259" t="s">
        <v>623</v>
      </c>
      <c r="B395" s="256">
        <v>1.0</v>
      </c>
      <c r="C395" s="256">
        <f>100*13</f>
        <v>1300</v>
      </c>
      <c r="D395" s="286">
        <f t="shared" si="62"/>
        <v>1299</v>
      </c>
      <c r="E395" s="256" t="s">
        <v>557</v>
      </c>
      <c r="F395" s="260">
        <f t="shared" si="63"/>
        <v>1651</v>
      </c>
      <c r="G395" s="260"/>
      <c r="H395" s="261">
        <f t="shared" si="64"/>
        <v>99.92307692</v>
      </c>
      <c r="I395" s="262"/>
      <c r="J395" s="262"/>
      <c r="K395" s="262"/>
      <c r="L395" s="262"/>
      <c r="M395" s="262"/>
      <c r="N395" s="262"/>
      <c r="O395" s="262"/>
      <c r="P395" s="262"/>
      <c r="Q395" s="262"/>
      <c r="R395" s="262"/>
      <c r="S395" s="262"/>
      <c r="T395" s="262"/>
      <c r="U395" s="262"/>
      <c r="V395" s="262"/>
      <c r="W395" s="262"/>
      <c r="X395" s="262"/>
      <c r="Y395" s="262"/>
      <c r="Z395" s="262"/>
      <c r="AA395" s="262"/>
      <c r="AB395" s="262"/>
    </row>
    <row r="396">
      <c r="A396" s="128"/>
      <c r="B396" s="147"/>
      <c r="C396" s="147"/>
      <c r="D396" s="132"/>
      <c r="E396" s="132"/>
      <c r="F396" s="231"/>
      <c r="G396" s="344"/>
      <c r="H396" s="168"/>
    </row>
    <row r="397">
      <c r="A397" s="259" t="s">
        <v>624</v>
      </c>
      <c r="B397" s="256">
        <v>1.0</v>
      </c>
      <c r="C397" s="286">
        <f>75*69</f>
        <v>5175</v>
      </c>
      <c r="D397" s="286">
        <f t="shared" ref="D397:D400" si="65">C397-B397</f>
        <v>5174</v>
      </c>
      <c r="E397" s="256" t="s">
        <v>557</v>
      </c>
      <c r="F397" s="260">
        <f t="shared" ref="F397:F400" si="66">C397*1.27</f>
        <v>6572.25</v>
      </c>
      <c r="G397" s="260"/>
      <c r="H397" s="261">
        <f t="shared" ref="H397:H400" si="67">D397/(C397/100)</f>
        <v>99.98067633</v>
      </c>
      <c r="I397" s="264"/>
      <c r="J397" s="264"/>
      <c r="K397" s="264"/>
      <c r="L397" s="264"/>
      <c r="M397" s="264"/>
      <c r="N397" s="264"/>
      <c r="O397" s="264"/>
      <c r="P397" s="264"/>
      <c r="Q397" s="264"/>
      <c r="R397" s="264"/>
      <c r="S397" s="264"/>
      <c r="T397" s="264"/>
      <c r="U397" s="264"/>
      <c r="V397" s="264"/>
      <c r="W397" s="264"/>
      <c r="X397" s="264"/>
      <c r="Y397" s="264"/>
      <c r="Z397" s="264"/>
      <c r="AA397" s="264"/>
      <c r="AB397" s="264"/>
    </row>
    <row r="398">
      <c r="A398" s="259" t="s">
        <v>625</v>
      </c>
      <c r="B398" s="256">
        <v>1.0</v>
      </c>
      <c r="C398" s="256">
        <f>75*20</f>
        <v>1500</v>
      </c>
      <c r="D398" s="286">
        <f t="shared" si="65"/>
        <v>1499</v>
      </c>
      <c r="E398" s="256" t="s">
        <v>557</v>
      </c>
      <c r="F398" s="260">
        <f t="shared" si="66"/>
        <v>1905</v>
      </c>
      <c r="G398" s="260"/>
      <c r="H398" s="261">
        <f t="shared" si="67"/>
        <v>99.93333333</v>
      </c>
      <c r="I398" s="264"/>
      <c r="J398" s="264"/>
      <c r="K398" s="264"/>
      <c r="L398" s="264"/>
      <c r="M398" s="264"/>
      <c r="N398" s="264"/>
      <c r="O398" s="264"/>
      <c r="P398" s="264"/>
      <c r="Q398" s="264"/>
      <c r="R398" s="264"/>
      <c r="S398" s="264"/>
      <c r="T398" s="264"/>
      <c r="U398" s="264"/>
      <c r="V398" s="264"/>
      <c r="W398" s="264"/>
      <c r="X398" s="264"/>
      <c r="Y398" s="264"/>
      <c r="Z398" s="264"/>
      <c r="AA398" s="264"/>
      <c r="AB398" s="264"/>
    </row>
    <row r="399">
      <c r="A399" s="259" t="s">
        <v>626</v>
      </c>
      <c r="B399" s="256">
        <v>1.0</v>
      </c>
      <c r="C399" s="256">
        <f>75*2</f>
        <v>150</v>
      </c>
      <c r="D399" s="286">
        <f t="shared" si="65"/>
        <v>149</v>
      </c>
      <c r="E399" s="256" t="s">
        <v>557</v>
      </c>
      <c r="F399" s="260">
        <f t="shared" si="66"/>
        <v>190.5</v>
      </c>
      <c r="G399" s="260"/>
      <c r="H399" s="261">
        <f t="shared" si="67"/>
        <v>99.33333333</v>
      </c>
      <c r="I399" s="264"/>
      <c r="J399" s="264"/>
      <c r="K399" s="264"/>
      <c r="L399" s="264"/>
      <c r="M399" s="264"/>
      <c r="N399" s="264"/>
      <c r="O399" s="264"/>
      <c r="P399" s="264"/>
      <c r="Q399" s="264"/>
      <c r="R399" s="264"/>
      <c r="S399" s="264"/>
      <c r="T399" s="264"/>
      <c r="U399" s="264"/>
      <c r="V399" s="264"/>
      <c r="W399" s="264"/>
      <c r="X399" s="264"/>
      <c r="Y399" s="264"/>
      <c r="Z399" s="264"/>
      <c r="AA399" s="264"/>
      <c r="AB399" s="264"/>
    </row>
    <row r="400">
      <c r="A400" s="259" t="s">
        <v>627</v>
      </c>
      <c r="B400" s="256">
        <v>1.0</v>
      </c>
      <c r="C400" s="256">
        <f>75*1</f>
        <v>75</v>
      </c>
      <c r="D400" s="286">
        <f t="shared" si="65"/>
        <v>74</v>
      </c>
      <c r="E400" s="256" t="s">
        <v>557</v>
      </c>
      <c r="F400" s="260">
        <f t="shared" si="66"/>
        <v>95.25</v>
      </c>
      <c r="G400" s="260"/>
      <c r="H400" s="261">
        <f t="shared" si="67"/>
        <v>98.66666667</v>
      </c>
      <c r="I400" s="264"/>
      <c r="J400" s="264"/>
      <c r="K400" s="264"/>
      <c r="L400" s="264"/>
      <c r="M400" s="264"/>
      <c r="N400" s="264"/>
      <c r="O400" s="264"/>
      <c r="P400" s="264"/>
      <c r="Q400" s="264"/>
      <c r="R400" s="264"/>
      <c r="S400" s="264"/>
      <c r="T400" s="264"/>
      <c r="U400" s="264"/>
      <c r="V400" s="264"/>
      <c r="W400" s="264"/>
      <c r="X400" s="264"/>
      <c r="Y400" s="264"/>
      <c r="Z400" s="264"/>
      <c r="AA400" s="264"/>
      <c r="AB400" s="264"/>
    </row>
    <row r="401">
      <c r="F401" s="231"/>
      <c r="G401" s="344"/>
      <c r="H401" s="168"/>
    </row>
    <row r="402">
      <c r="A402" s="259" t="s">
        <v>628</v>
      </c>
      <c r="B402" s="256">
        <v>1.0</v>
      </c>
      <c r="C402" s="256">
        <f>75*115</f>
        <v>8625</v>
      </c>
      <c r="D402" s="286">
        <f t="shared" ref="D402:D405" si="68">C402-B402</f>
        <v>8624</v>
      </c>
      <c r="E402" s="256" t="s">
        <v>629</v>
      </c>
      <c r="F402" s="345">
        <f t="shared" ref="F402:F405" si="69">C402*1.27</f>
        <v>10953.75</v>
      </c>
      <c r="G402" s="260"/>
      <c r="H402" s="261">
        <f>D402/(C402/100)</f>
        <v>99.9884058</v>
      </c>
      <c r="I402" s="264"/>
      <c r="J402" s="264"/>
      <c r="K402" s="264"/>
      <c r="L402" s="264"/>
      <c r="M402" s="264"/>
      <c r="N402" s="264"/>
      <c r="O402" s="264"/>
      <c r="P402" s="264"/>
      <c r="Q402" s="264"/>
      <c r="R402" s="264"/>
      <c r="S402" s="264"/>
      <c r="T402" s="264"/>
      <c r="U402" s="264"/>
      <c r="V402" s="264"/>
      <c r="W402" s="264"/>
      <c r="X402" s="264"/>
      <c r="Y402" s="264"/>
      <c r="Z402" s="264"/>
      <c r="AA402" s="264"/>
      <c r="AB402" s="264"/>
    </row>
    <row r="403">
      <c r="A403" s="275" t="s">
        <v>630</v>
      </c>
      <c r="B403" s="273">
        <v>2790.0</v>
      </c>
      <c r="C403" s="273">
        <v>3540.0</v>
      </c>
      <c r="D403" s="274">
        <f t="shared" si="68"/>
        <v>750</v>
      </c>
      <c r="E403" s="273" t="s">
        <v>629</v>
      </c>
      <c r="F403" s="346">
        <f t="shared" si="69"/>
        <v>4495.8</v>
      </c>
      <c r="G403" s="276"/>
      <c r="H403" s="277">
        <f>D403/(B403/100)</f>
        <v>26.88172043</v>
      </c>
      <c r="I403" s="278"/>
      <c r="J403" s="278"/>
      <c r="K403" s="278"/>
      <c r="L403" s="278"/>
      <c r="M403" s="278"/>
      <c r="N403" s="278"/>
      <c r="O403" s="278"/>
      <c r="P403" s="278"/>
      <c r="Q403" s="278"/>
      <c r="R403" s="278"/>
      <c r="S403" s="278"/>
      <c r="T403" s="278"/>
      <c r="U403" s="278"/>
      <c r="V403" s="278"/>
      <c r="W403" s="278"/>
      <c r="X403" s="278"/>
      <c r="Y403" s="278"/>
      <c r="Z403" s="278"/>
      <c r="AA403" s="278"/>
      <c r="AB403" s="278"/>
    </row>
    <row r="404">
      <c r="A404" s="259" t="s">
        <v>631</v>
      </c>
      <c r="B404" s="256">
        <v>1240.0</v>
      </c>
      <c r="C404" s="256">
        <v>2440.0</v>
      </c>
      <c r="D404" s="286">
        <f t="shared" si="68"/>
        <v>1200</v>
      </c>
      <c r="E404" s="256" t="s">
        <v>629</v>
      </c>
      <c r="F404" s="345">
        <f t="shared" si="69"/>
        <v>3098.8</v>
      </c>
      <c r="G404" s="335"/>
      <c r="H404" s="261">
        <f t="shared" ref="H404:H405" si="70">D404/(C404/100)</f>
        <v>49.18032787</v>
      </c>
      <c r="I404" s="264"/>
      <c r="J404" s="264"/>
      <c r="K404" s="264"/>
      <c r="L404" s="264"/>
      <c r="M404" s="264"/>
      <c r="N404" s="264"/>
      <c r="O404" s="264"/>
      <c r="P404" s="264"/>
      <c r="Q404" s="264"/>
      <c r="R404" s="264"/>
      <c r="S404" s="264"/>
      <c r="T404" s="264"/>
      <c r="U404" s="264"/>
      <c r="V404" s="264"/>
      <c r="W404" s="264"/>
      <c r="X404" s="264"/>
      <c r="Y404" s="264"/>
      <c r="Z404" s="264"/>
      <c r="AA404" s="264"/>
      <c r="AB404" s="264"/>
    </row>
    <row r="405">
      <c r="A405" s="259" t="s">
        <v>632</v>
      </c>
      <c r="B405" s="256">
        <v>1240.0</v>
      </c>
      <c r="C405" s="256">
        <v>2190.0</v>
      </c>
      <c r="D405" s="286">
        <f t="shared" si="68"/>
        <v>950</v>
      </c>
      <c r="E405" s="256" t="s">
        <v>629</v>
      </c>
      <c r="F405" s="345">
        <f t="shared" si="69"/>
        <v>2781.3</v>
      </c>
      <c r="G405" s="260"/>
      <c r="H405" s="261">
        <f t="shared" si="70"/>
        <v>43.37899543</v>
      </c>
      <c r="I405" s="264"/>
      <c r="J405" s="264"/>
      <c r="K405" s="264"/>
      <c r="L405" s="264"/>
      <c r="M405" s="264"/>
      <c r="N405" s="264"/>
      <c r="O405" s="264"/>
      <c r="P405" s="264"/>
      <c r="Q405" s="264"/>
      <c r="R405" s="264"/>
      <c r="S405" s="264"/>
      <c r="T405" s="264"/>
      <c r="U405" s="264"/>
      <c r="V405" s="264"/>
      <c r="W405" s="264"/>
      <c r="X405" s="264"/>
      <c r="Y405" s="264"/>
      <c r="Z405" s="264"/>
      <c r="AA405" s="264"/>
      <c r="AB405" s="264"/>
    </row>
    <row r="406">
      <c r="A406" s="128"/>
      <c r="B406" s="147"/>
      <c r="C406" s="147"/>
      <c r="D406" s="132"/>
      <c r="E406" s="132"/>
      <c r="F406" s="347"/>
      <c r="G406" s="347"/>
      <c r="H406" s="168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  <c r="AA406" s="129"/>
      <c r="AB406" s="129"/>
    </row>
    <row r="407">
      <c r="A407" s="242" t="s">
        <v>633</v>
      </c>
      <c r="B407" s="243"/>
      <c r="C407" s="243"/>
      <c r="D407" s="244"/>
      <c r="E407" s="243" t="s">
        <v>629</v>
      </c>
      <c r="F407" s="348"/>
      <c r="G407" s="343"/>
      <c r="H407" s="247"/>
      <c r="I407" s="248"/>
      <c r="J407" s="248"/>
      <c r="K407" s="248"/>
      <c r="L407" s="248"/>
      <c r="M407" s="248"/>
      <c r="N407" s="248"/>
      <c r="O407" s="248"/>
      <c r="P407" s="248"/>
      <c r="Q407" s="248"/>
      <c r="R407" s="248"/>
      <c r="S407" s="248"/>
      <c r="T407" s="248"/>
      <c r="U407" s="248"/>
      <c r="V407" s="248"/>
      <c r="W407" s="248"/>
      <c r="X407" s="248"/>
      <c r="Y407" s="248"/>
      <c r="Z407" s="248"/>
      <c r="AA407" s="248"/>
      <c r="AB407" s="248"/>
    </row>
    <row r="408">
      <c r="A408" s="122"/>
      <c r="B408" s="214"/>
      <c r="C408" s="214"/>
      <c r="D408" s="134"/>
      <c r="E408" s="145"/>
      <c r="F408" s="214"/>
      <c r="G408" s="349"/>
      <c r="H408" s="168"/>
      <c r="I408" s="134"/>
      <c r="J408" s="134"/>
      <c r="K408" s="134"/>
      <c r="L408" s="134"/>
      <c r="M408" s="134"/>
      <c r="N408" s="134"/>
      <c r="O408" s="134"/>
      <c r="P408" s="134"/>
      <c r="Q408" s="134"/>
      <c r="R408" s="134"/>
      <c r="S408" s="134"/>
      <c r="T408" s="134"/>
      <c r="U408" s="134"/>
      <c r="V408" s="134"/>
      <c r="W408" s="134"/>
      <c r="X408" s="134"/>
      <c r="Y408" s="134"/>
      <c r="Z408" s="134"/>
      <c r="AA408" s="134"/>
      <c r="AB408" s="134"/>
    </row>
    <row r="409">
      <c r="A409" s="122" t="s">
        <v>634</v>
      </c>
      <c r="B409" s="214"/>
      <c r="C409" s="214"/>
      <c r="D409" s="134"/>
      <c r="E409" s="145"/>
      <c r="F409" s="214"/>
      <c r="G409" s="349"/>
      <c r="H409" s="168"/>
      <c r="I409" s="134"/>
      <c r="J409" s="134"/>
      <c r="K409" s="134"/>
      <c r="L409" s="134"/>
      <c r="M409" s="134"/>
      <c r="N409" s="134"/>
      <c r="O409" s="134"/>
      <c r="P409" s="134"/>
      <c r="Q409" s="134"/>
      <c r="R409" s="134"/>
      <c r="S409" s="134"/>
      <c r="T409" s="134"/>
      <c r="U409" s="134"/>
      <c r="V409" s="134"/>
      <c r="W409" s="134"/>
      <c r="X409" s="134"/>
      <c r="Y409" s="134"/>
      <c r="Z409" s="134"/>
      <c r="AA409" s="134"/>
      <c r="AB409" s="134"/>
    </row>
    <row r="410">
      <c r="A410" s="284" t="s">
        <v>635</v>
      </c>
      <c r="B410" s="273">
        <v>2890.0</v>
      </c>
      <c r="C410" s="273">
        <v>3140.0</v>
      </c>
      <c r="D410" s="274">
        <f t="shared" ref="D410:D426" si="71">C410-B410</f>
        <v>250</v>
      </c>
      <c r="E410" s="273" t="s">
        <v>629</v>
      </c>
      <c r="F410" s="346">
        <f t="shared" ref="F410:F426" si="72">C410*1.27</f>
        <v>3987.8</v>
      </c>
      <c r="G410" s="346"/>
      <c r="H410" s="277">
        <f t="shared" ref="H410:H426" si="73">D410/(C410/100)</f>
        <v>7.961783439</v>
      </c>
      <c r="I410" s="283"/>
      <c r="J410" s="283"/>
      <c r="K410" s="283"/>
      <c r="L410" s="283"/>
      <c r="M410" s="283"/>
      <c r="N410" s="283"/>
      <c r="O410" s="283"/>
      <c r="P410" s="283"/>
      <c r="Q410" s="283"/>
      <c r="R410" s="283"/>
      <c r="S410" s="283"/>
      <c r="T410" s="283"/>
      <c r="U410" s="283"/>
      <c r="V410" s="283"/>
      <c r="W410" s="283"/>
      <c r="X410" s="283"/>
      <c r="Y410" s="283"/>
      <c r="Z410" s="283"/>
      <c r="AA410" s="283"/>
      <c r="AB410" s="283"/>
    </row>
    <row r="411">
      <c r="A411" s="284" t="s">
        <v>635</v>
      </c>
      <c r="B411" s="273">
        <v>2890.0</v>
      </c>
      <c r="C411" s="273">
        <v>3140.0</v>
      </c>
      <c r="D411" s="274">
        <f t="shared" si="71"/>
        <v>250</v>
      </c>
      <c r="E411" s="273" t="s">
        <v>629</v>
      </c>
      <c r="F411" s="346">
        <f t="shared" si="72"/>
        <v>3987.8</v>
      </c>
      <c r="G411" s="346"/>
      <c r="H411" s="277">
        <f t="shared" si="73"/>
        <v>7.961783439</v>
      </c>
      <c r="I411" s="283"/>
      <c r="J411" s="283"/>
      <c r="K411" s="283"/>
      <c r="L411" s="283"/>
      <c r="M411" s="283"/>
      <c r="N411" s="283"/>
      <c r="O411" s="283"/>
      <c r="P411" s="283"/>
      <c r="Q411" s="283"/>
      <c r="R411" s="283"/>
      <c r="S411" s="283"/>
      <c r="T411" s="283"/>
      <c r="U411" s="283"/>
      <c r="V411" s="283"/>
      <c r="W411" s="283"/>
      <c r="X411" s="283"/>
      <c r="Y411" s="283"/>
      <c r="Z411" s="283"/>
      <c r="AA411" s="283"/>
      <c r="AB411" s="283"/>
    </row>
    <row r="412">
      <c r="A412" s="284" t="s">
        <v>635</v>
      </c>
      <c r="B412" s="273">
        <v>2890.0</v>
      </c>
      <c r="C412" s="273">
        <v>3140.0</v>
      </c>
      <c r="D412" s="274">
        <f t="shared" si="71"/>
        <v>250</v>
      </c>
      <c r="E412" s="273" t="s">
        <v>629</v>
      </c>
      <c r="F412" s="346">
        <f t="shared" si="72"/>
        <v>3987.8</v>
      </c>
      <c r="G412" s="346"/>
      <c r="H412" s="277">
        <f t="shared" si="73"/>
        <v>7.961783439</v>
      </c>
      <c r="I412" s="283"/>
      <c r="J412" s="283"/>
      <c r="K412" s="283"/>
      <c r="L412" s="283"/>
      <c r="M412" s="283"/>
      <c r="N412" s="283"/>
      <c r="O412" s="283"/>
      <c r="P412" s="283"/>
      <c r="Q412" s="283"/>
      <c r="R412" s="283"/>
      <c r="S412" s="283"/>
      <c r="T412" s="283"/>
      <c r="U412" s="283"/>
      <c r="V412" s="283"/>
      <c r="W412" s="283"/>
      <c r="X412" s="283"/>
      <c r="Y412" s="283"/>
      <c r="Z412" s="283"/>
      <c r="AA412" s="283"/>
      <c r="AB412" s="283"/>
    </row>
    <row r="413">
      <c r="A413" s="284" t="s">
        <v>635</v>
      </c>
      <c r="B413" s="273">
        <v>2890.0</v>
      </c>
      <c r="C413" s="273">
        <v>3140.0</v>
      </c>
      <c r="D413" s="274">
        <f t="shared" si="71"/>
        <v>250</v>
      </c>
      <c r="E413" s="273" t="s">
        <v>629</v>
      </c>
      <c r="F413" s="346">
        <f t="shared" si="72"/>
        <v>3987.8</v>
      </c>
      <c r="G413" s="346"/>
      <c r="H413" s="277">
        <f t="shared" si="73"/>
        <v>7.961783439</v>
      </c>
      <c r="I413" s="283"/>
      <c r="J413" s="283"/>
      <c r="K413" s="283"/>
      <c r="L413" s="283"/>
      <c r="M413" s="283"/>
      <c r="N413" s="283"/>
      <c r="O413" s="283"/>
      <c r="P413" s="283"/>
      <c r="Q413" s="283"/>
      <c r="R413" s="283"/>
      <c r="S413" s="283"/>
      <c r="T413" s="283"/>
      <c r="U413" s="283"/>
      <c r="V413" s="283"/>
      <c r="W413" s="283"/>
      <c r="X413" s="283"/>
      <c r="Y413" s="283"/>
      <c r="Z413" s="283"/>
      <c r="AA413" s="283"/>
      <c r="AB413" s="283"/>
    </row>
    <row r="414">
      <c r="A414" s="284" t="s">
        <v>635</v>
      </c>
      <c r="B414" s="273">
        <v>2890.0</v>
      </c>
      <c r="C414" s="273">
        <v>3140.0</v>
      </c>
      <c r="D414" s="274">
        <f t="shared" si="71"/>
        <v>250</v>
      </c>
      <c r="E414" s="273" t="s">
        <v>629</v>
      </c>
      <c r="F414" s="346">
        <f t="shared" si="72"/>
        <v>3987.8</v>
      </c>
      <c r="G414" s="346"/>
      <c r="H414" s="277">
        <f t="shared" si="73"/>
        <v>7.961783439</v>
      </c>
      <c r="I414" s="283"/>
      <c r="J414" s="283"/>
      <c r="K414" s="283"/>
      <c r="L414" s="283"/>
      <c r="M414" s="283"/>
      <c r="N414" s="283"/>
      <c r="O414" s="283"/>
      <c r="P414" s="283"/>
      <c r="Q414" s="283"/>
      <c r="R414" s="283"/>
      <c r="S414" s="283"/>
      <c r="T414" s="283"/>
      <c r="U414" s="283"/>
      <c r="V414" s="283"/>
      <c r="W414" s="283"/>
      <c r="X414" s="283"/>
      <c r="Y414" s="283"/>
      <c r="Z414" s="283"/>
      <c r="AA414" s="283"/>
      <c r="AB414" s="283"/>
    </row>
    <row r="415">
      <c r="A415" s="284" t="s">
        <v>635</v>
      </c>
      <c r="B415" s="273">
        <v>2890.0</v>
      </c>
      <c r="C415" s="273">
        <v>3140.0</v>
      </c>
      <c r="D415" s="274">
        <f t="shared" si="71"/>
        <v>250</v>
      </c>
      <c r="E415" s="273" t="s">
        <v>629</v>
      </c>
      <c r="F415" s="346">
        <f t="shared" si="72"/>
        <v>3987.8</v>
      </c>
      <c r="G415" s="346"/>
      <c r="H415" s="277">
        <f t="shared" si="73"/>
        <v>7.961783439</v>
      </c>
      <c r="I415" s="283"/>
      <c r="J415" s="283"/>
      <c r="K415" s="283"/>
      <c r="L415" s="283"/>
      <c r="M415" s="283"/>
      <c r="N415" s="283"/>
      <c r="O415" s="283"/>
      <c r="P415" s="283"/>
      <c r="Q415" s="283"/>
      <c r="R415" s="283"/>
      <c r="S415" s="283"/>
      <c r="T415" s="283"/>
      <c r="U415" s="283"/>
      <c r="V415" s="283"/>
      <c r="W415" s="283"/>
      <c r="X415" s="283"/>
      <c r="Y415" s="283"/>
      <c r="Z415" s="283"/>
      <c r="AA415" s="283"/>
      <c r="AB415" s="283"/>
    </row>
    <row r="416">
      <c r="A416" s="284" t="s">
        <v>635</v>
      </c>
      <c r="B416" s="273">
        <v>2890.0</v>
      </c>
      <c r="C416" s="273">
        <v>3140.0</v>
      </c>
      <c r="D416" s="274">
        <f t="shared" si="71"/>
        <v>250</v>
      </c>
      <c r="E416" s="273" t="s">
        <v>629</v>
      </c>
      <c r="F416" s="346">
        <f t="shared" si="72"/>
        <v>3987.8</v>
      </c>
      <c r="G416" s="346"/>
      <c r="H416" s="277">
        <f t="shared" si="73"/>
        <v>7.961783439</v>
      </c>
      <c r="I416" s="283"/>
      <c r="J416" s="283"/>
      <c r="K416" s="283"/>
      <c r="L416" s="283"/>
      <c r="M416" s="283"/>
      <c r="N416" s="283"/>
      <c r="O416" s="283"/>
      <c r="P416" s="283"/>
      <c r="Q416" s="283"/>
      <c r="R416" s="283"/>
      <c r="S416" s="283"/>
      <c r="T416" s="283"/>
      <c r="U416" s="283"/>
      <c r="V416" s="283"/>
      <c r="W416" s="283"/>
      <c r="X416" s="283"/>
      <c r="Y416" s="283"/>
      <c r="Z416" s="283"/>
      <c r="AA416" s="283"/>
      <c r="AB416" s="283"/>
    </row>
    <row r="417">
      <c r="A417" s="284" t="s">
        <v>635</v>
      </c>
      <c r="B417" s="273">
        <v>2890.0</v>
      </c>
      <c r="C417" s="273">
        <v>3140.0</v>
      </c>
      <c r="D417" s="274">
        <f t="shared" si="71"/>
        <v>250</v>
      </c>
      <c r="E417" s="273" t="s">
        <v>629</v>
      </c>
      <c r="F417" s="346">
        <f t="shared" si="72"/>
        <v>3987.8</v>
      </c>
      <c r="G417" s="346"/>
      <c r="H417" s="277">
        <f t="shared" si="73"/>
        <v>7.961783439</v>
      </c>
      <c r="I417" s="283"/>
      <c r="J417" s="283"/>
      <c r="K417" s="283"/>
      <c r="L417" s="283"/>
      <c r="M417" s="283"/>
      <c r="N417" s="283"/>
      <c r="O417" s="283"/>
      <c r="P417" s="283"/>
      <c r="Q417" s="283"/>
      <c r="R417" s="283"/>
      <c r="S417" s="283"/>
      <c r="T417" s="283"/>
      <c r="U417" s="283"/>
      <c r="V417" s="283"/>
      <c r="W417" s="283"/>
      <c r="X417" s="283"/>
      <c r="Y417" s="283"/>
      <c r="Z417" s="283"/>
      <c r="AA417" s="283"/>
      <c r="AB417" s="283"/>
    </row>
    <row r="418">
      <c r="A418" s="284" t="s">
        <v>635</v>
      </c>
      <c r="B418" s="273">
        <v>2890.0</v>
      </c>
      <c r="C418" s="273">
        <v>3140.0</v>
      </c>
      <c r="D418" s="274">
        <f t="shared" si="71"/>
        <v>250</v>
      </c>
      <c r="E418" s="273" t="s">
        <v>629</v>
      </c>
      <c r="F418" s="346">
        <f t="shared" si="72"/>
        <v>3987.8</v>
      </c>
      <c r="G418" s="346"/>
      <c r="H418" s="277">
        <f t="shared" si="73"/>
        <v>7.961783439</v>
      </c>
      <c r="I418" s="283"/>
      <c r="J418" s="283"/>
      <c r="K418" s="283"/>
      <c r="L418" s="283"/>
      <c r="M418" s="283"/>
      <c r="N418" s="283"/>
      <c r="O418" s="283"/>
      <c r="P418" s="283"/>
      <c r="Q418" s="283"/>
      <c r="R418" s="283"/>
      <c r="S418" s="283"/>
      <c r="T418" s="283"/>
      <c r="U418" s="283"/>
      <c r="V418" s="283"/>
      <c r="W418" s="283"/>
      <c r="X418" s="283"/>
      <c r="Y418" s="283"/>
      <c r="Z418" s="283"/>
      <c r="AA418" s="283"/>
      <c r="AB418" s="283"/>
    </row>
    <row r="419">
      <c r="A419" s="284" t="s">
        <v>635</v>
      </c>
      <c r="B419" s="273">
        <v>2890.0</v>
      </c>
      <c r="C419" s="273">
        <v>3140.0</v>
      </c>
      <c r="D419" s="274">
        <f t="shared" si="71"/>
        <v>250</v>
      </c>
      <c r="E419" s="273" t="s">
        <v>629</v>
      </c>
      <c r="F419" s="346">
        <f t="shared" si="72"/>
        <v>3987.8</v>
      </c>
      <c r="G419" s="346"/>
      <c r="H419" s="277">
        <f t="shared" si="73"/>
        <v>7.961783439</v>
      </c>
      <c r="I419" s="283"/>
      <c r="J419" s="283"/>
      <c r="K419" s="283"/>
      <c r="L419" s="283"/>
      <c r="M419" s="283"/>
      <c r="N419" s="283"/>
      <c r="O419" s="283"/>
      <c r="P419" s="283"/>
      <c r="Q419" s="283"/>
      <c r="R419" s="283"/>
      <c r="S419" s="283"/>
      <c r="T419" s="283"/>
      <c r="U419" s="283"/>
      <c r="V419" s="283"/>
      <c r="W419" s="283"/>
      <c r="X419" s="283"/>
      <c r="Y419" s="283"/>
      <c r="Z419" s="283"/>
      <c r="AA419" s="283"/>
      <c r="AB419" s="283"/>
    </row>
    <row r="420">
      <c r="A420" s="284" t="s">
        <v>635</v>
      </c>
      <c r="B420" s="273">
        <v>2890.0</v>
      </c>
      <c r="C420" s="273">
        <v>3140.0</v>
      </c>
      <c r="D420" s="274">
        <f t="shared" si="71"/>
        <v>250</v>
      </c>
      <c r="E420" s="273" t="s">
        <v>629</v>
      </c>
      <c r="F420" s="346">
        <f t="shared" si="72"/>
        <v>3987.8</v>
      </c>
      <c r="G420" s="346"/>
      <c r="H420" s="277">
        <f t="shared" si="73"/>
        <v>7.961783439</v>
      </c>
      <c r="I420" s="283"/>
      <c r="J420" s="283"/>
      <c r="K420" s="283"/>
      <c r="L420" s="283"/>
      <c r="M420" s="283"/>
      <c r="N420" s="283"/>
      <c r="O420" s="283"/>
      <c r="P420" s="283"/>
      <c r="Q420" s="283"/>
      <c r="R420" s="283"/>
      <c r="S420" s="283"/>
      <c r="T420" s="283"/>
      <c r="U420" s="283"/>
      <c r="V420" s="283"/>
      <c r="W420" s="283"/>
      <c r="X420" s="283"/>
      <c r="Y420" s="283"/>
      <c r="Z420" s="283"/>
      <c r="AA420" s="283"/>
      <c r="AB420" s="283"/>
    </row>
    <row r="421">
      <c r="A421" s="284" t="s">
        <v>635</v>
      </c>
      <c r="B421" s="273">
        <v>2890.0</v>
      </c>
      <c r="C421" s="273">
        <v>3140.0</v>
      </c>
      <c r="D421" s="274">
        <f t="shared" si="71"/>
        <v>250</v>
      </c>
      <c r="E421" s="273" t="s">
        <v>629</v>
      </c>
      <c r="F421" s="346">
        <f t="shared" si="72"/>
        <v>3987.8</v>
      </c>
      <c r="G421" s="346"/>
      <c r="H421" s="277">
        <f t="shared" si="73"/>
        <v>7.961783439</v>
      </c>
      <c r="I421" s="283"/>
      <c r="J421" s="283"/>
      <c r="K421" s="283"/>
      <c r="L421" s="283"/>
      <c r="M421" s="283"/>
      <c r="N421" s="283"/>
      <c r="O421" s="283"/>
      <c r="P421" s="283"/>
      <c r="Q421" s="283"/>
      <c r="R421" s="283"/>
      <c r="S421" s="283"/>
      <c r="T421" s="283"/>
      <c r="U421" s="283"/>
      <c r="V421" s="283"/>
      <c r="W421" s="283"/>
      <c r="X421" s="283"/>
      <c r="Y421" s="283"/>
      <c r="Z421" s="283"/>
      <c r="AA421" s="283"/>
      <c r="AB421" s="283"/>
    </row>
    <row r="422">
      <c r="A422" s="284" t="s">
        <v>635</v>
      </c>
      <c r="B422" s="273">
        <v>2890.0</v>
      </c>
      <c r="C422" s="273">
        <v>3140.0</v>
      </c>
      <c r="D422" s="274">
        <f t="shared" si="71"/>
        <v>250</v>
      </c>
      <c r="E422" s="273" t="s">
        <v>629</v>
      </c>
      <c r="F422" s="346">
        <f t="shared" si="72"/>
        <v>3987.8</v>
      </c>
      <c r="G422" s="346"/>
      <c r="H422" s="277">
        <f t="shared" si="73"/>
        <v>7.961783439</v>
      </c>
      <c r="I422" s="283"/>
      <c r="J422" s="283"/>
      <c r="K422" s="283"/>
      <c r="L422" s="283"/>
      <c r="M422" s="283"/>
      <c r="N422" s="283"/>
      <c r="O422" s="283"/>
      <c r="P422" s="283"/>
      <c r="Q422" s="283"/>
      <c r="R422" s="283"/>
      <c r="S422" s="283"/>
      <c r="T422" s="283"/>
      <c r="U422" s="283"/>
      <c r="V422" s="283"/>
      <c r="W422" s="283"/>
      <c r="X422" s="283"/>
      <c r="Y422" s="283"/>
      <c r="Z422" s="283"/>
      <c r="AA422" s="283"/>
      <c r="AB422" s="283"/>
    </row>
    <row r="423">
      <c r="A423" s="284" t="s">
        <v>635</v>
      </c>
      <c r="B423" s="273">
        <v>2890.0</v>
      </c>
      <c r="C423" s="273">
        <v>3140.0</v>
      </c>
      <c r="D423" s="274">
        <f t="shared" si="71"/>
        <v>250</v>
      </c>
      <c r="E423" s="273" t="s">
        <v>629</v>
      </c>
      <c r="F423" s="346">
        <f t="shared" si="72"/>
        <v>3987.8</v>
      </c>
      <c r="G423" s="346"/>
      <c r="H423" s="277">
        <f t="shared" si="73"/>
        <v>7.961783439</v>
      </c>
      <c r="I423" s="283"/>
      <c r="J423" s="283"/>
      <c r="K423" s="283"/>
      <c r="L423" s="283"/>
      <c r="M423" s="283"/>
      <c r="N423" s="283"/>
      <c r="O423" s="283"/>
      <c r="P423" s="283"/>
      <c r="Q423" s="283"/>
      <c r="R423" s="283"/>
      <c r="S423" s="283"/>
      <c r="T423" s="283"/>
      <c r="U423" s="283"/>
      <c r="V423" s="283"/>
      <c r="W423" s="283"/>
      <c r="X423" s="283"/>
      <c r="Y423" s="283"/>
      <c r="Z423" s="283"/>
      <c r="AA423" s="283"/>
      <c r="AB423" s="283"/>
    </row>
    <row r="424">
      <c r="A424" s="284" t="s">
        <v>635</v>
      </c>
      <c r="B424" s="273">
        <v>2890.0</v>
      </c>
      <c r="C424" s="273">
        <v>3140.0</v>
      </c>
      <c r="D424" s="274">
        <f t="shared" si="71"/>
        <v>250</v>
      </c>
      <c r="E424" s="273" t="s">
        <v>629</v>
      </c>
      <c r="F424" s="346">
        <f t="shared" si="72"/>
        <v>3987.8</v>
      </c>
      <c r="G424" s="346"/>
      <c r="H424" s="277">
        <f t="shared" si="73"/>
        <v>7.961783439</v>
      </c>
      <c r="I424" s="283"/>
      <c r="J424" s="283"/>
      <c r="K424" s="283"/>
      <c r="L424" s="283"/>
      <c r="M424" s="283"/>
      <c r="N424" s="283"/>
      <c r="O424" s="283"/>
      <c r="P424" s="283"/>
      <c r="Q424" s="283"/>
      <c r="R424" s="283"/>
      <c r="S424" s="283"/>
      <c r="T424" s="283"/>
      <c r="U424" s="283"/>
      <c r="V424" s="283"/>
      <c r="W424" s="283"/>
      <c r="X424" s="283"/>
      <c r="Y424" s="283"/>
      <c r="Z424" s="283"/>
      <c r="AA424" s="283"/>
      <c r="AB424" s="283"/>
    </row>
    <row r="425">
      <c r="A425" s="284" t="s">
        <v>635</v>
      </c>
      <c r="B425" s="273">
        <v>2890.0</v>
      </c>
      <c r="C425" s="273">
        <v>3140.0</v>
      </c>
      <c r="D425" s="274">
        <f t="shared" si="71"/>
        <v>250</v>
      </c>
      <c r="E425" s="273" t="s">
        <v>629</v>
      </c>
      <c r="F425" s="346">
        <f t="shared" si="72"/>
        <v>3987.8</v>
      </c>
      <c r="G425" s="346"/>
      <c r="H425" s="277">
        <f t="shared" si="73"/>
        <v>7.961783439</v>
      </c>
      <c r="I425" s="283"/>
      <c r="J425" s="283"/>
      <c r="K425" s="283"/>
      <c r="L425" s="283"/>
      <c r="M425" s="283"/>
      <c r="N425" s="283"/>
      <c r="O425" s="283"/>
      <c r="P425" s="283"/>
      <c r="Q425" s="283"/>
      <c r="R425" s="283"/>
      <c r="S425" s="283"/>
      <c r="T425" s="283"/>
      <c r="U425" s="283"/>
      <c r="V425" s="283"/>
      <c r="W425" s="283"/>
      <c r="X425" s="283"/>
      <c r="Y425" s="283"/>
      <c r="Z425" s="283"/>
      <c r="AA425" s="283"/>
      <c r="AB425" s="283"/>
    </row>
    <row r="426">
      <c r="A426" s="284" t="s">
        <v>635</v>
      </c>
      <c r="B426" s="273">
        <v>2890.0</v>
      </c>
      <c r="C426" s="273">
        <v>3140.0</v>
      </c>
      <c r="D426" s="274">
        <f t="shared" si="71"/>
        <v>250</v>
      </c>
      <c r="E426" s="273" t="s">
        <v>629</v>
      </c>
      <c r="F426" s="346">
        <f t="shared" si="72"/>
        <v>3987.8</v>
      </c>
      <c r="G426" s="346"/>
      <c r="H426" s="277">
        <f t="shared" si="73"/>
        <v>7.961783439</v>
      </c>
      <c r="I426" s="283"/>
      <c r="J426" s="283"/>
      <c r="K426" s="283"/>
      <c r="L426" s="283"/>
      <c r="M426" s="283"/>
      <c r="N426" s="283"/>
      <c r="O426" s="283"/>
      <c r="P426" s="283"/>
      <c r="Q426" s="283"/>
      <c r="R426" s="283"/>
      <c r="S426" s="283"/>
      <c r="T426" s="283"/>
      <c r="U426" s="283"/>
      <c r="V426" s="283"/>
      <c r="W426" s="283"/>
      <c r="X426" s="283"/>
      <c r="Y426" s="283"/>
      <c r="Z426" s="283"/>
      <c r="AA426" s="283"/>
      <c r="AB426" s="283"/>
    </row>
    <row r="428">
      <c r="A428" s="122" t="s">
        <v>636</v>
      </c>
    </row>
    <row r="430">
      <c r="A430" s="350" t="s">
        <v>637</v>
      </c>
    </row>
    <row r="431">
      <c r="A431" s="351" t="s">
        <v>638</v>
      </c>
      <c r="B431" s="352">
        <v>4090.0</v>
      </c>
      <c r="C431" s="353">
        <v>5890.0</v>
      </c>
      <c r="D431" s="354">
        <f t="shared" ref="D431:D450" si="74">C431-B431</f>
        <v>1800</v>
      </c>
      <c r="E431" s="353" t="s">
        <v>557</v>
      </c>
      <c r="F431" s="355">
        <f t="shared" ref="F431:F450" si="75">C431*1.27</f>
        <v>7480.3</v>
      </c>
      <c r="G431" s="356"/>
      <c r="H431" s="357">
        <f t="shared" ref="H431:H450" si="76">D431/(C431/100)</f>
        <v>30.56027165</v>
      </c>
      <c r="I431" s="358"/>
      <c r="J431" s="358"/>
      <c r="K431" s="358"/>
      <c r="L431" s="358"/>
      <c r="M431" s="358"/>
      <c r="N431" s="358"/>
      <c r="O431" s="358"/>
      <c r="P431" s="358"/>
      <c r="Q431" s="358"/>
      <c r="R431" s="358"/>
      <c r="S431" s="358"/>
      <c r="T431" s="358"/>
      <c r="U431" s="358"/>
      <c r="V431" s="358"/>
      <c r="W431" s="358"/>
      <c r="X431" s="358"/>
      <c r="Y431" s="358"/>
      <c r="Z431" s="358"/>
      <c r="AA431" s="358"/>
      <c r="AB431" s="358"/>
    </row>
    <row r="432">
      <c r="A432" s="351" t="s">
        <v>639</v>
      </c>
      <c r="B432" s="352">
        <v>4090.0</v>
      </c>
      <c r="C432" s="353">
        <v>5890.0</v>
      </c>
      <c r="D432" s="354">
        <f t="shared" si="74"/>
        <v>1800</v>
      </c>
      <c r="E432" s="353" t="s">
        <v>557</v>
      </c>
      <c r="F432" s="355">
        <f t="shared" si="75"/>
        <v>7480.3</v>
      </c>
      <c r="G432" s="356"/>
      <c r="H432" s="357">
        <f t="shared" si="76"/>
        <v>30.56027165</v>
      </c>
      <c r="I432" s="358"/>
      <c r="J432" s="358"/>
      <c r="K432" s="358"/>
      <c r="L432" s="358"/>
      <c r="M432" s="358"/>
      <c r="N432" s="358"/>
      <c r="O432" s="358"/>
      <c r="P432" s="358"/>
      <c r="Q432" s="358"/>
      <c r="R432" s="358"/>
      <c r="S432" s="358"/>
      <c r="T432" s="358"/>
      <c r="U432" s="358"/>
      <c r="V432" s="358"/>
      <c r="W432" s="358"/>
      <c r="X432" s="358"/>
      <c r="Y432" s="358"/>
      <c r="Z432" s="358"/>
      <c r="AA432" s="358"/>
      <c r="AB432" s="358"/>
    </row>
    <row r="433">
      <c r="A433" s="351" t="s">
        <v>640</v>
      </c>
      <c r="B433" s="352">
        <v>4090.0</v>
      </c>
      <c r="C433" s="353">
        <v>5890.0</v>
      </c>
      <c r="D433" s="354">
        <f t="shared" si="74"/>
        <v>1800</v>
      </c>
      <c r="E433" s="353" t="s">
        <v>557</v>
      </c>
      <c r="F433" s="355">
        <f t="shared" si="75"/>
        <v>7480.3</v>
      </c>
      <c r="G433" s="356"/>
      <c r="H433" s="357">
        <f t="shared" si="76"/>
        <v>30.56027165</v>
      </c>
      <c r="I433" s="358"/>
      <c r="J433" s="358"/>
      <c r="K433" s="358"/>
      <c r="L433" s="358"/>
      <c r="M433" s="358"/>
      <c r="N433" s="358"/>
      <c r="O433" s="358"/>
      <c r="P433" s="358"/>
      <c r="Q433" s="358"/>
      <c r="R433" s="358"/>
      <c r="S433" s="358"/>
      <c r="T433" s="358"/>
      <c r="U433" s="358"/>
      <c r="V433" s="358"/>
      <c r="W433" s="358"/>
      <c r="X433" s="358"/>
      <c r="Y433" s="358"/>
      <c r="Z433" s="358"/>
      <c r="AA433" s="358"/>
      <c r="AB433" s="358"/>
    </row>
    <row r="434">
      <c r="A434" s="351" t="s">
        <v>641</v>
      </c>
      <c r="B434" s="352">
        <v>4090.0</v>
      </c>
      <c r="C434" s="353">
        <v>5890.0</v>
      </c>
      <c r="D434" s="354">
        <f t="shared" si="74"/>
        <v>1800</v>
      </c>
      <c r="E434" s="353" t="s">
        <v>557</v>
      </c>
      <c r="F434" s="355">
        <f t="shared" si="75"/>
        <v>7480.3</v>
      </c>
      <c r="G434" s="356"/>
      <c r="H434" s="357">
        <f t="shared" si="76"/>
        <v>30.56027165</v>
      </c>
      <c r="I434" s="358"/>
      <c r="J434" s="358"/>
      <c r="K434" s="358"/>
      <c r="L434" s="358"/>
      <c r="M434" s="358"/>
      <c r="N434" s="358"/>
      <c r="O434" s="358"/>
      <c r="P434" s="358"/>
      <c r="Q434" s="358"/>
      <c r="R434" s="358"/>
      <c r="S434" s="358"/>
      <c r="T434" s="358"/>
      <c r="U434" s="358"/>
      <c r="V434" s="358"/>
      <c r="W434" s="358"/>
      <c r="X434" s="358"/>
      <c r="Y434" s="358"/>
      <c r="Z434" s="358"/>
      <c r="AA434" s="358"/>
      <c r="AB434" s="358"/>
    </row>
    <row r="435">
      <c r="A435" s="351" t="s">
        <v>642</v>
      </c>
      <c r="B435" s="352">
        <v>4090.0</v>
      </c>
      <c r="C435" s="353">
        <v>5890.0</v>
      </c>
      <c r="D435" s="354">
        <f t="shared" si="74"/>
        <v>1800</v>
      </c>
      <c r="E435" s="353" t="s">
        <v>557</v>
      </c>
      <c r="F435" s="355">
        <f t="shared" si="75"/>
        <v>7480.3</v>
      </c>
      <c r="G435" s="356"/>
      <c r="H435" s="357">
        <f t="shared" si="76"/>
        <v>30.56027165</v>
      </c>
      <c r="I435" s="358"/>
      <c r="J435" s="358"/>
      <c r="K435" s="358"/>
      <c r="L435" s="358"/>
      <c r="M435" s="358"/>
      <c r="N435" s="358"/>
      <c r="O435" s="358"/>
      <c r="P435" s="358"/>
      <c r="Q435" s="358"/>
      <c r="R435" s="358"/>
      <c r="S435" s="358"/>
      <c r="T435" s="358"/>
      <c r="U435" s="358"/>
      <c r="V435" s="358"/>
      <c r="W435" s="358"/>
      <c r="X435" s="358"/>
      <c r="Y435" s="358"/>
      <c r="Z435" s="358"/>
      <c r="AA435" s="358"/>
      <c r="AB435" s="358"/>
    </row>
    <row r="436">
      <c r="A436" s="351" t="s">
        <v>643</v>
      </c>
      <c r="B436" s="352">
        <v>4090.0</v>
      </c>
      <c r="C436" s="353">
        <v>5890.0</v>
      </c>
      <c r="D436" s="354">
        <f t="shared" si="74"/>
        <v>1800</v>
      </c>
      <c r="E436" s="353" t="s">
        <v>557</v>
      </c>
      <c r="F436" s="355">
        <f t="shared" si="75"/>
        <v>7480.3</v>
      </c>
      <c r="G436" s="356"/>
      <c r="H436" s="357">
        <f t="shared" si="76"/>
        <v>30.56027165</v>
      </c>
      <c r="I436" s="358"/>
      <c r="J436" s="358"/>
      <c r="K436" s="358"/>
      <c r="L436" s="358"/>
      <c r="M436" s="358"/>
      <c r="N436" s="358"/>
      <c r="O436" s="358"/>
      <c r="P436" s="358"/>
      <c r="Q436" s="358"/>
      <c r="R436" s="358"/>
      <c r="S436" s="358"/>
      <c r="T436" s="358"/>
      <c r="U436" s="358"/>
      <c r="V436" s="358"/>
      <c r="W436" s="358"/>
      <c r="X436" s="358"/>
      <c r="Y436" s="358"/>
      <c r="Z436" s="358"/>
      <c r="AA436" s="358"/>
      <c r="AB436" s="358"/>
    </row>
    <row r="437">
      <c r="A437" s="351" t="s">
        <v>644</v>
      </c>
      <c r="B437" s="352">
        <v>4090.0</v>
      </c>
      <c r="C437" s="353">
        <v>5890.0</v>
      </c>
      <c r="D437" s="354">
        <f t="shared" si="74"/>
        <v>1800</v>
      </c>
      <c r="E437" s="353" t="s">
        <v>557</v>
      </c>
      <c r="F437" s="355">
        <f t="shared" si="75"/>
        <v>7480.3</v>
      </c>
      <c r="G437" s="356"/>
      <c r="H437" s="357">
        <f t="shared" si="76"/>
        <v>30.56027165</v>
      </c>
      <c r="I437" s="358"/>
      <c r="J437" s="358"/>
      <c r="K437" s="358"/>
      <c r="L437" s="358"/>
      <c r="M437" s="358"/>
      <c r="N437" s="358"/>
      <c r="O437" s="358"/>
      <c r="P437" s="358"/>
      <c r="Q437" s="358"/>
      <c r="R437" s="358"/>
      <c r="S437" s="358"/>
      <c r="T437" s="358"/>
      <c r="U437" s="358"/>
      <c r="V437" s="358"/>
      <c r="W437" s="358"/>
      <c r="X437" s="358"/>
      <c r="Y437" s="358"/>
      <c r="Z437" s="358"/>
      <c r="AA437" s="358"/>
      <c r="AB437" s="358"/>
    </row>
    <row r="438">
      <c r="A438" s="351" t="s">
        <v>645</v>
      </c>
      <c r="B438" s="352">
        <v>4090.0</v>
      </c>
      <c r="C438" s="353">
        <v>5890.0</v>
      </c>
      <c r="D438" s="354">
        <f t="shared" si="74"/>
        <v>1800</v>
      </c>
      <c r="E438" s="353" t="s">
        <v>557</v>
      </c>
      <c r="F438" s="355">
        <f t="shared" si="75"/>
        <v>7480.3</v>
      </c>
      <c r="G438" s="356"/>
      <c r="H438" s="357">
        <f t="shared" si="76"/>
        <v>30.56027165</v>
      </c>
      <c r="I438" s="358"/>
      <c r="J438" s="358"/>
      <c r="K438" s="358"/>
      <c r="L438" s="358"/>
      <c r="M438" s="358"/>
      <c r="N438" s="358"/>
      <c r="O438" s="358"/>
      <c r="P438" s="358"/>
      <c r="Q438" s="358"/>
      <c r="R438" s="358"/>
      <c r="S438" s="358"/>
      <c r="T438" s="358"/>
      <c r="U438" s="358"/>
      <c r="V438" s="358"/>
      <c r="W438" s="358"/>
      <c r="X438" s="358"/>
      <c r="Y438" s="358"/>
      <c r="Z438" s="358"/>
      <c r="AA438" s="358"/>
      <c r="AB438" s="358"/>
    </row>
    <row r="439">
      <c r="A439" s="351" t="s">
        <v>646</v>
      </c>
      <c r="B439" s="352">
        <v>4090.0</v>
      </c>
      <c r="C439" s="353">
        <v>5890.0</v>
      </c>
      <c r="D439" s="354">
        <f t="shared" si="74"/>
        <v>1800</v>
      </c>
      <c r="E439" s="353" t="s">
        <v>557</v>
      </c>
      <c r="F439" s="355">
        <f t="shared" si="75"/>
        <v>7480.3</v>
      </c>
      <c r="G439" s="356"/>
      <c r="H439" s="357">
        <f t="shared" si="76"/>
        <v>30.56027165</v>
      </c>
      <c r="I439" s="358"/>
      <c r="J439" s="358"/>
      <c r="K439" s="358"/>
      <c r="L439" s="358"/>
      <c r="M439" s="358"/>
      <c r="N439" s="358"/>
      <c r="O439" s="358"/>
      <c r="P439" s="358"/>
      <c r="Q439" s="358"/>
      <c r="R439" s="358"/>
      <c r="S439" s="358"/>
      <c r="T439" s="358"/>
      <c r="U439" s="358"/>
      <c r="V439" s="358"/>
      <c r="W439" s="358"/>
      <c r="X439" s="358"/>
      <c r="Y439" s="358"/>
      <c r="Z439" s="358"/>
      <c r="AA439" s="358"/>
      <c r="AB439" s="358"/>
    </row>
    <row r="440">
      <c r="A440" s="351" t="s">
        <v>647</v>
      </c>
      <c r="B440" s="352">
        <v>4090.0</v>
      </c>
      <c r="C440" s="353">
        <v>5890.0</v>
      </c>
      <c r="D440" s="354">
        <f t="shared" si="74"/>
        <v>1800</v>
      </c>
      <c r="E440" s="353" t="s">
        <v>557</v>
      </c>
      <c r="F440" s="355">
        <f t="shared" si="75"/>
        <v>7480.3</v>
      </c>
      <c r="G440" s="356"/>
      <c r="H440" s="357">
        <f t="shared" si="76"/>
        <v>30.56027165</v>
      </c>
      <c r="I440" s="358"/>
      <c r="J440" s="358"/>
      <c r="K440" s="358"/>
      <c r="L440" s="358"/>
      <c r="M440" s="358"/>
      <c r="N440" s="358"/>
      <c r="O440" s="358"/>
      <c r="P440" s="358"/>
      <c r="Q440" s="358"/>
      <c r="R440" s="358"/>
      <c r="S440" s="358"/>
      <c r="T440" s="358"/>
      <c r="U440" s="358"/>
      <c r="V440" s="358"/>
      <c r="W440" s="358"/>
      <c r="X440" s="358"/>
      <c r="Y440" s="358"/>
      <c r="Z440" s="358"/>
      <c r="AA440" s="358"/>
      <c r="AB440" s="358"/>
    </row>
    <row r="441">
      <c r="A441" s="351" t="s">
        <v>648</v>
      </c>
      <c r="B441" s="352">
        <v>3590.0</v>
      </c>
      <c r="C441" s="353">
        <v>5490.0</v>
      </c>
      <c r="D441" s="354">
        <f t="shared" si="74"/>
        <v>1900</v>
      </c>
      <c r="E441" s="353" t="s">
        <v>557</v>
      </c>
      <c r="F441" s="355">
        <f t="shared" si="75"/>
        <v>6972.3</v>
      </c>
      <c r="G441" s="356"/>
      <c r="H441" s="357">
        <f t="shared" si="76"/>
        <v>34.60837887</v>
      </c>
      <c r="I441" s="358"/>
      <c r="J441" s="358"/>
      <c r="K441" s="358"/>
      <c r="L441" s="358"/>
      <c r="M441" s="358"/>
      <c r="N441" s="358"/>
      <c r="O441" s="358"/>
      <c r="P441" s="358"/>
      <c r="Q441" s="358"/>
      <c r="R441" s="358"/>
      <c r="S441" s="358"/>
      <c r="T441" s="358"/>
      <c r="U441" s="358"/>
      <c r="V441" s="358"/>
      <c r="W441" s="358"/>
      <c r="X441" s="358"/>
      <c r="Y441" s="358"/>
      <c r="Z441" s="358"/>
      <c r="AA441" s="358"/>
      <c r="AB441" s="358"/>
    </row>
    <row r="442">
      <c r="A442" s="351" t="s">
        <v>649</v>
      </c>
      <c r="B442" s="352">
        <v>3590.0</v>
      </c>
      <c r="C442" s="353">
        <v>5490.0</v>
      </c>
      <c r="D442" s="354">
        <f t="shared" si="74"/>
        <v>1900</v>
      </c>
      <c r="E442" s="353" t="s">
        <v>557</v>
      </c>
      <c r="F442" s="355">
        <f t="shared" si="75"/>
        <v>6972.3</v>
      </c>
      <c r="G442" s="356"/>
      <c r="H442" s="357">
        <f t="shared" si="76"/>
        <v>34.60837887</v>
      </c>
      <c r="I442" s="358"/>
      <c r="J442" s="358"/>
      <c r="K442" s="358"/>
      <c r="L442" s="358"/>
      <c r="M442" s="358"/>
      <c r="N442" s="358"/>
      <c r="O442" s="358"/>
      <c r="P442" s="358"/>
      <c r="Q442" s="358"/>
      <c r="R442" s="358"/>
      <c r="S442" s="358"/>
      <c r="T442" s="358"/>
      <c r="U442" s="358"/>
      <c r="V442" s="358"/>
      <c r="W442" s="358"/>
      <c r="X442" s="358"/>
      <c r="Y442" s="358"/>
      <c r="Z442" s="358"/>
      <c r="AA442" s="358"/>
      <c r="AB442" s="358"/>
    </row>
    <row r="443">
      <c r="A443" s="351" t="s">
        <v>650</v>
      </c>
      <c r="B443" s="352">
        <v>3590.0</v>
      </c>
      <c r="C443" s="353">
        <v>5490.0</v>
      </c>
      <c r="D443" s="354">
        <f t="shared" si="74"/>
        <v>1900</v>
      </c>
      <c r="E443" s="353" t="s">
        <v>557</v>
      </c>
      <c r="F443" s="355">
        <f t="shared" si="75"/>
        <v>6972.3</v>
      </c>
      <c r="G443" s="356"/>
      <c r="H443" s="357">
        <f t="shared" si="76"/>
        <v>34.60837887</v>
      </c>
      <c r="I443" s="358"/>
      <c r="J443" s="358"/>
      <c r="K443" s="358"/>
      <c r="L443" s="358"/>
      <c r="M443" s="358"/>
      <c r="N443" s="358"/>
      <c r="O443" s="358"/>
      <c r="P443" s="358"/>
      <c r="Q443" s="358"/>
      <c r="R443" s="358"/>
      <c r="S443" s="358"/>
      <c r="T443" s="358"/>
      <c r="U443" s="358"/>
      <c r="V443" s="358"/>
      <c r="W443" s="358"/>
      <c r="X443" s="358"/>
      <c r="Y443" s="358"/>
      <c r="Z443" s="358"/>
      <c r="AA443" s="358"/>
      <c r="AB443" s="358"/>
    </row>
    <row r="444">
      <c r="A444" s="351" t="s">
        <v>651</v>
      </c>
      <c r="B444" s="352">
        <v>3590.0</v>
      </c>
      <c r="C444" s="353">
        <v>5490.0</v>
      </c>
      <c r="D444" s="354">
        <f t="shared" si="74"/>
        <v>1900</v>
      </c>
      <c r="E444" s="353" t="s">
        <v>557</v>
      </c>
      <c r="F444" s="355">
        <f t="shared" si="75"/>
        <v>6972.3</v>
      </c>
      <c r="G444" s="356"/>
      <c r="H444" s="357">
        <f t="shared" si="76"/>
        <v>34.60837887</v>
      </c>
      <c r="I444" s="358"/>
      <c r="J444" s="358"/>
      <c r="K444" s="358"/>
      <c r="L444" s="358"/>
      <c r="M444" s="358"/>
      <c r="N444" s="358"/>
      <c r="O444" s="358"/>
      <c r="P444" s="358"/>
      <c r="Q444" s="358"/>
      <c r="R444" s="358"/>
      <c r="S444" s="358"/>
      <c r="T444" s="358"/>
      <c r="U444" s="358"/>
      <c r="V444" s="358"/>
      <c r="W444" s="358"/>
      <c r="X444" s="358"/>
      <c r="Y444" s="358"/>
      <c r="Z444" s="358"/>
      <c r="AA444" s="358"/>
      <c r="AB444" s="358"/>
    </row>
    <row r="445">
      <c r="A445" s="355" t="s">
        <v>652</v>
      </c>
      <c r="B445" s="353">
        <v>2390.0</v>
      </c>
      <c r="C445" s="353">
        <v>3990.0</v>
      </c>
      <c r="D445" s="354">
        <f t="shared" si="74"/>
        <v>1600</v>
      </c>
      <c r="E445" s="354" t="s">
        <v>557</v>
      </c>
      <c r="F445" s="359">
        <f t="shared" si="75"/>
        <v>5067.3</v>
      </c>
      <c r="G445" s="360"/>
      <c r="H445" s="357">
        <f t="shared" si="76"/>
        <v>40.10025063</v>
      </c>
      <c r="I445" s="361"/>
      <c r="J445" s="361"/>
      <c r="K445" s="361"/>
      <c r="L445" s="361"/>
      <c r="M445" s="361"/>
      <c r="N445" s="361"/>
      <c r="O445" s="361"/>
      <c r="P445" s="361"/>
      <c r="Q445" s="361"/>
      <c r="R445" s="361"/>
      <c r="S445" s="361"/>
      <c r="T445" s="361"/>
      <c r="U445" s="361"/>
      <c r="V445" s="361"/>
      <c r="W445" s="361"/>
      <c r="X445" s="361"/>
      <c r="Y445" s="361"/>
      <c r="Z445" s="361"/>
      <c r="AA445" s="361"/>
      <c r="AB445" s="361"/>
    </row>
    <row r="446">
      <c r="A446" s="351" t="s">
        <v>653</v>
      </c>
      <c r="B446" s="353">
        <v>2390.0</v>
      </c>
      <c r="C446" s="353">
        <v>3990.0</v>
      </c>
      <c r="D446" s="354">
        <f t="shared" si="74"/>
        <v>1600</v>
      </c>
      <c r="E446" s="353" t="s">
        <v>557</v>
      </c>
      <c r="F446" s="355">
        <f t="shared" si="75"/>
        <v>5067.3</v>
      </c>
      <c r="G446" s="356"/>
      <c r="H446" s="357">
        <f t="shared" si="76"/>
        <v>40.10025063</v>
      </c>
      <c r="I446" s="358"/>
      <c r="J446" s="358"/>
      <c r="K446" s="358"/>
      <c r="L446" s="358"/>
      <c r="M446" s="358"/>
      <c r="N446" s="358"/>
      <c r="O446" s="358"/>
      <c r="P446" s="358"/>
      <c r="Q446" s="358"/>
      <c r="R446" s="358"/>
      <c r="S446" s="358"/>
      <c r="T446" s="358"/>
      <c r="U446" s="358"/>
      <c r="V446" s="358"/>
      <c r="W446" s="358"/>
      <c r="X446" s="358"/>
      <c r="Y446" s="358"/>
      <c r="Z446" s="358"/>
      <c r="AA446" s="358"/>
      <c r="AB446" s="358"/>
    </row>
    <row r="447">
      <c r="A447" s="351" t="s">
        <v>654</v>
      </c>
      <c r="B447" s="353">
        <v>2390.0</v>
      </c>
      <c r="C447" s="353">
        <v>3990.0</v>
      </c>
      <c r="D447" s="354">
        <f t="shared" si="74"/>
        <v>1600</v>
      </c>
      <c r="E447" s="353" t="s">
        <v>557</v>
      </c>
      <c r="F447" s="355">
        <f t="shared" si="75"/>
        <v>5067.3</v>
      </c>
      <c r="G447" s="356"/>
      <c r="H447" s="357">
        <f t="shared" si="76"/>
        <v>40.10025063</v>
      </c>
      <c r="I447" s="358"/>
      <c r="J447" s="358"/>
      <c r="K447" s="358"/>
      <c r="L447" s="358"/>
      <c r="M447" s="358"/>
      <c r="N447" s="358"/>
      <c r="O447" s="358"/>
      <c r="P447" s="358"/>
      <c r="Q447" s="358"/>
      <c r="R447" s="358"/>
      <c r="S447" s="358"/>
      <c r="T447" s="358"/>
      <c r="U447" s="358"/>
      <c r="V447" s="358"/>
      <c r="W447" s="358"/>
      <c r="X447" s="358"/>
      <c r="Y447" s="358"/>
      <c r="Z447" s="358"/>
      <c r="AA447" s="358"/>
      <c r="AB447" s="358"/>
    </row>
    <row r="448">
      <c r="A448" s="351" t="s">
        <v>655</v>
      </c>
      <c r="B448" s="352">
        <v>1390.0</v>
      </c>
      <c r="C448" s="353">
        <v>2090.0</v>
      </c>
      <c r="D448" s="354">
        <f t="shared" si="74"/>
        <v>700</v>
      </c>
      <c r="E448" s="353" t="s">
        <v>557</v>
      </c>
      <c r="F448" s="355">
        <f t="shared" si="75"/>
        <v>2654.3</v>
      </c>
      <c r="G448" s="356"/>
      <c r="H448" s="357">
        <f t="shared" si="76"/>
        <v>33.49282297</v>
      </c>
      <c r="I448" s="358"/>
      <c r="J448" s="358"/>
      <c r="K448" s="358"/>
      <c r="L448" s="358"/>
      <c r="M448" s="358"/>
      <c r="N448" s="358"/>
      <c r="O448" s="358"/>
      <c r="P448" s="358"/>
      <c r="Q448" s="358"/>
      <c r="R448" s="358"/>
      <c r="S448" s="358"/>
      <c r="T448" s="358"/>
      <c r="U448" s="358"/>
      <c r="V448" s="358"/>
      <c r="W448" s="358"/>
      <c r="X448" s="358"/>
      <c r="Y448" s="358"/>
      <c r="Z448" s="358"/>
      <c r="AA448" s="358"/>
      <c r="AB448" s="358"/>
    </row>
    <row r="449">
      <c r="A449" s="362" t="s">
        <v>656</v>
      </c>
      <c r="B449" s="353">
        <v>1090.0</v>
      </c>
      <c r="C449" s="353">
        <v>1790.0</v>
      </c>
      <c r="D449" s="354">
        <f t="shared" si="74"/>
        <v>700</v>
      </c>
      <c r="E449" s="353" t="s">
        <v>557</v>
      </c>
      <c r="F449" s="359">
        <f t="shared" si="75"/>
        <v>2273.3</v>
      </c>
      <c r="G449" s="360"/>
      <c r="H449" s="357">
        <f t="shared" si="76"/>
        <v>39.10614525</v>
      </c>
      <c r="I449" s="361"/>
      <c r="J449" s="361"/>
      <c r="K449" s="361"/>
      <c r="L449" s="361"/>
      <c r="M449" s="361"/>
      <c r="N449" s="361"/>
      <c r="O449" s="361"/>
      <c r="P449" s="361"/>
      <c r="Q449" s="361"/>
      <c r="R449" s="361"/>
      <c r="S449" s="361"/>
      <c r="T449" s="361"/>
      <c r="U449" s="361"/>
      <c r="V449" s="361"/>
      <c r="W449" s="361"/>
      <c r="X449" s="361"/>
      <c r="Y449" s="361"/>
      <c r="Z449" s="361"/>
      <c r="AA449" s="361"/>
      <c r="AB449" s="361"/>
    </row>
    <row r="450">
      <c r="A450" s="363" t="s">
        <v>657</v>
      </c>
      <c r="B450" s="353">
        <v>1390.0</v>
      </c>
      <c r="C450" s="353">
        <v>2090.0</v>
      </c>
      <c r="D450" s="354">
        <f t="shared" si="74"/>
        <v>700</v>
      </c>
      <c r="E450" s="353" t="s">
        <v>557</v>
      </c>
      <c r="F450" s="355">
        <f t="shared" si="75"/>
        <v>2654.3</v>
      </c>
      <c r="G450" s="356"/>
      <c r="H450" s="357">
        <f t="shared" si="76"/>
        <v>33.49282297</v>
      </c>
      <c r="I450" s="358"/>
      <c r="J450" s="358"/>
      <c r="K450" s="358"/>
      <c r="L450" s="358"/>
      <c r="M450" s="358"/>
      <c r="N450" s="358"/>
      <c r="O450" s="358"/>
      <c r="P450" s="358"/>
      <c r="Q450" s="358"/>
      <c r="R450" s="358"/>
      <c r="S450" s="358"/>
      <c r="T450" s="358"/>
      <c r="U450" s="358"/>
      <c r="V450" s="358"/>
      <c r="W450" s="358"/>
      <c r="X450" s="358"/>
      <c r="Y450" s="358"/>
      <c r="Z450" s="358"/>
      <c r="AA450" s="358"/>
      <c r="AB450" s="358"/>
    </row>
    <row r="451">
      <c r="A451" s="350" t="s">
        <v>637</v>
      </c>
      <c r="B451" s="124"/>
      <c r="C451" s="147"/>
      <c r="D451" s="132"/>
      <c r="E451" s="147"/>
      <c r="F451" s="128"/>
      <c r="G451" s="231"/>
      <c r="H451" s="168"/>
    </row>
    <row r="452">
      <c r="A452" s="355" t="s">
        <v>658</v>
      </c>
      <c r="B452" s="353">
        <v>5790.0</v>
      </c>
      <c r="C452" s="353">
        <v>7890.0</v>
      </c>
      <c r="D452" s="354">
        <f t="shared" ref="D452:D471" si="77">C452-B452</f>
        <v>2100</v>
      </c>
      <c r="E452" s="353" t="s">
        <v>557</v>
      </c>
      <c r="F452" s="359">
        <f t="shared" ref="F452:F471" si="78">C452*1.27</f>
        <v>10020.3</v>
      </c>
      <c r="G452" s="356"/>
      <c r="H452" s="357">
        <f t="shared" ref="H452:H456" si="79">D452/(C452/100)</f>
        <v>26.61596958</v>
      </c>
      <c r="I452" s="361"/>
      <c r="J452" s="361"/>
      <c r="K452" s="361"/>
      <c r="L452" s="361"/>
      <c r="M452" s="361"/>
      <c r="N452" s="361"/>
      <c r="O452" s="361"/>
      <c r="P452" s="361"/>
      <c r="Q452" s="361"/>
      <c r="R452" s="361"/>
      <c r="S452" s="361"/>
      <c r="T452" s="361"/>
      <c r="U452" s="361"/>
      <c r="V452" s="361"/>
      <c r="W452" s="361"/>
      <c r="X452" s="361"/>
      <c r="Y452" s="361"/>
      <c r="Z452" s="361"/>
      <c r="AA452" s="361"/>
      <c r="AB452" s="361"/>
    </row>
    <row r="453">
      <c r="A453" s="351" t="s">
        <v>659</v>
      </c>
      <c r="B453" s="353">
        <v>5590.0</v>
      </c>
      <c r="C453" s="353">
        <v>7490.0</v>
      </c>
      <c r="D453" s="354">
        <f t="shared" si="77"/>
        <v>1900</v>
      </c>
      <c r="E453" s="353" t="s">
        <v>557</v>
      </c>
      <c r="F453" s="355">
        <f t="shared" si="78"/>
        <v>9512.3</v>
      </c>
      <c r="G453" s="356"/>
      <c r="H453" s="357">
        <f t="shared" si="79"/>
        <v>25.36715621</v>
      </c>
      <c r="I453" s="358"/>
      <c r="J453" s="358"/>
      <c r="K453" s="358"/>
      <c r="L453" s="358"/>
      <c r="M453" s="358"/>
      <c r="N453" s="358"/>
      <c r="O453" s="358"/>
      <c r="P453" s="358"/>
      <c r="Q453" s="358"/>
      <c r="R453" s="358"/>
      <c r="S453" s="358"/>
      <c r="T453" s="358"/>
      <c r="U453" s="358"/>
      <c r="V453" s="358"/>
      <c r="W453" s="358"/>
      <c r="X453" s="358"/>
      <c r="Y453" s="358"/>
      <c r="Z453" s="358"/>
      <c r="AA453" s="358"/>
      <c r="AB453" s="358"/>
    </row>
    <row r="454">
      <c r="A454" s="351" t="s">
        <v>660</v>
      </c>
      <c r="B454" s="353">
        <v>5590.0</v>
      </c>
      <c r="C454" s="353">
        <v>7490.0</v>
      </c>
      <c r="D454" s="354">
        <f t="shared" si="77"/>
        <v>1900</v>
      </c>
      <c r="E454" s="353" t="s">
        <v>557</v>
      </c>
      <c r="F454" s="355">
        <f t="shared" si="78"/>
        <v>9512.3</v>
      </c>
      <c r="G454" s="356"/>
      <c r="H454" s="357">
        <f t="shared" si="79"/>
        <v>25.36715621</v>
      </c>
      <c r="I454" s="358"/>
      <c r="J454" s="358"/>
      <c r="K454" s="358"/>
      <c r="L454" s="358"/>
      <c r="M454" s="358"/>
      <c r="N454" s="358"/>
      <c r="O454" s="358"/>
      <c r="P454" s="358"/>
      <c r="Q454" s="358"/>
      <c r="R454" s="358"/>
      <c r="S454" s="358"/>
      <c r="T454" s="358"/>
      <c r="U454" s="358"/>
      <c r="V454" s="358"/>
      <c r="W454" s="358"/>
      <c r="X454" s="358"/>
      <c r="Y454" s="358"/>
      <c r="Z454" s="358"/>
      <c r="AA454" s="358"/>
      <c r="AB454" s="358"/>
    </row>
    <row r="455">
      <c r="A455" s="351" t="s">
        <v>661</v>
      </c>
      <c r="B455" s="353">
        <v>2790.0</v>
      </c>
      <c r="C455" s="353">
        <v>3790.0</v>
      </c>
      <c r="D455" s="354">
        <f t="shared" si="77"/>
        <v>1000</v>
      </c>
      <c r="E455" s="353" t="s">
        <v>557</v>
      </c>
      <c r="F455" s="355">
        <f t="shared" si="78"/>
        <v>4813.3</v>
      </c>
      <c r="G455" s="356"/>
      <c r="H455" s="357">
        <f t="shared" si="79"/>
        <v>26.38522427</v>
      </c>
      <c r="I455" s="358"/>
      <c r="J455" s="358"/>
      <c r="K455" s="358"/>
      <c r="L455" s="358"/>
      <c r="M455" s="358"/>
      <c r="N455" s="358"/>
      <c r="O455" s="358"/>
      <c r="P455" s="358"/>
      <c r="Q455" s="358"/>
      <c r="R455" s="358"/>
      <c r="S455" s="358"/>
      <c r="T455" s="358"/>
      <c r="U455" s="358"/>
      <c r="V455" s="358"/>
      <c r="W455" s="358"/>
      <c r="X455" s="358"/>
      <c r="Y455" s="358"/>
      <c r="Z455" s="358"/>
      <c r="AA455" s="358"/>
      <c r="AB455" s="358"/>
    </row>
    <row r="456">
      <c r="A456" s="355" t="s">
        <v>662</v>
      </c>
      <c r="B456" s="353">
        <v>1490.0</v>
      </c>
      <c r="C456" s="353">
        <v>2190.0</v>
      </c>
      <c r="D456" s="354">
        <f t="shared" si="77"/>
        <v>700</v>
      </c>
      <c r="E456" s="353" t="s">
        <v>557</v>
      </c>
      <c r="F456" s="355">
        <f t="shared" si="78"/>
        <v>2781.3</v>
      </c>
      <c r="G456" s="356"/>
      <c r="H456" s="357">
        <f t="shared" si="79"/>
        <v>31.96347032</v>
      </c>
      <c r="I456" s="355"/>
      <c r="J456" s="361"/>
      <c r="K456" s="361"/>
      <c r="L456" s="361"/>
      <c r="M456" s="361"/>
      <c r="N456" s="361"/>
      <c r="O456" s="361"/>
      <c r="P456" s="361"/>
      <c r="Q456" s="361"/>
      <c r="R456" s="361"/>
      <c r="S456" s="361"/>
      <c r="T456" s="361"/>
      <c r="U456" s="361"/>
      <c r="V456" s="361"/>
      <c r="W456" s="361"/>
      <c r="X456" s="361"/>
      <c r="Y456" s="361"/>
      <c r="Z456" s="361"/>
      <c r="AA456" s="361"/>
      <c r="AB456" s="361"/>
    </row>
    <row r="457">
      <c r="A457" s="351" t="s">
        <v>663</v>
      </c>
      <c r="B457" s="353">
        <v>1990.0</v>
      </c>
      <c r="C457" s="353">
        <v>2690.0</v>
      </c>
      <c r="D457" s="354">
        <f t="shared" si="77"/>
        <v>700</v>
      </c>
      <c r="E457" s="353" t="s">
        <v>557</v>
      </c>
      <c r="F457" s="355">
        <f t="shared" si="78"/>
        <v>3416.3</v>
      </c>
      <c r="G457" s="356"/>
      <c r="H457" s="357">
        <f>D457/(B457/100)</f>
        <v>35.1758794</v>
      </c>
      <c r="I457" s="358"/>
      <c r="J457" s="358"/>
      <c r="K457" s="358"/>
      <c r="L457" s="358"/>
      <c r="M457" s="358"/>
      <c r="N457" s="358"/>
      <c r="O457" s="358"/>
      <c r="P457" s="358"/>
      <c r="Q457" s="358"/>
      <c r="R457" s="358"/>
      <c r="S457" s="358"/>
      <c r="T457" s="358"/>
      <c r="U457" s="358"/>
      <c r="V457" s="358"/>
      <c r="W457" s="358"/>
      <c r="X457" s="358"/>
      <c r="Y457" s="358"/>
      <c r="Z457" s="358"/>
      <c r="AA457" s="358"/>
      <c r="AB457" s="358"/>
    </row>
    <row r="458">
      <c r="A458" s="355" t="s">
        <v>664</v>
      </c>
      <c r="B458" s="353">
        <v>1390.0</v>
      </c>
      <c r="C458" s="353">
        <v>2090.0</v>
      </c>
      <c r="D458" s="354">
        <f t="shared" si="77"/>
        <v>700</v>
      </c>
      <c r="E458" s="353" t="s">
        <v>557</v>
      </c>
      <c r="F458" s="355">
        <f t="shared" si="78"/>
        <v>2654.3</v>
      </c>
      <c r="G458" s="356"/>
      <c r="H458" s="357">
        <f>D458/(C458/100)</f>
        <v>33.49282297</v>
      </c>
      <c r="I458" s="361"/>
      <c r="J458" s="361"/>
      <c r="K458" s="361"/>
      <c r="L458" s="361"/>
      <c r="M458" s="361"/>
      <c r="N458" s="361"/>
      <c r="O458" s="361"/>
      <c r="P458" s="361"/>
      <c r="Q458" s="361"/>
      <c r="R458" s="361"/>
      <c r="S458" s="361"/>
      <c r="T458" s="361"/>
      <c r="U458" s="361"/>
      <c r="V458" s="361"/>
      <c r="W458" s="361"/>
      <c r="X458" s="361"/>
      <c r="Y458" s="361"/>
      <c r="Z458" s="361"/>
      <c r="AA458" s="361"/>
      <c r="AB458" s="361"/>
    </row>
    <row r="459">
      <c r="A459" s="351" t="s">
        <v>665</v>
      </c>
      <c r="B459" s="352">
        <v>1390.0</v>
      </c>
      <c r="C459" s="352">
        <v>2090.0</v>
      </c>
      <c r="D459" s="354">
        <f t="shared" si="77"/>
        <v>700</v>
      </c>
      <c r="E459" s="353" t="s">
        <v>557</v>
      </c>
      <c r="F459" s="355">
        <f t="shared" si="78"/>
        <v>2654.3</v>
      </c>
      <c r="G459" s="356"/>
      <c r="H459" s="357">
        <f>D459/(B459/100)</f>
        <v>50.35971223</v>
      </c>
      <c r="I459" s="358"/>
      <c r="J459" s="358"/>
      <c r="K459" s="358"/>
      <c r="L459" s="358"/>
      <c r="M459" s="358"/>
      <c r="N459" s="358"/>
      <c r="O459" s="358"/>
      <c r="P459" s="358"/>
      <c r="Q459" s="358"/>
      <c r="R459" s="358"/>
      <c r="S459" s="358"/>
      <c r="T459" s="358"/>
      <c r="U459" s="358"/>
      <c r="V459" s="358"/>
      <c r="W459" s="358"/>
      <c r="X459" s="358"/>
      <c r="Y459" s="358"/>
      <c r="Z459" s="358"/>
      <c r="AA459" s="358"/>
      <c r="AB459" s="358"/>
    </row>
    <row r="460">
      <c r="A460" s="351" t="s">
        <v>666</v>
      </c>
      <c r="B460" s="352">
        <v>1090.0</v>
      </c>
      <c r="C460" s="352">
        <v>1790.0</v>
      </c>
      <c r="D460" s="354">
        <f t="shared" si="77"/>
        <v>700</v>
      </c>
      <c r="E460" s="353" t="s">
        <v>557</v>
      </c>
      <c r="F460" s="359">
        <f t="shared" si="78"/>
        <v>2273.3</v>
      </c>
      <c r="G460" s="356"/>
      <c r="H460" s="357">
        <f t="shared" ref="H460:H471" si="80">D460/(C460/100)</f>
        <v>39.10614525</v>
      </c>
      <c r="I460" s="358"/>
      <c r="J460" s="358"/>
      <c r="K460" s="358"/>
      <c r="L460" s="358"/>
      <c r="M460" s="358"/>
      <c r="N460" s="358"/>
      <c r="O460" s="358"/>
      <c r="P460" s="358"/>
      <c r="Q460" s="358"/>
      <c r="R460" s="358"/>
      <c r="S460" s="358"/>
      <c r="T460" s="358"/>
      <c r="U460" s="358"/>
      <c r="V460" s="358"/>
      <c r="W460" s="358"/>
      <c r="X460" s="358"/>
      <c r="Y460" s="358"/>
      <c r="Z460" s="358"/>
      <c r="AA460" s="358"/>
      <c r="AB460" s="358"/>
    </row>
    <row r="461">
      <c r="A461" s="355" t="s">
        <v>667</v>
      </c>
      <c r="B461" s="353">
        <v>990.0</v>
      </c>
      <c r="C461" s="353">
        <v>1690.0</v>
      </c>
      <c r="D461" s="354">
        <f t="shared" si="77"/>
        <v>700</v>
      </c>
      <c r="E461" s="353" t="s">
        <v>557</v>
      </c>
      <c r="F461" s="355">
        <f t="shared" si="78"/>
        <v>2146.3</v>
      </c>
      <c r="G461" s="356"/>
      <c r="H461" s="357">
        <f t="shared" si="80"/>
        <v>41.42011834</v>
      </c>
      <c r="I461" s="361"/>
      <c r="J461" s="361"/>
      <c r="K461" s="361"/>
      <c r="L461" s="361"/>
      <c r="M461" s="361"/>
      <c r="N461" s="361"/>
      <c r="O461" s="361"/>
      <c r="P461" s="361"/>
      <c r="Q461" s="361"/>
      <c r="R461" s="361"/>
      <c r="S461" s="361"/>
      <c r="T461" s="361"/>
      <c r="U461" s="361"/>
      <c r="V461" s="361"/>
      <c r="W461" s="361"/>
      <c r="X461" s="361"/>
      <c r="Y461" s="361"/>
      <c r="Z461" s="361"/>
      <c r="AA461" s="361"/>
      <c r="AB461" s="361"/>
    </row>
    <row r="462">
      <c r="A462" s="351" t="s">
        <v>668</v>
      </c>
      <c r="B462" s="352">
        <v>490.0</v>
      </c>
      <c r="C462" s="352">
        <v>1190.0</v>
      </c>
      <c r="D462" s="354">
        <f t="shared" si="77"/>
        <v>700</v>
      </c>
      <c r="E462" s="353" t="s">
        <v>557</v>
      </c>
      <c r="F462" s="355">
        <f t="shared" si="78"/>
        <v>1511.3</v>
      </c>
      <c r="G462" s="356"/>
      <c r="H462" s="357">
        <f t="shared" si="80"/>
        <v>58.82352941</v>
      </c>
      <c r="I462" s="358"/>
      <c r="J462" s="358"/>
      <c r="K462" s="358"/>
      <c r="L462" s="358"/>
      <c r="M462" s="358"/>
      <c r="N462" s="358"/>
      <c r="O462" s="358"/>
      <c r="P462" s="358"/>
      <c r="Q462" s="358"/>
      <c r="R462" s="358"/>
      <c r="S462" s="358"/>
      <c r="T462" s="358"/>
      <c r="U462" s="358"/>
      <c r="V462" s="358"/>
      <c r="W462" s="358"/>
      <c r="X462" s="358"/>
      <c r="Y462" s="358"/>
      <c r="Z462" s="358"/>
      <c r="AA462" s="358"/>
      <c r="AB462" s="358"/>
    </row>
    <row r="463">
      <c r="A463" s="351" t="s">
        <v>669</v>
      </c>
      <c r="B463" s="352">
        <v>490.0</v>
      </c>
      <c r="C463" s="352">
        <v>1190.0</v>
      </c>
      <c r="D463" s="354">
        <f t="shared" si="77"/>
        <v>700</v>
      </c>
      <c r="E463" s="353" t="s">
        <v>557</v>
      </c>
      <c r="F463" s="355">
        <f t="shared" si="78"/>
        <v>1511.3</v>
      </c>
      <c r="G463" s="356"/>
      <c r="H463" s="357">
        <f t="shared" si="80"/>
        <v>58.82352941</v>
      </c>
      <c r="I463" s="358"/>
      <c r="J463" s="358"/>
      <c r="K463" s="358"/>
      <c r="L463" s="358"/>
      <c r="M463" s="358"/>
      <c r="N463" s="358"/>
      <c r="O463" s="358"/>
      <c r="P463" s="358"/>
      <c r="Q463" s="358"/>
      <c r="R463" s="358"/>
      <c r="S463" s="358"/>
      <c r="T463" s="358"/>
      <c r="U463" s="358"/>
      <c r="V463" s="358"/>
      <c r="W463" s="358"/>
      <c r="X463" s="358"/>
      <c r="Y463" s="358"/>
      <c r="Z463" s="358"/>
      <c r="AA463" s="358"/>
      <c r="AB463" s="358"/>
    </row>
    <row r="464">
      <c r="A464" s="355" t="s">
        <v>670</v>
      </c>
      <c r="B464" s="353">
        <v>390.0</v>
      </c>
      <c r="C464" s="353">
        <v>1090.0</v>
      </c>
      <c r="D464" s="354">
        <f t="shared" si="77"/>
        <v>700</v>
      </c>
      <c r="E464" s="354" t="s">
        <v>557</v>
      </c>
      <c r="F464" s="359">
        <f t="shared" si="78"/>
        <v>1384.3</v>
      </c>
      <c r="G464" s="360"/>
      <c r="H464" s="357">
        <f t="shared" si="80"/>
        <v>64.22018349</v>
      </c>
      <c r="I464" s="361"/>
      <c r="J464" s="361"/>
      <c r="K464" s="361"/>
      <c r="L464" s="361"/>
      <c r="M464" s="361"/>
      <c r="N464" s="361"/>
      <c r="O464" s="361"/>
      <c r="P464" s="361"/>
      <c r="Q464" s="361"/>
      <c r="R464" s="361"/>
      <c r="S464" s="361"/>
      <c r="T464" s="361"/>
      <c r="U464" s="361"/>
      <c r="V464" s="361"/>
      <c r="W464" s="361"/>
      <c r="X464" s="361"/>
      <c r="Y464" s="361"/>
      <c r="Z464" s="361"/>
      <c r="AA464" s="361"/>
      <c r="AB464" s="361"/>
    </row>
    <row r="465">
      <c r="A465" s="355" t="s">
        <v>671</v>
      </c>
      <c r="B465" s="353">
        <v>390.0</v>
      </c>
      <c r="C465" s="353">
        <v>1090.0</v>
      </c>
      <c r="D465" s="354">
        <f t="shared" si="77"/>
        <v>700</v>
      </c>
      <c r="E465" s="354" t="s">
        <v>557</v>
      </c>
      <c r="F465" s="359">
        <f t="shared" si="78"/>
        <v>1384.3</v>
      </c>
      <c r="G465" s="360"/>
      <c r="H465" s="357">
        <f t="shared" si="80"/>
        <v>64.22018349</v>
      </c>
      <c r="I465" s="361"/>
      <c r="J465" s="361"/>
      <c r="K465" s="361"/>
      <c r="L465" s="361"/>
      <c r="M465" s="361"/>
      <c r="N465" s="361"/>
      <c r="O465" s="361"/>
      <c r="P465" s="361"/>
      <c r="Q465" s="361"/>
      <c r="R465" s="361"/>
      <c r="S465" s="361"/>
      <c r="T465" s="361"/>
      <c r="U465" s="361"/>
      <c r="V465" s="361"/>
      <c r="W465" s="361"/>
      <c r="X465" s="361"/>
      <c r="Y465" s="361"/>
      <c r="Z465" s="361"/>
      <c r="AA465" s="361"/>
      <c r="AB465" s="361"/>
    </row>
    <row r="466">
      <c r="A466" s="355" t="s">
        <v>672</v>
      </c>
      <c r="B466" s="353">
        <v>390.0</v>
      </c>
      <c r="C466" s="353">
        <v>1090.0</v>
      </c>
      <c r="D466" s="354">
        <f t="shared" si="77"/>
        <v>700</v>
      </c>
      <c r="E466" s="354" t="s">
        <v>557</v>
      </c>
      <c r="F466" s="359">
        <f t="shared" si="78"/>
        <v>1384.3</v>
      </c>
      <c r="G466" s="360"/>
      <c r="H466" s="357">
        <f t="shared" si="80"/>
        <v>64.22018349</v>
      </c>
      <c r="I466" s="361"/>
      <c r="J466" s="361"/>
      <c r="K466" s="361"/>
      <c r="L466" s="361"/>
      <c r="M466" s="361"/>
      <c r="N466" s="361"/>
      <c r="O466" s="361"/>
      <c r="P466" s="361"/>
      <c r="Q466" s="361"/>
      <c r="R466" s="361"/>
      <c r="S466" s="361"/>
      <c r="T466" s="361"/>
      <c r="U466" s="361"/>
      <c r="V466" s="361"/>
      <c r="W466" s="361"/>
      <c r="X466" s="361"/>
      <c r="Y466" s="361"/>
      <c r="Z466" s="361"/>
      <c r="AA466" s="361"/>
      <c r="AB466" s="361"/>
    </row>
    <row r="467">
      <c r="A467" s="355" t="s">
        <v>673</v>
      </c>
      <c r="B467" s="353">
        <v>290.0</v>
      </c>
      <c r="C467" s="353">
        <v>990.0</v>
      </c>
      <c r="D467" s="354">
        <f t="shared" si="77"/>
        <v>700</v>
      </c>
      <c r="E467" s="353" t="s">
        <v>557</v>
      </c>
      <c r="F467" s="355">
        <f t="shared" si="78"/>
        <v>1257.3</v>
      </c>
      <c r="G467" s="356"/>
      <c r="H467" s="364">
        <f t="shared" si="80"/>
        <v>70.70707071</v>
      </c>
      <c r="I467" s="361"/>
      <c r="J467" s="361"/>
      <c r="K467" s="361"/>
      <c r="L467" s="361"/>
      <c r="M467" s="361"/>
      <c r="N467" s="361"/>
      <c r="O467" s="361"/>
      <c r="P467" s="361"/>
      <c r="Q467" s="361"/>
      <c r="R467" s="361"/>
      <c r="S467" s="361"/>
      <c r="T467" s="361"/>
      <c r="U467" s="361"/>
      <c r="V467" s="361"/>
      <c r="W467" s="361"/>
      <c r="X467" s="361"/>
      <c r="Y467" s="361"/>
      <c r="Z467" s="361"/>
      <c r="AA467" s="361"/>
      <c r="AB467" s="361"/>
    </row>
    <row r="468">
      <c r="A468" s="355" t="s">
        <v>674</v>
      </c>
      <c r="B468" s="353">
        <v>290.0</v>
      </c>
      <c r="C468" s="353">
        <v>990.0</v>
      </c>
      <c r="D468" s="354">
        <f t="shared" si="77"/>
        <v>700</v>
      </c>
      <c r="E468" s="353" t="s">
        <v>557</v>
      </c>
      <c r="F468" s="355">
        <f t="shared" si="78"/>
        <v>1257.3</v>
      </c>
      <c r="G468" s="356"/>
      <c r="H468" s="364">
        <f t="shared" si="80"/>
        <v>70.70707071</v>
      </c>
      <c r="I468" s="358"/>
      <c r="J468" s="358"/>
      <c r="K468" s="358"/>
      <c r="L468" s="358"/>
      <c r="M468" s="358"/>
      <c r="N468" s="358"/>
      <c r="O468" s="358"/>
      <c r="P468" s="358"/>
      <c r="Q468" s="358"/>
      <c r="R468" s="358"/>
      <c r="S468" s="358"/>
      <c r="T468" s="358"/>
      <c r="U468" s="358"/>
      <c r="V468" s="358"/>
      <c r="W468" s="358"/>
      <c r="X468" s="358"/>
      <c r="Y468" s="358"/>
      <c r="Z468" s="358"/>
      <c r="AA468" s="358"/>
      <c r="AB468" s="358"/>
    </row>
    <row r="469">
      <c r="A469" s="355" t="s">
        <v>675</v>
      </c>
      <c r="B469" s="353">
        <v>290.0</v>
      </c>
      <c r="C469" s="353">
        <v>990.0</v>
      </c>
      <c r="D469" s="354">
        <f t="shared" si="77"/>
        <v>700</v>
      </c>
      <c r="E469" s="353" t="s">
        <v>557</v>
      </c>
      <c r="F469" s="355">
        <f t="shared" si="78"/>
        <v>1257.3</v>
      </c>
      <c r="G469" s="356"/>
      <c r="H469" s="364">
        <f t="shared" si="80"/>
        <v>70.70707071</v>
      </c>
      <c r="I469" s="358"/>
      <c r="J469" s="358"/>
      <c r="K469" s="358"/>
      <c r="L469" s="358"/>
      <c r="M469" s="358"/>
      <c r="N469" s="358"/>
      <c r="O469" s="358"/>
      <c r="P469" s="358"/>
      <c r="Q469" s="358"/>
      <c r="R469" s="358"/>
      <c r="S469" s="358"/>
      <c r="T469" s="358"/>
      <c r="U469" s="358"/>
      <c r="V469" s="358"/>
      <c r="W469" s="358"/>
      <c r="X469" s="358"/>
      <c r="Y469" s="358"/>
      <c r="Z469" s="358"/>
      <c r="AA469" s="358"/>
      <c r="AB469" s="358"/>
    </row>
    <row r="470">
      <c r="A470" s="355" t="s">
        <v>676</v>
      </c>
      <c r="B470" s="353">
        <v>290.0</v>
      </c>
      <c r="C470" s="353">
        <v>990.0</v>
      </c>
      <c r="D470" s="354">
        <f t="shared" si="77"/>
        <v>700</v>
      </c>
      <c r="E470" s="353" t="s">
        <v>557</v>
      </c>
      <c r="F470" s="355">
        <f t="shared" si="78"/>
        <v>1257.3</v>
      </c>
      <c r="G470" s="356"/>
      <c r="H470" s="364">
        <f t="shared" si="80"/>
        <v>70.70707071</v>
      </c>
      <c r="I470" s="358"/>
      <c r="J470" s="358"/>
      <c r="K470" s="358"/>
      <c r="L470" s="358"/>
      <c r="M470" s="358"/>
      <c r="N470" s="358"/>
      <c r="O470" s="358"/>
      <c r="P470" s="358"/>
      <c r="Q470" s="358"/>
      <c r="R470" s="358"/>
      <c r="S470" s="358"/>
      <c r="T470" s="358"/>
      <c r="U470" s="358"/>
      <c r="V470" s="358"/>
      <c r="W470" s="358"/>
      <c r="X470" s="358"/>
      <c r="Y470" s="358"/>
      <c r="Z470" s="358"/>
      <c r="AA470" s="358"/>
      <c r="AB470" s="358"/>
    </row>
    <row r="471">
      <c r="A471" s="351" t="s">
        <v>677</v>
      </c>
      <c r="B471" s="353">
        <v>290.0</v>
      </c>
      <c r="C471" s="353">
        <v>990.0</v>
      </c>
      <c r="D471" s="354">
        <f t="shared" si="77"/>
        <v>700</v>
      </c>
      <c r="E471" s="353" t="s">
        <v>557</v>
      </c>
      <c r="F471" s="355">
        <f t="shared" si="78"/>
        <v>1257.3</v>
      </c>
      <c r="G471" s="356"/>
      <c r="H471" s="364">
        <f t="shared" si="80"/>
        <v>70.70707071</v>
      </c>
      <c r="I471" s="358"/>
      <c r="J471" s="358"/>
      <c r="K471" s="358"/>
      <c r="L471" s="358"/>
      <c r="M471" s="358"/>
      <c r="N471" s="358"/>
      <c r="O471" s="358"/>
      <c r="P471" s="358"/>
      <c r="Q471" s="358"/>
      <c r="R471" s="358"/>
      <c r="S471" s="358"/>
      <c r="T471" s="358"/>
      <c r="U471" s="358"/>
      <c r="V471" s="358"/>
      <c r="W471" s="358"/>
      <c r="X471" s="358"/>
      <c r="Y471" s="358"/>
      <c r="Z471" s="358"/>
      <c r="AA471" s="358"/>
      <c r="AB471" s="358"/>
    </row>
    <row r="473">
      <c r="A473" s="122" t="s">
        <v>678</v>
      </c>
    </row>
    <row r="475">
      <c r="A475" s="350" t="s">
        <v>679</v>
      </c>
    </row>
    <row r="476">
      <c r="A476" s="355" t="s">
        <v>680</v>
      </c>
      <c r="B476" s="353">
        <v>9090.0</v>
      </c>
      <c r="C476" s="353">
        <v>9840.0</v>
      </c>
      <c r="D476" s="354">
        <f t="shared" ref="D476:D485" si="81">C476-B476</f>
        <v>750</v>
      </c>
      <c r="E476" s="353" t="s">
        <v>557</v>
      </c>
      <c r="F476" s="365">
        <f t="shared" ref="F476:F485" si="82">C476*1.27</f>
        <v>12496.8</v>
      </c>
      <c r="G476" s="356"/>
      <c r="H476" s="357">
        <f t="shared" ref="H476:H485" si="83">D476/(C476/100)</f>
        <v>7.62195122</v>
      </c>
      <c r="I476" s="361"/>
      <c r="J476" s="361"/>
      <c r="K476" s="361"/>
      <c r="L476" s="361"/>
      <c r="M476" s="361"/>
      <c r="N476" s="361"/>
      <c r="O476" s="361"/>
      <c r="P476" s="361"/>
      <c r="Q476" s="361"/>
      <c r="R476" s="361"/>
      <c r="S476" s="361"/>
      <c r="T476" s="361"/>
      <c r="U476" s="361"/>
      <c r="V476" s="361"/>
      <c r="W476" s="361"/>
      <c r="X476" s="361"/>
      <c r="Y476" s="361"/>
      <c r="Z476" s="361"/>
      <c r="AA476" s="361"/>
      <c r="AB476" s="361"/>
    </row>
    <row r="477">
      <c r="A477" s="355" t="s">
        <v>681</v>
      </c>
      <c r="B477" s="353">
        <v>9090.0</v>
      </c>
      <c r="C477" s="353">
        <v>9840.0</v>
      </c>
      <c r="D477" s="354">
        <f t="shared" si="81"/>
        <v>750</v>
      </c>
      <c r="E477" s="353" t="s">
        <v>557</v>
      </c>
      <c r="F477" s="365">
        <f t="shared" si="82"/>
        <v>12496.8</v>
      </c>
      <c r="G477" s="356"/>
      <c r="H477" s="357">
        <f t="shared" si="83"/>
        <v>7.62195122</v>
      </c>
      <c r="I477" s="361"/>
      <c r="J477" s="361"/>
      <c r="K477" s="361"/>
      <c r="L477" s="361"/>
      <c r="M477" s="361"/>
      <c r="N477" s="361"/>
      <c r="O477" s="361"/>
      <c r="P477" s="361"/>
      <c r="Q477" s="361"/>
      <c r="R477" s="361"/>
      <c r="S477" s="361"/>
      <c r="T477" s="361"/>
      <c r="U477" s="361"/>
      <c r="V477" s="361"/>
      <c r="W477" s="361"/>
      <c r="X477" s="361"/>
      <c r="Y477" s="361"/>
      <c r="Z477" s="361"/>
      <c r="AA477" s="361"/>
      <c r="AB477" s="361"/>
    </row>
    <row r="478">
      <c r="A478" s="355" t="s">
        <v>682</v>
      </c>
      <c r="B478" s="353">
        <v>9090.0</v>
      </c>
      <c r="C478" s="353">
        <v>9840.0</v>
      </c>
      <c r="D478" s="354">
        <f t="shared" si="81"/>
        <v>750</v>
      </c>
      <c r="E478" s="353" t="s">
        <v>557</v>
      </c>
      <c r="F478" s="365">
        <f t="shared" si="82"/>
        <v>12496.8</v>
      </c>
      <c r="G478" s="356"/>
      <c r="H478" s="357">
        <f t="shared" si="83"/>
        <v>7.62195122</v>
      </c>
      <c r="I478" s="361"/>
      <c r="J478" s="361"/>
      <c r="K478" s="361"/>
      <c r="L478" s="361"/>
      <c r="M478" s="361"/>
      <c r="N478" s="361"/>
      <c r="O478" s="361"/>
      <c r="P478" s="361"/>
      <c r="Q478" s="361"/>
      <c r="R478" s="361"/>
      <c r="S478" s="361"/>
      <c r="T478" s="361"/>
      <c r="U478" s="361"/>
      <c r="V478" s="361"/>
      <c r="W478" s="361"/>
      <c r="X478" s="361"/>
      <c r="Y478" s="361"/>
      <c r="Z478" s="361"/>
      <c r="AA478" s="361"/>
      <c r="AB478" s="361"/>
    </row>
    <row r="479">
      <c r="A479" s="366" t="s">
        <v>683</v>
      </c>
      <c r="B479" s="353">
        <v>2890.0</v>
      </c>
      <c r="C479" s="353">
        <v>3590.0</v>
      </c>
      <c r="D479" s="354">
        <f t="shared" si="81"/>
        <v>700</v>
      </c>
      <c r="E479" s="353" t="s">
        <v>557</v>
      </c>
      <c r="F479" s="365">
        <f t="shared" si="82"/>
        <v>4559.3</v>
      </c>
      <c r="G479" s="356"/>
      <c r="H479" s="357">
        <f t="shared" si="83"/>
        <v>19.49860724</v>
      </c>
      <c r="I479" s="358"/>
      <c r="J479" s="358"/>
      <c r="K479" s="358"/>
      <c r="L479" s="358"/>
      <c r="M479" s="358"/>
      <c r="N479" s="358"/>
      <c r="O479" s="358"/>
      <c r="P479" s="358"/>
      <c r="Q479" s="358"/>
      <c r="R479" s="358"/>
      <c r="S479" s="358"/>
      <c r="T479" s="358"/>
      <c r="U479" s="358"/>
      <c r="V479" s="358"/>
      <c r="W479" s="358"/>
      <c r="X479" s="358"/>
      <c r="Y479" s="358"/>
      <c r="Z479" s="358"/>
      <c r="AA479" s="358"/>
      <c r="AB479" s="358"/>
    </row>
    <row r="480">
      <c r="A480" s="355" t="s">
        <v>684</v>
      </c>
      <c r="B480" s="353">
        <v>2390.0</v>
      </c>
      <c r="C480" s="353">
        <v>3090.0</v>
      </c>
      <c r="D480" s="354">
        <f t="shared" si="81"/>
        <v>700</v>
      </c>
      <c r="E480" s="353" t="s">
        <v>557</v>
      </c>
      <c r="F480" s="365">
        <f t="shared" si="82"/>
        <v>3924.3</v>
      </c>
      <c r="G480" s="356"/>
      <c r="H480" s="357">
        <f t="shared" si="83"/>
        <v>22.65372168</v>
      </c>
      <c r="I480" s="361"/>
      <c r="J480" s="361"/>
      <c r="K480" s="361"/>
      <c r="L480" s="361"/>
      <c r="M480" s="361"/>
      <c r="N480" s="361"/>
      <c r="O480" s="361"/>
      <c r="P480" s="361"/>
      <c r="Q480" s="361"/>
      <c r="R480" s="361"/>
      <c r="S480" s="361"/>
      <c r="T480" s="361"/>
      <c r="U480" s="361"/>
      <c r="V480" s="361"/>
      <c r="W480" s="361"/>
      <c r="X480" s="361"/>
      <c r="Y480" s="361"/>
      <c r="Z480" s="361"/>
      <c r="AA480" s="361"/>
      <c r="AB480" s="361"/>
    </row>
    <row r="481">
      <c r="A481" s="351" t="s">
        <v>685</v>
      </c>
      <c r="B481" s="352">
        <v>2190.0</v>
      </c>
      <c r="C481" s="352">
        <v>2890.0</v>
      </c>
      <c r="D481" s="354">
        <f t="shared" si="81"/>
        <v>700</v>
      </c>
      <c r="E481" s="353" t="s">
        <v>557</v>
      </c>
      <c r="F481" s="365">
        <f t="shared" si="82"/>
        <v>3670.3</v>
      </c>
      <c r="G481" s="356"/>
      <c r="H481" s="357">
        <f t="shared" si="83"/>
        <v>24.22145329</v>
      </c>
      <c r="I481" s="358"/>
      <c r="J481" s="358"/>
      <c r="K481" s="358"/>
      <c r="L481" s="358"/>
      <c r="M481" s="358"/>
      <c r="N481" s="358"/>
      <c r="O481" s="358"/>
      <c r="P481" s="358"/>
      <c r="Q481" s="358"/>
      <c r="R481" s="358"/>
      <c r="S481" s="358"/>
      <c r="T481" s="358"/>
      <c r="U481" s="358"/>
      <c r="V481" s="358"/>
      <c r="W481" s="358"/>
      <c r="X481" s="358"/>
      <c r="Y481" s="358"/>
      <c r="Z481" s="358"/>
      <c r="AA481" s="358"/>
      <c r="AB481" s="358"/>
    </row>
    <row r="482">
      <c r="A482" s="355" t="s">
        <v>686</v>
      </c>
      <c r="B482" s="353">
        <v>790.0</v>
      </c>
      <c r="C482" s="353">
        <v>1740.0</v>
      </c>
      <c r="D482" s="354">
        <f t="shared" si="81"/>
        <v>950</v>
      </c>
      <c r="E482" s="354" t="s">
        <v>557</v>
      </c>
      <c r="F482" s="367">
        <f t="shared" si="82"/>
        <v>2209.8</v>
      </c>
      <c r="G482" s="360"/>
      <c r="H482" s="368">
        <f t="shared" si="83"/>
        <v>54.59770115</v>
      </c>
      <c r="I482" s="361"/>
      <c r="J482" s="361"/>
      <c r="K482" s="361"/>
      <c r="L482" s="361"/>
      <c r="M482" s="361"/>
      <c r="N482" s="361"/>
      <c r="O482" s="361"/>
      <c r="P482" s="361"/>
      <c r="Q482" s="361"/>
      <c r="R482" s="361"/>
      <c r="S482" s="361"/>
      <c r="T482" s="361"/>
      <c r="U482" s="361"/>
      <c r="V482" s="361"/>
      <c r="W482" s="361"/>
      <c r="X482" s="361"/>
      <c r="Y482" s="361"/>
      <c r="Z482" s="361"/>
      <c r="AA482" s="361"/>
      <c r="AB482" s="361"/>
    </row>
    <row r="483">
      <c r="A483" s="355" t="s">
        <v>687</v>
      </c>
      <c r="B483" s="353">
        <v>790.0</v>
      </c>
      <c r="C483" s="353">
        <v>1740.0</v>
      </c>
      <c r="D483" s="354">
        <f t="shared" si="81"/>
        <v>950</v>
      </c>
      <c r="E483" s="354" t="s">
        <v>557</v>
      </c>
      <c r="F483" s="367">
        <f t="shared" si="82"/>
        <v>2209.8</v>
      </c>
      <c r="G483" s="360"/>
      <c r="H483" s="368">
        <f t="shared" si="83"/>
        <v>54.59770115</v>
      </c>
      <c r="I483" s="361"/>
      <c r="J483" s="361"/>
      <c r="K483" s="361"/>
      <c r="L483" s="361"/>
      <c r="M483" s="361"/>
      <c r="N483" s="361"/>
      <c r="O483" s="361"/>
      <c r="P483" s="361"/>
      <c r="Q483" s="361"/>
      <c r="R483" s="361"/>
      <c r="S483" s="361"/>
      <c r="T483" s="361"/>
      <c r="U483" s="361"/>
      <c r="V483" s="361"/>
      <c r="W483" s="361"/>
      <c r="X483" s="361"/>
      <c r="Y483" s="361"/>
      <c r="Z483" s="361"/>
      <c r="AA483" s="361"/>
      <c r="AB483" s="361"/>
    </row>
    <row r="484">
      <c r="A484" s="355" t="s">
        <v>688</v>
      </c>
      <c r="B484" s="353">
        <v>790.0</v>
      </c>
      <c r="C484" s="353">
        <v>1740.0</v>
      </c>
      <c r="D484" s="354">
        <f t="shared" si="81"/>
        <v>950</v>
      </c>
      <c r="E484" s="354" t="s">
        <v>557</v>
      </c>
      <c r="F484" s="367">
        <f t="shared" si="82"/>
        <v>2209.8</v>
      </c>
      <c r="G484" s="360"/>
      <c r="H484" s="368">
        <f t="shared" si="83"/>
        <v>54.59770115</v>
      </c>
      <c r="I484" s="361"/>
      <c r="J484" s="361"/>
      <c r="K484" s="361"/>
      <c r="L484" s="361"/>
      <c r="M484" s="361"/>
      <c r="N484" s="361"/>
      <c r="O484" s="361"/>
      <c r="P484" s="361"/>
      <c r="Q484" s="361"/>
      <c r="R484" s="361"/>
      <c r="S484" s="361"/>
      <c r="T484" s="361"/>
      <c r="U484" s="361"/>
      <c r="V484" s="361"/>
      <c r="W484" s="361"/>
      <c r="X484" s="361"/>
      <c r="Y484" s="361"/>
      <c r="Z484" s="361"/>
      <c r="AA484" s="361"/>
      <c r="AB484" s="361"/>
    </row>
    <row r="485">
      <c r="A485" s="355" t="s">
        <v>689</v>
      </c>
      <c r="B485" s="353">
        <v>790.0</v>
      </c>
      <c r="C485" s="353">
        <v>1740.0</v>
      </c>
      <c r="D485" s="354">
        <f t="shared" si="81"/>
        <v>950</v>
      </c>
      <c r="E485" s="354" t="s">
        <v>557</v>
      </c>
      <c r="F485" s="367">
        <f t="shared" si="82"/>
        <v>2209.8</v>
      </c>
      <c r="G485" s="360"/>
      <c r="H485" s="368">
        <f t="shared" si="83"/>
        <v>54.59770115</v>
      </c>
      <c r="I485" s="361"/>
      <c r="J485" s="361"/>
      <c r="K485" s="361"/>
      <c r="L485" s="361"/>
      <c r="M485" s="361"/>
      <c r="N485" s="361"/>
      <c r="O485" s="361"/>
      <c r="P485" s="361"/>
      <c r="Q485" s="361"/>
      <c r="R485" s="361"/>
      <c r="S485" s="361"/>
      <c r="T485" s="361"/>
      <c r="U485" s="361"/>
      <c r="V485" s="361"/>
      <c r="W485" s="361"/>
      <c r="X485" s="361"/>
      <c r="Y485" s="361"/>
      <c r="Z485" s="361"/>
      <c r="AA485" s="361"/>
      <c r="AB485" s="361"/>
    </row>
    <row r="487">
      <c r="A487" s="122" t="s">
        <v>690</v>
      </c>
    </row>
    <row r="489">
      <c r="A489" s="350" t="s">
        <v>691</v>
      </c>
    </row>
    <row r="490">
      <c r="A490" s="351" t="s">
        <v>692</v>
      </c>
      <c r="B490" s="352">
        <v>4140.0</v>
      </c>
      <c r="C490" s="353">
        <v>6290.0</v>
      </c>
      <c r="D490" s="354">
        <f t="shared" ref="D490:D499" si="84">C490-B490</f>
        <v>2150</v>
      </c>
      <c r="E490" s="353" t="s">
        <v>557</v>
      </c>
      <c r="F490" s="365">
        <f t="shared" ref="F490:F499" si="85">C490*1.27</f>
        <v>7988.3</v>
      </c>
      <c r="G490" s="356"/>
      <c r="H490" s="357">
        <f t="shared" ref="H490:H499" si="86">D490/(C490/100)</f>
        <v>34.18124006</v>
      </c>
      <c r="I490" s="358"/>
      <c r="J490" s="358"/>
      <c r="K490" s="358"/>
      <c r="L490" s="358"/>
      <c r="M490" s="358"/>
      <c r="N490" s="358"/>
      <c r="O490" s="358"/>
      <c r="P490" s="358"/>
      <c r="Q490" s="358"/>
      <c r="R490" s="358"/>
      <c r="S490" s="358"/>
      <c r="T490" s="358"/>
      <c r="U490" s="358"/>
      <c r="V490" s="358"/>
      <c r="W490" s="358"/>
      <c r="X490" s="358"/>
      <c r="Y490" s="358"/>
      <c r="Z490" s="358"/>
      <c r="AA490" s="358"/>
      <c r="AB490" s="358"/>
    </row>
    <row r="491">
      <c r="A491" s="355" t="s">
        <v>693</v>
      </c>
      <c r="B491" s="353">
        <v>4140.0</v>
      </c>
      <c r="C491" s="353">
        <v>6290.0</v>
      </c>
      <c r="D491" s="354">
        <f t="shared" si="84"/>
        <v>2150</v>
      </c>
      <c r="E491" s="353" t="s">
        <v>557</v>
      </c>
      <c r="F491" s="365">
        <f t="shared" si="85"/>
        <v>7988.3</v>
      </c>
      <c r="G491" s="360"/>
      <c r="H491" s="357">
        <f t="shared" si="86"/>
        <v>34.18124006</v>
      </c>
      <c r="I491" s="361"/>
      <c r="J491" s="361"/>
      <c r="K491" s="361"/>
      <c r="L491" s="361"/>
      <c r="M491" s="361"/>
      <c r="N491" s="361"/>
      <c r="O491" s="361"/>
      <c r="P491" s="361"/>
      <c r="Q491" s="361"/>
      <c r="R491" s="361"/>
      <c r="S491" s="361"/>
      <c r="T491" s="361"/>
      <c r="U491" s="361"/>
      <c r="V491" s="361"/>
      <c r="W491" s="361"/>
      <c r="X491" s="361"/>
      <c r="Y491" s="361"/>
      <c r="Z491" s="361"/>
      <c r="AA491" s="361"/>
      <c r="AB491" s="361"/>
    </row>
    <row r="492">
      <c r="A492" s="355" t="s">
        <v>694</v>
      </c>
      <c r="B492" s="353">
        <v>3440.0</v>
      </c>
      <c r="C492" s="353">
        <v>5490.0</v>
      </c>
      <c r="D492" s="354">
        <f t="shared" si="84"/>
        <v>2050</v>
      </c>
      <c r="E492" s="353" t="s">
        <v>557</v>
      </c>
      <c r="F492" s="354">
        <f t="shared" si="85"/>
        <v>6972.3</v>
      </c>
      <c r="G492" s="360"/>
      <c r="H492" s="357">
        <f t="shared" si="86"/>
        <v>37.34061931</v>
      </c>
      <c r="I492" s="361"/>
      <c r="J492" s="361"/>
      <c r="K492" s="361"/>
      <c r="L492" s="361"/>
      <c r="M492" s="361"/>
      <c r="N492" s="361"/>
      <c r="O492" s="361"/>
      <c r="P492" s="361"/>
      <c r="Q492" s="361"/>
      <c r="R492" s="361"/>
      <c r="S492" s="361"/>
      <c r="T492" s="361"/>
      <c r="U492" s="361"/>
      <c r="V492" s="361"/>
      <c r="W492" s="361"/>
      <c r="X492" s="361"/>
      <c r="Y492" s="361"/>
      <c r="Z492" s="361"/>
      <c r="AA492" s="361"/>
      <c r="AB492" s="361"/>
    </row>
    <row r="493">
      <c r="A493" s="351" t="s">
        <v>695</v>
      </c>
      <c r="B493" s="352">
        <v>3090.0</v>
      </c>
      <c r="C493" s="353">
        <v>5490.0</v>
      </c>
      <c r="D493" s="354">
        <f t="shared" si="84"/>
        <v>2400</v>
      </c>
      <c r="E493" s="353" t="s">
        <v>557</v>
      </c>
      <c r="F493" s="354">
        <f t="shared" si="85"/>
        <v>6972.3</v>
      </c>
      <c r="G493" s="356"/>
      <c r="H493" s="357">
        <f t="shared" si="86"/>
        <v>43.71584699</v>
      </c>
      <c r="I493" s="358"/>
      <c r="J493" s="358"/>
      <c r="K493" s="358"/>
      <c r="L493" s="358"/>
      <c r="M493" s="358"/>
      <c r="N493" s="358"/>
      <c r="O493" s="358"/>
      <c r="P493" s="358"/>
      <c r="Q493" s="358"/>
      <c r="R493" s="358"/>
      <c r="S493" s="358"/>
      <c r="T493" s="358"/>
      <c r="U493" s="358"/>
      <c r="V493" s="358"/>
      <c r="W493" s="358"/>
      <c r="X493" s="358"/>
      <c r="Y493" s="358"/>
      <c r="Z493" s="358"/>
      <c r="AA493" s="358"/>
      <c r="AB493" s="358"/>
    </row>
    <row r="494">
      <c r="A494" s="351" t="s">
        <v>696</v>
      </c>
      <c r="B494" s="352">
        <v>1390.0</v>
      </c>
      <c r="C494" s="353">
        <v>1990.0</v>
      </c>
      <c r="D494" s="354">
        <f t="shared" si="84"/>
        <v>600</v>
      </c>
      <c r="E494" s="353" t="s">
        <v>557</v>
      </c>
      <c r="F494" s="365">
        <f t="shared" si="85"/>
        <v>2527.3</v>
      </c>
      <c r="G494" s="356"/>
      <c r="H494" s="357">
        <f t="shared" si="86"/>
        <v>30.15075377</v>
      </c>
      <c r="I494" s="358"/>
      <c r="J494" s="358"/>
      <c r="K494" s="358"/>
      <c r="L494" s="358"/>
      <c r="M494" s="358"/>
      <c r="N494" s="358"/>
      <c r="O494" s="358"/>
      <c r="P494" s="358"/>
      <c r="Q494" s="358"/>
      <c r="R494" s="358"/>
      <c r="S494" s="358"/>
      <c r="T494" s="358"/>
      <c r="U494" s="358"/>
      <c r="V494" s="358"/>
      <c r="W494" s="358"/>
      <c r="X494" s="358"/>
      <c r="Y494" s="358"/>
      <c r="Z494" s="358"/>
      <c r="AA494" s="358"/>
      <c r="AB494" s="358"/>
    </row>
    <row r="495">
      <c r="A495" s="355" t="s">
        <v>697</v>
      </c>
      <c r="B495" s="353">
        <v>590.0</v>
      </c>
      <c r="C495" s="353">
        <v>1740.0</v>
      </c>
      <c r="D495" s="354">
        <f t="shared" si="84"/>
        <v>1150</v>
      </c>
      <c r="E495" s="354" t="s">
        <v>557</v>
      </c>
      <c r="F495" s="354">
        <f t="shared" si="85"/>
        <v>2209.8</v>
      </c>
      <c r="G495" s="360"/>
      <c r="H495" s="368">
        <f t="shared" si="86"/>
        <v>66.09195402</v>
      </c>
      <c r="I495" s="361"/>
      <c r="J495" s="361"/>
      <c r="K495" s="361"/>
      <c r="L495" s="361"/>
      <c r="M495" s="361"/>
      <c r="N495" s="361"/>
      <c r="O495" s="361"/>
      <c r="P495" s="361"/>
      <c r="Q495" s="361"/>
      <c r="R495" s="361"/>
      <c r="S495" s="361"/>
      <c r="T495" s="361"/>
      <c r="U495" s="361"/>
      <c r="V495" s="361"/>
      <c r="W495" s="361"/>
      <c r="X495" s="361"/>
      <c r="Y495" s="361"/>
      <c r="Z495" s="361"/>
      <c r="AA495" s="361"/>
      <c r="AB495" s="361"/>
    </row>
    <row r="496">
      <c r="A496" s="355" t="s">
        <v>698</v>
      </c>
      <c r="B496" s="353">
        <v>590.0</v>
      </c>
      <c r="C496" s="353">
        <v>1740.0</v>
      </c>
      <c r="D496" s="354">
        <f t="shared" si="84"/>
        <v>1150</v>
      </c>
      <c r="E496" s="354" t="s">
        <v>557</v>
      </c>
      <c r="F496" s="354">
        <f t="shared" si="85"/>
        <v>2209.8</v>
      </c>
      <c r="G496" s="360"/>
      <c r="H496" s="368">
        <f t="shared" si="86"/>
        <v>66.09195402</v>
      </c>
      <c r="I496" s="361"/>
      <c r="J496" s="361"/>
      <c r="K496" s="361"/>
      <c r="L496" s="361"/>
      <c r="M496" s="361"/>
      <c r="N496" s="361"/>
      <c r="O496" s="361"/>
      <c r="P496" s="361"/>
      <c r="Q496" s="361"/>
      <c r="R496" s="361"/>
      <c r="S496" s="361"/>
      <c r="T496" s="361"/>
      <c r="U496" s="361"/>
      <c r="V496" s="361"/>
      <c r="W496" s="361"/>
      <c r="X496" s="361"/>
      <c r="Y496" s="361"/>
      <c r="Z496" s="361"/>
      <c r="AA496" s="361"/>
      <c r="AB496" s="361"/>
    </row>
    <row r="497">
      <c r="A497" s="355" t="s">
        <v>699</v>
      </c>
      <c r="B497" s="353">
        <v>590.0</v>
      </c>
      <c r="C497" s="353">
        <v>1740.0</v>
      </c>
      <c r="D497" s="354">
        <f t="shared" si="84"/>
        <v>1150</v>
      </c>
      <c r="E497" s="354" t="s">
        <v>557</v>
      </c>
      <c r="F497" s="354">
        <f t="shared" si="85"/>
        <v>2209.8</v>
      </c>
      <c r="G497" s="360"/>
      <c r="H497" s="368">
        <f t="shared" si="86"/>
        <v>66.09195402</v>
      </c>
      <c r="I497" s="361"/>
      <c r="J497" s="361"/>
      <c r="K497" s="361"/>
      <c r="L497" s="361"/>
      <c r="M497" s="361"/>
      <c r="N497" s="361"/>
      <c r="O497" s="361"/>
      <c r="P497" s="361"/>
      <c r="Q497" s="361"/>
      <c r="R497" s="361"/>
      <c r="S497" s="361"/>
      <c r="T497" s="361"/>
      <c r="U497" s="361"/>
      <c r="V497" s="361"/>
      <c r="W497" s="361"/>
      <c r="X497" s="361"/>
      <c r="Y497" s="361"/>
      <c r="Z497" s="361"/>
      <c r="AA497" s="361"/>
      <c r="AB497" s="361"/>
    </row>
    <row r="498">
      <c r="A498" s="355" t="s">
        <v>700</v>
      </c>
      <c r="B498" s="353">
        <v>590.0</v>
      </c>
      <c r="C498" s="353">
        <v>1740.0</v>
      </c>
      <c r="D498" s="354">
        <f t="shared" si="84"/>
        <v>1150</v>
      </c>
      <c r="E498" s="353" t="s">
        <v>557</v>
      </c>
      <c r="F498" s="354">
        <f t="shared" si="85"/>
        <v>2209.8</v>
      </c>
      <c r="G498" s="356"/>
      <c r="H498" s="357">
        <f t="shared" si="86"/>
        <v>66.09195402</v>
      </c>
      <c r="I498" s="361"/>
      <c r="J498" s="361"/>
      <c r="K498" s="361"/>
      <c r="L498" s="361"/>
      <c r="M498" s="361"/>
      <c r="N498" s="361"/>
      <c r="O498" s="361"/>
      <c r="P498" s="361"/>
      <c r="Q498" s="361"/>
      <c r="R498" s="361"/>
      <c r="S498" s="361"/>
      <c r="T498" s="361"/>
      <c r="U498" s="361"/>
      <c r="V498" s="361"/>
      <c r="W498" s="361"/>
      <c r="X498" s="361"/>
      <c r="Y498" s="361"/>
      <c r="Z498" s="361"/>
      <c r="AA498" s="361"/>
      <c r="AB498" s="361"/>
    </row>
    <row r="499">
      <c r="A499" s="355" t="s">
        <v>701</v>
      </c>
      <c r="B499" s="353">
        <v>590.0</v>
      </c>
      <c r="C499" s="353">
        <v>1190.0</v>
      </c>
      <c r="D499" s="354">
        <f t="shared" si="84"/>
        <v>600</v>
      </c>
      <c r="E499" s="354" t="s">
        <v>557</v>
      </c>
      <c r="F499" s="354">
        <f t="shared" si="85"/>
        <v>1511.3</v>
      </c>
      <c r="G499" s="360"/>
      <c r="H499" s="357">
        <f t="shared" si="86"/>
        <v>50.42016807</v>
      </c>
      <c r="I499" s="361"/>
      <c r="J499" s="361"/>
      <c r="K499" s="361"/>
      <c r="L499" s="361"/>
      <c r="M499" s="361"/>
      <c r="N499" s="361"/>
      <c r="O499" s="361"/>
      <c r="P499" s="361"/>
      <c r="Q499" s="361"/>
      <c r="R499" s="361"/>
      <c r="S499" s="361"/>
      <c r="T499" s="361"/>
      <c r="U499" s="361"/>
      <c r="V499" s="361"/>
      <c r="W499" s="361"/>
      <c r="X499" s="361"/>
      <c r="Y499" s="361"/>
      <c r="Z499" s="361"/>
      <c r="AA499" s="361"/>
      <c r="AB499" s="361"/>
    </row>
    <row r="501">
      <c r="A501" s="205" t="s">
        <v>702</v>
      </c>
      <c r="B501" s="369" t="s">
        <v>38</v>
      </c>
      <c r="C501" s="369" t="s">
        <v>703</v>
      </c>
      <c r="D501" s="369" t="s">
        <v>704</v>
      </c>
    </row>
    <row r="502">
      <c r="A502" s="123" t="s">
        <v>705</v>
      </c>
      <c r="B502" s="125">
        <f>SUM(B290:B322)</f>
        <v>4000</v>
      </c>
      <c r="C502" s="206">
        <f t="shared" ref="C502:C508" si="87">B502/($B$509/100)</f>
        <v>0.9654373431</v>
      </c>
      <c r="D502" s="370">
        <v>10.0</v>
      </c>
    </row>
    <row r="503">
      <c r="A503" s="128" t="s">
        <v>706</v>
      </c>
      <c r="B503" s="132">
        <f>SUM(B323:B355)</f>
        <v>133300</v>
      </c>
      <c r="C503" s="371">
        <f t="shared" si="87"/>
        <v>32.17319946</v>
      </c>
      <c r="D503" s="372">
        <v>20.0</v>
      </c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</row>
    <row r="504">
      <c r="A504" s="123" t="s">
        <v>707</v>
      </c>
      <c r="B504" s="125">
        <f>SUM(B356:B372)</f>
        <v>44190</v>
      </c>
      <c r="C504" s="206">
        <f t="shared" si="87"/>
        <v>10.66566905</v>
      </c>
      <c r="D504" s="370">
        <v>20.0</v>
      </c>
    </row>
    <row r="505">
      <c r="A505" s="123" t="s">
        <v>708</v>
      </c>
      <c r="B505" s="125">
        <f>SUM(B373:B401)</f>
        <v>23379</v>
      </c>
      <c r="C505" s="206">
        <f t="shared" si="87"/>
        <v>5.642739911</v>
      </c>
      <c r="D505" s="370">
        <v>10.0</v>
      </c>
    </row>
    <row r="506">
      <c r="A506" s="123" t="s">
        <v>709</v>
      </c>
      <c r="B506" s="125">
        <f>SUM(B402:B408)</f>
        <v>5271</v>
      </c>
      <c r="C506" s="206">
        <f t="shared" si="87"/>
        <v>1.272205059</v>
      </c>
      <c r="D506" s="370">
        <v>20.0</v>
      </c>
    </row>
    <row r="507">
      <c r="A507" s="123" t="s">
        <v>710</v>
      </c>
      <c r="B507" s="125">
        <f>SUM(B409:B427)</f>
        <v>49130</v>
      </c>
      <c r="C507" s="206">
        <f t="shared" si="87"/>
        <v>11.85798417</v>
      </c>
      <c r="D507" s="370">
        <v>0.0</v>
      </c>
    </row>
    <row r="508">
      <c r="A508" s="123" t="s">
        <v>711</v>
      </c>
      <c r="B508" s="125">
        <f>SUM(B428:B500)</f>
        <v>155050</v>
      </c>
      <c r="C508" s="206">
        <f t="shared" si="87"/>
        <v>37.42276501</v>
      </c>
      <c r="D508" s="370">
        <v>20.0</v>
      </c>
    </row>
    <row r="509">
      <c r="A509" s="122" t="s">
        <v>712</v>
      </c>
      <c r="B509" s="133">
        <f t="shared" ref="B509:D509" si="88">SUM(B502:B508)</f>
        <v>414320</v>
      </c>
      <c r="C509" s="133">
        <f t="shared" si="88"/>
        <v>100</v>
      </c>
      <c r="D509" s="133">
        <f t="shared" si="88"/>
        <v>100</v>
      </c>
    </row>
    <row r="511">
      <c r="A511" s="122" t="s">
        <v>713</v>
      </c>
    </row>
    <row r="512" hidden="1"/>
    <row r="513" hidden="1">
      <c r="A513" s="373" t="s">
        <v>714</v>
      </c>
      <c r="B513" s="374">
        <v>3790.0</v>
      </c>
      <c r="C513" s="375">
        <v>19990.0</v>
      </c>
      <c r="D513" s="375">
        <f t="shared" ref="D513:D522" si="89">C513-B513</f>
        <v>16200</v>
      </c>
      <c r="E513" s="375" t="s">
        <v>559</v>
      </c>
      <c r="F513" s="375">
        <v>25000.0</v>
      </c>
      <c r="G513" s="376"/>
      <c r="H513" s="377">
        <f t="shared" ref="H513:H522" si="90">D513/(C513/100)</f>
        <v>81.04052026</v>
      </c>
      <c r="I513" s="373"/>
      <c r="J513" s="373"/>
      <c r="K513" s="373"/>
      <c r="L513" s="373"/>
      <c r="M513" s="373"/>
      <c r="N513" s="373"/>
      <c r="O513" s="373"/>
      <c r="P513" s="373"/>
      <c r="Q513" s="373"/>
      <c r="R513" s="373"/>
      <c r="S513" s="373"/>
      <c r="T513" s="373"/>
      <c r="U513" s="373"/>
      <c r="V513" s="373"/>
      <c r="W513" s="373"/>
      <c r="X513" s="373"/>
      <c r="Y513" s="373"/>
      <c r="Z513" s="373"/>
      <c r="AA513" s="373"/>
      <c r="AB513" s="373"/>
    </row>
    <row r="514" hidden="1">
      <c r="A514" s="378" t="s">
        <v>715</v>
      </c>
      <c r="B514" s="374">
        <v>3790.0</v>
      </c>
      <c r="C514" s="374">
        <v>17990.0</v>
      </c>
      <c r="D514" s="375">
        <f t="shared" si="89"/>
        <v>14200</v>
      </c>
      <c r="E514" s="374" t="s">
        <v>559</v>
      </c>
      <c r="F514" s="374">
        <v>19000.0</v>
      </c>
      <c r="G514" s="379"/>
      <c r="H514" s="377">
        <f t="shared" si="90"/>
        <v>78.93274041</v>
      </c>
      <c r="I514" s="380"/>
      <c r="J514" s="380"/>
      <c r="K514" s="380"/>
      <c r="L514" s="380"/>
      <c r="M514" s="380"/>
      <c r="N514" s="380"/>
      <c r="O514" s="380"/>
      <c r="P514" s="380"/>
      <c r="Q514" s="380"/>
      <c r="R514" s="380"/>
      <c r="S514" s="380"/>
      <c r="T514" s="380"/>
      <c r="U514" s="380"/>
      <c r="V514" s="380"/>
      <c r="W514" s="380"/>
      <c r="X514" s="380"/>
      <c r="Y514" s="380"/>
      <c r="Z514" s="380"/>
      <c r="AA514" s="380"/>
      <c r="AB514" s="380"/>
    </row>
    <row r="515" hidden="1">
      <c r="A515" s="378" t="s">
        <v>716</v>
      </c>
      <c r="B515" s="374">
        <v>3790.0</v>
      </c>
      <c r="C515" s="374">
        <v>10217.0</v>
      </c>
      <c r="D515" s="375">
        <f t="shared" si="89"/>
        <v>6427</v>
      </c>
      <c r="E515" s="374" t="s">
        <v>559</v>
      </c>
      <c r="F515" s="381">
        <f>C515*1.27</f>
        <v>12975.59</v>
      </c>
      <c r="G515" s="379"/>
      <c r="H515" s="377">
        <f t="shared" si="90"/>
        <v>62.90496232</v>
      </c>
      <c r="I515" s="380"/>
      <c r="J515" s="380"/>
      <c r="K515" s="380"/>
      <c r="L515" s="380"/>
      <c r="M515" s="380"/>
      <c r="N515" s="380"/>
      <c r="O515" s="380"/>
      <c r="P515" s="380"/>
      <c r="Q515" s="380"/>
      <c r="R515" s="380"/>
      <c r="S515" s="380"/>
      <c r="T515" s="380"/>
      <c r="U515" s="380"/>
      <c r="V515" s="380"/>
      <c r="W515" s="380"/>
      <c r="X515" s="380"/>
      <c r="Y515" s="380"/>
      <c r="Z515" s="380"/>
      <c r="AA515" s="380"/>
      <c r="AB515" s="380"/>
    </row>
    <row r="516" hidden="1">
      <c r="A516" s="378" t="s">
        <v>717</v>
      </c>
      <c r="B516" s="382">
        <v>3790.0</v>
      </c>
      <c r="C516" s="382">
        <v>10500.0</v>
      </c>
      <c r="D516" s="375">
        <f t="shared" si="89"/>
        <v>6710</v>
      </c>
      <c r="E516" s="374" t="s">
        <v>559</v>
      </c>
      <c r="F516" s="374">
        <v>11000.0</v>
      </c>
      <c r="G516" s="379"/>
      <c r="H516" s="377">
        <f t="shared" si="90"/>
        <v>63.9047619</v>
      </c>
      <c r="I516" s="380"/>
      <c r="J516" s="380"/>
      <c r="K516" s="380"/>
      <c r="L516" s="380"/>
      <c r="M516" s="380"/>
      <c r="N516" s="380"/>
      <c r="O516" s="380"/>
      <c r="P516" s="380"/>
      <c r="Q516" s="380"/>
      <c r="R516" s="380"/>
      <c r="S516" s="380"/>
      <c r="T516" s="380"/>
      <c r="U516" s="380"/>
      <c r="V516" s="380"/>
      <c r="W516" s="380"/>
      <c r="X516" s="380"/>
      <c r="Y516" s="380"/>
      <c r="Z516" s="380"/>
      <c r="AA516" s="380"/>
      <c r="AB516" s="380"/>
    </row>
    <row r="517" hidden="1">
      <c r="A517" s="381" t="s">
        <v>718</v>
      </c>
      <c r="B517" s="374">
        <v>2690.0</v>
      </c>
      <c r="C517" s="374">
        <v>4900.0</v>
      </c>
      <c r="D517" s="375">
        <f t="shared" si="89"/>
        <v>2210</v>
      </c>
      <c r="E517" s="374" t="s">
        <v>559</v>
      </c>
      <c r="F517" s="381">
        <f t="shared" ref="F517:F522" si="91">C517*1.27</f>
        <v>6223</v>
      </c>
      <c r="G517" s="379"/>
      <c r="H517" s="377">
        <f t="shared" si="90"/>
        <v>45.10204082</v>
      </c>
      <c r="I517" s="373"/>
      <c r="J517" s="373"/>
      <c r="K517" s="373"/>
      <c r="L517" s="373"/>
      <c r="M517" s="373"/>
      <c r="N517" s="373"/>
      <c r="O517" s="373"/>
      <c r="P517" s="373"/>
      <c r="Q517" s="373"/>
      <c r="R517" s="373"/>
      <c r="S517" s="373"/>
      <c r="T517" s="373"/>
      <c r="U517" s="373"/>
      <c r="V517" s="373"/>
      <c r="W517" s="373"/>
      <c r="X517" s="373"/>
      <c r="Y517" s="373"/>
      <c r="Z517" s="373"/>
      <c r="AA517" s="373"/>
      <c r="AB517" s="373"/>
    </row>
    <row r="518" hidden="1">
      <c r="A518" s="378" t="s">
        <v>719</v>
      </c>
      <c r="B518" s="374">
        <v>1690.0</v>
      </c>
      <c r="C518" s="374">
        <v>1955.0</v>
      </c>
      <c r="D518" s="375">
        <f t="shared" si="89"/>
        <v>265</v>
      </c>
      <c r="E518" s="374" t="s">
        <v>559</v>
      </c>
      <c r="F518" s="381">
        <f t="shared" si="91"/>
        <v>2482.85</v>
      </c>
      <c r="G518" s="379"/>
      <c r="H518" s="377">
        <f t="shared" si="90"/>
        <v>13.55498721</v>
      </c>
      <c r="I518" s="380"/>
      <c r="J518" s="380"/>
      <c r="K518" s="380"/>
      <c r="L518" s="380"/>
      <c r="M518" s="380"/>
      <c r="N518" s="380"/>
      <c r="O518" s="380"/>
      <c r="P518" s="380"/>
      <c r="Q518" s="380"/>
      <c r="R518" s="380"/>
      <c r="S518" s="380"/>
      <c r="T518" s="380"/>
      <c r="U518" s="380"/>
      <c r="V518" s="380"/>
      <c r="W518" s="380"/>
      <c r="X518" s="380"/>
      <c r="Y518" s="380"/>
      <c r="Z518" s="380"/>
      <c r="AA518" s="380"/>
      <c r="AB518" s="380"/>
    </row>
    <row r="519" hidden="1">
      <c r="A519" s="381" t="s">
        <v>720</v>
      </c>
      <c r="B519" s="374">
        <v>3790.0</v>
      </c>
      <c r="C519" s="374">
        <v>6945.0</v>
      </c>
      <c r="D519" s="375">
        <f t="shared" si="89"/>
        <v>3155</v>
      </c>
      <c r="E519" s="374" t="s">
        <v>559</v>
      </c>
      <c r="F519" s="381">
        <f t="shared" si="91"/>
        <v>8820.15</v>
      </c>
      <c r="G519" s="379"/>
      <c r="H519" s="377">
        <f t="shared" si="90"/>
        <v>45.42836573</v>
      </c>
      <c r="I519" s="373"/>
      <c r="J519" s="373"/>
      <c r="K519" s="373"/>
      <c r="L519" s="373"/>
      <c r="M519" s="373"/>
      <c r="N519" s="373"/>
      <c r="O519" s="373"/>
      <c r="P519" s="373"/>
      <c r="Q519" s="373"/>
      <c r="R519" s="373"/>
      <c r="S519" s="373"/>
      <c r="T519" s="373"/>
      <c r="U519" s="373"/>
      <c r="V519" s="373"/>
      <c r="W519" s="373"/>
      <c r="X519" s="373"/>
      <c r="Y519" s="373"/>
      <c r="Z519" s="373"/>
      <c r="AA519" s="373"/>
      <c r="AB519" s="373"/>
    </row>
    <row r="520" hidden="1">
      <c r="A520" s="378" t="s">
        <v>588</v>
      </c>
      <c r="B520" s="374">
        <v>2690.0</v>
      </c>
      <c r="C520" s="374">
        <v>3220.0</v>
      </c>
      <c r="D520" s="375">
        <f t="shared" si="89"/>
        <v>530</v>
      </c>
      <c r="E520" s="374" t="s">
        <v>557</v>
      </c>
      <c r="F520" s="381">
        <f t="shared" si="91"/>
        <v>4089.4</v>
      </c>
      <c r="G520" s="379"/>
      <c r="H520" s="377">
        <f t="shared" si="90"/>
        <v>16.45962733</v>
      </c>
      <c r="I520" s="380"/>
      <c r="J520" s="380"/>
      <c r="K520" s="380"/>
      <c r="L520" s="380"/>
      <c r="M520" s="380"/>
      <c r="N520" s="380"/>
      <c r="O520" s="380"/>
      <c r="P520" s="380"/>
      <c r="Q520" s="380"/>
      <c r="R520" s="380"/>
      <c r="S520" s="380"/>
      <c r="T520" s="380"/>
      <c r="U520" s="380"/>
      <c r="V520" s="380"/>
      <c r="W520" s="380"/>
      <c r="X520" s="380"/>
      <c r="Y520" s="380"/>
      <c r="Z520" s="380"/>
      <c r="AA520" s="380"/>
      <c r="AB520" s="380"/>
    </row>
    <row r="521" hidden="1">
      <c r="A521" s="378" t="s">
        <v>721</v>
      </c>
      <c r="B521" s="374">
        <v>1890.0</v>
      </c>
      <c r="C521" s="374">
        <v>2856.0</v>
      </c>
      <c r="D521" s="375">
        <f t="shared" si="89"/>
        <v>966</v>
      </c>
      <c r="E521" s="374" t="s">
        <v>559</v>
      </c>
      <c r="F521" s="381">
        <f t="shared" si="91"/>
        <v>3627.12</v>
      </c>
      <c r="G521" s="379"/>
      <c r="H521" s="377">
        <f t="shared" si="90"/>
        <v>33.82352941</v>
      </c>
      <c r="I521" s="380"/>
      <c r="J521" s="380"/>
      <c r="K521" s="380"/>
      <c r="L521" s="380"/>
      <c r="M521" s="380"/>
      <c r="N521" s="380"/>
      <c r="O521" s="380"/>
      <c r="P521" s="380"/>
      <c r="Q521" s="380"/>
      <c r="R521" s="380"/>
      <c r="S521" s="380"/>
      <c r="T521" s="380"/>
      <c r="U521" s="380"/>
      <c r="V521" s="380"/>
      <c r="W521" s="380"/>
      <c r="X521" s="380"/>
      <c r="Y521" s="380"/>
      <c r="Z521" s="380"/>
      <c r="AA521" s="380"/>
      <c r="AB521" s="380"/>
    </row>
    <row r="522" hidden="1">
      <c r="A522" s="378" t="s">
        <v>582</v>
      </c>
      <c r="B522" s="382">
        <v>1090.0</v>
      </c>
      <c r="C522" s="382">
        <v>1090.0</v>
      </c>
      <c r="D522" s="375">
        <f t="shared" si="89"/>
        <v>0</v>
      </c>
      <c r="E522" s="374" t="s">
        <v>559</v>
      </c>
      <c r="F522" s="381">
        <f t="shared" si="91"/>
        <v>1384.3</v>
      </c>
      <c r="G522" s="379"/>
      <c r="H522" s="377">
        <f t="shared" si="90"/>
        <v>0</v>
      </c>
      <c r="I522" s="380"/>
      <c r="J522" s="380"/>
      <c r="K522" s="380"/>
      <c r="L522" s="380"/>
      <c r="M522" s="380"/>
      <c r="N522" s="380"/>
      <c r="O522" s="380"/>
      <c r="P522" s="380"/>
      <c r="Q522" s="380"/>
      <c r="R522" s="380"/>
      <c r="S522" s="380"/>
      <c r="T522" s="380"/>
      <c r="U522" s="380"/>
      <c r="V522" s="380"/>
      <c r="W522" s="380"/>
      <c r="X522" s="380"/>
      <c r="Y522" s="380"/>
      <c r="Z522" s="380"/>
      <c r="AA522" s="380"/>
      <c r="AB522" s="380"/>
    </row>
    <row r="524">
      <c r="A524" s="122" t="s">
        <v>722</v>
      </c>
    </row>
    <row r="525" hidden="1"/>
    <row r="526" hidden="1">
      <c r="A526" s="123" t="s">
        <v>723</v>
      </c>
    </row>
    <row r="527" hidden="1">
      <c r="A527" s="123" t="s">
        <v>724</v>
      </c>
      <c r="B527" s="147">
        <v>5990.0</v>
      </c>
      <c r="C527" s="124">
        <v>7890.0</v>
      </c>
      <c r="D527" s="132">
        <f>C527-B527</f>
        <v>1900</v>
      </c>
      <c r="E527" s="147" t="s">
        <v>557</v>
      </c>
      <c r="F527" s="128">
        <f>C527*1.27</f>
        <v>10020.3</v>
      </c>
      <c r="G527" s="231"/>
      <c r="H527" s="168">
        <f>D527/(C527/100)</f>
        <v>24.08111534</v>
      </c>
    </row>
    <row r="528" hidden="1">
      <c r="A528" s="128" t="s">
        <v>725</v>
      </c>
      <c r="B528" s="147"/>
      <c r="C528" s="147"/>
      <c r="D528" s="132"/>
      <c r="E528" s="147"/>
      <c r="F528" s="152"/>
      <c r="G528" s="337"/>
      <c r="H528" s="168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  <c r="AA528" s="129"/>
      <c r="AB528" s="129"/>
    </row>
    <row r="529" hidden="1">
      <c r="A529" s="128" t="s">
        <v>726</v>
      </c>
      <c r="B529" s="147">
        <v>4690.0</v>
      </c>
      <c r="C529" s="147">
        <v>5890.0</v>
      </c>
      <c r="D529" s="132">
        <f>C529-B529</f>
        <v>1200</v>
      </c>
      <c r="E529" s="147" t="s">
        <v>557</v>
      </c>
      <c r="F529" s="152">
        <f>C529*1.27</f>
        <v>7480.3</v>
      </c>
      <c r="G529" s="337"/>
      <c r="H529" s="168">
        <f>D529/(C529/100)</f>
        <v>20.37351443</v>
      </c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  <c r="AA529" s="129"/>
      <c r="AB529" s="129"/>
    </row>
    <row r="530" hidden="1"/>
    <row r="532">
      <c r="A532" s="205" t="s">
        <v>727</v>
      </c>
      <c r="B532" s="139"/>
      <c r="C532" s="139"/>
      <c r="D532" s="139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  <c r="AA532" s="129"/>
      <c r="AB532" s="129"/>
    </row>
    <row r="533">
      <c r="A533" s="383">
        <v>46143.0</v>
      </c>
      <c r="B533" s="139"/>
      <c r="C533" s="139"/>
      <c r="D533" s="139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  <c r="AA533" s="129"/>
      <c r="AB533" s="129"/>
    </row>
    <row r="534">
      <c r="A534" s="143"/>
      <c r="B534" s="139"/>
      <c r="C534" s="139"/>
      <c r="D534" s="139"/>
      <c r="E534" s="139"/>
      <c r="F534" s="13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  <c r="AA534" s="129"/>
      <c r="AB534" s="129"/>
    </row>
    <row r="535">
      <c r="A535" s="128" t="s">
        <v>728</v>
      </c>
      <c r="B535" s="147">
        <v>5240.0</v>
      </c>
      <c r="C535" s="147">
        <v>7000.0</v>
      </c>
      <c r="D535" s="132">
        <f t="shared" ref="D535:D555" si="92">C535-B535</f>
        <v>1760</v>
      </c>
      <c r="E535" s="147" t="s">
        <v>559</v>
      </c>
      <c r="F535" s="147">
        <v>7000.0</v>
      </c>
      <c r="G535" s="231"/>
      <c r="H535" s="168">
        <f t="shared" ref="H535:H555" si="93">D535/(C535/100)</f>
        <v>25.14285714</v>
      </c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  <c r="AA535" s="129"/>
      <c r="AB535" s="129"/>
    </row>
    <row r="536">
      <c r="A536" s="123" t="s">
        <v>729</v>
      </c>
      <c r="B536" s="147">
        <v>7840.0</v>
      </c>
      <c r="C536" s="147">
        <v>9750.0</v>
      </c>
      <c r="D536" s="132">
        <f t="shared" si="92"/>
        <v>1910</v>
      </c>
      <c r="E536" s="147" t="s">
        <v>559</v>
      </c>
      <c r="F536" s="127">
        <f t="shared" ref="F536:F555" si="94">C536*1.27</f>
        <v>12382.5</v>
      </c>
      <c r="G536" s="231"/>
      <c r="H536" s="168">
        <f t="shared" si="93"/>
        <v>19.58974359</v>
      </c>
    </row>
    <row r="537">
      <c r="A537" s="128" t="s">
        <v>730</v>
      </c>
      <c r="B537" s="147">
        <v>240.0</v>
      </c>
      <c r="C537" s="147">
        <v>459.0</v>
      </c>
      <c r="D537" s="132">
        <f t="shared" si="92"/>
        <v>219</v>
      </c>
      <c r="E537" s="147" t="s">
        <v>557</v>
      </c>
      <c r="F537" s="127">
        <f t="shared" si="94"/>
        <v>582.93</v>
      </c>
      <c r="G537" s="231"/>
      <c r="H537" s="168">
        <f t="shared" si="93"/>
        <v>47.7124183</v>
      </c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  <c r="AA537" s="129"/>
      <c r="AB537" s="129"/>
    </row>
    <row r="538">
      <c r="A538" s="128" t="s">
        <v>731</v>
      </c>
      <c r="B538" s="147">
        <v>1990.0</v>
      </c>
      <c r="C538" s="147">
        <v>2670.0</v>
      </c>
      <c r="D538" s="132">
        <f t="shared" si="92"/>
        <v>680</v>
      </c>
      <c r="E538" s="132" t="s">
        <v>559</v>
      </c>
      <c r="F538" s="132">
        <f t="shared" si="94"/>
        <v>3390.9</v>
      </c>
      <c r="G538" s="337"/>
      <c r="H538" s="168">
        <f t="shared" si="93"/>
        <v>25.46816479</v>
      </c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</row>
    <row r="539">
      <c r="A539" s="123" t="s">
        <v>732</v>
      </c>
      <c r="B539" s="147">
        <v>3690.0</v>
      </c>
      <c r="C539" s="147">
        <v>4050.0</v>
      </c>
      <c r="D539" s="132">
        <f t="shared" si="92"/>
        <v>360</v>
      </c>
      <c r="E539" s="147" t="s">
        <v>629</v>
      </c>
      <c r="F539" s="347">
        <f t="shared" si="94"/>
        <v>5143.5</v>
      </c>
      <c r="G539" s="347"/>
      <c r="H539" s="168">
        <f t="shared" si="93"/>
        <v>8.888888889</v>
      </c>
    </row>
    <row r="540">
      <c r="A540" s="123" t="s">
        <v>635</v>
      </c>
      <c r="B540" s="147">
        <v>2890.0</v>
      </c>
      <c r="C540" s="147">
        <v>3114.0</v>
      </c>
      <c r="D540" s="132">
        <f t="shared" si="92"/>
        <v>224</v>
      </c>
      <c r="E540" s="147" t="s">
        <v>629</v>
      </c>
      <c r="F540" s="347">
        <f t="shared" si="94"/>
        <v>3954.78</v>
      </c>
      <c r="G540" s="347"/>
      <c r="H540" s="168">
        <f t="shared" si="93"/>
        <v>7.193320488</v>
      </c>
    </row>
    <row r="541">
      <c r="A541" s="128" t="s">
        <v>733</v>
      </c>
      <c r="B541" s="147">
        <v>1290.0</v>
      </c>
      <c r="C541" s="147">
        <v>1715.0</v>
      </c>
      <c r="D541" s="132">
        <f t="shared" si="92"/>
        <v>425</v>
      </c>
      <c r="E541" s="147" t="s">
        <v>559</v>
      </c>
      <c r="F541" s="132">
        <f t="shared" si="94"/>
        <v>2178.05</v>
      </c>
      <c r="G541" s="337"/>
      <c r="H541" s="168">
        <f t="shared" si="93"/>
        <v>24.78134111</v>
      </c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</row>
    <row r="542">
      <c r="A542" s="123" t="s">
        <v>732</v>
      </c>
      <c r="B542" s="147">
        <v>3690.0</v>
      </c>
      <c r="C542" s="147">
        <v>4051.0</v>
      </c>
      <c r="D542" s="132">
        <f t="shared" si="92"/>
        <v>361</v>
      </c>
      <c r="E542" s="147" t="s">
        <v>629</v>
      </c>
      <c r="F542" s="347">
        <f t="shared" si="94"/>
        <v>5144.77</v>
      </c>
      <c r="G542" s="347"/>
      <c r="H542" s="168">
        <f t="shared" si="93"/>
        <v>8.911379906</v>
      </c>
    </row>
    <row r="543">
      <c r="A543" s="123" t="s">
        <v>732</v>
      </c>
      <c r="B543" s="147">
        <v>3690.0</v>
      </c>
      <c r="C543" s="147">
        <v>4051.0</v>
      </c>
      <c r="D543" s="132">
        <f t="shared" si="92"/>
        <v>361</v>
      </c>
      <c r="E543" s="147" t="s">
        <v>629</v>
      </c>
      <c r="F543" s="347">
        <f t="shared" si="94"/>
        <v>5144.77</v>
      </c>
      <c r="G543" s="347"/>
      <c r="H543" s="168">
        <f t="shared" si="93"/>
        <v>8.911379906</v>
      </c>
    </row>
    <row r="544">
      <c r="A544" s="123" t="s">
        <v>732</v>
      </c>
      <c r="B544" s="147">
        <v>3690.0</v>
      </c>
      <c r="C544" s="147">
        <v>4051.0</v>
      </c>
      <c r="D544" s="132">
        <f t="shared" si="92"/>
        <v>361</v>
      </c>
      <c r="E544" s="147" t="s">
        <v>629</v>
      </c>
      <c r="F544" s="347">
        <f t="shared" si="94"/>
        <v>5144.77</v>
      </c>
      <c r="G544" s="347"/>
      <c r="H544" s="168">
        <f t="shared" si="93"/>
        <v>8.911379906</v>
      </c>
    </row>
    <row r="545">
      <c r="A545" s="123" t="s">
        <v>732</v>
      </c>
      <c r="B545" s="147">
        <v>3690.0</v>
      </c>
      <c r="C545" s="147">
        <v>4051.0</v>
      </c>
      <c r="D545" s="132">
        <f t="shared" si="92"/>
        <v>361</v>
      </c>
      <c r="E545" s="147" t="s">
        <v>629</v>
      </c>
      <c r="F545" s="347">
        <f t="shared" si="94"/>
        <v>5144.77</v>
      </c>
      <c r="G545" s="347"/>
      <c r="H545" s="168">
        <f t="shared" si="93"/>
        <v>8.911379906</v>
      </c>
    </row>
    <row r="546">
      <c r="A546" s="384" t="s">
        <v>734</v>
      </c>
      <c r="B546" s="147">
        <v>5990.0</v>
      </c>
      <c r="C546" s="147">
        <v>7408.0</v>
      </c>
      <c r="D546" s="132">
        <f t="shared" si="92"/>
        <v>1418</v>
      </c>
      <c r="E546" s="132" t="s">
        <v>559</v>
      </c>
      <c r="F546" s="132">
        <f t="shared" si="94"/>
        <v>9408.16</v>
      </c>
      <c r="G546" s="337"/>
      <c r="H546" s="168">
        <f t="shared" si="93"/>
        <v>19.14146868</v>
      </c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</row>
    <row r="547">
      <c r="A547" s="123" t="s">
        <v>735</v>
      </c>
      <c r="B547" s="124">
        <v>10990.0</v>
      </c>
      <c r="C547" s="147">
        <v>11851.0</v>
      </c>
      <c r="D547" s="132">
        <f t="shared" si="92"/>
        <v>861</v>
      </c>
      <c r="E547" s="147" t="s">
        <v>557</v>
      </c>
      <c r="F547" s="127">
        <f t="shared" si="94"/>
        <v>15050.77</v>
      </c>
      <c r="G547" s="231"/>
      <c r="H547" s="168">
        <f t="shared" si="93"/>
        <v>7.265209687</v>
      </c>
    </row>
    <row r="548">
      <c r="A548" s="128" t="s">
        <v>736</v>
      </c>
      <c r="B548" s="147">
        <v>12740.0</v>
      </c>
      <c r="C548" s="147">
        <v>15000.0</v>
      </c>
      <c r="D548" s="132">
        <f t="shared" si="92"/>
        <v>2260</v>
      </c>
      <c r="E548" s="147" t="s">
        <v>559</v>
      </c>
      <c r="F548" s="127">
        <f t="shared" si="94"/>
        <v>19050</v>
      </c>
      <c r="G548" s="231"/>
      <c r="H548" s="168">
        <f t="shared" si="93"/>
        <v>15.06666667</v>
      </c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</row>
    <row r="549">
      <c r="A549" s="123" t="s">
        <v>635</v>
      </c>
      <c r="B549" s="147">
        <v>2890.0</v>
      </c>
      <c r="C549" s="147">
        <v>3115.0</v>
      </c>
      <c r="D549" s="132">
        <f t="shared" si="92"/>
        <v>225</v>
      </c>
      <c r="E549" s="147" t="s">
        <v>629</v>
      </c>
      <c r="F549" s="347">
        <f t="shared" si="94"/>
        <v>3956.05</v>
      </c>
      <c r="G549" s="347"/>
      <c r="H549" s="168">
        <f t="shared" si="93"/>
        <v>7.223113965</v>
      </c>
    </row>
    <row r="550">
      <c r="A550" s="123" t="s">
        <v>635</v>
      </c>
      <c r="B550" s="147">
        <v>2890.0</v>
      </c>
      <c r="C550" s="147">
        <v>3114.0</v>
      </c>
      <c r="D550" s="132">
        <f t="shared" si="92"/>
        <v>224</v>
      </c>
      <c r="E550" s="147" t="s">
        <v>629</v>
      </c>
      <c r="F550" s="347">
        <f t="shared" si="94"/>
        <v>3954.78</v>
      </c>
      <c r="G550" s="347"/>
      <c r="H550" s="168">
        <f t="shared" si="93"/>
        <v>7.193320488</v>
      </c>
    </row>
    <row r="551">
      <c r="A551" s="385" t="s">
        <v>737</v>
      </c>
      <c r="B551" s="147">
        <v>240.0</v>
      </c>
      <c r="C551" s="147">
        <v>460.0</v>
      </c>
      <c r="D551" s="132">
        <f t="shared" si="92"/>
        <v>220</v>
      </c>
      <c r="E551" s="147" t="s">
        <v>557</v>
      </c>
      <c r="F551" s="127">
        <f t="shared" si="94"/>
        <v>584.2</v>
      </c>
      <c r="G551" s="231"/>
      <c r="H551" s="168">
        <f t="shared" si="93"/>
        <v>47.82608696</v>
      </c>
    </row>
    <row r="552">
      <c r="A552" s="128" t="s">
        <v>738</v>
      </c>
      <c r="B552" s="147">
        <v>14940.0</v>
      </c>
      <c r="C552" s="147">
        <v>16050.0</v>
      </c>
      <c r="D552" s="132">
        <f t="shared" si="92"/>
        <v>1110</v>
      </c>
      <c r="E552" s="147" t="s">
        <v>559</v>
      </c>
      <c r="F552" s="127">
        <f t="shared" si="94"/>
        <v>20383.5</v>
      </c>
      <c r="G552" s="231"/>
      <c r="H552" s="168">
        <f t="shared" si="93"/>
        <v>6.91588785</v>
      </c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  <c r="AA552" s="129"/>
      <c r="AB552" s="129"/>
    </row>
    <row r="553">
      <c r="A553" s="128" t="s">
        <v>739</v>
      </c>
      <c r="B553" s="147">
        <v>1640.0</v>
      </c>
      <c r="C553" s="147">
        <v>2288.0</v>
      </c>
      <c r="D553" s="132">
        <f t="shared" si="92"/>
        <v>648</v>
      </c>
      <c r="E553" s="132" t="s">
        <v>559</v>
      </c>
      <c r="F553" s="132">
        <f t="shared" si="94"/>
        <v>2905.76</v>
      </c>
      <c r="G553" s="337"/>
      <c r="H553" s="168">
        <f t="shared" si="93"/>
        <v>28.32167832</v>
      </c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  <c r="AA553" s="129"/>
      <c r="AB553" s="129"/>
    </row>
    <row r="554">
      <c r="A554" s="384" t="s">
        <v>740</v>
      </c>
      <c r="B554" s="147">
        <v>4490.0</v>
      </c>
      <c r="C554" s="147">
        <v>7500.0</v>
      </c>
      <c r="D554" s="132">
        <f t="shared" si="92"/>
        <v>3010</v>
      </c>
      <c r="E554" s="132" t="s">
        <v>559</v>
      </c>
      <c r="F554" s="132">
        <f t="shared" si="94"/>
        <v>9525</v>
      </c>
      <c r="G554" s="337"/>
      <c r="H554" s="168">
        <f t="shared" si="93"/>
        <v>40.13333333</v>
      </c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  <c r="AA554" s="129"/>
      <c r="AB554" s="129"/>
    </row>
    <row r="555">
      <c r="A555" s="128" t="s">
        <v>741</v>
      </c>
      <c r="B555" s="147">
        <v>1640.0</v>
      </c>
      <c r="C555" s="147">
        <v>2288.0</v>
      </c>
      <c r="D555" s="132">
        <f t="shared" si="92"/>
        <v>648</v>
      </c>
      <c r="E555" s="132" t="s">
        <v>559</v>
      </c>
      <c r="F555" s="132">
        <f t="shared" si="94"/>
        <v>2905.76</v>
      </c>
      <c r="G555" s="337"/>
      <c r="H555" s="168">
        <f t="shared" si="93"/>
        <v>28.32167832</v>
      </c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  <c r="AA555" s="129"/>
      <c r="AB555" s="129"/>
    </row>
    <row r="556">
      <c r="A556" s="143"/>
      <c r="B556" s="139"/>
      <c r="C556" s="139"/>
      <c r="D556" s="139"/>
      <c r="E556" s="129"/>
      <c r="F556" s="13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  <c r="AA556" s="129"/>
      <c r="AB556" s="129"/>
    </row>
    <row r="557">
      <c r="A557" s="144" t="s">
        <v>57</v>
      </c>
      <c r="B557" s="145">
        <f t="shared" ref="B557:D557" si="95">SUM(B533:B556)</f>
        <v>96390</v>
      </c>
      <c r="C557" s="145">
        <f t="shared" si="95"/>
        <v>114036</v>
      </c>
      <c r="D557" s="145">
        <f t="shared" si="95"/>
        <v>17646</v>
      </c>
      <c r="E557" s="129"/>
      <c r="F557" s="139"/>
      <c r="G557" s="129"/>
      <c r="H557" s="146">
        <f>D557/(C557/100)</f>
        <v>15.47406082</v>
      </c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  <c r="AA557" s="129"/>
      <c r="AB557" s="129"/>
    </row>
    <row r="558">
      <c r="A558" s="143"/>
      <c r="B558" s="139"/>
      <c r="C558" s="139"/>
      <c r="D558" s="139"/>
      <c r="E558" s="129"/>
      <c r="F558" s="13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  <c r="AA558" s="129"/>
      <c r="AB558" s="129"/>
    </row>
    <row r="559">
      <c r="A559" s="383">
        <v>46113.0</v>
      </c>
      <c r="B559" s="139"/>
      <c r="C559" s="139"/>
      <c r="D559" s="139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  <c r="AA559" s="129"/>
      <c r="AB559" s="129"/>
    </row>
    <row r="560">
      <c r="A560" s="143"/>
      <c r="B560" s="139"/>
      <c r="C560" s="139"/>
      <c r="D560" s="139"/>
      <c r="E560" s="139"/>
      <c r="F560" s="13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  <c r="AA560" s="129"/>
      <c r="AB560" s="129"/>
    </row>
    <row r="561">
      <c r="A561" s="123" t="s">
        <v>732</v>
      </c>
      <c r="B561" s="147">
        <v>3690.0</v>
      </c>
      <c r="C561" s="147">
        <v>4051.0</v>
      </c>
      <c r="D561" s="132">
        <f t="shared" ref="D561:D609" si="96">C561-B561</f>
        <v>361</v>
      </c>
      <c r="E561" s="147" t="s">
        <v>629</v>
      </c>
      <c r="F561" s="347">
        <f t="shared" ref="F561:F571" si="97">C561*1.27</f>
        <v>5144.77</v>
      </c>
      <c r="G561" s="347"/>
      <c r="H561" s="168">
        <f t="shared" ref="H561:H566" si="98">D561/(C561/100)</f>
        <v>8.911379906</v>
      </c>
    </row>
    <row r="562">
      <c r="A562" s="123" t="s">
        <v>732</v>
      </c>
      <c r="B562" s="147">
        <v>3690.0</v>
      </c>
      <c r="C562" s="147">
        <v>4051.0</v>
      </c>
      <c r="D562" s="132">
        <f t="shared" si="96"/>
        <v>361</v>
      </c>
      <c r="E562" s="147" t="s">
        <v>629</v>
      </c>
      <c r="F562" s="347">
        <f t="shared" si="97"/>
        <v>5144.77</v>
      </c>
      <c r="G562" s="347"/>
      <c r="H562" s="168">
        <f t="shared" si="98"/>
        <v>8.911379906</v>
      </c>
    </row>
    <row r="563">
      <c r="A563" s="128" t="s">
        <v>742</v>
      </c>
      <c r="B563" s="147">
        <v>14940.0</v>
      </c>
      <c r="C563" s="147">
        <v>15500.0</v>
      </c>
      <c r="D563" s="132">
        <f t="shared" si="96"/>
        <v>560</v>
      </c>
      <c r="E563" s="147" t="s">
        <v>559</v>
      </c>
      <c r="F563" s="127">
        <f t="shared" si="97"/>
        <v>19685</v>
      </c>
      <c r="G563" s="231"/>
      <c r="H563" s="168">
        <f t="shared" si="98"/>
        <v>3.612903226</v>
      </c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  <c r="AA563" s="129"/>
      <c r="AB563" s="129"/>
    </row>
    <row r="564">
      <c r="A564" s="123" t="s">
        <v>743</v>
      </c>
      <c r="B564" s="147">
        <v>9990.0</v>
      </c>
      <c r="C564" s="147">
        <v>10500.0</v>
      </c>
      <c r="D564" s="132">
        <f t="shared" si="96"/>
        <v>510</v>
      </c>
      <c r="E564" s="147" t="s">
        <v>559</v>
      </c>
      <c r="F564" s="127">
        <f t="shared" si="97"/>
        <v>13335</v>
      </c>
      <c r="G564" s="231"/>
      <c r="H564" s="168">
        <f t="shared" si="98"/>
        <v>4.857142857</v>
      </c>
    </row>
    <row r="565">
      <c r="A565" s="128" t="s">
        <v>744</v>
      </c>
      <c r="B565" s="147">
        <v>7440.0</v>
      </c>
      <c r="C565" s="147">
        <v>8783.0</v>
      </c>
      <c r="D565" s="132">
        <f t="shared" si="96"/>
        <v>1343</v>
      </c>
      <c r="E565" s="147" t="s">
        <v>559</v>
      </c>
      <c r="F565" s="132">
        <f t="shared" si="97"/>
        <v>11154.41</v>
      </c>
      <c r="G565" s="337"/>
      <c r="H565" s="168">
        <f t="shared" si="98"/>
        <v>15.29090288</v>
      </c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  <c r="AA565" s="129"/>
      <c r="AB565" s="129"/>
    </row>
    <row r="566">
      <c r="A566" s="128" t="s">
        <v>745</v>
      </c>
      <c r="B566" s="147">
        <v>5890.0</v>
      </c>
      <c r="C566" s="124">
        <v>7253.0</v>
      </c>
      <c r="D566" s="132">
        <f t="shared" si="96"/>
        <v>1363</v>
      </c>
      <c r="E566" s="147" t="s">
        <v>559</v>
      </c>
      <c r="F566" s="127">
        <f t="shared" si="97"/>
        <v>9211.31</v>
      </c>
      <c r="G566" s="231"/>
      <c r="H566" s="168">
        <f t="shared" si="98"/>
        <v>18.79222391</v>
      </c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  <c r="AA566" s="129"/>
      <c r="AB566" s="129"/>
    </row>
    <row r="567">
      <c r="A567" s="128" t="s">
        <v>746</v>
      </c>
      <c r="B567" s="147">
        <v>1290.0</v>
      </c>
      <c r="C567" s="147">
        <v>1715.0</v>
      </c>
      <c r="D567" s="132">
        <f t="shared" si="96"/>
        <v>425</v>
      </c>
      <c r="E567" s="147" t="s">
        <v>559</v>
      </c>
      <c r="F567" s="132">
        <f t="shared" si="97"/>
        <v>2178.05</v>
      </c>
      <c r="G567" s="337"/>
      <c r="H567" s="168">
        <f>D567/(B567/100)</f>
        <v>32.94573643</v>
      </c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  <c r="AA567" s="129"/>
      <c r="AB567" s="129"/>
    </row>
    <row r="568">
      <c r="A568" s="128" t="s">
        <v>747</v>
      </c>
      <c r="B568" s="147">
        <v>2390.0</v>
      </c>
      <c r="C568" s="147">
        <v>3052.0</v>
      </c>
      <c r="D568" s="132">
        <f t="shared" si="96"/>
        <v>662</v>
      </c>
      <c r="E568" s="147" t="s">
        <v>559</v>
      </c>
      <c r="F568" s="127">
        <f t="shared" si="97"/>
        <v>3876.04</v>
      </c>
      <c r="G568" s="231"/>
      <c r="H568" s="168">
        <f t="shared" ref="H568:H587" si="99">D568/(C568/100)</f>
        <v>21.69069463</v>
      </c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  <c r="AA568" s="129"/>
      <c r="AB568" s="129"/>
    </row>
    <row r="569">
      <c r="A569" s="128" t="s">
        <v>748</v>
      </c>
      <c r="B569" s="147">
        <v>4640.0</v>
      </c>
      <c r="C569" s="147">
        <v>6114.0</v>
      </c>
      <c r="D569" s="132">
        <f t="shared" si="96"/>
        <v>1474</v>
      </c>
      <c r="E569" s="147" t="s">
        <v>559</v>
      </c>
      <c r="F569" s="132">
        <f t="shared" si="97"/>
        <v>7764.78</v>
      </c>
      <c r="G569" s="337"/>
      <c r="H569" s="168">
        <f t="shared" si="99"/>
        <v>24.10860321</v>
      </c>
    </row>
    <row r="570">
      <c r="A570" s="384" t="s">
        <v>749</v>
      </c>
      <c r="B570" s="147">
        <v>4490.0</v>
      </c>
      <c r="C570" s="147">
        <v>7260.0</v>
      </c>
      <c r="D570" s="132">
        <f t="shared" si="96"/>
        <v>2770</v>
      </c>
      <c r="E570" s="132" t="s">
        <v>559</v>
      </c>
      <c r="F570" s="132">
        <f t="shared" si="97"/>
        <v>9220.2</v>
      </c>
      <c r="G570" s="337"/>
      <c r="H570" s="168">
        <f t="shared" si="99"/>
        <v>38.15426997</v>
      </c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  <c r="AA570" s="129"/>
      <c r="AB570" s="129"/>
    </row>
    <row r="571">
      <c r="A571" s="128" t="s">
        <v>750</v>
      </c>
      <c r="B571" s="147">
        <v>2090.0</v>
      </c>
      <c r="C571" s="147">
        <v>2724.0</v>
      </c>
      <c r="D571" s="132">
        <f t="shared" si="96"/>
        <v>634</v>
      </c>
      <c r="E571" s="147" t="s">
        <v>629</v>
      </c>
      <c r="F571" s="347">
        <f t="shared" si="97"/>
        <v>3459.48</v>
      </c>
      <c r="G571" s="231"/>
      <c r="H571" s="168">
        <f t="shared" si="99"/>
        <v>23.27459618</v>
      </c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  <c r="AA571" s="129"/>
      <c r="AB571" s="129"/>
    </row>
    <row r="572">
      <c r="A572" s="338" t="s">
        <v>751</v>
      </c>
      <c r="B572" s="147">
        <v>12990.0</v>
      </c>
      <c r="C572" s="147">
        <v>17000.0</v>
      </c>
      <c r="D572" s="132">
        <f t="shared" si="96"/>
        <v>4010</v>
      </c>
      <c r="E572" s="147" t="s">
        <v>559</v>
      </c>
      <c r="F572" s="147">
        <v>17500.0</v>
      </c>
      <c r="G572" s="231"/>
      <c r="H572" s="168">
        <f t="shared" si="99"/>
        <v>23.58823529</v>
      </c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  <c r="AA572" s="129"/>
      <c r="AB572" s="129"/>
    </row>
    <row r="573">
      <c r="A573" s="123" t="s">
        <v>732</v>
      </c>
      <c r="B573" s="147">
        <v>3690.0</v>
      </c>
      <c r="C573" s="147">
        <v>3896.0</v>
      </c>
      <c r="D573" s="132">
        <f t="shared" si="96"/>
        <v>206</v>
      </c>
      <c r="E573" s="147" t="s">
        <v>629</v>
      </c>
      <c r="F573" s="347">
        <f t="shared" ref="F573:F582" si="100">C573*1.27</f>
        <v>4947.92</v>
      </c>
      <c r="G573" s="347"/>
      <c r="H573" s="168">
        <f t="shared" si="99"/>
        <v>5.287474333</v>
      </c>
    </row>
    <row r="574">
      <c r="A574" s="123" t="s">
        <v>732</v>
      </c>
      <c r="B574" s="147">
        <v>3690.0</v>
      </c>
      <c r="C574" s="147">
        <v>3895.0</v>
      </c>
      <c r="D574" s="132">
        <f t="shared" si="96"/>
        <v>205</v>
      </c>
      <c r="E574" s="147" t="s">
        <v>629</v>
      </c>
      <c r="F574" s="347">
        <f t="shared" si="100"/>
        <v>4946.65</v>
      </c>
      <c r="G574" s="347"/>
      <c r="H574" s="168">
        <f t="shared" si="99"/>
        <v>5.263157895</v>
      </c>
    </row>
    <row r="575">
      <c r="A575" s="128" t="s">
        <v>752</v>
      </c>
      <c r="B575" s="147">
        <v>1990.0</v>
      </c>
      <c r="C575" s="147">
        <v>2724.0</v>
      </c>
      <c r="D575" s="132">
        <f t="shared" si="96"/>
        <v>734</v>
      </c>
      <c r="E575" s="147" t="s">
        <v>629</v>
      </c>
      <c r="F575" s="347">
        <f t="shared" si="100"/>
        <v>3459.48</v>
      </c>
      <c r="G575" s="337"/>
      <c r="H575" s="168">
        <f t="shared" si="99"/>
        <v>26.94566814</v>
      </c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  <c r="AA575" s="129"/>
      <c r="AB575" s="129"/>
    </row>
    <row r="576">
      <c r="A576" s="128" t="s">
        <v>753</v>
      </c>
      <c r="B576" s="147">
        <v>2140.0</v>
      </c>
      <c r="C576" s="147">
        <v>2881.0</v>
      </c>
      <c r="D576" s="132">
        <f t="shared" si="96"/>
        <v>741</v>
      </c>
      <c r="E576" s="147" t="s">
        <v>629</v>
      </c>
      <c r="F576" s="347">
        <f t="shared" si="100"/>
        <v>3658.87</v>
      </c>
      <c r="G576" s="231"/>
      <c r="H576" s="168">
        <f t="shared" si="99"/>
        <v>25.72023603</v>
      </c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</row>
    <row r="577">
      <c r="A577" s="128" t="s">
        <v>752</v>
      </c>
      <c r="B577" s="147">
        <v>1990.0</v>
      </c>
      <c r="C577" s="147">
        <v>2724.0</v>
      </c>
      <c r="D577" s="132">
        <f t="shared" si="96"/>
        <v>734</v>
      </c>
      <c r="E577" s="147" t="s">
        <v>629</v>
      </c>
      <c r="F577" s="347">
        <f t="shared" si="100"/>
        <v>3459.48</v>
      </c>
      <c r="G577" s="337"/>
      <c r="H577" s="168">
        <f t="shared" si="99"/>
        <v>26.94566814</v>
      </c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</row>
    <row r="578">
      <c r="A578" s="150" t="s">
        <v>754</v>
      </c>
      <c r="B578" s="147">
        <v>3040.0</v>
      </c>
      <c r="C578" s="147">
        <v>3973.0</v>
      </c>
      <c r="D578" s="132">
        <f t="shared" si="96"/>
        <v>933</v>
      </c>
      <c r="E578" s="147" t="s">
        <v>629</v>
      </c>
      <c r="F578" s="347">
        <f t="shared" si="100"/>
        <v>5045.71</v>
      </c>
      <c r="G578" s="347"/>
      <c r="H578" s="168">
        <f t="shared" si="99"/>
        <v>23.48351372</v>
      </c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  <c r="AA578" s="129"/>
      <c r="AB578" s="129"/>
    </row>
    <row r="579">
      <c r="A579" s="150" t="s">
        <v>750</v>
      </c>
      <c r="B579" s="132">
        <v>2090.0</v>
      </c>
      <c r="C579" s="147">
        <v>2725.0</v>
      </c>
      <c r="D579" s="132">
        <f t="shared" si="96"/>
        <v>635</v>
      </c>
      <c r="E579" s="132" t="s">
        <v>629</v>
      </c>
      <c r="F579" s="347">
        <f t="shared" si="100"/>
        <v>3460.75</v>
      </c>
      <c r="G579" s="337"/>
      <c r="H579" s="168">
        <f t="shared" si="99"/>
        <v>23.30275229</v>
      </c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</row>
    <row r="580">
      <c r="A580" s="128" t="s">
        <v>755</v>
      </c>
      <c r="B580" s="147">
        <v>40.0</v>
      </c>
      <c r="C580" s="147">
        <v>304.0</v>
      </c>
      <c r="D580" s="132">
        <f t="shared" si="96"/>
        <v>264</v>
      </c>
      <c r="E580" s="147" t="s">
        <v>557</v>
      </c>
      <c r="F580" s="127">
        <f t="shared" si="100"/>
        <v>386.08</v>
      </c>
      <c r="G580" s="231"/>
      <c r="H580" s="168">
        <f t="shared" si="99"/>
        <v>86.84210526</v>
      </c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</row>
    <row r="581">
      <c r="A581" s="150" t="s">
        <v>750</v>
      </c>
      <c r="B581" s="132">
        <v>2090.0</v>
      </c>
      <c r="C581" s="147">
        <v>2724.0</v>
      </c>
      <c r="D581" s="132">
        <f t="shared" si="96"/>
        <v>634</v>
      </c>
      <c r="E581" s="132" t="s">
        <v>629</v>
      </c>
      <c r="F581" s="347">
        <f t="shared" si="100"/>
        <v>3459.48</v>
      </c>
      <c r="G581" s="337"/>
      <c r="H581" s="168">
        <f t="shared" si="99"/>
        <v>23.27459618</v>
      </c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</row>
    <row r="582">
      <c r="A582" s="128" t="s">
        <v>753</v>
      </c>
      <c r="B582" s="147">
        <v>2140.0</v>
      </c>
      <c r="C582" s="147">
        <v>2881.0</v>
      </c>
      <c r="D582" s="132">
        <f t="shared" si="96"/>
        <v>741</v>
      </c>
      <c r="E582" s="147" t="s">
        <v>629</v>
      </c>
      <c r="F582" s="347">
        <f t="shared" si="100"/>
        <v>3658.87</v>
      </c>
      <c r="G582" s="231"/>
      <c r="H582" s="168">
        <f t="shared" si="99"/>
        <v>25.72023603</v>
      </c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</row>
    <row r="583">
      <c r="A583" s="128" t="s">
        <v>756</v>
      </c>
      <c r="B583" s="147">
        <v>21490.0</v>
      </c>
      <c r="C583" s="147">
        <v>24990.0</v>
      </c>
      <c r="D583" s="132">
        <f t="shared" si="96"/>
        <v>3500</v>
      </c>
      <c r="E583" s="147" t="s">
        <v>559</v>
      </c>
      <c r="F583" s="147">
        <v>27500.0</v>
      </c>
      <c r="G583" s="231"/>
      <c r="H583" s="168">
        <f t="shared" si="99"/>
        <v>14.00560224</v>
      </c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</row>
    <row r="584">
      <c r="A584" s="123" t="s">
        <v>732</v>
      </c>
      <c r="B584" s="147">
        <v>3440.0</v>
      </c>
      <c r="C584" s="147">
        <v>3896.0</v>
      </c>
      <c r="D584" s="132">
        <f t="shared" si="96"/>
        <v>456</v>
      </c>
      <c r="E584" s="147" t="s">
        <v>629</v>
      </c>
      <c r="F584" s="347">
        <f t="shared" ref="F584:F591" si="101">C584*1.27</f>
        <v>4947.92</v>
      </c>
      <c r="G584" s="347"/>
      <c r="H584" s="168">
        <f t="shared" si="99"/>
        <v>11.70431211</v>
      </c>
    </row>
    <row r="585">
      <c r="A585" s="123" t="s">
        <v>732</v>
      </c>
      <c r="B585" s="147">
        <v>3440.0</v>
      </c>
      <c r="C585" s="147">
        <v>3896.0</v>
      </c>
      <c r="D585" s="132">
        <f t="shared" si="96"/>
        <v>456</v>
      </c>
      <c r="E585" s="147" t="s">
        <v>629</v>
      </c>
      <c r="F585" s="347">
        <f t="shared" si="101"/>
        <v>4947.92</v>
      </c>
      <c r="G585" s="347"/>
      <c r="H585" s="168">
        <f t="shared" si="99"/>
        <v>11.70431211</v>
      </c>
    </row>
    <row r="586">
      <c r="A586" s="128" t="s">
        <v>631</v>
      </c>
      <c r="B586" s="147">
        <v>1240.0</v>
      </c>
      <c r="C586" s="147">
        <v>2138.0</v>
      </c>
      <c r="D586" s="132">
        <f t="shared" si="96"/>
        <v>898</v>
      </c>
      <c r="E586" s="147" t="s">
        <v>629</v>
      </c>
      <c r="F586" s="347">
        <f t="shared" si="101"/>
        <v>2715.26</v>
      </c>
      <c r="G586" s="337"/>
      <c r="H586" s="168">
        <f t="shared" si="99"/>
        <v>42.00187091</v>
      </c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</row>
    <row r="587">
      <c r="A587" s="123" t="s">
        <v>732</v>
      </c>
      <c r="B587" s="147">
        <v>3440.0</v>
      </c>
      <c r="C587" s="147">
        <v>3896.0</v>
      </c>
      <c r="D587" s="132">
        <f t="shared" si="96"/>
        <v>456</v>
      </c>
      <c r="E587" s="147" t="s">
        <v>629</v>
      </c>
      <c r="F587" s="347">
        <f t="shared" si="101"/>
        <v>4947.92</v>
      </c>
      <c r="G587" s="347"/>
      <c r="H587" s="168">
        <f t="shared" si="99"/>
        <v>11.70431211</v>
      </c>
    </row>
    <row r="588">
      <c r="A588" s="150" t="s">
        <v>757</v>
      </c>
      <c r="B588" s="147">
        <v>1690.0</v>
      </c>
      <c r="C588" s="147">
        <v>2529.0</v>
      </c>
      <c r="D588" s="132">
        <f t="shared" si="96"/>
        <v>839</v>
      </c>
      <c r="E588" s="147" t="s">
        <v>629</v>
      </c>
      <c r="F588" s="347">
        <f t="shared" si="101"/>
        <v>3211.83</v>
      </c>
      <c r="G588" s="231"/>
      <c r="H588" s="168">
        <f>D588/(B588/100)</f>
        <v>49.64497041</v>
      </c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</row>
    <row r="589">
      <c r="A589" s="128" t="s">
        <v>631</v>
      </c>
      <c r="B589" s="147">
        <v>1240.0</v>
      </c>
      <c r="C589" s="147">
        <v>2212.0</v>
      </c>
      <c r="D589" s="132">
        <f t="shared" si="96"/>
        <v>972</v>
      </c>
      <c r="E589" s="147" t="s">
        <v>629</v>
      </c>
      <c r="F589" s="347">
        <f t="shared" si="101"/>
        <v>2809.24</v>
      </c>
      <c r="G589" s="337"/>
      <c r="H589" s="168">
        <f t="shared" ref="H589:H602" si="102">D589/(C589/100)</f>
        <v>43.94213382</v>
      </c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</row>
    <row r="590">
      <c r="A590" s="128" t="s">
        <v>631</v>
      </c>
      <c r="B590" s="147">
        <v>1240.0</v>
      </c>
      <c r="C590" s="147">
        <v>2091.0</v>
      </c>
      <c r="D590" s="132">
        <f t="shared" si="96"/>
        <v>851</v>
      </c>
      <c r="E590" s="147" t="s">
        <v>629</v>
      </c>
      <c r="F590" s="347">
        <f t="shared" si="101"/>
        <v>2655.57</v>
      </c>
      <c r="G590" s="337"/>
      <c r="H590" s="168">
        <f t="shared" si="102"/>
        <v>40.69823051</v>
      </c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  <c r="AA590" s="129"/>
      <c r="AB590" s="129"/>
    </row>
    <row r="591">
      <c r="A591" s="123" t="s">
        <v>732</v>
      </c>
      <c r="B591" s="147">
        <v>3440.0</v>
      </c>
      <c r="C591" s="147">
        <v>4150.0</v>
      </c>
      <c r="D591" s="132">
        <f t="shared" si="96"/>
        <v>710</v>
      </c>
      <c r="E591" s="147" t="s">
        <v>629</v>
      </c>
      <c r="F591" s="347">
        <f t="shared" si="101"/>
        <v>5270.5</v>
      </c>
      <c r="G591" s="347"/>
      <c r="H591" s="168">
        <f t="shared" si="102"/>
        <v>17.10843373</v>
      </c>
    </row>
    <row r="592">
      <c r="A592" s="128" t="s">
        <v>758</v>
      </c>
      <c r="B592" s="147">
        <v>4240.0</v>
      </c>
      <c r="C592" s="147">
        <v>5240.0</v>
      </c>
      <c r="D592" s="132">
        <f t="shared" si="96"/>
        <v>1000</v>
      </c>
      <c r="E592" s="147" t="s">
        <v>629</v>
      </c>
      <c r="F592" s="347">
        <f>C592*1.3</f>
        <v>6812</v>
      </c>
      <c r="G592" s="231"/>
      <c r="H592" s="168">
        <f t="shared" si="102"/>
        <v>19.08396947</v>
      </c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  <c r="AA592" s="129"/>
      <c r="AB592" s="129"/>
    </row>
    <row r="593">
      <c r="A593" s="128" t="s">
        <v>631</v>
      </c>
      <c r="B593" s="147">
        <v>1240.0</v>
      </c>
      <c r="C593" s="147">
        <v>2091.0</v>
      </c>
      <c r="D593" s="132">
        <f t="shared" si="96"/>
        <v>851</v>
      </c>
      <c r="E593" s="147" t="s">
        <v>629</v>
      </c>
      <c r="F593" s="347">
        <f t="shared" ref="F593:F594" si="103">C593*1.27</f>
        <v>2655.57</v>
      </c>
      <c r="G593" s="231"/>
      <c r="H593" s="168">
        <f t="shared" si="102"/>
        <v>40.69823051</v>
      </c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  <c r="AA593" s="129"/>
      <c r="AB593" s="129"/>
    </row>
    <row r="594">
      <c r="A594" s="123" t="s">
        <v>732</v>
      </c>
      <c r="B594" s="147">
        <v>3440.0</v>
      </c>
      <c r="C594" s="147">
        <v>4150.0</v>
      </c>
      <c r="D594" s="132">
        <f t="shared" si="96"/>
        <v>710</v>
      </c>
      <c r="E594" s="147" t="s">
        <v>629</v>
      </c>
      <c r="F594" s="347">
        <f t="shared" si="103"/>
        <v>5270.5</v>
      </c>
      <c r="G594" s="347"/>
      <c r="H594" s="168">
        <f t="shared" si="102"/>
        <v>17.10843373</v>
      </c>
    </row>
    <row r="595">
      <c r="A595" s="128" t="s">
        <v>759</v>
      </c>
      <c r="B595" s="147">
        <v>21490.0</v>
      </c>
      <c r="C595" s="147">
        <v>34990.0</v>
      </c>
      <c r="D595" s="132">
        <f t="shared" si="96"/>
        <v>13500</v>
      </c>
      <c r="E595" s="147" t="s">
        <v>559</v>
      </c>
      <c r="F595" s="147">
        <v>38000.0</v>
      </c>
      <c r="G595" s="231"/>
      <c r="H595" s="168">
        <f t="shared" si="102"/>
        <v>38.58245213</v>
      </c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  <c r="AA595" s="129"/>
      <c r="AB595" s="129"/>
    </row>
    <row r="596">
      <c r="A596" s="128" t="s">
        <v>760</v>
      </c>
      <c r="B596" s="147">
        <v>12990.0</v>
      </c>
      <c r="C596" s="147">
        <v>15990.0</v>
      </c>
      <c r="D596" s="132">
        <f t="shared" si="96"/>
        <v>3000</v>
      </c>
      <c r="E596" s="147" t="s">
        <v>559</v>
      </c>
      <c r="F596" s="147">
        <v>18000.0</v>
      </c>
      <c r="G596" s="231"/>
      <c r="H596" s="168">
        <f t="shared" si="102"/>
        <v>18.76172608</v>
      </c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  <c r="AA596" s="129"/>
      <c r="AB596" s="129"/>
    </row>
    <row r="597">
      <c r="A597" s="123" t="s">
        <v>732</v>
      </c>
      <c r="B597" s="147">
        <v>3440.0</v>
      </c>
      <c r="C597" s="147">
        <v>4150.0</v>
      </c>
      <c r="D597" s="132">
        <f t="shared" si="96"/>
        <v>710</v>
      </c>
      <c r="E597" s="147" t="s">
        <v>629</v>
      </c>
      <c r="F597" s="347">
        <f t="shared" ref="F597:F609" si="104">C597*1.27</f>
        <v>5270.5</v>
      </c>
      <c r="G597" s="347"/>
      <c r="H597" s="168">
        <f t="shared" si="102"/>
        <v>17.10843373</v>
      </c>
    </row>
    <row r="598">
      <c r="A598" s="123" t="s">
        <v>732</v>
      </c>
      <c r="B598" s="147">
        <v>3440.0</v>
      </c>
      <c r="C598" s="147">
        <v>4150.0</v>
      </c>
      <c r="D598" s="132">
        <f t="shared" si="96"/>
        <v>710</v>
      </c>
      <c r="E598" s="147" t="s">
        <v>629</v>
      </c>
      <c r="F598" s="347">
        <f t="shared" si="104"/>
        <v>5270.5</v>
      </c>
      <c r="G598" s="347"/>
      <c r="H598" s="168">
        <f t="shared" si="102"/>
        <v>17.10843373</v>
      </c>
    </row>
    <row r="599">
      <c r="A599" s="128" t="s">
        <v>761</v>
      </c>
      <c r="B599" s="147">
        <v>7440.0</v>
      </c>
      <c r="C599" s="147">
        <v>9681.0</v>
      </c>
      <c r="D599" s="132">
        <f t="shared" si="96"/>
        <v>2241</v>
      </c>
      <c r="E599" s="147" t="s">
        <v>559</v>
      </c>
      <c r="F599" s="132">
        <f t="shared" si="104"/>
        <v>12294.87</v>
      </c>
      <c r="G599" s="337"/>
      <c r="H599" s="168">
        <f t="shared" si="102"/>
        <v>23.14843508</v>
      </c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  <c r="AA599" s="129"/>
      <c r="AB599" s="129"/>
    </row>
    <row r="600">
      <c r="A600" s="150" t="s">
        <v>750</v>
      </c>
      <c r="B600" s="132">
        <v>2090.0</v>
      </c>
      <c r="C600" s="147">
        <v>2535.0</v>
      </c>
      <c r="D600" s="132">
        <f t="shared" si="96"/>
        <v>445</v>
      </c>
      <c r="E600" s="132" t="s">
        <v>629</v>
      </c>
      <c r="F600" s="347">
        <f t="shared" si="104"/>
        <v>3219.45</v>
      </c>
      <c r="G600" s="337"/>
      <c r="H600" s="168">
        <f t="shared" si="102"/>
        <v>17.55424063</v>
      </c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  <c r="AA600" s="129"/>
      <c r="AB600" s="129"/>
    </row>
    <row r="601">
      <c r="A601" s="128" t="s">
        <v>631</v>
      </c>
      <c r="B601" s="147">
        <v>1240.0</v>
      </c>
      <c r="C601" s="147">
        <v>2010.0</v>
      </c>
      <c r="D601" s="132">
        <f t="shared" si="96"/>
        <v>770</v>
      </c>
      <c r="E601" s="147" t="s">
        <v>629</v>
      </c>
      <c r="F601" s="347">
        <f t="shared" si="104"/>
        <v>2552.7</v>
      </c>
      <c r="G601" s="337"/>
      <c r="H601" s="168">
        <f t="shared" si="102"/>
        <v>38.30845771</v>
      </c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  <c r="AA601" s="129"/>
      <c r="AB601" s="129"/>
    </row>
    <row r="602">
      <c r="A602" s="143" t="s">
        <v>750</v>
      </c>
      <c r="B602" s="132">
        <v>2090.0</v>
      </c>
      <c r="C602" s="147">
        <v>2535.0</v>
      </c>
      <c r="D602" s="132">
        <f t="shared" si="96"/>
        <v>445</v>
      </c>
      <c r="E602" s="132" t="s">
        <v>629</v>
      </c>
      <c r="F602" s="347">
        <f t="shared" si="104"/>
        <v>3219.45</v>
      </c>
      <c r="G602" s="337"/>
      <c r="H602" s="168">
        <f t="shared" si="102"/>
        <v>17.55424063</v>
      </c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  <c r="AA602" s="129"/>
      <c r="AB602" s="129"/>
    </row>
    <row r="603">
      <c r="A603" s="150" t="s">
        <v>122</v>
      </c>
      <c r="B603" s="147">
        <v>690.0</v>
      </c>
      <c r="C603" s="386">
        <v>788.0</v>
      </c>
      <c r="D603" s="132">
        <f t="shared" si="96"/>
        <v>98</v>
      </c>
      <c r="E603" s="171" t="s">
        <v>123</v>
      </c>
      <c r="F603" s="128">
        <f t="shared" si="104"/>
        <v>1000.76</v>
      </c>
      <c r="G603" s="231"/>
      <c r="H603" s="168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  <c r="AA603" s="129"/>
      <c r="AB603" s="129"/>
    </row>
    <row r="604">
      <c r="A604" s="128" t="s">
        <v>762</v>
      </c>
      <c r="B604" s="124">
        <v>1190.0</v>
      </c>
      <c r="C604" s="147">
        <v>1107.0</v>
      </c>
      <c r="D604" s="132">
        <f t="shared" si="96"/>
        <v>-83</v>
      </c>
      <c r="E604" s="132" t="s">
        <v>123</v>
      </c>
      <c r="F604" s="128">
        <f t="shared" si="104"/>
        <v>1405.89</v>
      </c>
      <c r="G604" s="231"/>
      <c r="H604" s="168">
        <f t="shared" ref="H604:H609" si="105">D604/(C604/100)</f>
        <v>-7.497741644</v>
      </c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  <c r="AA604" s="129"/>
      <c r="AB604" s="129"/>
    </row>
    <row r="605">
      <c r="A605" s="150" t="s">
        <v>459</v>
      </c>
      <c r="B605" s="147">
        <v>1290.0</v>
      </c>
      <c r="C605" s="167">
        <v>1186.0</v>
      </c>
      <c r="D605" s="132">
        <f t="shared" si="96"/>
        <v>-104</v>
      </c>
      <c r="E605" s="132" t="s">
        <v>123</v>
      </c>
      <c r="F605" s="128">
        <f t="shared" si="104"/>
        <v>1506.22</v>
      </c>
      <c r="G605" s="231"/>
      <c r="H605" s="168">
        <f t="shared" si="105"/>
        <v>-8.768971332</v>
      </c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  <c r="AA605" s="129"/>
      <c r="AB605" s="129"/>
    </row>
    <row r="606">
      <c r="A606" s="150" t="s">
        <v>436</v>
      </c>
      <c r="B606" s="147">
        <v>1690.0</v>
      </c>
      <c r="C606" s="147">
        <v>1984.0</v>
      </c>
      <c r="D606" s="132">
        <f t="shared" si="96"/>
        <v>294</v>
      </c>
      <c r="E606" s="126" t="s">
        <v>123</v>
      </c>
      <c r="F606" s="128">
        <f t="shared" si="104"/>
        <v>2519.68</v>
      </c>
      <c r="G606" s="231"/>
      <c r="H606" s="168">
        <f t="shared" si="105"/>
        <v>14.81854839</v>
      </c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  <c r="AA606" s="129"/>
      <c r="AB606" s="129"/>
    </row>
    <row r="607">
      <c r="A607" s="123" t="s">
        <v>439</v>
      </c>
      <c r="B607" s="124">
        <v>1990.0</v>
      </c>
      <c r="C607" s="147">
        <v>1984.0</v>
      </c>
      <c r="D607" s="125">
        <f t="shared" si="96"/>
        <v>-6</v>
      </c>
      <c r="E607" s="126" t="s">
        <v>123</v>
      </c>
      <c r="F607" s="128">
        <f t="shared" si="104"/>
        <v>2519.68</v>
      </c>
      <c r="G607" s="231"/>
      <c r="H607" s="168">
        <f t="shared" si="105"/>
        <v>-0.3024193548</v>
      </c>
    </row>
    <row r="608">
      <c r="A608" s="150" t="s">
        <v>396</v>
      </c>
      <c r="B608" s="132">
        <v>1990.0</v>
      </c>
      <c r="C608" s="147">
        <v>1427.0</v>
      </c>
      <c r="D608" s="132">
        <f t="shared" si="96"/>
        <v>-563</v>
      </c>
      <c r="E608" s="126" t="s">
        <v>123</v>
      </c>
      <c r="F608" s="128">
        <f t="shared" si="104"/>
        <v>1812.29</v>
      </c>
      <c r="G608" s="231"/>
      <c r="H608" s="168">
        <f t="shared" si="105"/>
        <v>-39.45339874</v>
      </c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  <c r="AA608" s="129"/>
      <c r="AB608" s="129"/>
    </row>
    <row r="609">
      <c r="A609" s="123" t="s">
        <v>438</v>
      </c>
      <c r="B609" s="147">
        <v>1790.0</v>
      </c>
      <c r="C609" s="124">
        <v>2050.0</v>
      </c>
      <c r="D609" s="125">
        <f t="shared" si="96"/>
        <v>260</v>
      </c>
      <c r="E609" s="126" t="s">
        <v>123</v>
      </c>
      <c r="F609" s="128">
        <f t="shared" si="104"/>
        <v>2603.5</v>
      </c>
      <c r="G609" s="231"/>
      <c r="H609" s="168">
        <f t="shared" si="105"/>
        <v>12.68292683</v>
      </c>
    </row>
    <row r="610">
      <c r="A610" s="143"/>
      <c r="B610" s="139"/>
      <c r="C610" s="139"/>
      <c r="D610" s="139"/>
      <c r="E610" s="129"/>
      <c r="F610" s="13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  <c r="AA610" s="129"/>
      <c r="AB610" s="129"/>
    </row>
    <row r="611">
      <c r="A611" s="144" t="s">
        <v>57</v>
      </c>
      <c r="B611" s="145">
        <f t="shared" ref="B611:D611" si="106">SUM(B559:B610)</f>
        <v>210860</v>
      </c>
      <c r="C611" s="145">
        <f t="shared" si="106"/>
        <v>264576</v>
      </c>
      <c r="D611" s="145">
        <f t="shared" si="106"/>
        <v>53716</v>
      </c>
      <c r="E611" s="129"/>
      <c r="F611" s="139"/>
      <c r="G611" s="129"/>
      <c r="H611" s="146">
        <f>D611/(C611/100)</f>
        <v>20.30267296</v>
      </c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  <c r="AA611" s="129"/>
      <c r="AB611" s="129"/>
    </row>
    <row r="612">
      <c r="A612" s="143"/>
      <c r="B612" s="139"/>
      <c r="C612" s="139"/>
      <c r="D612" s="139"/>
      <c r="E612" s="129"/>
      <c r="F612" s="13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  <c r="AA612" s="129"/>
      <c r="AB612" s="129"/>
    </row>
    <row r="613">
      <c r="A613" s="383">
        <v>46082.0</v>
      </c>
      <c r="B613" s="139"/>
      <c r="C613" s="139"/>
      <c r="D613" s="139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  <c r="AA613" s="129"/>
      <c r="AB613" s="129"/>
    </row>
    <row r="614">
      <c r="A614" s="143"/>
      <c r="B614" s="139"/>
      <c r="C614" s="139"/>
      <c r="D614" s="139"/>
      <c r="E614" s="139"/>
      <c r="F614" s="13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</row>
    <row r="615">
      <c r="A615" s="150" t="s">
        <v>750</v>
      </c>
      <c r="B615" s="132">
        <v>2090.0</v>
      </c>
      <c r="C615" s="147">
        <v>2534.0</v>
      </c>
      <c r="D615" s="132">
        <f t="shared" ref="D615:D694" si="107">C615-B615</f>
        <v>444</v>
      </c>
      <c r="E615" s="132" t="s">
        <v>629</v>
      </c>
      <c r="F615" s="347">
        <f t="shared" ref="F615:F642" si="108">C615*1.27</f>
        <v>3218.18</v>
      </c>
      <c r="G615" s="337"/>
      <c r="H615" s="168">
        <f t="shared" ref="H615:H651" si="109">D615/(C615/100)</f>
        <v>17.52170481</v>
      </c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</row>
    <row r="616">
      <c r="A616" s="150" t="s">
        <v>750</v>
      </c>
      <c r="B616" s="132">
        <v>2090.0</v>
      </c>
      <c r="C616" s="147">
        <v>2534.0</v>
      </c>
      <c r="D616" s="132">
        <f t="shared" si="107"/>
        <v>444</v>
      </c>
      <c r="E616" s="132" t="s">
        <v>629</v>
      </c>
      <c r="F616" s="347">
        <f t="shared" si="108"/>
        <v>3218.18</v>
      </c>
      <c r="G616" s="337"/>
      <c r="H616" s="168">
        <f t="shared" si="109"/>
        <v>17.52170481</v>
      </c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  <c r="AA616" s="129"/>
      <c r="AB616" s="129"/>
    </row>
    <row r="617">
      <c r="A617" s="123" t="s">
        <v>732</v>
      </c>
      <c r="B617" s="147">
        <v>3440.0</v>
      </c>
      <c r="C617" s="147">
        <v>4149.0</v>
      </c>
      <c r="D617" s="132">
        <f t="shared" si="107"/>
        <v>709</v>
      </c>
      <c r="E617" s="147" t="s">
        <v>629</v>
      </c>
      <c r="F617" s="347">
        <f t="shared" si="108"/>
        <v>5269.23</v>
      </c>
      <c r="G617" s="347"/>
      <c r="H617" s="168">
        <f t="shared" si="109"/>
        <v>17.08845505</v>
      </c>
    </row>
    <row r="618">
      <c r="A618" s="123" t="s">
        <v>732</v>
      </c>
      <c r="B618" s="147">
        <v>3440.0</v>
      </c>
      <c r="C618" s="147">
        <v>4149.0</v>
      </c>
      <c r="D618" s="132">
        <f t="shared" si="107"/>
        <v>709</v>
      </c>
      <c r="E618" s="147" t="s">
        <v>629</v>
      </c>
      <c r="F618" s="347">
        <f t="shared" si="108"/>
        <v>5269.23</v>
      </c>
      <c r="G618" s="347"/>
      <c r="H618" s="168">
        <f t="shared" si="109"/>
        <v>17.08845505</v>
      </c>
    </row>
    <row r="619">
      <c r="A619" s="150" t="s">
        <v>763</v>
      </c>
      <c r="B619" s="147">
        <v>1540.0</v>
      </c>
      <c r="C619" s="147">
        <v>2333.0</v>
      </c>
      <c r="D619" s="132">
        <f t="shared" si="107"/>
        <v>793</v>
      </c>
      <c r="E619" s="147" t="s">
        <v>629</v>
      </c>
      <c r="F619" s="347">
        <f t="shared" si="108"/>
        <v>2962.91</v>
      </c>
      <c r="G619" s="337"/>
      <c r="H619" s="168">
        <f t="shared" si="109"/>
        <v>33.99057008</v>
      </c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</row>
    <row r="620">
      <c r="A620" s="128" t="s">
        <v>631</v>
      </c>
      <c r="B620" s="147">
        <v>1240.0</v>
      </c>
      <c r="C620" s="147">
        <v>2012.0</v>
      </c>
      <c r="D620" s="132">
        <f t="shared" si="107"/>
        <v>772</v>
      </c>
      <c r="E620" s="147" t="s">
        <v>629</v>
      </c>
      <c r="F620" s="347">
        <f t="shared" si="108"/>
        <v>2555.24</v>
      </c>
      <c r="G620" s="337"/>
      <c r="H620" s="168">
        <f t="shared" si="109"/>
        <v>38.36978131</v>
      </c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</row>
    <row r="621">
      <c r="A621" s="128" t="s">
        <v>631</v>
      </c>
      <c r="B621" s="147">
        <v>1240.0</v>
      </c>
      <c r="C621" s="147">
        <v>2012.0</v>
      </c>
      <c r="D621" s="132">
        <f t="shared" si="107"/>
        <v>772</v>
      </c>
      <c r="E621" s="147" t="s">
        <v>629</v>
      </c>
      <c r="F621" s="347">
        <f t="shared" si="108"/>
        <v>2555.24</v>
      </c>
      <c r="G621" s="231"/>
      <c r="H621" s="168">
        <f t="shared" si="109"/>
        <v>38.36978131</v>
      </c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</row>
    <row r="622">
      <c r="A622" s="150" t="s">
        <v>754</v>
      </c>
      <c r="B622" s="147">
        <v>3040.0</v>
      </c>
      <c r="C622" s="147">
        <v>3863.0</v>
      </c>
      <c r="D622" s="132">
        <f t="shared" si="107"/>
        <v>823</v>
      </c>
      <c r="E622" s="147" t="s">
        <v>629</v>
      </c>
      <c r="F622" s="347">
        <f t="shared" si="108"/>
        <v>4906.01</v>
      </c>
      <c r="G622" s="347"/>
      <c r="H622" s="168">
        <f t="shared" si="109"/>
        <v>21.30468548</v>
      </c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</row>
    <row r="623">
      <c r="A623" s="123" t="s">
        <v>732</v>
      </c>
      <c r="B623" s="147">
        <v>3440.0</v>
      </c>
      <c r="C623" s="147">
        <v>4149.0</v>
      </c>
      <c r="D623" s="132">
        <f t="shared" si="107"/>
        <v>709</v>
      </c>
      <c r="E623" s="147" t="s">
        <v>629</v>
      </c>
      <c r="F623" s="347">
        <f t="shared" si="108"/>
        <v>5269.23</v>
      </c>
      <c r="G623" s="347"/>
      <c r="H623" s="168">
        <f t="shared" si="109"/>
        <v>17.08845505</v>
      </c>
    </row>
    <row r="624">
      <c r="A624" s="150" t="s">
        <v>764</v>
      </c>
      <c r="B624" s="132">
        <v>3990.0</v>
      </c>
      <c r="C624" s="147">
        <v>5038.0</v>
      </c>
      <c r="D624" s="132">
        <f t="shared" si="107"/>
        <v>1048</v>
      </c>
      <c r="E624" s="132" t="s">
        <v>557</v>
      </c>
      <c r="F624" s="132">
        <f t="shared" si="108"/>
        <v>6398.26</v>
      </c>
      <c r="G624" s="337"/>
      <c r="H624" s="168">
        <f t="shared" si="109"/>
        <v>20.80190552</v>
      </c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</row>
    <row r="625">
      <c r="A625" s="128" t="s">
        <v>631</v>
      </c>
      <c r="B625" s="147">
        <v>1240.0</v>
      </c>
      <c r="C625" s="147">
        <v>2008.0</v>
      </c>
      <c r="D625" s="132">
        <f t="shared" si="107"/>
        <v>768</v>
      </c>
      <c r="E625" s="147" t="s">
        <v>629</v>
      </c>
      <c r="F625" s="347">
        <f t="shared" si="108"/>
        <v>2550.16</v>
      </c>
      <c r="G625" s="337"/>
      <c r="H625" s="168">
        <f t="shared" si="109"/>
        <v>38.24701195</v>
      </c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</row>
    <row r="626">
      <c r="A626" s="123" t="s">
        <v>732</v>
      </c>
      <c r="B626" s="147">
        <v>3440.0</v>
      </c>
      <c r="C626" s="147">
        <v>4149.0</v>
      </c>
      <c r="D626" s="132">
        <f t="shared" si="107"/>
        <v>709</v>
      </c>
      <c r="E626" s="147" t="s">
        <v>629</v>
      </c>
      <c r="F626" s="347">
        <f t="shared" si="108"/>
        <v>5269.23</v>
      </c>
      <c r="G626" s="347"/>
      <c r="H626" s="168">
        <f t="shared" si="109"/>
        <v>17.08845505</v>
      </c>
    </row>
    <row r="627">
      <c r="A627" s="150" t="s">
        <v>750</v>
      </c>
      <c r="B627" s="132">
        <v>2090.0</v>
      </c>
      <c r="C627" s="147">
        <v>1250.0</v>
      </c>
      <c r="D627" s="132">
        <f t="shared" si="107"/>
        <v>-840</v>
      </c>
      <c r="E627" s="132" t="s">
        <v>629</v>
      </c>
      <c r="F627" s="347">
        <f t="shared" si="108"/>
        <v>1587.5</v>
      </c>
      <c r="G627" s="337"/>
      <c r="H627" s="168">
        <f t="shared" si="109"/>
        <v>-67.2</v>
      </c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</row>
    <row r="628">
      <c r="A628" s="150" t="s">
        <v>750</v>
      </c>
      <c r="B628" s="132">
        <v>2090.0</v>
      </c>
      <c r="C628" s="147">
        <v>2500.0</v>
      </c>
      <c r="D628" s="132">
        <f t="shared" si="107"/>
        <v>410</v>
      </c>
      <c r="E628" s="132" t="s">
        <v>629</v>
      </c>
      <c r="F628" s="347">
        <f t="shared" si="108"/>
        <v>3175</v>
      </c>
      <c r="G628" s="337"/>
      <c r="H628" s="168">
        <f t="shared" si="109"/>
        <v>16.4</v>
      </c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  <c r="AA628" s="129"/>
      <c r="AB628" s="129"/>
    </row>
    <row r="629">
      <c r="A629" s="150" t="s">
        <v>750</v>
      </c>
      <c r="B629" s="132">
        <v>2090.0</v>
      </c>
      <c r="C629" s="147">
        <v>2500.0</v>
      </c>
      <c r="D629" s="132">
        <f t="shared" si="107"/>
        <v>410</v>
      </c>
      <c r="E629" s="132" t="s">
        <v>629</v>
      </c>
      <c r="F629" s="347">
        <f t="shared" si="108"/>
        <v>3175</v>
      </c>
      <c r="G629" s="337"/>
      <c r="H629" s="168">
        <f t="shared" si="109"/>
        <v>16.4</v>
      </c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  <c r="AA629" s="129"/>
      <c r="AB629" s="129"/>
    </row>
    <row r="630">
      <c r="A630" s="150" t="s">
        <v>750</v>
      </c>
      <c r="B630" s="132">
        <v>2090.0</v>
      </c>
      <c r="C630" s="147">
        <v>0.0</v>
      </c>
      <c r="D630" s="132">
        <f t="shared" si="107"/>
        <v>-2090</v>
      </c>
      <c r="E630" s="132" t="s">
        <v>629</v>
      </c>
      <c r="F630" s="347">
        <f t="shared" si="108"/>
        <v>0</v>
      </c>
      <c r="G630" s="337"/>
      <c r="H630" s="168" t="str">
        <f t="shared" si="109"/>
        <v>#DIV/0!</v>
      </c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  <c r="AA630" s="129"/>
      <c r="AB630" s="129"/>
    </row>
    <row r="631">
      <c r="A631" s="150" t="s">
        <v>750</v>
      </c>
      <c r="B631" s="132">
        <v>2090.0</v>
      </c>
      <c r="C631" s="147">
        <v>0.0</v>
      </c>
      <c r="D631" s="132">
        <f t="shared" si="107"/>
        <v>-2090</v>
      </c>
      <c r="E631" s="132" t="s">
        <v>629</v>
      </c>
      <c r="F631" s="347">
        <f t="shared" si="108"/>
        <v>0</v>
      </c>
      <c r="G631" s="337"/>
      <c r="H631" s="168" t="str">
        <f t="shared" si="109"/>
        <v>#DIV/0!</v>
      </c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  <c r="AA631" s="129"/>
      <c r="AB631" s="129"/>
    </row>
    <row r="632">
      <c r="A632" s="123" t="s">
        <v>732</v>
      </c>
      <c r="B632" s="147">
        <v>3440.0</v>
      </c>
      <c r="C632" s="147">
        <v>3947.0</v>
      </c>
      <c r="D632" s="132">
        <f t="shared" si="107"/>
        <v>507</v>
      </c>
      <c r="E632" s="147" t="s">
        <v>629</v>
      </c>
      <c r="F632" s="347">
        <f t="shared" si="108"/>
        <v>5012.69</v>
      </c>
      <c r="G632" s="347"/>
      <c r="H632" s="168">
        <f t="shared" si="109"/>
        <v>12.84519889</v>
      </c>
    </row>
    <row r="633">
      <c r="A633" s="123" t="s">
        <v>732</v>
      </c>
      <c r="B633" s="147">
        <v>3440.0</v>
      </c>
      <c r="C633" s="147">
        <v>3948.0</v>
      </c>
      <c r="D633" s="132">
        <f t="shared" si="107"/>
        <v>508</v>
      </c>
      <c r="E633" s="147" t="s">
        <v>629</v>
      </c>
      <c r="F633" s="347">
        <f t="shared" si="108"/>
        <v>5013.96</v>
      </c>
      <c r="G633" s="347"/>
      <c r="H633" s="168">
        <f t="shared" si="109"/>
        <v>12.86727457</v>
      </c>
    </row>
    <row r="634">
      <c r="A634" s="123" t="s">
        <v>732</v>
      </c>
      <c r="B634" s="147">
        <v>3440.0</v>
      </c>
      <c r="C634" s="147">
        <v>3948.0</v>
      </c>
      <c r="D634" s="132">
        <f t="shared" si="107"/>
        <v>508</v>
      </c>
      <c r="E634" s="147" t="s">
        <v>629</v>
      </c>
      <c r="F634" s="347">
        <f t="shared" si="108"/>
        <v>5013.96</v>
      </c>
      <c r="G634" s="347"/>
      <c r="H634" s="168">
        <f t="shared" si="109"/>
        <v>12.86727457</v>
      </c>
    </row>
    <row r="635">
      <c r="A635" s="123" t="s">
        <v>765</v>
      </c>
      <c r="B635" s="147">
        <v>2390.0</v>
      </c>
      <c r="C635" s="147">
        <v>3220.0</v>
      </c>
      <c r="D635" s="132">
        <f t="shared" si="107"/>
        <v>830</v>
      </c>
      <c r="E635" s="147" t="s">
        <v>559</v>
      </c>
      <c r="F635" s="132">
        <f t="shared" si="108"/>
        <v>4089.4</v>
      </c>
      <c r="G635" s="337"/>
      <c r="H635" s="168">
        <f t="shared" si="109"/>
        <v>25.77639752</v>
      </c>
    </row>
    <row r="636">
      <c r="A636" s="123" t="s">
        <v>732</v>
      </c>
      <c r="B636" s="147">
        <v>3440.0</v>
      </c>
      <c r="C636" s="147">
        <v>3946.0</v>
      </c>
      <c r="D636" s="132">
        <f t="shared" si="107"/>
        <v>506</v>
      </c>
      <c r="E636" s="147" t="s">
        <v>629</v>
      </c>
      <c r="F636" s="347">
        <f t="shared" si="108"/>
        <v>5011.42</v>
      </c>
      <c r="G636" s="347"/>
      <c r="H636" s="168">
        <f t="shared" si="109"/>
        <v>12.82311201</v>
      </c>
    </row>
    <row r="637">
      <c r="A637" s="150" t="s">
        <v>766</v>
      </c>
      <c r="B637" s="147">
        <v>1240.0</v>
      </c>
      <c r="C637" s="147">
        <v>2037.0</v>
      </c>
      <c r="D637" s="132">
        <f t="shared" si="107"/>
        <v>797</v>
      </c>
      <c r="E637" s="132" t="s">
        <v>629</v>
      </c>
      <c r="F637" s="347">
        <f t="shared" si="108"/>
        <v>2586.99</v>
      </c>
      <c r="G637" s="337"/>
      <c r="H637" s="168">
        <f t="shared" si="109"/>
        <v>39.12616593</v>
      </c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  <c r="AA637" s="129"/>
      <c r="AB637" s="129"/>
    </row>
    <row r="638">
      <c r="A638" s="128" t="s">
        <v>767</v>
      </c>
      <c r="B638" s="147">
        <v>2390.0</v>
      </c>
      <c r="C638" s="147">
        <v>3220.0</v>
      </c>
      <c r="D638" s="132">
        <f t="shared" si="107"/>
        <v>830</v>
      </c>
      <c r="E638" s="147" t="s">
        <v>559</v>
      </c>
      <c r="F638" s="132">
        <f t="shared" si="108"/>
        <v>4089.4</v>
      </c>
      <c r="G638" s="337"/>
      <c r="H638" s="168">
        <f t="shared" si="109"/>
        <v>25.77639752</v>
      </c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  <c r="AA638" s="129"/>
      <c r="AB638" s="129"/>
    </row>
    <row r="639">
      <c r="A639" s="150" t="s">
        <v>766</v>
      </c>
      <c r="B639" s="147">
        <v>1240.0</v>
      </c>
      <c r="C639" s="147">
        <v>1927.0</v>
      </c>
      <c r="D639" s="132">
        <f t="shared" si="107"/>
        <v>687</v>
      </c>
      <c r="E639" s="132" t="s">
        <v>629</v>
      </c>
      <c r="F639" s="347">
        <f t="shared" si="108"/>
        <v>2447.29</v>
      </c>
      <c r="G639" s="337"/>
      <c r="H639" s="168">
        <f t="shared" si="109"/>
        <v>35.65127141</v>
      </c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  <c r="AA639" s="129"/>
      <c r="AB639" s="129"/>
    </row>
    <row r="640">
      <c r="A640" s="150" t="s">
        <v>766</v>
      </c>
      <c r="B640" s="147">
        <v>1240.0</v>
      </c>
      <c r="C640" s="147">
        <v>1848.0</v>
      </c>
      <c r="D640" s="132">
        <f t="shared" si="107"/>
        <v>608</v>
      </c>
      <c r="E640" s="132" t="s">
        <v>629</v>
      </c>
      <c r="F640" s="347">
        <f t="shared" si="108"/>
        <v>2346.96</v>
      </c>
      <c r="G640" s="337"/>
      <c r="H640" s="168">
        <f t="shared" si="109"/>
        <v>32.9004329</v>
      </c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  <c r="AA640" s="129"/>
      <c r="AB640" s="129"/>
    </row>
    <row r="641">
      <c r="A641" s="150" t="s">
        <v>766</v>
      </c>
      <c r="B641" s="147">
        <v>1240.0</v>
      </c>
      <c r="C641" s="147">
        <v>1848.0</v>
      </c>
      <c r="D641" s="132">
        <f t="shared" si="107"/>
        <v>608</v>
      </c>
      <c r="E641" s="132" t="s">
        <v>629</v>
      </c>
      <c r="F641" s="347">
        <f t="shared" si="108"/>
        <v>2346.96</v>
      </c>
      <c r="G641" s="337"/>
      <c r="H641" s="168">
        <f t="shared" si="109"/>
        <v>32.9004329</v>
      </c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  <c r="AA641" s="129"/>
      <c r="AB641" s="129"/>
    </row>
    <row r="642">
      <c r="A642" s="150" t="s">
        <v>766</v>
      </c>
      <c r="B642" s="147">
        <v>1240.0</v>
      </c>
      <c r="C642" s="147">
        <v>1848.0</v>
      </c>
      <c r="D642" s="132">
        <f t="shared" si="107"/>
        <v>608</v>
      </c>
      <c r="E642" s="132" t="s">
        <v>629</v>
      </c>
      <c r="F642" s="347">
        <f t="shared" si="108"/>
        <v>2346.96</v>
      </c>
      <c r="G642" s="337"/>
      <c r="H642" s="168">
        <f t="shared" si="109"/>
        <v>32.9004329</v>
      </c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  <c r="AA642" s="129"/>
      <c r="AB642" s="129"/>
    </row>
    <row r="643">
      <c r="A643" s="128" t="s">
        <v>758</v>
      </c>
      <c r="B643" s="147">
        <v>4240.0</v>
      </c>
      <c r="C643" s="147">
        <v>5239.0</v>
      </c>
      <c r="D643" s="132">
        <f t="shared" si="107"/>
        <v>999</v>
      </c>
      <c r="E643" s="147" t="s">
        <v>629</v>
      </c>
      <c r="F643" s="347">
        <f>C643*1.3</f>
        <v>6810.7</v>
      </c>
      <c r="G643" s="231"/>
      <c r="H643" s="168">
        <f t="shared" si="109"/>
        <v>19.06852453</v>
      </c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  <c r="AA643" s="129"/>
      <c r="AB643" s="129"/>
    </row>
    <row r="644">
      <c r="A644" s="150" t="s">
        <v>766</v>
      </c>
      <c r="B644" s="147">
        <v>1240.0</v>
      </c>
      <c r="C644" s="147">
        <v>1847.0</v>
      </c>
      <c r="D644" s="132">
        <f t="shared" si="107"/>
        <v>607</v>
      </c>
      <c r="E644" s="132" t="s">
        <v>629</v>
      </c>
      <c r="F644" s="347">
        <f t="shared" ref="F644:F652" si="110">C644*1.27</f>
        <v>2345.69</v>
      </c>
      <c r="G644" s="337"/>
      <c r="H644" s="168">
        <f t="shared" si="109"/>
        <v>32.86410395</v>
      </c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  <c r="AA644" s="129"/>
      <c r="AB644" s="129"/>
    </row>
    <row r="645">
      <c r="A645" s="338" t="s">
        <v>768</v>
      </c>
      <c r="B645" s="147">
        <v>7390.0</v>
      </c>
      <c r="C645" s="147">
        <v>10083.0</v>
      </c>
      <c r="D645" s="132">
        <f t="shared" si="107"/>
        <v>2693</v>
      </c>
      <c r="E645" s="147" t="s">
        <v>559</v>
      </c>
      <c r="F645" s="127">
        <f t="shared" si="110"/>
        <v>12805.41</v>
      </c>
      <c r="G645" s="337"/>
      <c r="H645" s="168">
        <f t="shared" si="109"/>
        <v>26.70832094</v>
      </c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  <c r="AA645" s="129"/>
      <c r="AB645" s="129"/>
    </row>
    <row r="646">
      <c r="A646" s="128" t="s">
        <v>769</v>
      </c>
      <c r="B646" s="147">
        <v>3990.0</v>
      </c>
      <c r="C646" s="147">
        <v>4634.0</v>
      </c>
      <c r="D646" s="132">
        <f t="shared" si="107"/>
        <v>644</v>
      </c>
      <c r="E646" s="147" t="s">
        <v>557</v>
      </c>
      <c r="F646" s="127">
        <f t="shared" si="110"/>
        <v>5885.18</v>
      </c>
      <c r="G646" s="337"/>
      <c r="H646" s="168">
        <f t="shared" si="109"/>
        <v>13.89728097</v>
      </c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  <c r="AA646" s="129"/>
      <c r="AB646" s="129"/>
    </row>
    <row r="647">
      <c r="A647" s="128" t="s">
        <v>770</v>
      </c>
      <c r="B647" s="147">
        <v>13490.0</v>
      </c>
      <c r="C647" s="147">
        <v>14500.0</v>
      </c>
      <c r="D647" s="132">
        <f t="shared" si="107"/>
        <v>1010</v>
      </c>
      <c r="E647" s="147" t="s">
        <v>559</v>
      </c>
      <c r="F647" s="127">
        <f t="shared" si="110"/>
        <v>18415</v>
      </c>
      <c r="G647" s="231"/>
      <c r="H647" s="168">
        <f t="shared" si="109"/>
        <v>6.965517241</v>
      </c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  <c r="AA647" s="129"/>
      <c r="AB647" s="129"/>
    </row>
    <row r="648">
      <c r="A648" s="128" t="s">
        <v>771</v>
      </c>
      <c r="B648" s="147">
        <v>1490.0</v>
      </c>
      <c r="C648" s="147">
        <v>2090.0</v>
      </c>
      <c r="D648" s="132">
        <f t="shared" si="107"/>
        <v>600</v>
      </c>
      <c r="E648" s="132" t="s">
        <v>559</v>
      </c>
      <c r="F648" s="132">
        <f t="shared" si="110"/>
        <v>2654.3</v>
      </c>
      <c r="G648" s="337"/>
      <c r="H648" s="168">
        <f t="shared" si="109"/>
        <v>28.70813397</v>
      </c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  <c r="AA648" s="129"/>
      <c r="AB648" s="129"/>
    </row>
    <row r="649">
      <c r="A649" s="150" t="s">
        <v>766</v>
      </c>
      <c r="B649" s="147">
        <v>1240.0</v>
      </c>
      <c r="C649" s="147">
        <v>1849.0</v>
      </c>
      <c r="D649" s="132">
        <f t="shared" si="107"/>
        <v>609</v>
      </c>
      <c r="E649" s="132" t="s">
        <v>629</v>
      </c>
      <c r="F649" s="347">
        <f t="shared" si="110"/>
        <v>2348.23</v>
      </c>
      <c r="G649" s="337"/>
      <c r="H649" s="168">
        <f t="shared" si="109"/>
        <v>32.93672255</v>
      </c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  <c r="AA649" s="129"/>
      <c r="AB649" s="129"/>
    </row>
    <row r="650">
      <c r="A650" s="150" t="s">
        <v>766</v>
      </c>
      <c r="B650" s="147">
        <v>1240.0</v>
      </c>
      <c r="C650" s="147">
        <v>1849.0</v>
      </c>
      <c r="D650" s="132">
        <f t="shared" si="107"/>
        <v>609</v>
      </c>
      <c r="E650" s="132" t="s">
        <v>629</v>
      </c>
      <c r="F650" s="347">
        <f t="shared" si="110"/>
        <v>2348.23</v>
      </c>
      <c r="G650" s="337"/>
      <c r="H650" s="168">
        <f t="shared" si="109"/>
        <v>32.93672255</v>
      </c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  <c r="AA650" s="129"/>
      <c r="AB650" s="129"/>
    </row>
    <row r="651">
      <c r="A651" s="123" t="s">
        <v>772</v>
      </c>
      <c r="B651" s="124">
        <v>3090.0</v>
      </c>
      <c r="C651" s="124">
        <v>4028.0</v>
      </c>
      <c r="D651" s="132">
        <f t="shared" si="107"/>
        <v>938</v>
      </c>
      <c r="E651" s="147" t="s">
        <v>559</v>
      </c>
      <c r="F651" s="132">
        <f t="shared" si="110"/>
        <v>5115.56</v>
      </c>
      <c r="G651" s="337"/>
      <c r="H651" s="168">
        <f t="shared" si="109"/>
        <v>23.28699106</v>
      </c>
    </row>
    <row r="652">
      <c r="A652" s="128" t="s">
        <v>630</v>
      </c>
      <c r="B652" s="147">
        <v>1990.0</v>
      </c>
      <c r="C652" s="147">
        <v>2655.0</v>
      </c>
      <c r="D652" s="132">
        <f t="shared" si="107"/>
        <v>665</v>
      </c>
      <c r="E652" s="147" t="s">
        <v>629</v>
      </c>
      <c r="F652" s="347">
        <f t="shared" si="110"/>
        <v>3371.85</v>
      </c>
      <c r="G652" s="231"/>
      <c r="H652" s="168">
        <f>D652/(B652/100)</f>
        <v>33.41708543</v>
      </c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</row>
    <row r="653">
      <c r="A653" s="123" t="s">
        <v>773</v>
      </c>
      <c r="B653" s="124">
        <v>3990.0</v>
      </c>
      <c r="C653" s="124">
        <v>5000.0</v>
      </c>
      <c r="D653" s="132">
        <f t="shared" si="107"/>
        <v>1010</v>
      </c>
      <c r="E653" s="147" t="s">
        <v>559</v>
      </c>
      <c r="F653" s="127">
        <v>6000.0</v>
      </c>
      <c r="G653" s="231"/>
      <c r="H653" s="168">
        <f t="shared" ref="H653:H694" si="111">D653/(C653/100)</f>
        <v>20.2</v>
      </c>
    </row>
    <row r="654">
      <c r="A654" s="338" t="s">
        <v>774</v>
      </c>
      <c r="B654" s="147">
        <v>12990.0</v>
      </c>
      <c r="C654" s="147">
        <v>16000.0</v>
      </c>
      <c r="D654" s="132">
        <f t="shared" si="107"/>
        <v>3010</v>
      </c>
      <c r="E654" s="147" t="s">
        <v>559</v>
      </c>
      <c r="F654" s="231">
        <v>17000.0</v>
      </c>
      <c r="G654" s="231" t="s">
        <v>775</v>
      </c>
      <c r="H654" s="168">
        <f t="shared" si="111"/>
        <v>18.8125</v>
      </c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  <c r="AA654" s="129"/>
      <c r="AB654" s="129"/>
    </row>
    <row r="655">
      <c r="A655" s="338" t="s">
        <v>776</v>
      </c>
      <c r="B655" s="147">
        <v>19990.0</v>
      </c>
      <c r="C655" s="147">
        <v>23000.0</v>
      </c>
      <c r="D655" s="132">
        <f t="shared" si="107"/>
        <v>3010</v>
      </c>
      <c r="E655" s="147" t="s">
        <v>559</v>
      </c>
      <c r="F655" s="231">
        <f t="shared" ref="F655:F685" si="112">C655*1.27</f>
        <v>29210</v>
      </c>
      <c r="G655" s="337"/>
      <c r="H655" s="168">
        <f t="shared" si="111"/>
        <v>13.08695652</v>
      </c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</row>
    <row r="656">
      <c r="A656" s="150" t="s">
        <v>763</v>
      </c>
      <c r="B656" s="147">
        <v>1240.0</v>
      </c>
      <c r="C656" s="147">
        <v>2010.0</v>
      </c>
      <c r="D656" s="132">
        <f t="shared" si="107"/>
        <v>770</v>
      </c>
      <c r="E656" s="147" t="s">
        <v>629</v>
      </c>
      <c r="F656" s="347">
        <f t="shared" si="112"/>
        <v>2552.7</v>
      </c>
      <c r="G656" s="337"/>
      <c r="H656" s="168">
        <f t="shared" si="111"/>
        <v>38.30845771</v>
      </c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</row>
    <row r="657">
      <c r="A657" s="150" t="s">
        <v>763</v>
      </c>
      <c r="B657" s="147">
        <v>1240.0</v>
      </c>
      <c r="C657" s="147">
        <v>2010.0</v>
      </c>
      <c r="D657" s="132">
        <f t="shared" si="107"/>
        <v>770</v>
      </c>
      <c r="E657" s="147" t="s">
        <v>629</v>
      </c>
      <c r="F657" s="347">
        <f t="shared" si="112"/>
        <v>2552.7</v>
      </c>
      <c r="G657" s="337"/>
      <c r="H657" s="168">
        <f t="shared" si="111"/>
        <v>38.30845771</v>
      </c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</row>
    <row r="658">
      <c r="A658" s="150" t="s">
        <v>754</v>
      </c>
      <c r="B658" s="147">
        <v>2940.0</v>
      </c>
      <c r="C658" s="147">
        <v>3786.0</v>
      </c>
      <c r="D658" s="132">
        <f t="shared" si="107"/>
        <v>846</v>
      </c>
      <c r="E658" s="147" t="s">
        <v>629</v>
      </c>
      <c r="F658" s="347">
        <f t="shared" si="112"/>
        <v>4808.22</v>
      </c>
      <c r="G658" s="347"/>
      <c r="H658" s="168">
        <f t="shared" si="111"/>
        <v>22.34548336</v>
      </c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</row>
    <row r="659">
      <c r="A659" s="150" t="s">
        <v>754</v>
      </c>
      <c r="B659" s="147">
        <v>2940.0</v>
      </c>
      <c r="C659" s="147">
        <v>3786.0</v>
      </c>
      <c r="D659" s="132">
        <f t="shared" si="107"/>
        <v>846</v>
      </c>
      <c r="E659" s="147" t="s">
        <v>629</v>
      </c>
      <c r="F659" s="347">
        <f t="shared" si="112"/>
        <v>4808.22</v>
      </c>
      <c r="G659" s="347"/>
      <c r="H659" s="168">
        <f t="shared" si="111"/>
        <v>22.34548336</v>
      </c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</row>
    <row r="660">
      <c r="A660" s="123" t="s">
        <v>777</v>
      </c>
      <c r="B660" s="124">
        <v>3190.0</v>
      </c>
      <c r="C660" s="147">
        <v>4028.0</v>
      </c>
      <c r="D660" s="132">
        <f t="shared" si="107"/>
        <v>838</v>
      </c>
      <c r="E660" s="147" t="s">
        <v>557</v>
      </c>
      <c r="F660" s="128">
        <f t="shared" si="112"/>
        <v>5115.56</v>
      </c>
      <c r="G660" s="231"/>
      <c r="H660" s="168">
        <f t="shared" si="111"/>
        <v>20.80436941</v>
      </c>
    </row>
    <row r="661" ht="13.5" customHeight="1">
      <c r="A661" s="128" t="s">
        <v>778</v>
      </c>
      <c r="B661" s="147">
        <v>11490.0</v>
      </c>
      <c r="C661" s="147">
        <v>14121.0</v>
      </c>
      <c r="D661" s="132">
        <f t="shared" si="107"/>
        <v>2631</v>
      </c>
      <c r="E661" s="147" t="s">
        <v>559</v>
      </c>
      <c r="F661" s="132">
        <f t="shared" si="112"/>
        <v>17933.67</v>
      </c>
      <c r="G661" s="231"/>
      <c r="H661" s="168">
        <f t="shared" si="111"/>
        <v>18.63182494</v>
      </c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</row>
    <row r="662">
      <c r="A662" s="128" t="s">
        <v>779</v>
      </c>
      <c r="B662" s="147">
        <v>4690.0</v>
      </c>
      <c r="C662" s="147">
        <v>5845.0</v>
      </c>
      <c r="D662" s="132">
        <f t="shared" si="107"/>
        <v>1155</v>
      </c>
      <c r="E662" s="147" t="s">
        <v>559</v>
      </c>
      <c r="F662" s="347">
        <f t="shared" si="112"/>
        <v>7423.15</v>
      </c>
      <c r="G662" s="337"/>
      <c r="H662" s="168">
        <f t="shared" si="111"/>
        <v>19.76047904</v>
      </c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</row>
    <row r="663">
      <c r="A663" s="128" t="s">
        <v>780</v>
      </c>
      <c r="B663" s="147">
        <v>1790.0</v>
      </c>
      <c r="C663" s="147">
        <v>2450.0</v>
      </c>
      <c r="D663" s="132">
        <f t="shared" si="107"/>
        <v>660</v>
      </c>
      <c r="E663" s="132" t="s">
        <v>559</v>
      </c>
      <c r="F663" s="347">
        <f t="shared" si="112"/>
        <v>3111.5</v>
      </c>
      <c r="G663" s="337"/>
      <c r="H663" s="168">
        <f t="shared" si="111"/>
        <v>26.93877551</v>
      </c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</row>
    <row r="664">
      <c r="A664" s="123" t="s">
        <v>781</v>
      </c>
      <c r="B664" s="124">
        <v>3790.0</v>
      </c>
      <c r="C664" s="147">
        <v>5239.0</v>
      </c>
      <c r="D664" s="132">
        <f t="shared" si="107"/>
        <v>1449</v>
      </c>
      <c r="E664" s="147" t="s">
        <v>557</v>
      </c>
      <c r="F664" s="127">
        <f t="shared" si="112"/>
        <v>6653.53</v>
      </c>
      <c r="G664" s="231"/>
      <c r="H664" s="168">
        <f t="shared" si="111"/>
        <v>27.65794999</v>
      </c>
    </row>
    <row r="665">
      <c r="A665" s="150" t="s">
        <v>766</v>
      </c>
      <c r="B665" s="147">
        <v>1240.0</v>
      </c>
      <c r="C665" s="147">
        <v>1847.0</v>
      </c>
      <c r="D665" s="132">
        <f t="shared" si="107"/>
        <v>607</v>
      </c>
      <c r="E665" s="132" t="s">
        <v>629</v>
      </c>
      <c r="F665" s="347">
        <f t="shared" si="112"/>
        <v>2345.69</v>
      </c>
      <c r="G665" s="337"/>
      <c r="H665" s="168">
        <f t="shared" si="111"/>
        <v>32.86410395</v>
      </c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</row>
    <row r="666">
      <c r="A666" s="128" t="s">
        <v>782</v>
      </c>
      <c r="B666" s="147">
        <v>1040.0</v>
      </c>
      <c r="C666" s="147">
        <v>1040.0</v>
      </c>
      <c r="D666" s="132">
        <f t="shared" si="107"/>
        <v>0</v>
      </c>
      <c r="E666" s="147" t="s">
        <v>629</v>
      </c>
      <c r="F666" s="347">
        <f t="shared" si="112"/>
        <v>1320.8</v>
      </c>
      <c r="G666" s="337"/>
      <c r="H666" s="168">
        <f t="shared" si="111"/>
        <v>0</v>
      </c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  <c r="AA666" s="129"/>
      <c r="AB666" s="129"/>
    </row>
    <row r="667">
      <c r="A667" s="150" t="s">
        <v>766</v>
      </c>
      <c r="B667" s="147">
        <v>1240.0</v>
      </c>
      <c r="C667" s="147">
        <v>1849.0</v>
      </c>
      <c r="D667" s="132">
        <f t="shared" si="107"/>
        <v>609</v>
      </c>
      <c r="E667" s="132" t="s">
        <v>629</v>
      </c>
      <c r="F667" s="347">
        <f t="shared" si="112"/>
        <v>2348.23</v>
      </c>
      <c r="G667" s="337"/>
      <c r="H667" s="168">
        <f t="shared" si="111"/>
        <v>32.93672255</v>
      </c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  <c r="AA667" s="129"/>
      <c r="AB667" s="129"/>
    </row>
    <row r="668">
      <c r="A668" s="150" t="s">
        <v>766</v>
      </c>
      <c r="B668" s="147">
        <v>1240.0</v>
      </c>
      <c r="C668" s="147">
        <v>1849.0</v>
      </c>
      <c r="D668" s="132">
        <f t="shared" si="107"/>
        <v>609</v>
      </c>
      <c r="E668" s="132" t="s">
        <v>629</v>
      </c>
      <c r="F668" s="347">
        <f t="shared" si="112"/>
        <v>2348.23</v>
      </c>
      <c r="G668" s="337"/>
      <c r="H668" s="168">
        <f t="shared" si="111"/>
        <v>32.93672255</v>
      </c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  <c r="AA668" s="129"/>
      <c r="AB668" s="129"/>
    </row>
    <row r="669">
      <c r="A669" s="384" t="s">
        <v>783</v>
      </c>
      <c r="B669" s="147">
        <v>1290.0</v>
      </c>
      <c r="C669" s="147">
        <v>2091.0</v>
      </c>
      <c r="D669" s="132">
        <f t="shared" si="107"/>
        <v>801</v>
      </c>
      <c r="E669" s="147" t="s">
        <v>559</v>
      </c>
      <c r="F669" s="347">
        <f t="shared" si="112"/>
        <v>2655.57</v>
      </c>
      <c r="G669" s="337"/>
      <c r="H669" s="168">
        <f t="shared" si="111"/>
        <v>38.30703013</v>
      </c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  <c r="AA669" s="129"/>
      <c r="AB669" s="129"/>
    </row>
    <row r="670">
      <c r="A670" s="123" t="s">
        <v>784</v>
      </c>
      <c r="B670" s="147">
        <v>1290.0</v>
      </c>
      <c r="C670" s="147">
        <v>2091.0</v>
      </c>
      <c r="D670" s="132">
        <f t="shared" si="107"/>
        <v>801</v>
      </c>
      <c r="E670" s="147" t="s">
        <v>559</v>
      </c>
      <c r="F670" s="347">
        <f t="shared" si="112"/>
        <v>2655.57</v>
      </c>
      <c r="G670" s="337"/>
      <c r="H670" s="168">
        <f t="shared" si="111"/>
        <v>38.30703013</v>
      </c>
    </row>
    <row r="671">
      <c r="A671" s="128" t="s">
        <v>782</v>
      </c>
      <c r="B671" s="147">
        <v>1040.0</v>
      </c>
      <c r="C671" s="147">
        <v>1323.0</v>
      </c>
      <c r="D671" s="132">
        <f t="shared" si="107"/>
        <v>283</v>
      </c>
      <c r="E671" s="147" t="s">
        <v>629</v>
      </c>
      <c r="F671" s="347">
        <f t="shared" si="112"/>
        <v>1680.21</v>
      </c>
      <c r="G671" s="337"/>
      <c r="H671" s="168">
        <f t="shared" si="111"/>
        <v>21.39077853</v>
      </c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  <c r="AA671" s="129"/>
      <c r="AB671" s="129"/>
    </row>
    <row r="672">
      <c r="A672" s="150" t="s">
        <v>763</v>
      </c>
      <c r="B672" s="147">
        <v>1240.0</v>
      </c>
      <c r="C672" s="147">
        <v>2007.0</v>
      </c>
      <c r="D672" s="132">
        <f t="shared" si="107"/>
        <v>767</v>
      </c>
      <c r="E672" s="147" t="s">
        <v>629</v>
      </c>
      <c r="F672" s="347">
        <f t="shared" si="112"/>
        <v>2548.89</v>
      </c>
      <c r="G672" s="337"/>
      <c r="H672" s="168">
        <f t="shared" si="111"/>
        <v>38.21624315</v>
      </c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  <c r="AA672" s="129"/>
      <c r="AB672" s="129"/>
    </row>
    <row r="673">
      <c r="A673" s="150" t="s">
        <v>766</v>
      </c>
      <c r="B673" s="147">
        <v>1240.0</v>
      </c>
      <c r="C673" s="147">
        <v>1850.0</v>
      </c>
      <c r="D673" s="132">
        <f t="shared" si="107"/>
        <v>610</v>
      </c>
      <c r="E673" s="132" t="s">
        <v>629</v>
      </c>
      <c r="F673" s="347">
        <f t="shared" si="112"/>
        <v>2349.5</v>
      </c>
      <c r="G673" s="337"/>
      <c r="H673" s="168">
        <f t="shared" si="111"/>
        <v>32.97297297</v>
      </c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  <c r="AA673" s="129"/>
      <c r="AB673" s="129"/>
    </row>
    <row r="674">
      <c r="A674" s="128" t="s">
        <v>631</v>
      </c>
      <c r="B674" s="147">
        <v>1240.0</v>
      </c>
      <c r="C674" s="147">
        <v>0.0</v>
      </c>
      <c r="D674" s="132">
        <f t="shared" si="107"/>
        <v>-1240</v>
      </c>
      <c r="E674" s="147" t="s">
        <v>629</v>
      </c>
      <c r="F674" s="347">
        <f t="shared" si="112"/>
        <v>0</v>
      </c>
      <c r="G674" s="231"/>
      <c r="H674" s="168" t="str">
        <f t="shared" si="111"/>
        <v>#DIV/0!</v>
      </c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  <c r="AA674" s="129"/>
      <c r="AB674" s="129"/>
    </row>
    <row r="675">
      <c r="A675" s="128" t="s">
        <v>753</v>
      </c>
      <c r="B675" s="147">
        <v>1240.0</v>
      </c>
      <c r="C675" s="147">
        <v>2656.0</v>
      </c>
      <c r="D675" s="132">
        <f t="shared" si="107"/>
        <v>1416</v>
      </c>
      <c r="E675" s="147" t="s">
        <v>629</v>
      </c>
      <c r="F675" s="347">
        <f t="shared" si="112"/>
        <v>3373.12</v>
      </c>
      <c r="G675" s="231"/>
      <c r="H675" s="168">
        <f t="shared" si="111"/>
        <v>53.31325301</v>
      </c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  <c r="AA675" s="129"/>
      <c r="AB675" s="129"/>
    </row>
    <row r="676">
      <c r="A676" s="128" t="s">
        <v>753</v>
      </c>
      <c r="B676" s="147">
        <v>1240.0</v>
      </c>
      <c r="C676" s="147">
        <v>2656.0</v>
      </c>
      <c r="D676" s="132">
        <f t="shared" si="107"/>
        <v>1416</v>
      </c>
      <c r="E676" s="147" t="s">
        <v>629</v>
      </c>
      <c r="F676" s="347">
        <f t="shared" si="112"/>
        <v>3373.12</v>
      </c>
      <c r="G676" s="231"/>
      <c r="H676" s="168">
        <f t="shared" si="111"/>
        <v>53.31325301</v>
      </c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  <c r="AA676" s="129"/>
      <c r="AB676" s="129"/>
    </row>
    <row r="677">
      <c r="A677" s="128" t="s">
        <v>782</v>
      </c>
      <c r="B677" s="147">
        <v>1040.0</v>
      </c>
      <c r="C677" s="147">
        <v>1341.0</v>
      </c>
      <c r="D677" s="132">
        <f t="shared" si="107"/>
        <v>301</v>
      </c>
      <c r="E677" s="147" t="s">
        <v>629</v>
      </c>
      <c r="F677" s="347">
        <f t="shared" si="112"/>
        <v>1703.07</v>
      </c>
      <c r="G677" s="337"/>
      <c r="H677" s="168">
        <f t="shared" si="111"/>
        <v>22.44593587</v>
      </c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  <c r="AA677" s="129"/>
      <c r="AB677" s="129"/>
    </row>
    <row r="678">
      <c r="A678" s="150" t="s">
        <v>763</v>
      </c>
      <c r="B678" s="147">
        <v>1240.0</v>
      </c>
      <c r="C678" s="147">
        <v>1840.0</v>
      </c>
      <c r="D678" s="132">
        <f t="shared" si="107"/>
        <v>600</v>
      </c>
      <c r="E678" s="147" t="s">
        <v>629</v>
      </c>
      <c r="F678" s="347">
        <f t="shared" si="112"/>
        <v>2336.8</v>
      </c>
      <c r="G678" s="337"/>
      <c r="H678" s="168">
        <f t="shared" si="111"/>
        <v>32.60869565</v>
      </c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  <c r="AA678" s="129"/>
      <c r="AB678" s="129"/>
    </row>
    <row r="679">
      <c r="A679" s="150" t="s">
        <v>763</v>
      </c>
      <c r="B679" s="147">
        <v>1240.0</v>
      </c>
      <c r="C679" s="147">
        <v>1840.0</v>
      </c>
      <c r="D679" s="132">
        <f t="shared" si="107"/>
        <v>600</v>
      </c>
      <c r="E679" s="147" t="s">
        <v>629</v>
      </c>
      <c r="F679" s="347">
        <f t="shared" si="112"/>
        <v>2336.8</v>
      </c>
      <c r="G679" s="337"/>
      <c r="H679" s="168">
        <f t="shared" si="111"/>
        <v>32.60869565</v>
      </c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  <c r="AA679" s="129"/>
      <c r="AB679" s="129"/>
    </row>
    <row r="680">
      <c r="A680" s="128" t="s">
        <v>785</v>
      </c>
      <c r="B680" s="147">
        <v>11490.0</v>
      </c>
      <c r="C680" s="147">
        <v>14119.0</v>
      </c>
      <c r="D680" s="132">
        <f t="shared" si="107"/>
        <v>2629</v>
      </c>
      <c r="E680" s="147" t="s">
        <v>559</v>
      </c>
      <c r="F680" s="347">
        <f t="shared" si="112"/>
        <v>17931.13</v>
      </c>
      <c r="G680" s="231" t="s">
        <v>786</v>
      </c>
      <c r="H680" s="168">
        <f t="shared" si="111"/>
        <v>18.62029889</v>
      </c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  <c r="AA680" s="129"/>
      <c r="AB680" s="129"/>
    </row>
    <row r="681">
      <c r="A681" s="150" t="s">
        <v>754</v>
      </c>
      <c r="B681" s="147">
        <v>2490.0</v>
      </c>
      <c r="C681" s="147">
        <v>4028.0</v>
      </c>
      <c r="D681" s="132">
        <f t="shared" si="107"/>
        <v>1538</v>
      </c>
      <c r="E681" s="147" t="s">
        <v>629</v>
      </c>
      <c r="F681" s="347">
        <f t="shared" si="112"/>
        <v>5115.56</v>
      </c>
      <c r="G681" s="347"/>
      <c r="H681" s="168">
        <f t="shared" si="111"/>
        <v>38.18272095</v>
      </c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  <c r="AA681" s="129"/>
      <c r="AB681" s="129"/>
    </row>
    <row r="682">
      <c r="A682" s="150" t="s">
        <v>766</v>
      </c>
      <c r="B682" s="147">
        <v>1240.0</v>
      </c>
      <c r="C682" s="147">
        <v>1686.0</v>
      </c>
      <c r="D682" s="132">
        <f t="shared" si="107"/>
        <v>446</v>
      </c>
      <c r="E682" s="132" t="s">
        <v>629</v>
      </c>
      <c r="F682" s="347">
        <f t="shared" si="112"/>
        <v>2141.22</v>
      </c>
      <c r="G682" s="337"/>
      <c r="H682" s="168">
        <f t="shared" si="111"/>
        <v>26.45314353</v>
      </c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  <c r="AA682" s="129"/>
      <c r="AB682" s="129"/>
    </row>
    <row r="683">
      <c r="A683" s="123" t="s">
        <v>787</v>
      </c>
      <c r="B683" s="124">
        <v>1890.0</v>
      </c>
      <c r="C683" s="124">
        <v>2817.0</v>
      </c>
      <c r="D683" s="132">
        <f t="shared" si="107"/>
        <v>927</v>
      </c>
      <c r="E683" s="147" t="s">
        <v>559</v>
      </c>
      <c r="F683" s="231">
        <f t="shared" si="112"/>
        <v>3577.59</v>
      </c>
      <c r="G683" s="231"/>
      <c r="H683" s="168">
        <f t="shared" si="111"/>
        <v>32.90734824</v>
      </c>
    </row>
    <row r="684">
      <c r="A684" s="150" t="s">
        <v>754</v>
      </c>
      <c r="B684" s="147">
        <v>2490.0</v>
      </c>
      <c r="C684" s="147">
        <v>3423.0</v>
      </c>
      <c r="D684" s="132">
        <f t="shared" si="107"/>
        <v>933</v>
      </c>
      <c r="E684" s="147" t="s">
        <v>629</v>
      </c>
      <c r="F684" s="347">
        <f t="shared" si="112"/>
        <v>4347.21</v>
      </c>
      <c r="G684" s="347"/>
      <c r="H684" s="168">
        <f t="shared" si="111"/>
        <v>27.25679229</v>
      </c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  <c r="AA684" s="129"/>
      <c r="AB684" s="129"/>
    </row>
    <row r="685">
      <c r="A685" s="150" t="s">
        <v>754</v>
      </c>
      <c r="B685" s="147">
        <v>2490.0</v>
      </c>
      <c r="C685" s="147">
        <v>3423.0</v>
      </c>
      <c r="D685" s="132">
        <f t="shared" si="107"/>
        <v>933</v>
      </c>
      <c r="E685" s="147" t="s">
        <v>629</v>
      </c>
      <c r="F685" s="347">
        <f t="shared" si="112"/>
        <v>4347.21</v>
      </c>
      <c r="G685" s="347"/>
      <c r="H685" s="168">
        <f t="shared" si="111"/>
        <v>27.25679229</v>
      </c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  <c r="AA685" s="129"/>
      <c r="AB685" s="129"/>
    </row>
    <row r="686">
      <c r="A686" s="128" t="s">
        <v>788</v>
      </c>
      <c r="B686" s="147">
        <v>17490.0</v>
      </c>
      <c r="C686" s="147">
        <v>20000.0</v>
      </c>
      <c r="D686" s="132">
        <f t="shared" si="107"/>
        <v>2510</v>
      </c>
      <c r="E686" s="147" t="s">
        <v>559</v>
      </c>
      <c r="F686" s="147">
        <v>25000.0</v>
      </c>
      <c r="G686" s="231" t="s">
        <v>789</v>
      </c>
      <c r="H686" s="168">
        <f t="shared" si="111"/>
        <v>12.55</v>
      </c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  <c r="AA686" s="129"/>
      <c r="AB686" s="129"/>
    </row>
    <row r="687">
      <c r="A687" s="128" t="s">
        <v>790</v>
      </c>
      <c r="B687" s="147">
        <v>790.0</v>
      </c>
      <c r="C687" s="147">
        <v>1218.0</v>
      </c>
      <c r="D687" s="132">
        <f t="shared" si="107"/>
        <v>428</v>
      </c>
      <c r="E687" s="147" t="s">
        <v>559</v>
      </c>
      <c r="F687" s="231">
        <f t="shared" ref="F687:F688" si="113">C687*1.27</f>
        <v>1546.86</v>
      </c>
      <c r="G687" s="231"/>
      <c r="H687" s="168">
        <f t="shared" si="111"/>
        <v>35.13957307</v>
      </c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  <c r="AA687" s="129"/>
      <c r="AB687" s="129"/>
    </row>
    <row r="688">
      <c r="A688" s="128" t="s">
        <v>791</v>
      </c>
      <c r="B688" s="147">
        <v>540.0</v>
      </c>
      <c r="C688" s="147">
        <v>809.0</v>
      </c>
      <c r="D688" s="132">
        <f t="shared" si="107"/>
        <v>269</v>
      </c>
      <c r="E688" s="147" t="s">
        <v>557</v>
      </c>
      <c r="F688" s="347">
        <f t="shared" si="113"/>
        <v>1027.43</v>
      </c>
      <c r="G688" s="231"/>
      <c r="H688" s="168">
        <f t="shared" si="111"/>
        <v>33.25092707</v>
      </c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  <c r="AA688" s="129"/>
      <c r="AB688" s="129"/>
    </row>
    <row r="689">
      <c r="A689" s="123" t="s">
        <v>717</v>
      </c>
      <c r="B689" s="124">
        <v>6990.0</v>
      </c>
      <c r="C689" s="124">
        <v>10500.0</v>
      </c>
      <c r="D689" s="132">
        <f t="shared" si="107"/>
        <v>3510</v>
      </c>
      <c r="E689" s="147" t="s">
        <v>559</v>
      </c>
      <c r="F689" s="147">
        <v>11000.0</v>
      </c>
      <c r="G689" s="231"/>
      <c r="H689" s="168">
        <f t="shared" si="111"/>
        <v>33.42857143</v>
      </c>
    </row>
    <row r="690">
      <c r="A690" s="143" t="s">
        <v>754</v>
      </c>
      <c r="B690" s="132">
        <v>2490.0</v>
      </c>
      <c r="C690" s="132">
        <v>3264.0</v>
      </c>
      <c r="D690" s="132">
        <f t="shared" si="107"/>
        <v>774</v>
      </c>
      <c r="E690" s="132" t="s">
        <v>629</v>
      </c>
      <c r="F690" s="132">
        <f t="shared" ref="F690:F694" si="114">C690*1.27</f>
        <v>4145.28</v>
      </c>
      <c r="G690" s="337"/>
      <c r="H690" s="168">
        <f t="shared" si="111"/>
        <v>23.71323529</v>
      </c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</row>
    <row r="691">
      <c r="A691" s="128" t="s">
        <v>792</v>
      </c>
      <c r="B691" s="147">
        <v>1290.0</v>
      </c>
      <c r="C691" s="147">
        <v>1474.0</v>
      </c>
      <c r="D691" s="132">
        <f t="shared" si="107"/>
        <v>184</v>
      </c>
      <c r="E691" s="147" t="s">
        <v>120</v>
      </c>
      <c r="F691" s="128">
        <f t="shared" si="114"/>
        <v>1871.98</v>
      </c>
      <c r="G691" s="231"/>
      <c r="H691" s="168">
        <f t="shared" si="111"/>
        <v>12.48303935</v>
      </c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</row>
    <row r="692">
      <c r="A692" s="150" t="s">
        <v>793</v>
      </c>
      <c r="B692" s="132">
        <v>990.0</v>
      </c>
      <c r="C692" s="147">
        <v>2049.0</v>
      </c>
      <c r="D692" s="132">
        <f t="shared" si="107"/>
        <v>1059</v>
      </c>
      <c r="E692" s="126" t="s">
        <v>123</v>
      </c>
      <c r="F692" s="128">
        <f t="shared" si="114"/>
        <v>2602.23</v>
      </c>
      <c r="G692" s="231"/>
      <c r="H692" s="168">
        <f t="shared" si="111"/>
        <v>51.68374817</v>
      </c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  <c r="AA692" s="129"/>
      <c r="AB692" s="129"/>
    </row>
    <row r="693">
      <c r="A693" s="123" t="s">
        <v>443</v>
      </c>
      <c r="B693" s="147">
        <v>1390.0</v>
      </c>
      <c r="C693" s="147">
        <v>1640.0</v>
      </c>
      <c r="D693" s="125">
        <f t="shared" si="107"/>
        <v>250</v>
      </c>
      <c r="E693" s="126" t="s">
        <v>123</v>
      </c>
      <c r="F693" s="128">
        <f t="shared" si="114"/>
        <v>2082.8</v>
      </c>
      <c r="G693" s="231"/>
      <c r="H693" s="168">
        <f t="shared" si="111"/>
        <v>15.24390244</v>
      </c>
    </row>
    <row r="694">
      <c r="A694" s="150" t="s">
        <v>436</v>
      </c>
      <c r="B694" s="147">
        <v>1690.0</v>
      </c>
      <c r="C694" s="147">
        <v>2048.0</v>
      </c>
      <c r="D694" s="132">
        <f t="shared" si="107"/>
        <v>358</v>
      </c>
      <c r="E694" s="126" t="s">
        <v>123</v>
      </c>
      <c r="F694" s="128">
        <f t="shared" si="114"/>
        <v>2600.96</v>
      </c>
      <c r="G694" s="231"/>
      <c r="H694" s="168">
        <f t="shared" si="111"/>
        <v>17.48046875</v>
      </c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</row>
    <row r="695">
      <c r="A695" s="143"/>
      <c r="B695" s="139"/>
      <c r="C695" s="139"/>
      <c r="D695" s="139"/>
      <c r="E695" s="129"/>
      <c r="F695" s="13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</row>
    <row r="696">
      <c r="A696" s="144" t="s">
        <v>57</v>
      </c>
      <c r="B696" s="145">
        <f t="shared" ref="B696:D696" si="115">SUM(B613:B695)</f>
        <v>248950</v>
      </c>
      <c r="C696" s="145">
        <f t="shared" si="115"/>
        <v>311744</v>
      </c>
      <c r="D696" s="145">
        <f t="shared" si="115"/>
        <v>62794</v>
      </c>
      <c r="E696" s="129"/>
      <c r="F696" s="139"/>
      <c r="G696" s="129"/>
      <c r="H696" s="146">
        <f>D696/(C696/100)</f>
        <v>20.14280948</v>
      </c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</row>
    <row r="697">
      <c r="A697" s="143"/>
      <c r="B697" s="139"/>
      <c r="C697" s="139"/>
      <c r="D697" s="139"/>
      <c r="E697" s="129"/>
      <c r="F697" s="13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</row>
    <row r="698">
      <c r="A698" s="383">
        <v>46054.0</v>
      </c>
      <c r="B698" s="139"/>
      <c r="C698" s="139"/>
      <c r="D698" s="139"/>
      <c r="E698" s="129"/>
      <c r="F698" s="13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</row>
    <row r="699">
      <c r="A699" s="143"/>
      <c r="B699" s="139"/>
      <c r="C699" s="139"/>
      <c r="D699" s="139"/>
      <c r="E699" s="139"/>
      <c r="F699" s="13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</row>
    <row r="700">
      <c r="A700" s="123" t="s">
        <v>794</v>
      </c>
      <c r="B700" s="124">
        <v>2090.0</v>
      </c>
      <c r="C700" s="147">
        <v>2810.0</v>
      </c>
      <c r="D700" s="132">
        <f t="shared" ref="D700:D870" si="116">C700-B700</f>
        <v>720</v>
      </c>
      <c r="E700" s="147" t="s">
        <v>557</v>
      </c>
      <c r="F700" s="127">
        <f t="shared" ref="F700:F768" si="117">C700*1.27</f>
        <v>3568.7</v>
      </c>
      <c r="G700" s="231"/>
      <c r="H700" s="168">
        <f>D700/(C700/100)</f>
        <v>25.6227758</v>
      </c>
    </row>
    <row r="701">
      <c r="A701" s="378" t="s">
        <v>795</v>
      </c>
      <c r="B701" s="382">
        <v>1890.0</v>
      </c>
      <c r="C701" s="374">
        <v>0.0</v>
      </c>
      <c r="D701" s="375">
        <f t="shared" si="116"/>
        <v>-1890</v>
      </c>
      <c r="E701" s="374" t="s">
        <v>559</v>
      </c>
      <c r="F701" s="375">
        <f t="shared" si="117"/>
        <v>0</v>
      </c>
      <c r="G701" s="376"/>
      <c r="H701" s="377">
        <f>D701/(B701/100)</f>
        <v>-100</v>
      </c>
      <c r="I701" s="380"/>
      <c r="J701" s="380"/>
      <c r="K701" s="380"/>
      <c r="L701" s="380"/>
      <c r="M701" s="380"/>
      <c r="N701" s="380"/>
      <c r="O701" s="380"/>
      <c r="P701" s="380"/>
      <c r="Q701" s="380"/>
      <c r="R701" s="380"/>
      <c r="S701" s="380"/>
      <c r="T701" s="380"/>
      <c r="U701" s="380"/>
      <c r="V701" s="380"/>
      <c r="W701" s="380"/>
      <c r="X701" s="380"/>
      <c r="Y701" s="380"/>
      <c r="Z701" s="380"/>
      <c r="AA701" s="380"/>
      <c r="AB701" s="380"/>
    </row>
    <row r="702">
      <c r="A702" s="128" t="s">
        <v>753</v>
      </c>
      <c r="B702" s="147">
        <v>1240.0</v>
      </c>
      <c r="C702" s="147">
        <v>2445.0</v>
      </c>
      <c r="D702" s="132">
        <f t="shared" si="116"/>
        <v>1205</v>
      </c>
      <c r="E702" s="147" t="s">
        <v>629</v>
      </c>
      <c r="F702" s="132">
        <f t="shared" si="117"/>
        <v>3105.15</v>
      </c>
      <c r="G702" s="231"/>
      <c r="H702" s="168">
        <f t="shared" ref="H702:H706" si="118">D702/(C702/100)</f>
        <v>49.28425358</v>
      </c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</row>
    <row r="703">
      <c r="A703" s="128" t="s">
        <v>796</v>
      </c>
      <c r="B703" s="147">
        <v>540.0</v>
      </c>
      <c r="C703" s="147">
        <v>790.0</v>
      </c>
      <c r="D703" s="132">
        <f t="shared" si="116"/>
        <v>250</v>
      </c>
      <c r="E703" s="147" t="s">
        <v>557</v>
      </c>
      <c r="F703" s="132">
        <f t="shared" si="117"/>
        <v>1003.3</v>
      </c>
      <c r="G703" s="231"/>
      <c r="H703" s="168">
        <f t="shared" si="118"/>
        <v>31.64556962</v>
      </c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</row>
    <row r="704">
      <c r="A704" s="385" t="s">
        <v>797</v>
      </c>
      <c r="B704" s="147">
        <v>290.0</v>
      </c>
      <c r="C704" s="147">
        <v>540.0</v>
      </c>
      <c r="D704" s="132">
        <f t="shared" si="116"/>
        <v>250</v>
      </c>
      <c r="E704" s="147" t="s">
        <v>557</v>
      </c>
      <c r="F704" s="132">
        <f t="shared" si="117"/>
        <v>685.8</v>
      </c>
      <c r="G704" s="231"/>
      <c r="H704" s="168">
        <f t="shared" si="118"/>
        <v>46.2962963</v>
      </c>
    </row>
    <row r="705">
      <c r="A705" s="150" t="s">
        <v>763</v>
      </c>
      <c r="B705" s="147">
        <v>1240.0</v>
      </c>
      <c r="C705" s="147">
        <v>1873.0</v>
      </c>
      <c r="D705" s="132">
        <f t="shared" si="116"/>
        <v>633</v>
      </c>
      <c r="E705" s="147" t="s">
        <v>629</v>
      </c>
      <c r="F705" s="132">
        <f t="shared" si="117"/>
        <v>2378.71</v>
      </c>
      <c r="G705" s="337"/>
      <c r="H705" s="168">
        <f t="shared" si="118"/>
        <v>33.79604912</v>
      </c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  <c r="AA705" s="129"/>
      <c r="AB705" s="129"/>
    </row>
    <row r="706">
      <c r="A706" s="150" t="s">
        <v>754</v>
      </c>
      <c r="B706" s="147">
        <v>2490.0</v>
      </c>
      <c r="C706" s="147">
        <v>3265.0</v>
      </c>
      <c r="D706" s="132">
        <f t="shared" si="116"/>
        <v>775</v>
      </c>
      <c r="E706" s="147" t="s">
        <v>629</v>
      </c>
      <c r="F706" s="132">
        <f t="shared" si="117"/>
        <v>4146.55</v>
      </c>
      <c r="G706" s="347"/>
      <c r="H706" s="168">
        <f t="shared" si="118"/>
        <v>23.73660031</v>
      </c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  <c r="AA706" s="129"/>
      <c r="AB706" s="129"/>
    </row>
    <row r="707">
      <c r="A707" s="128" t="s">
        <v>798</v>
      </c>
      <c r="B707" s="147">
        <v>540.0</v>
      </c>
      <c r="C707" s="147">
        <v>810.0</v>
      </c>
      <c r="D707" s="132">
        <f t="shared" si="116"/>
        <v>270</v>
      </c>
      <c r="E707" s="147" t="s">
        <v>557</v>
      </c>
      <c r="F707" s="132">
        <f t="shared" si="117"/>
        <v>1028.7</v>
      </c>
      <c r="G707" s="337"/>
      <c r="H707" s="168">
        <f>D707/(B707/100)</f>
        <v>50</v>
      </c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  <c r="AA707" s="129"/>
      <c r="AB707" s="129"/>
    </row>
    <row r="708">
      <c r="A708" s="123" t="s">
        <v>721</v>
      </c>
      <c r="B708" s="147">
        <v>1890.0</v>
      </c>
      <c r="C708" s="147">
        <v>2856.0</v>
      </c>
      <c r="D708" s="132">
        <f t="shared" si="116"/>
        <v>966</v>
      </c>
      <c r="E708" s="147" t="s">
        <v>559</v>
      </c>
      <c r="F708" s="127">
        <f t="shared" si="117"/>
        <v>3627.12</v>
      </c>
      <c r="G708" s="231"/>
      <c r="H708" s="168">
        <f t="shared" ref="H708:H711" si="119">D708/(C708/100)</f>
        <v>33.82352941</v>
      </c>
    </row>
    <row r="709">
      <c r="A709" s="128" t="s">
        <v>782</v>
      </c>
      <c r="B709" s="147">
        <v>1040.0</v>
      </c>
      <c r="C709" s="147">
        <v>1341.0</v>
      </c>
      <c r="D709" s="132">
        <f t="shared" si="116"/>
        <v>301</v>
      </c>
      <c r="E709" s="147" t="s">
        <v>629</v>
      </c>
      <c r="F709" s="132">
        <f t="shared" si="117"/>
        <v>1703.07</v>
      </c>
      <c r="G709" s="337"/>
      <c r="H709" s="168">
        <f t="shared" si="119"/>
        <v>22.44593587</v>
      </c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  <c r="AA709" s="129"/>
      <c r="AB709" s="129"/>
    </row>
    <row r="710">
      <c r="A710" s="128" t="s">
        <v>753</v>
      </c>
      <c r="B710" s="147">
        <v>1240.0</v>
      </c>
      <c r="C710" s="147">
        <v>2446.0</v>
      </c>
      <c r="D710" s="132">
        <f t="shared" si="116"/>
        <v>1206</v>
      </c>
      <c r="E710" s="147" t="s">
        <v>629</v>
      </c>
      <c r="F710" s="132">
        <f t="shared" si="117"/>
        <v>3106.42</v>
      </c>
      <c r="G710" s="231"/>
      <c r="H710" s="168">
        <f t="shared" si="119"/>
        <v>49.30498774</v>
      </c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  <c r="AA710" s="129"/>
      <c r="AB710" s="129"/>
    </row>
    <row r="711">
      <c r="A711" s="123" t="s">
        <v>799</v>
      </c>
      <c r="B711" s="147">
        <v>2490.0</v>
      </c>
      <c r="C711" s="147">
        <v>3674.0</v>
      </c>
      <c r="D711" s="132">
        <f t="shared" si="116"/>
        <v>1184</v>
      </c>
      <c r="E711" s="147" t="s">
        <v>559</v>
      </c>
      <c r="F711" s="127">
        <f t="shared" si="117"/>
        <v>4665.98</v>
      </c>
      <c r="G711" s="231"/>
      <c r="H711" s="168">
        <f t="shared" si="119"/>
        <v>32.22645618</v>
      </c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  <c r="AA711" s="129"/>
      <c r="AB711" s="129"/>
    </row>
    <row r="712">
      <c r="A712" s="128" t="s">
        <v>800</v>
      </c>
      <c r="B712" s="147">
        <v>740.0</v>
      </c>
      <c r="C712" s="147">
        <v>0.0</v>
      </c>
      <c r="D712" s="132">
        <f t="shared" si="116"/>
        <v>-740</v>
      </c>
      <c r="E712" s="147" t="s">
        <v>557</v>
      </c>
      <c r="F712" s="127">
        <f t="shared" si="117"/>
        <v>0</v>
      </c>
      <c r="G712" s="231"/>
      <c r="H712" s="168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  <c r="AA712" s="129"/>
      <c r="AB712" s="129"/>
    </row>
    <row r="713">
      <c r="A713" s="385" t="s">
        <v>801</v>
      </c>
      <c r="B713" s="147">
        <v>790.0</v>
      </c>
      <c r="C713" s="147">
        <v>1055.0</v>
      </c>
      <c r="D713" s="132">
        <f t="shared" si="116"/>
        <v>265</v>
      </c>
      <c r="E713" s="147" t="s">
        <v>557</v>
      </c>
      <c r="F713" s="127">
        <f t="shared" si="117"/>
        <v>1339.85</v>
      </c>
      <c r="G713" s="231"/>
      <c r="H713" s="168">
        <f t="shared" ref="H713:H715" si="120">D713/(C713/100)</f>
        <v>25.11848341</v>
      </c>
    </row>
    <row r="714">
      <c r="A714" s="128" t="s">
        <v>802</v>
      </c>
      <c r="B714" s="147">
        <v>540.0</v>
      </c>
      <c r="C714" s="147">
        <v>810.0</v>
      </c>
      <c r="D714" s="132">
        <f t="shared" si="116"/>
        <v>270</v>
      </c>
      <c r="E714" s="147" t="s">
        <v>557</v>
      </c>
      <c r="F714" s="132">
        <f t="shared" si="117"/>
        <v>1028.7</v>
      </c>
      <c r="G714" s="231"/>
      <c r="H714" s="168">
        <f t="shared" si="120"/>
        <v>33.33333333</v>
      </c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  <c r="AA714" s="129"/>
      <c r="AB714" s="129"/>
    </row>
    <row r="715">
      <c r="A715" s="385" t="s">
        <v>803</v>
      </c>
      <c r="B715" s="147">
        <v>290.0</v>
      </c>
      <c r="C715" s="147">
        <v>600.0</v>
      </c>
      <c r="D715" s="132">
        <f t="shared" si="116"/>
        <v>310</v>
      </c>
      <c r="E715" s="147" t="s">
        <v>557</v>
      </c>
      <c r="F715" s="127">
        <f t="shared" si="117"/>
        <v>762</v>
      </c>
      <c r="G715" s="231"/>
      <c r="H715" s="168">
        <f t="shared" si="120"/>
        <v>51.66666667</v>
      </c>
    </row>
    <row r="716">
      <c r="A716" s="150" t="s">
        <v>804</v>
      </c>
      <c r="B716" s="132">
        <v>2790.0</v>
      </c>
      <c r="C716" s="132">
        <v>0.0</v>
      </c>
      <c r="D716" s="132">
        <f t="shared" si="116"/>
        <v>-2790</v>
      </c>
      <c r="E716" s="132" t="s">
        <v>805</v>
      </c>
      <c r="F716" s="132">
        <f t="shared" si="117"/>
        <v>0</v>
      </c>
      <c r="G716" s="337"/>
      <c r="H716" s="168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  <c r="AA716" s="129"/>
      <c r="AB716" s="129"/>
    </row>
    <row r="717">
      <c r="A717" s="150" t="s">
        <v>806</v>
      </c>
      <c r="B717" s="132">
        <v>740.0</v>
      </c>
      <c r="C717" s="132">
        <v>0.0</v>
      </c>
      <c r="D717" s="132">
        <f t="shared" si="116"/>
        <v>-740</v>
      </c>
      <c r="E717" s="132" t="s">
        <v>805</v>
      </c>
      <c r="F717" s="132">
        <f t="shared" si="117"/>
        <v>0</v>
      </c>
      <c r="G717" s="337"/>
      <c r="H717" s="168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  <c r="AA717" s="129"/>
      <c r="AB717" s="129"/>
    </row>
    <row r="718">
      <c r="A718" s="150" t="s">
        <v>807</v>
      </c>
      <c r="B718" s="132">
        <v>740.0</v>
      </c>
      <c r="C718" s="132">
        <v>0.0</v>
      </c>
      <c r="D718" s="132">
        <f t="shared" si="116"/>
        <v>-740</v>
      </c>
      <c r="E718" s="132" t="s">
        <v>805</v>
      </c>
      <c r="F718" s="132">
        <f t="shared" si="117"/>
        <v>0</v>
      </c>
      <c r="G718" s="337"/>
      <c r="H718" s="168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  <c r="AA718" s="129"/>
      <c r="AB718" s="129"/>
    </row>
    <row r="719">
      <c r="A719" s="385" t="s">
        <v>808</v>
      </c>
      <c r="B719" s="147">
        <v>340.0</v>
      </c>
      <c r="C719" s="147">
        <v>1382.0</v>
      </c>
      <c r="D719" s="132">
        <f t="shared" si="116"/>
        <v>1042</v>
      </c>
      <c r="E719" s="147" t="s">
        <v>805</v>
      </c>
      <c r="F719" s="127">
        <f t="shared" si="117"/>
        <v>1755.14</v>
      </c>
      <c r="G719" s="231"/>
      <c r="H719" s="168">
        <f t="shared" ref="H719:H755" si="121">D719/(C719/100)</f>
        <v>75.39797395</v>
      </c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  <c r="AA719" s="129"/>
      <c r="AB719" s="129"/>
    </row>
    <row r="720">
      <c r="A720" s="387" t="s">
        <v>809</v>
      </c>
      <c r="B720" s="147">
        <v>1190.0</v>
      </c>
      <c r="C720" s="147">
        <v>1382.0</v>
      </c>
      <c r="D720" s="132">
        <f t="shared" si="116"/>
        <v>192</v>
      </c>
      <c r="E720" s="147" t="s">
        <v>805</v>
      </c>
      <c r="F720" s="132">
        <f t="shared" si="117"/>
        <v>1755.14</v>
      </c>
      <c r="G720" s="347"/>
      <c r="H720" s="168">
        <f t="shared" si="121"/>
        <v>13.89290883</v>
      </c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  <c r="AA720" s="129"/>
      <c r="AB720" s="129"/>
    </row>
    <row r="721">
      <c r="A721" s="387" t="s">
        <v>810</v>
      </c>
      <c r="B721" s="147">
        <v>5490.0</v>
      </c>
      <c r="C721" s="147">
        <v>1382.0</v>
      </c>
      <c r="D721" s="132">
        <f t="shared" si="116"/>
        <v>-4108</v>
      </c>
      <c r="E721" s="147" t="s">
        <v>805</v>
      </c>
      <c r="F721" s="132">
        <f t="shared" si="117"/>
        <v>1755.14</v>
      </c>
      <c r="G721" s="337"/>
      <c r="H721" s="168">
        <f t="shared" si="121"/>
        <v>-297.2503618</v>
      </c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  <c r="AA721" s="129"/>
      <c r="AB721" s="129"/>
    </row>
    <row r="722">
      <c r="A722" s="387" t="s">
        <v>811</v>
      </c>
      <c r="B722" s="124">
        <v>3740.0</v>
      </c>
      <c r="C722" s="124">
        <v>1382.0</v>
      </c>
      <c r="D722" s="132">
        <f t="shared" si="116"/>
        <v>-2358</v>
      </c>
      <c r="E722" s="147" t="s">
        <v>805</v>
      </c>
      <c r="F722" s="127">
        <f t="shared" si="117"/>
        <v>1755.14</v>
      </c>
      <c r="G722" s="231"/>
      <c r="H722" s="168">
        <f t="shared" si="121"/>
        <v>-170.6222865</v>
      </c>
    </row>
    <row r="723">
      <c r="A723" s="385" t="s">
        <v>812</v>
      </c>
      <c r="B723" s="147">
        <v>340.0</v>
      </c>
      <c r="C723" s="147">
        <v>1382.0</v>
      </c>
      <c r="D723" s="132">
        <f t="shared" si="116"/>
        <v>1042</v>
      </c>
      <c r="E723" s="147" t="s">
        <v>805</v>
      </c>
      <c r="F723" s="127">
        <f t="shared" si="117"/>
        <v>1755.14</v>
      </c>
      <c r="G723" s="231"/>
      <c r="H723" s="168">
        <f t="shared" si="121"/>
        <v>75.39797395</v>
      </c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  <c r="AA723" s="129"/>
      <c r="AB723" s="129"/>
    </row>
    <row r="724">
      <c r="A724" s="385" t="s">
        <v>813</v>
      </c>
      <c r="B724" s="147">
        <v>390.0</v>
      </c>
      <c r="C724" s="147">
        <v>1382.0</v>
      </c>
      <c r="D724" s="132">
        <f t="shared" si="116"/>
        <v>992</v>
      </c>
      <c r="E724" s="147" t="s">
        <v>805</v>
      </c>
      <c r="F724" s="127">
        <f t="shared" si="117"/>
        <v>1755.14</v>
      </c>
      <c r="G724" s="231"/>
      <c r="H724" s="168">
        <f t="shared" si="121"/>
        <v>71.78002894</v>
      </c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  <c r="AA724" s="129"/>
      <c r="AB724" s="129"/>
    </row>
    <row r="725">
      <c r="A725" s="385" t="s">
        <v>814</v>
      </c>
      <c r="B725" s="147">
        <v>690.0</v>
      </c>
      <c r="C725" s="147">
        <v>1382.0</v>
      </c>
      <c r="D725" s="132">
        <f t="shared" si="116"/>
        <v>692</v>
      </c>
      <c r="E725" s="147" t="s">
        <v>805</v>
      </c>
      <c r="F725" s="127">
        <f t="shared" si="117"/>
        <v>1755.14</v>
      </c>
      <c r="G725" s="231"/>
      <c r="H725" s="168">
        <f t="shared" si="121"/>
        <v>50.0723589</v>
      </c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  <c r="AA725" s="129"/>
      <c r="AB725" s="129"/>
    </row>
    <row r="726">
      <c r="A726" s="385" t="s">
        <v>815</v>
      </c>
      <c r="B726" s="147">
        <v>340.0</v>
      </c>
      <c r="C726" s="147">
        <v>1382.0</v>
      </c>
      <c r="D726" s="132">
        <f t="shared" si="116"/>
        <v>1042</v>
      </c>
      <c r="E726" s="147" t="s">
        <v>805</v>
      </c>
      <c r="F726" s="127">
        <f t="shared" si="117"/>
        <v>1755.14</v>
      </c>
      <c r="G726" s="231"/>
      <c r="H726" s="168">
        <f t="shared" si="121"/>
        <v>75.39797395</v>
      </c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  <c r="AA726" s="129"/>
      <c r="AB726" s="129"/>
    </row>
    <row r="727">
      <c r="A727" s="387" t="s">
        <v>816</v>
      </c>
      <c r="B727" s="147">
        <v>1190.0</v>
      </c>
      <c r="C727" s="147">
        <v>1382.0</v>
      </c>
      <c r="D727" s="132">
        <f t="shared" si="116"/>
        <v>192</v>
      </c>
      <c r="E727" s="147" t="s">
        <v>805</v>
      </c>
      <c r="F727" s="132">
        <f t="shared" si="117"/>
        <v>1755.14</v>
      </c>
      <c r="G727" s="337"/>
      <c r="H727" s="168">
        <f t="shared" si="121"/>
        <v>13.89290883</v>
      </c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  <c r="AA727" s="129"/>
      <c r="AB727" s="129"/>
    </row>
    <row r="728">
      <c r="A728" s="385" t="s">
        <v>817</v>
      </c>
      <c r="B728" s="147">
        <v>390.0</v>
      </c>
      <c r="C728" s="147">
        <v>1382.0</v>
      </c>
      <c r="D728" s="132">
        <f t="shared" si="116"/>
        <v>992</v>
      </c>
      <c r="E728" s="147" t="s">
        <v>805</v>
      </c>
      <c r="F728" s="127">
        <f t="shared" si="117"/>
        <v>1755.14</v>
      </c>
      <c r="G728" s="231"/>
      <c r="H728" s="168">
        <f t="shared" si="121"/>
        <v>71.78002894</v>
      </c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</row>
    <row r="729">
      <c r="A729" s="385" t="s">
        <v>818</v>
      </c>
      <c r="B729" s="147">
        <v>490.0</v>
      </c>
      <c r="C729" s="147">
        <v>1382.0</v>
      </c>
      <c r="D729" s="132">
        <f t="shared" si="116"/>
        <v>892</v>
      </c>
      <c r="E729" s="147" t="s">
        <v>805</v>
      </c>
      <c r="F729" s="127">
        <f t="shared" si="117"/>
        <v>1755.14</v>
      </c>
      <c r="G729" s="231"/>
      <c r="H729" s="168">
        <f t="shared" si="121"/>
        <v>64.54413893</v>
      </c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</row>
    <row r="730">
      <c r="A730" s="385" t="s">
        <v>819</v>
      </c>
      <c r="B730" s="147">
        <v>340.0</v>
      </c>
      <c r="C730" s="147">
        <v>1382.0</v>
      </c>
      <c r="D730" s="132">
        <f t="shared" si="116"/>
        <v>1042</v>
      </c>
      <c r="E730" s="147" t="s">
        <v>805</v>
      </c>
      <c r="F730" s="127">
        <f t="shared" si="117"/>
        <v>1755.14</v>
      </c>
      <c r="G730" s="231"/>
      <c r="H730" s="168">
        <f t="shared" si="121"/>
        <v>75.39797395</v>
      </c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  <c r="AA730" s="129"/>
      <c r="AB730" s="129"/>
    </row>
    <row r="731">
      <c r="A731" s="387" t="s">
        <v>820</v>
      </c>
      <c r="B731" s="147">
        <v>1690.0</v>
      </c>
      <c r="C731" s="147">
        <v>1382.0</v>
      </c>
      <c r="D731" s="132">
        <f t="shared" si="116"/>
        <v>-308</v>
      </c>
      <c r="E731" s="147" t="s">
        <v>805</v>
      </c>
      <c r="F731" s="127">
        <f t="shared" si="117"/>
        <v>1755.14</v>
      </c>
      <c r="G731" s="231"/>
      <c r="H731" s="168">
        <f t="shared" si="121"/>
        <v>-22.28654124</v>
      </c>
    </row>
    <row r="732">
      <c r="A732" s="385" t="s">
        <v>821</v>
      </c>
      <c r="B732" s="147">
        <v>640.0</v>
      </c>
      <c r="C732" s="147">
        <v>1382.0</v>
      </c>
      <c r="D732" s="132">
        <f t="shared" si="116"/>
        <v>742</v>
      </c>
      <c r="E732" s="147" t="s">
        <v>805</v>
      </c>
      <c r="F732" s="127">
        <f t="shared" si="117"/>
        <v>1755.14</v>
      </c>
      <c r="G732" s="231"/>
      <c r="H732" s="168">
        <f t="shared" si="121"/>
        <v>53.69030391</v>
      </c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</row>
    <row r="733">
      <c r="A733" s="385" t="s">
        <v>822</v>
      </c>
      <c r="B733" s="147">
        <v>340.0</v>
      </c>
      <c r="C733" s="147">
        <v>1382.0</v>
      </c>
      <c r="D733" s="132">
        <f t="shared" si="116"/>
        <v>1042</v>
      </c>
      <c r="E733" s="147" t="s">
        <v>805</v>
      </c>
      <c r="F733" s="127">
        <f t="shared" si="117"/>
        <v>1755.14</v>
      </c>
      <c r="G733" s="231"/>
      <c r="H733" s="168">
        <f t="shared" si="121"/>
        <v>75.39797395</v>
      </c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</row>
    <row r="734">
      <c r="A734" s="385" t="s">
        <v>823</v>
      </c>
      <c r="B734" s="147">
        <v>290.0</v>
      </c>
      <c r="C734" s="147">
        <v>1382.0</v>
      </c>
      <c r="D734" s="132">
        <f t="shared" si="116"/>
        <v>1092</v>
      </c>
      <c r="E734" s="147" t="s">
        <v>805</v>
      </c>
      <c r="F734" s="127">
        <f t="shared" si="117"/>
        <v>1755.14</v>
      </c>
      <c r="G734" s="231"/>
      <c r="H734" s="168">
        <f t="shared" si="121"/>
        <v>79.01591896</v>
      </c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</row>
    <row r="735">
      <c r="A735" s="123" t="s">
        <v>719</v>
      </c>
      <c r="B735" s="147">
        <v>1690.0</v>
      </c>
      <c r="C735" s="147">
        <v>1955.0</v>
      </c>
      <c r="D735" s="132">
        <f t="shared" si="116"/>
        <v>265</v>
      </c>
      <c r="E735" s="147" t="s">
        <v>559</v>
      </c>
      <c r="F735" s="127">
        <f t="shared" si="117"/>
        <v>2482.85</v>
      </c>
      <c r="G735" s="231"/>
      <c r="H735" s="168">
        <f t="shared" si="121"/>
        <v>13.55498721</v>
      </c>
    </row>
    <row r="736">
      <c r="A736" s="387" t="s">
        <v>824</v>
      </c>
      <c r="B736" s="147">
        <v>1190.0</v>
      </c>
      <c r="C736" s="147">
        <v>1382.0</v>
      </c>
      <c r="D736" s="132">
        <f t="shared" si="116"/>
        <v>192</v>
      </c>
      <c r="E736" s="147" t="s">
        <v>805</v>
      </c>
      <c r="F736" s="132">
        <f t="shared" si="117"/>
        <v>1755.14</v>
      </c>
      <c r="G736" s="347"/>
      <c r="H736" s="168">
        <f t="shared" si="121"/>
        <v>13.89290883</v>
      </c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</row>
    <row r="737">
      <c r="A737" s="387" t="s">
        <v>825</v>
      </c>
      <c r="B737" s="124">
        <v>3740.0</v>
      </c>
      <c r="C737" s="124">
        <v>1382.0</v>
      </c>
      <c r="D737" s="132">
        <f t="shared" si="116"/>
        <v>-2358</v>
      </c>
      <c r="E737" s="147" t="s">
        <v>805</v>
      </c>
      <c r="F737" s="127">
        <f t="shared" si="117"/>
        <v>1755.14</v>
      </c>
      <c r="G737" s="231"/>
      <c r="H737" s="168">
        <f t="shared" si="121"/>
        <v>-170.6222865</v>
      </c>
    </row>
    <row r="738">
      <c r="A738" s="385" t="s">
        <v>826</v>
      </c>
      <c r="B738" s="147">
        <v>690.0</v>
      </c>
      <c r="C738" s="147">
        <v>1382.0</v>
      </c>
      <c r="D738" s="132">
        <f t="shared" si="116"/>
        <v>692</v>
      </c>
      <c r="E738" s="147" t="s">
        <v>805</v>
      </c>
      <c r="F738" s="127">
        <f t="shared" si="117"/>
        <v>1755.14</v>
      </c>
      <c r="G738" s="231"/>
      <c r="H738" s="168">
        <f t="shared" si="121"/>
        <v>50.0723589</v>
      </c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</row>
    <row r="739">
      <c r="A739" s="385" t="s">
        <v>827</v>
      </c>
      <c r="B739" s="147">
        <v>290.0</v>
      </c>
      <c r="C739" s="147">
        <v>1382.0</v>
      </c>
      <c r="D739" s="132">
        <f t="shared" si="116"/>
        <v>1092</v>
      </c>
      <c r="E739" s="147" t="s">
        <v>805</v>
      </c>
      <c r="F739" s="127">
        <f t="shared" si="117"/>
        <v>1755.14</v>
      </c>
      <c r="G739" s="231"/>
      <c r="H739" s="168">
        <f t="shared" si="121"/>
        <v>79.01591896</v>
      </c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</row>
    <row r="740">
      <c r="A740" s="150" t="s">
        <v>754</v>
      </c>
      <c r="B740" s="147">
        <v>2240.0</v>
      </c>
      <c r="C740" s="147">
        <v>3101.0</v>
      </c>
      <c r="D740" s="132">
        <f t="shared" si="116"/>
        <v>861</v>
      </c>
      <c r="E740" s="147" t="s">
        <v>629</v>
      </c>
      <c r="F740" s="132">
        <f t="shared" si="117"/>
        <v>3938.27</v>
      </c>
      <c r="G740" s="347"/>
      <c r="H740" s="168">
        <f t="shared" si="121"/>
        <v>27.76523702</v>
      </c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</row>
    <row r="741">
      <c r="A741" s="150" t="s">
        <v>754</v>
      </c>
      <c r="B741" s="147">
        <v>2240.0</v>
      </c>
      <c r="C741" s="147">
        <v>3101.0</v>
      </c>
      <c r="D741" s="132">
        <f t="shared" si="116"/>
        <v>861</v>
      </c>
      <c r="E741" s="147" t="s">
        <v>629</v>
      </c>
      <c r="F741" s="132">
        <f t="shared" si="117"/>
        <v>3938.27</v>
      </c>
      <c r="G741" s="347"/>
      <c r="H741" s="168">
        <f t="shared" si="121"/>
        <v>27.76523702</v>
      </c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</row>
    <row r="742">
      <c r="A742" s="385" t="s">
        <v>828</v>
      </c>
      <c r="B742" s="147">
        <v>290.0</v>
      </c>
      <c r="C742" s="147">
        <v>1382.0</v>
      </c>
      <c r="D742" s="132">
        <f t="shared" si="116"/>
        <v>1092</v>
      </c>
      <c r="E742" s="147" t="s">
        <v>805</v>
      </c>
      <c r="F742" s="127">
        <f t="shared" si="117"/>
        <v>1755.14</v>
      </c>
      <c r="G742" s="231"/>
      <c r="H742" s="168">
        <f t="shared" si="121"/>
        <v>79.01591896</v>
      </c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  <c r="AA742" s="129"/>
      <c r="AB742" s="129"/>
    </row>
    <row r="743">
      <c r="A743" s="128" t="s">
        <v>829</v>
      </c>
      <c r="B743" s="147">
        <v>390.0</v>
      </c>
      <c r="C743" s="147">
        <v>1382.0</v>
      </c>
      <c r="D743" s="132">
        <f t="shared" si="116"/>
        <v>992</v>
      </c>
      <c r="E743" s="147" t="s">
        <v>805</v>
      </c>
      <c r="F743" s="132">
        <f t="shared" si="117"/>
        <v>1755.14</v>
      </c>
      <c r="G743" s="344"/>
      <c r="H743" s="168">
        <f t="shared" si="121"/>
        <v>71.78002894</v>
      </c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  <c r="AA743" s="129"/>
      <c r="AB743" s="129"/>
    </row>
    <row r="744">
      <c r="A744" s="385" t="s">
        <v>830</v>
      </c>
      <c r="B744" s="147">
        <v>540.0</v>
      </c>
      <c r="C744" s="147">
        <v>1382.0</v>
      </c>
      <c r="D744" s="132">
        <f t="shared" si="116"/>
        <v>842</v>
      </c>
      <c r="E744" s="147" t="s">
        <v>805</v>
      </c>
      <c r="F744" s="127">
        <f t="shared" si="117"/>
        <v>1755.14</v>
      </c>
      <c r="G744" s="231"/>
      <c r="H744" s="168">
        <f t="shared" si="121"/>
        <v>60.92619392</v>
      </c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  <c r="AA744" s="129"/>
      <c r="AB744" s="129"/>
    </row>
    <row r="745">
      <c r="A745" s="123" t="s">
        <v>831</v>
      </c>
      <c r="B745" s="147">
        <v>1390.0</v>
      </c>
      <c r="C745" s="147">
        <v>1955.0</v>
      </c>
      <c r="D745" s="132">
        <f t="shared" si="116"/>
        <v>565</v>
      </c>
      <c r="E745" s="147" t="s">
        <v>557</v>
      </c>
      <c r="F745" s="127">
        <f t="shared" si="117"/>
        <v>2482.85</v>
      </c>
      <c r="G745" s="231"/>
      <c r="H745" s="168">
        <f t="shared" si="121"/>
        <v>28.90025575</v>
      </c>
    </row>
    <row r="746">
      <c r="A746" s="385" t="s">
        <v>832</v>
      </c>
      <c r="B746" s="147">
        <v>290.0</v>
      </c>
      <c r="C746" s="147">
        <v>1382.0</v>
      </c>
      <c r="D746" s="132">
        <f t="shared" si="116"/>
        <v>1092</v>
      </c>
      <c r="E746" s="147" t="s">
        <v>805</v>
      </c>
      <c r="F746" s="127">
        <f t="shared" si="117"/>
        <v>1755.14</v>
      </c>
      <c r="G746" s="231"/>
      <c r="H746" s="168">
        <f t="shared" si="121"/>
        <v>79.01591896</v>
      </c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  <c r="AA746" s="129"/>
      <c r="AB746" s="129"/>
    </row>
    <row r="747">
      <c r="A747" s="387" t="s">
        <v>833</v>
      </c>
      <c r="B747" s="147">
        <v>1190.0</v>
      </c>
      <c r="C747" s="147">
        <v>1382.0</v>
      </c>
      <c r="D747" s="132">
        <f t="shared" si="116"/>
        <v>192</v>
      </c>
      <c r="E747" s="147" t="s">
        <v>805</v>
      </c>
      <c r="F747" s="132">
        <f t="shared" si="117"/>
        <v>1755.14</v>
      </c>
      <c r="G747" s="337"/>
      <c r="H747" s="168">
        <f t="shared" si="121"/>
        <v>13.89290883</v>
      </c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  <c r="AA747" s="129"/>
      <c r="AB747" s="129"/>
    </row>
    <row r="748">
      <c r="A748" s="385" t="s">
        <v>834</v>
      </c>
      <c r="B748" s="147">
        <v>340.0</v>
      </c>
      <c r="C748" s="147">
        <v>1382.0</v>
      </c>
      <c r="D748" s="132">
        <f t="shared" si="116"/>
        <v>1042</v>
      </c>
      <c r="E748" s="147" t="s">
        <v>805</v>
      </c>
      <c r="F748" s="127">
        <f t="shared" si="117"/>
        <v>1755.14</v>
      </c>
      <c r="G748" s="231"/>
      <c r="H748" s="168">
        <f t="shared" si="121"/>
        <v>75.39797395</v>
      </c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  <c r="AA748" s="129"/>
      <c r="AB748" s="129"/>
    </row>
    <row r="749">
      <c r="A749" s="385" t="s">
        <v>835</v>
      </c>
      <c r="B749" s="147">
        <v>390.0</v>
      </c>
      <c r="C749" s="147">
        <v>1382.0</v>
      </c>
      <c r="D749" s="132">
        <f t="shared" si="116"/>
        <v>992</v>
      </c>
      <c r="E749" s="147" t="s">
        <v>805</v>
      </c>
      <c r="F749" s="127">
        <f t="shared" si="117"/>
        <v>1755.14</v>
      </c>
      <c r="G749" s="231"/>
      <c r="H749" s="168">
        <f t="shared" si="121"/>
        <v>71.78002894</v>
      </c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  <c r="AA749" s="129"/>
      <c r="AB749" s="129"/>
    </row>
    <row r="750">
      <c r="A750" s="385" t="s">
        <v>812</v>
      </c>
      <c r="B750" s="147">
        <v>340.0</v>
      </c>
      <c r="C750" s="147">
        <v>1382.0</v>
      </c>
      <c r="D750" s="132">
        <f t="shared" si="116"/>
        <v>1042</v>
      </c>
      <c r="E750" s="147" t="s">
        <v>805</v>
      </c>
      <c r="F750" s="127">
        <f t="shared" si="117"/>
        <v>1755.14</v>
      </c>
      <c r="G750" s="231"/>
      <c r="H750" s="168">
        <f t="shared" si="121"/>
        <v>75.39797395</v>
      </c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  <c r="AA750" s="129"/>
      <c r="AB750" s="129"/>
    </row>
    <row r="751">
      <c r="A751" s="385" t="s">
        <v>836</v>
      </c>
      <c r="B751" s="124">
        <v>1490.0</v>
      </c>
      <c r="C751" s="147">
        <v>1382.0</v>
      </c>
      <c r="D751" s="132">
        <f t="shared" si="116"/>
        <v>-108</v>
      </c>
      <c r="E751" s="147" t="s">
        <v>805</v>
      </c>
      <c r="F751" s="127">
        <f t="shared" si="117"/>
        <v>1755.14</v>
      </c>
      <c r="G751" s="231"/>
      <c r="H751" s="168">
        <f t="shared" si="121"/>
        <v>-7.814761216</v>
      </c>
    </row>
    <row r="752">
      <c r="A752" s="385" t="s">
        <v>837</v>
      </c>
      <c r="B752" s="124">
        <v>840.0</v>
      </c>
      <c r="C752" s="147">
        <v>1382.0</v>
      </c>
      <c r="D752" s="132">
        <f t="shared" si="116"/>
        <v>542</v>
      </c>
      <c r="E752" s="147" t="s">
        <v>805</v>
      </c>
      <c r="F752" s="127">
        <f t="shared" si="117"/>
        <v>1755.14</v>
      </c>
      <c r="G752" s="231"/>
      <c r="H752" s="168">
        <f t="shared" si="121"/>
        <v>39.21852388</v>
      </c>
    </row>
    <row r="753">
      <c r="A753" s="384" t="s">
        <v>838</v>
      </c>
      <c r="B753" s="147">
        <v>540.0</v>
      </c>
      <c r="C753" s="147">
        <v>811.0</v>
      </c>
      <c r="D753" s="132">
        <f t="shared" si="116"/>
        <v>271</v>
      </c>
      <c r="E753" s="147" t="s">
        <v>557</v>
      </c>
      <c r="F753" s="132">
        <f t="shared" si="117"/>
        <v>1029.97</v>
      </c>
      <c r="G753" s="337"/>
      <c r="H753" s="168">
        <f t="shared" si="121"/>
        <v>33.41553637</v>
      </c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  <c r="AA753" s="129"/>
      <c r="AB753" s="129"/>
    </row>
    <row r="754">
      <c r="A754" s="123" t="s">
        <v>839</v>
      </c>
      <c r="B754" s="124">
        <v>2090.0</v>
      </c>
      <c r="C754" s="147">
        <v>2773.0</v>
      </c>
      <c r="D754" s="132">
        <f t="shared" si="116"/>
        <v>683</v>
      </c>
      <c r="E754" s="147" t="s">
        <v>557</v>
      </c>
      <c r="F754" s="127">
        <f t="shared" si="117"/>
        <v>3521.71</v>
      </c>
      <c r="G754" s="231"/>
      <c r="H754" s="168">
        <f t="shared" si="121"/>
        <v>24.63036423</v>
      </c>
    </row>
    <row r="755">
      <c r="A755" s="128" t="s">
        <v>840</v>
      </c>
      <c r="B755" s="147">
        <v>2740.0</v>
      </c>
      <c r="C755" s="147">
        <v>3673.0</v>
      </c>
      <c r="D755" s="132">
        <f t="shared" si="116"/>
        <v>933</v>
      </c>
      <c r="E755" s="147" t="s">
        <v>559</v>
      </c>
      <c r="F755" s="132">
        <f t="shared" si="117"/>
        <v>4664.71</v>
      </c>
      <c r="G755" s="337"/>
      <c r="H755" s="168">
        <f t="shared" si="121"/>
        <v>25.40157909</v>
      </c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  <c r="AA755" s="129"/>
      <c r="AB755" s="129"/>
    </row>
    <row r="756">
      <c r="A756" s="150" t="s">
        <v>754</v>
      </c>
      <c r="B756" s="147">
        <v>2240.0</v>
      </c>
      <c r="C756" s="147">
        <v>2856.0</v>
      </c>
      <c r="D756" s="132">
        <f t="shared" si="116"/>
        <v>616</v>
      </c>
      <c r="E756" s="147" t="s">
        <v>629</v>
      </c>
      <c r="F756" s="132">
        <f t="shared" si="117"/>
        <v>3627.12</v>
      </c>
      <c r="G756" s="347"/>
      <c r="H756" s="168">
        <f>D756/(B756/100)</f>
        <v>27.5</v>
      </c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  <c r="AA756" s="129"/>
      <c r="AB756" s="129"/>
    </row>
    <row r="757">
      <c r="A757" s="388" t="s">
        <v>841</v>
      </c>
      <c r="B757" s="132">
        <v>290.0</v>
      </c>
      <c r="C757" s="132">
        <v>1382.0</v>
      </c>
      <c r="D757" s="132">
        <f t="shared" si="116"/>
        <v>1092</v>
      </c>
      <c r="E757" s="132" t="s">
        <v>805</v>
      </c>
      <c r="F757" s="132">
        <f t="shared" si="117"/>
        <v>1755.14</v>
      </c>
      <c r="G757" s="337"/>
      <c r="H757" s="168">
        <f t="shared" ref="H757:H869" si="122">D757/(C757/100)</f>
        <v>79.01591896</v>
      </c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  <c r="AA757" s="129"/>
      <c r="AB757" s="129"/>
    </row>
    <row r="758">
      <c r="A758" s="387" t="s">
        <v>809</v>
      </c>
      <c r="B758" s="147">
        <v>1190.0</v>
      </c>
      <c r="C758" s="147">
        <v>1382.0</v>
      </c>
      <c r="D758" s="132">
        <f t="shared" si="116"/>
        <v>192</v>
      </c>
      <c r="E758" s="147" t="s">
        <v>805</v>
      </c>
      <c r="F758" s="132">
        <f t="shared" si="117"/>
        <v>1755.14</v>
      </c>
      <c r="G758" s="347"/>
      <c r="H758" s="168">
        <f t="shared" si="122"/>
        <v>13.89290883</v>
      </c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  <c r="AA758" s="129"/>
      <c r="AB758" s="129"/>
    </row>
    <row r="759">
      <c r="A759" s="385" t="s">
        <v>842</v>
      </c>
      <c r="B759" s="147">
        <v>540.0</v>
      </c>
      <c r="C759" s="147">
        <v>1382.0</v>
      </c>
      <c r="D759" s="132">
        <f t="shared" si="116"/>
        <v>842</v>
      </c>
      <c r="E759" s="147" t="s">
        <v>805</v>
      </c>
      <c r="F759" s="127">
        <f t="shared" si="117"/>
        <v>1755.14</v>
      </c>
      <c r="G759" s="231"/>
      <c r="H759" s="168">
        <f t="shared" si="122"/>
        <v>60.92619392</v>
      </c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  <c r="AA759" s="129"/>
      <c r="AB759" s="129"/>
    </row>
    <row r="760">
      <c r="A760" s="385" t="s">
        <v>843</v>
      </c>
      <c r="B760" s="147">
        <v>690.0</v>
      </c>
      <c r="C760" s="147">
        <v>1382.0</v>
      </c>
      <c r="D760" s="132">
        <f t="shared" si="116"/>
        <v>692</v>
      </c>
      <c r="E760" s="147" t="s">
        <v>805</v>
      </c>
      <c r="F760" s="127">
        <f t="shared" si="117"/>
        <v>1755.14</v>
      </c>
      <c r="G760" s="231"/>
      <c r="H760" s="168">
        <f t="shared" si="122"/>
        <v>50.0723589</v>
      </c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  <c r="AA760" s="129"/>
      <c r="AB760" s="129"/>
    </row>
    <row r="761">
      <c r="A761" s="385" t="s">
        <v>844</v>
      </c>
      <c r="B761" s="147">
        <v>790.0</v>
      </c>
      <c r="C761" s="147">
        <v>1382.0</v>
      </c>
      <c r="D761" s="132">
        <f t="shared" si="116"/>
        <v>592</v>
      </c>
      <c r="E761" s="147" t="s">
        <v>805</v>
      </c>
      <c r="F761" s="127">
        <f t="shared" si="117"/>
        <v>1755.14</v>
      </c>
      <c r="G761" s="231"/>
      <c r="H761" s="168">
        <f t="shared" si="122"/>
        <v>42.83646889</v>
      </c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  <c r="AA761" s="129"/>
      <c r="AB761" s="129"/>
    </row>
    <row r="762">
      <c r="A762" s="385" t="s">
        <v>845</v>
      </c>
      <c r="B762" s="147">
        <v>290.0</v>
      </c>
      <c r="C762" s="147">
        <v>1382.0</v>
      </c>
      <c r="D762" s="132">
        <f t="shared" si="116"/>
        <v>1092</v>
      </c>
      <c r="E762" s="147" t="s">
        <v>805</v>
      </c>
      <c r="F762" s="127">
        <f t="shared" si="117"/>
        <v>1755.14</v>
      </c>
      <c r="G762" s="231"/>
      <c r="H762" s="168">
        <f t="shared" si="122"/>
        <v>79.01591896</v>
      </c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  <c r="AA762" s="129"/>
      <c r="AB762" s="129"/>
    </row>
    <row r="763">
      <c r="A763" s="385" t="s">
        <v>846</v>
      </c>
      <c r="B763" s="147">
        <v>540.0</v>
      </c>
      <c r="C763" s="147">
        <v>1382.0</v>
      </c>
      <c r="D763" s="132">
        <f t="shared" si="116"/>
        <v>842</v>
      </c>
      <c r="E763" s="147" t="s">
        <v>805</v>
      </c>
      <c r="F763" s="127">
        <f t="shared" si="117"/>
        <v>1755.14</v>
      </c>
      <c r="G763" s="231"/>
      <c r="H763" s="168">
        <f t="shared" si="122"/>
        <v>60.92619392</v>
      </c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  <c r="AA763" s="129"/>
      <c r="AB763" s="129"/>
    </row>
    <row r="764">
      <c r="A764" s="385" t="s">
        <v>847</v>
      </c>
      <c r="B764" s="147">
        <v>440.0</v>
      </c>
      <c r="C764" s="147">
        <v>1382.0</v>
      </c>
      <c r="D764" s="132">
        <f t="shared" si="116"/>
        <v>942</v>
      </c>
      <c r="E764" s="147" t="s">
        <v>805</v>
      </c>
      <c r="F764" s="127">
        <f t="shared" si="117"/>
        <v>1755.14</v>
      </c>
      <c r="G764" s="231"/>
      <c r="H764" s="168">
        <f t="shared" si="122"/>
        <v>68.16208394</v>
      </c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  <c r="AA764" s="129"/>
      <c r="AB764" s="129"/>
    </row>
    <row r="765">
      <c r="A765" s="385" t="s">
        <v>848</v>
      </c>
      <c r="B765" s="127">
        <v>490.0</v>
      </c>
      <c r="C765" s="147">
        <v>1382.0</v>
      </c>
      <c r="D765" s="132">
        <f t="shared" si="116"/>
        <v>892</v>
      </c>
      <c r="E765" s="147" t="s">
        <v>805</v>
      </c>
      <c r="F765" s="132">
        <f t="shared" si="117"/>
        <v>1755.14</v>
      </c>
      <c r="G765" s="337"/>
      <c r="H765" s="168">
        <f t="shared" si="122"/>
        <v>64.54413893</v>
      </c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  <c r="AA765" s="129"/>
      <c r="AB765" s="129"/>
    </row>
    <row r="766">
      <c r="A766" s="385" t="s">
        <v>849</v>
      </c>
      <c r="B766" s="147">
        <v>340.0</v>
      </c>
      <c r="C766" s="147">
        <v>1382.0</v>
      </c>
      <c r="D766" s="132">
        <f t="shared" si="116"/>
        <v>1042</v>
      </c>
      <c r="E766" s="147" t="s">
        <v>805</v>
      </c>
      <c r="F766" s="127">
        <f t="shared" si="117"/>
        <v>1755.14</v>
      </c>
      <c r="G766" s="231"/>
      <c r="H766" s="168">
        <f t="shared" si="122"/>
        <v>75.39797395</v>
      </c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</row>
    <row r="767">
      <c r="A767" s="387" t="s">
        <v>850</v>
      </c>
      <c r="B767" s="147">
        <v>1190.0</v>
      </c>
      <c r="C767" s="147">
        <v>1382.0</v>
      </c>
      <c r="D767" s="132">
        <f t="shared" si="116"/>
        <v>192</v>
      </c>
      <c r="E767" s="147" t="s">
        <v>805</v>
      </c>
      <c r="F767" s="132">
        <f t="shared" si="117"/>
        <v>1755.14</v>
      </c>
      <c r="G767" s="337"/>
      <c r="H767" s="168">
        <f t="shared" si="122"/>
        <v>13.89290883</v>
      </c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</row>
    <row r="768">
      <c r="A768" s="123" t="s">
        <v>851</v>
      </c>
      <c r="B768" s="147">
        <v>3990.0</v>
      </c>
      <c r="C768" s="124">
        <v>1382.0</v>
      </c>
      <c r="D768" s="132">
        <f t="shared" si="116"/>
        <v>-2608</v>
      </c>
      <c r="E768" s="147" t="s">
        <v>805</v>
      </c>
      <c r="F768" s="127">
        <f t="shared" si="117"/>
        <v>1755.14</v>
      </c>
      <c r="G768" s="231"/>
      <c r="H768" s="168">
        <f t="shared" si="122"/>
        <v>-188.7120116</v>
      </c>
    </row>
    <row r="769">
      <c r="A769" s="128" t="s">
        <v>852</v>
      </c>
      <c r="B769" s="147">
        <v>11990.0</v>
      </c>
      <c r="C769" s="147">
        <v>18000.0</v>
      </c>
      <c r="D769" s="132">
        <f t="shared" si="116"/>
        <v>6010</v>
      </c>
      <c r="E769" s="147" t="s">
        <v>559</v>
      </c>
      <c r="F769" s="147">
        <v>19000.0</v>
      </c>
      <c r="G769" s="231" t="s">
        <v>853</v>
      </c>
      <c r="H769" s="168">
        <f t="shared" si="122"/>
        <v>33.38888889</v>
      </c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</row>
    <row r="770">
      <c r="A770" s="387" t="s">
        <v>854</v>
      </c>
      <c r="B770" s="147">
        <v>6990.0</v>
      </c>
      <c r="C770" s="147">
        <v>10000.0</v>
      </c>
      <c r="D770" s="132">
        <f t="shared" si="116"/>
        <v>3010</v>
      </c>
      <c r="E770" s="147" t="s">
        <v>559</v>
      </c>
      <c r="F770" s="147">
        <v>11000.0</v>
      </c>
      <c r="G770" s="231" t="s">
        <v>855</v>
      </c>
      <c r="H770" s="168">
        <f t="shared" si="122"/>
        <v>30.1</v>
      </c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</row>
    <row r="771">
      <c r="A771" s="128" t="s">
        <v>720</v>
      </c>
      <c r="B771" s="147">
        <v>4790.0</v>
      </c>
      <c r="C771" s="147">
        <v>6945.0</v>
      </c>
      <c r="D771" s="132">
        <f t="shared" si="116"/>
        <v>2155</v>
      </c>
      <c r="E771" s="147" t="s">
        <v>559</v>
      </c>
      <c r="F771" s="127">
        <f>C771*1.27</f>
        <v>8820.15</v>
      </c>
      <c r="G771" s="231"/>
      <c r="H771" s="168">
        <f t="shared" si="122"/>
        <v>31.02951764</v>
      </c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</row>
    <row r="772">
      <c r="A772" s="150" t="s">
        <v>714</v>
      </c>
      <c r="B772" s="132">
        <v>5790.0</v>
      </c>
      <c r="C772" s="132">
        <v>19990.0</v>
      </c>
      <c r="D772" s="132">
        <f t="shared" si="116"/>
        <v>14200</v>
      </c>
      <c r="E772" s="132" t="s">
        <v>559</v>
      </c>
      <c r="F772" s="132">
        <v>25000.0</v>
      </c>
      <c r="G772" s="337"/>
      <c r="H772" s="168">
        <f t="shared" si="122"/>
        <v>71.03551776</v>
      </c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</row>
    <row r="773">
      <c r="A773" s="128" t="s">
        <v>718</v>
      </c>
      <c r="B773" s="147">
        <v>2690.0</v>
      </c>
      <c r="C773" s="147">
        <v>4900.0</v>
      </c>
      <c r="D773" s="132">
        <f t="shared" si="116"/>
        <v>2210</v>
      </c>
      <c r="E773" s="147" t="s">
        <v>559</v>
      </c>
      <c r="F773" s="127">
        <f>C773*1.27</f>
        <v>6223</v>
      </c>
      <c r="G773" s="231"/>
      <c r="H773" s="168">
        <f t="shared" si="122"/>
        <v>45.10204082</v>
      </c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</row>
    <row r="774">
      <c r="A774" s="123" t="s">
        <v>715</v>
      </c>
      <c r="B774" s="147">
        <v>5790.0</v>
      </c>
      <c r="C774" s="147">
        <v>17990.0</v>
      </c>
      <c r="D774" s="132">
        <f t="shared" si="116"/>
        <v>12200</v>
      </c>
      <c r="E774" s="147" t="s">
        <v>559</v>
      </c>
      <c r="F774" s="147">
        <v>19000.0</v>
      </c>
      <c r="G774" s="231"/>
      <c r="H774" s="168">
        <f t="shared" si="122"/>
        <v>67.81545303</v>
      </c>
    </row>
    <row r="775">
      <c r="A775" s="338" t="s">
        <v>856</v>
      </c>
      <c r="B775" s="132">
        <v>5490.0</v>
      </c>
      <c r="C775" s="147">
        <v>6945.0</v>
      </c>
      <c r="D775" s="132">
        <f t="shared" si="116"/>
        <v>1455</v>
      </c>
      <c r="E775" s="147" t="s">
        <v>559</v>
      </c>
      <c r="F775" s="132">
        <f t="shared" ref="F775:F867" si="123">C775*1.27</f>
        <v>8820.15</v>
      </c>
      <c r="G775" s="337"/>
      <c r="H775" s="168">
        <f t="shared" si="122"/>
        <v>20.95032397</v>
      </c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</row>
    <row r="776">
      <c r="A776" s="123" t="s">
        <v>716</v>
      </c>
      <c r="B776" s="147">
        <v>5790.0</v>
      </c>
      <c r="C776" s="147">
        <v>10217.0</v>
      </c>
      <c r="D776" s="132">
        <f t="shared" si="116"/>
        <v>4427</v>
      </c>
      <c r="E776" s="147" t="s">
        <v>559</v>
      </c>
      <c r="F776" s="127">
        <f t="shared" si="123"/>
        <v>12975.59</v>
      </c>
      <c r="G776" s="231"/>
      <c r="H776" s="168">
        <f t="shared" si="122"/>
        <v>43.32974454</v>
      </c>
    </row>
    <row r="777">
      <c r="A777" s="387" t="s">
        <v>857</v>
      </c>
      <c r="B777" s="147">
        <v>3690.0</v>
      </c>
      <c r="C777" s="147">
        <v>4900.0</v>
      </c>
      <c r="D777" s="132">
        <f t="shared" si="116"/>
        <v>1210</v>
      </c>
      <c r="E777" s="147" t="s">
        <v>559</v>
      </c>
      <c r="F777" s="127">
        <f t="shared" si="123"/>
        <v>6223</v>
      </c>
      <c r="G777" s="231" t="s">
        <v>855</v>
      </c>
      <c r="H777" s="168">
        <f t="shared" si="122"/>
        <v>24.69387755</v>
      </c>
    </row>
    <row r="778">
      <c r="A778" s="123" t="s">
        <v>858</v>
      </c>
      <c r="B778" s="124">
        <v>1390.0</v>
      </c>
      <c r="C778" s="124">
        <v>1955.0</v>
      </c>
      <c r="D778" s="132">
        <f t="shared" si="116"/>
        <v>565</v>
      </c>
      <c r="E778" s="147" t="s">
        <v>557</v>
      </c>
      <c r="F778" s="127">
        <f t="shared" si="123"/>
        <v>2482.85</v>
      </c>
      <c r="G778" s="231"/>
      <c r="H778" s="168">
        <f t="shared" si="122"/>
        <v>28.90025575</v>
      </c>
    </row>
    <row r="779">
      <c r="A779" s="128" t="s">
        <v>859</v>
      </c>
      <c r="B779" s="147">
        <v>690.0</v>
      </c>
      <c r="C779" s="147">
        <v>974.0</v>
      </c>
      <c r="D779" s="132">
        <f t="shared" si="116"/>
        <v>284</v>
      </c>
      <c r="E779" s="147" t="s">
        <v>557</v>
      </c>
      <c r="F779" s="127">
        <f t="shared" si="123"/>
        <v>1236.98</v>
      </c>
      <c r="G779" s="231"/>
      <c r="H779" s="168">
        <f t="shared" si="122"/>
        <v>29.15811088</v>
      </c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</row>
    <row r="780">
      <c r="A780" s="385" t="s">
        <v>860</v>
      </c>
      <c r="B780" s="147">
        <v>890.0</v>
      </c>
      <c r="C780" s="147">
        <v>1137.0</v>
      </c>
      <c r="D780" s="132">
        <f t="shared" si="116"/>
        <v>247</v>
      </c>
      <c r="E780" s="147" t="s">
        <v>557</v>
      </c>
      <c r="F780" s="127">
        <f t="shared" si="123"/>
        <v>1443.99</v>
      </c>
      <c r="G780" s="231"/>
      <c r="H780" s="168">
        <f t="shared" si="122"/>
        <v>21.72383465</v>
      </c>
    </row>
    <row r="781">
      <c r="A781" s="128" t="s">
        <v>753</v>
      </c>
      <c r="B781" s="147">
        <v>1240.0</v>
      </c>
      <c r="C781" s="147">
        <v>1892.0</v>
      </c>
      <c r="D781" s="132">
        <f t="shared" si="116"/>
        <v>652</v>
      </c>
      <c r="E781" s="147" t="s">
        <v>629</v>
      </c>
      <c r="F781" s="132">
        <f t="shared" si="123"/>
        <v>2402.84</v>
      </c>
      <c r="G781" s="231"/>
      <c r="H781" s="168">
        <f t="shared" si="122"/>
        <v>34.46088795</v>
      </c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  <c r="AA781" s="129"/>
      <c r="AB781" s="129"/>
    </row>
    <row r="782">
      <c r="A782" s="128" t="s">
        <v>753</v>
      </c>
      <c r="B782" s="147">
        <v>1240.0</v>
      </c>
      <c r="C782" s="147">
        <v>1892.0</v>
      </c>
      <c r="D782" s="132">
        <f t="shared" si="116"/>
        <v>652</v>
      </c>
      <c r="E782" s="147" t="s">
        <v>629</v>
      </c>
      <c r="F782" s="132">
        <f t="shared" si="123"/>
        <v>2402.84</v>
      </c>
      <c r="G782" s="231"/>
      <c r="H782" s="168">
        <f t="shared" si="122"/>
        <v>34.46088795</v>
      </c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  <c r="AA782" s="129"/>
      <c r="AB782" s="129"/>
    </row>
    <row r="783">
      <c r="A783" s="128" t="s">
        <v>753</v>
      </c>
      <c r="B783" s="147">
        <v>1240.0</v>
      </c>
      <c r="C783" s="147">
        <v>1892.0</v>
      </c>
      <c r="D783" s="132">
        <f t="shared" si="116"/>
        <v>652</v>
      </c>
      <c r="E783" s="147" t="s">
        <v>629</v>
      </c>
      <c r="F783" s="132">
        <f t="shared" si="123"/>
        <v>2402.84</v>
      </c>
      <c r="G783" s="231"/>
      <c r="H783" s="168">
        <f t="shared" si="122"/>
        <v>34.46088795</v>
      </c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  <c r="AA783" s="129"/>
      <c r="AB783" s="129"/>
    </row>
    <row r="784">
      <c r="A784" s="128" t="s">
        <v>753</v>
      </c>
      <c r="B784" s="147">
        <v>1240.0</v>
      </c>
      <c r="C784" s="147">
        <v>1892.0</v>
      </c>
      <c r="D784" s="132">
        <f t="shared" si="116"/>
        <v>652</v>
      </c>
      <c r="E784" s="147" t="s">
        <v>629</v>
      </c>
      <c r="F784" s="132">
        <f t="shared" si="123"/>
        <v>2402.84</v>
      </c>
      <c r="G784" s="231"/>
      <c r="H784" s="168">
        <f t="shared" si="122"/>
        <v>34.46088795</v>
      </c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  <c r="AA784" s="129"/>
      <c r="AB784" s="129"/>
    </row>
    <row r="785">
      <c r="A785" s="123" t="s">
        <v>861</v>
      </c>
      <c r="B785" s="124">
        <v>2990.0</v>
      </c>
      <c r="C785" s="147">
        <v>3755.0</v>
      </c>
      <c r="D785" s="132">
        <f t="shared" si="116"/>
        <v>765</v>
      </c>
      <c r="E785" s="147" t="s">
        <v>557</v>
      </c>
      <c r="F785" s="127">
        <f t="shared" si="123"/>
        <v>4768.85</v>
      </c>
      <c r="G785" s="231"/>
      <c r="H785" s="168">
        <f t="shared" si="122"/>
        <v>20.37283622</v>
      </c>
    </row>
    <row r="786">
      <c r="A786" s="123" t="s">
        <v>862</v>
      </c>
      <c r="B786" s="123">
        <v>690.0</v>
      </c>
      <c r="C786" s="123">
        <v>974.0</v>
      </c>
      <c r="D786" s="132">
        <f t="shared" si="116"/>
        <v>284</v>
      </c>
      <c r="E786" s="147" t="s">
        <v>557</v>
      </c>
      <c r="F786" s="127">
        <f t="shared" si="123"/>
        <v>1236.98</v>
      </c>
      <c r="G786" s="231"/>
      <c r="H786" s="168">
        <f t="shared" si="122"/>
        <v>29.15811088</v>
      </c>
    </row>
    <row r="787">
      <c r="A787" s="128" t="s">
        <v>782</v>
      </c>
      <c r="B787" s="147">
        <v>1040.0</v>
      </c>
      <c r="C787" s="147">
        <v>1382.0</v>
      </c>
      <c r="D787" s="132">
        <f t="shared" si="116"/>
        <v>342</v>
      </c>
      <c r="E787" s="147" t="s">
        <v>629</v>
      </c>
      <c r="F787" s="132">
        <f t="shared" si="123"/>
        <v>1755.14</v>
      </c>
      <c r="G787" s="337"/>
      <c r="H787" s="168">
        <f t="shared" si="122"/>
        <v>24.74674385</v>
      </c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  <c r="AA787" s="129"/>
      <c r="AB787" s="129"/>
    </row>
    <row r="788">
      <c r="A788" s="387" t="s">
        <v>863</v>
      </c>
      <c r="B788" s="147">
        <v>5490.0</v>
      </c>
      <c r="C788" s="147">
        <v>6865.0</v>
      </c>
      <c r="D788" s="132">
        <f t="shared" si="116"/>
        <v>1375</v>
      </c>
      <c r="E788" s="147" t="s">
        <v>559</v>
      </c>
      <c r="F788" s="132">
        <f t="shared" si="123"/>
        <v>8718.55</v>
      </c>
      <c r="G788" s="337"/>
      <c r="H788" s="168">
        <f t="shared" si="122"/>
        <v>20.02913328</v>
      </c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  <c r="AA788" s="129"/>
      <c r="AB788" s="129"/>
    </row>
    <row r="789">
      <c r="A789" s="128" t="s">
        <v>864</v>
      </c>
      <c r="B789" s="147">
        <v>1290.0</v>
      </c>
      <c r="C789" s="147">
        <v>1955.0</v>
      </c>
      <c r="D789" s="132">
        <f t="shared" si="116"/>
        <v>665</v>
      </c>
      <c r="E789" s="132" t="s">
        <v>557</v>
      </c>
      <c r="F789" s="132">
        <f t="shared" si="123"/>
        <v>2482.85</v>
      </c>
      <c r="G789" s="337"/>
      <c r="H789" s="166">
        <f t="shared" si="122"/>
        <v>34.01534527</v>
      </c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  <c r="AA789" s="129"/>
      <c r="AB789" s="129"/>
    </row>
    <row r="790">
      <c r="A790" s="387" t="s">
        <v>865</v>
      </c>
      <c r="B790" s="147">
        <v>5490.0</v>
      </c>
      <c r="C790" s="147">
        <v>6945.0</v>
      </c>
      <c r="D790" s="132">
        <f t="shared" si="116"/>
        <v>1455</v>
      </c>
      <c r="E790" s="147" t="s">
        <v>559</v>
      </c>
      <c r="F790" s="132">
        <f t="shared" si="123"/>
        <v>8820.15</v>
      </c>
      <c r="G790" s="337"/>
      <c r="H790" s="168">
        <f t="shared" si="122"/>
        <v>20.95032397</v>
      </c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  <c r="AA790" s="129"/>
      <c r="AB790" s="129"/>
    </row>
    <row r="791">
      <c r="A791" s="150" t="s">
        <v>754</v>
      </c>
      <c r="B791" s="147">
        <v>1690.0</v>
      </c>
      <c r="C791" s="147">
        <v>2446.0</v>
      </c>
      <c r="D791" s="132">
        <f t="shared" si="116"/>
        <v>756</v>
      </c>
      <c r="E791" s="147" t="s">
        <v>629</v>
      </c>
      <c r="F791" s="132">
        <f t="shared" si="123"/>
        <v>3106.42</v>
      </c>
      <c r="G791" s="347"/>
      <c r="H791" s="168">
        <f t="shared" si="122"/>
        <v>30.90760425</v>
      </c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  <c r="AA791" s="129"/>
      <c r="AB791" s="129"/>
    </row>
    <row r="792">
      <c r="A792" s="150" t="s">
        <v>754</v>
      </c>
      <c r="B792" s="147">
        <v>1690.0</v>
      </c>
      <c r="C792" s="147">
        <v>2446.0</v>
      </c>
      <c r="D792" s="132">
        <f t="shared" si="116"/>
        <v>756</v>
      </c>
      <c r="E792" s="147" t="s">
        <v>629</v>
      </c>
      <c r="F792" s="132">
        <f t="shared" si="123"/>
        <v>3106.42</v>
      </c>
      <c r="G792" s="347"/>
      <c r="H792" s="168">
        <f t="shared" si="122"/>
        <v>30.90760425</v>
      </c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  <c r="AA792" s="129"/>
      <c r="AB792" s="129"/>
    </row>
    <row r="793">
      <c r="A793" s="150" t="s">
        <v>754</v>
      </c>
      <c r="B793" s="132">
        <v>1690.0</v>
      </c>
      <c r="C793" s="147">
        <v>2446.0</v>
      </c>
      <c r="D793" s="132">
        <f t="shared" si="116"/>
        <v>756</v>
      </c>
      <c r="E793" s="132" t="s">
        <v>629</v>
      </c>
      <c r="F793" s="132">
        <f t="shared" si="123"/>
        <v>3106.42</v>
      </c>
      <c r="G793" s="337"/>
      <c r="H793" s="168">
        <f t="shared" si="122"/>
        <v>30.90760425</v>
      </c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  <c r="AA793" s="129"/>
      <c r="AB793" s="129"/>
    </row>
    <row r="794">
      <c r="A794" s="150" t="s">
        <v>754</v>
      </c>
      <c r="B794" s="132">
        <v>1690.0</v>
      </c>
      <c r="C794" s="132">
        <v>2446.0</v>
      </c>
      <c r="D794" s="132">
        <f t="shared" si="116"/>
        <v>756</v>
      </c>
      <c r="E794" s="132" t="s">
        <v>629</v>
      </c>
      <c r="F794" s="132">
        <f t="shared" si="123"/>
        <v>3106.42</v>
      </c>
      <c r="G794" s="337"/>
      <c r="H794" s="168">
        <f t="shared" si="122"/>
        <v>30.90760425</v>
      </c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  <c r="AA794" s="129"/>
      <c r="AB794" s="129"/>
    </row>
    <row r="795">
      <c r="A795" s="150" t="s">
        <v>754</v>
      </c>
      <c r="B795" s="147">
        <v>1690.0</v>
      </c>
      <c r="C795" s="147">
        <v>2446.0</v>
      </c>
      <c r="D795" s="132">
        <f t="shared" si="116"/>
        <v>756</v>
      </c>
      <c r="E795" s="147" t="s">
        <v>629</v>
      </c>
      <c r="F795" s="132">
        <f t="shared" si="123"/>
        <v>3106.42</v>
      </c>
      <c r="G795" s="347"/>
      <c r="H795" s="168">
        <f t="shared" si="122"/>
        <v>30.90760425</v>
      </c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  <c r="AA795" s="129"/>
      <c r="AB795" s="129"/>
    </row>
    <row r="796">
      <c r="A796" s="150" t="s">
        <v>754</v>
      </c>
      <c r="B796" s="147">
        <v>1690.0</v>
      </c>
      <c r="C796" s="147">
        <v>2446.0</v>
      </c>
      <c r="D796" s="132">
        <f t="shared" si="116"/>
        <v>756</v>
      </c>
      <c r="E796" s="147" t="s">
        <v>629</v>
      </c>
      <c r="F796" s="132">
        <f t="shared" si="123"/>
        <v>3106.42</v>
      </c>
      <c r="G796" s="347"/>
      <c r="H796" s="168">
        <f t="shared" si="122"/>
        <v>30.90760425</v>
      </c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  <c r="AA796" s="129"/>
      <c r="AB796" s="129"/>
    </row>
    <row r="797">
      <c r="A797" s="387" t="s">
        <v>866</v>
      </c>
      <c r="B797" s="147">
        <v>1190.0</v>
      </c>
      <c r="C797" s="147">
        <v>1382.0</v>
      </c>
      <c r="D797" s="132">
        <f t="shared" si="116"/>
        <v>192</v>
      </c>
      <c r="E797" s="147" t="s">
        <v>805</v>
      </c>
      <c r="F797" s="132">
        <f t="shared" si="123"/>
        <v>1755.14</v>
      </c>
      <c r="G797" s="337"/>
      <c r="H797" s="168">
        <f t="shared" si="122"/>
        <v>13.89290883</v>
      </c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  <c r="AA797" s="129"/>
      <c r="AB797" s="129"/>
    </row>
    <row r="798">
      <c r="A798" s="123" t="s">
        <v>867</v>
      </c>
      <c r="B798" s="124">
        <v>5490.0</v>
      </c>
      <c r="C798" s="124">
        <v>6945.0</v>
      </c>
      <c r="D798" s="132">
        <f t="shared" si="116"/>
        <v>1455</v>
      </c>
      <c r="E798" s="147" t="s">
        <v>559</v>
      </c>
      <c r="F798" s="127">
        <f t="shared" si="123"/>
        <v>8820.15</v>
      </c>
      <c r="G798" s="231"/>
      <c r="H798" s="168">
        <f t="shared" si="122"/>
        <v>20.95032397</v>
      </c>
    </row>
    <row r="799">
      <c r="A799" s="123" t="s">
        <v>868</v>
      </c>
      <c r="B799" s="124">
        <v>2740.0</v>
      </c>
      <c r="C799" s="147">
        <v>3674.0</v>
      </c>
      <c r="D799" s="132">
        <f t="shared" si="116"/>
        <v>934</v>
      </c>
      <c r="E799" s="147" t="s">
        <v>559</v>
      </c>
      <c r="F799" s="127">
        <f t="shared" si="123"/>
        <v>4665.98</v>
      </c>
      <c r="G799" s="231"/>
      <c r="H799" s="168">
        <f t="shared" si="122"/>
        <v>25.42188351</v>
      </c>
    </row>
    <row r="800">
      <c r="A800" s="387" t="s">
        <v>869</v>
      </c>
      <c r="B800" s="147">
        <v>1190.0</v>
      </c>
      <c r="C800" s="147">
        <v>1382.0</v>
      </c>
      <c r="D800" s="132">
        <f t="shared" si="116"/>
        <v>192</v>
      </c>
      <c r="E800" s="147" t="s">
        <v>805</v>
      </c>
      <c r="F800" s="132">
        <f t="shared" si="123"/>
        <v>1755.14</v>
      </c>
      <c r="G800" s="337"/>
      <c r="H800" s="168">
        <f t="shared" si="122"/>
        <v>13.89290883</v>
      </c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  <c r="AA800" s="129"/>
      <c r="AB800" s="129"/>
    </row>
    <row r="801">
      <c r="A801" s="385" t="s">
        <v>870</v>
      </c>
      <c r="B801" s="124">
        <v>740.0</v>
      </c>
      <c r="C801" s="147">
        <v>1382.0</v>
      </c>
      <c r="D801" s="132">
        <f t="shared" si="116"/>
        <v>642</v>
      </c>
      <c r="E801" s="147" t="s">
        <v>805</v>
      </c>
      <c r="F801" s="127">
        <f t="shared" si="123"/>
        <v>1755.14</v>
      </c>
      <c r="G801" s="231"/>
      <c r="H801" s="168">
        <f t="shared" si="122"/>
        <v>46.45441389</v>
      </c>
    </row>
    <row r="802">
      <c r="A802" s="150" t="s">
        <v>763</v>
      </c>
      <c r="B802" s="147">
        <v>1040.0</v>
      </c>
      <c r="C802" s="147">
        <v>1628.0</v>
      </c>
      <c r="D802" s="132">
        <f t="shared" si="116"/>
        <v>588</v>
      </c>
      <c r="E802" s="147" t="s">
        <v>629</v>
      </c>
      <c r="F802" s="132">
        <f t="shared" si="123"/>
        <v>2067.56</v>
      </c>
      <c r="G802" s="337"/>
      <c r="H802" s="168">
        <f t="shared" si="122"/>
        <v>36.11793612</v>
      </c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  <c r="AA802" s="129"/>
      <c r="AB802" s="129"/>
    </row>
    <row r="803">
      <c r="A803" s="150" t="s">
        <v>757</v>
      </c>
      <c r="B803" s="147">
        <v>1240.0</v>
      </c>
      <c r="C803" s="147">
        <v>1872.0</v>
      </c>
      <c r="D803" s="132">
        <f t="shared" si="116"/>
        <v>632</v>
      </c>
      <c r="E803" s="147" t="s">
        <v>629</v>
      </c>
      <c r="F803" s="132">
        <f t="shared" si="123"/>
        <v>2377.44</v>
      </c>
      <c r="G803" s="231"/>
      <c r="H803" s="168">
        <f t="shared" si="122"/>
        <v>33.76068376</v>
      </c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  <c r="AA803" s="129"/>
      <c r="AB803" s="129"/>
    </row>
    <row r="804">
      <c r="A804" s="123" t="s">
        <v>871</v>
      </c>
      <c r="B804" s="147">
        <v>290.0</v>
      </c>
      <c r="C804" s="147">
        <v>1382.0</v>
      </c>
      <c r="D804" s="132">
        <f t="shared" si="116"/>
        <v>1092</v>
      </c>
      <c r="E804" s="147" t="s">
        <v>805</v>
      </c>
      <c r="F804" s="127">
        <f t="shared" si="123"/>
        <v>1755.14</v>
      </c>
      <c r="G804" s="231"/>
      <c r="H804" s="168">
        <f t="shared" si="122"/>
        <v>79.01591896</v>
      </c>
    </row>
    <row r="805">
      <c r="A805" s="385" t="s">
        <v>872</v>
      </c>
      <c r="B805" s="147">
        <v>540.0</v>
      </c>
      <c r="C805" s="147">
        <v>1382.0</v>
      </c>
      <c r="D805" s="132">
        <f t="shared" si="116"/>
        <v>842</v>
      </c>
      <c r="E805" s="147" t="s">
        <v>805</v>
      </c>
      <c r="F805" s="127">
        <f t="shared" si="123"/>
        <v>1755.14</v>
      </c>
      <c r="G805" s="231"/>
      <c r="H805" s="168">
        <f t="shared" si="122"/>
        <v>60.92619392</v>
      </c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</row>
    <row r="806">
      <c r="A806" s="385" t="s">
        <v>873</v>
      </c>
      <c r="B806" s="124">
        <v>690.0</v>
      </c>
      <c r="C806" s="147">
        <v>974.0</v>
      </c>
      <c r="D806" s="132">
        <f t="shared" si="116"/>
        <v>284</v>
      </c>
      <c r="E806" s="147" t="s">
        <v>557</v>
      </c>
      <c r="F806" s="127">
        <f t="shared" si="123"/>
        <v>1236.98</v>
      </c>
      <c r="G806" s="231"/>
      <c r="H806" s="168">
        <f t="shared" si="122"/>
        <v>29.15811088</v>
      </c>
    </row>
    <row r="807">
      <c r="A807" s="150" t="s">
        <v>874</v>
      </c>
      <c r="B807" s="147">
        <v>1740.0</v>
      </c>
      <c r="C807" s="147">
        <v>2202.0</v>
      </c>
      <c r="D807" s="132">
        <f t="shared" si="116"/>
        <v>462</v>
      </c>
      <c r="E807" s="147" t="s">
        <v>629</v>
      </c>
      <c r="F807" s="132">
        <f t="shared" si="123"/>
        <v>2796.54</v>
      </c>
      <c r="G807" s="337"/>
      <c r="H807" s="168">
        <f t="shared" si="122"/>
        <v>20.98092643</v>
      </c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</row>
    <row r="808">
      <c r="A808" s="378" t="s">
        <v>875</v>
      </c>
      <c r="B808" s="374">
        <v>3990.0</v>
      </c>
      <c r="C808" s="382">
        <v>0.0</v>
      </c>
      <c r="D808" s="375">
        <f t="shared" si="116"/>
        <v>-3990</v>
      </c>
      <c r="E808" s="374" t="s">
        <v>557</v>
      </c>
      <c r="F808" s="389">
        <f t="shared" si="123"/>
        <v>0</v>
      </c>
      <c r="G808" s="379"/>
      <c r="H808" s="377" t="str">
        <f t="shared" si="122"/>
        <v>#DIV/0!</v>
      </c>
      <c r="I808" s="380"/>
      <c r="J808" s="380"/>
      <c r="K808" s="380"/>
      <c r="L808" s="380"/>
      <c r="M808" s="380"/>
      <c r="N808" s="380"/>
      <c r="O808" s="380"/>
      <c r="P808" s="380"/>
      <c r="Q808" s="380"/>
      <c r="R808" s="380"/>
      <c r="S808" s="380"/>
      <c r="T808" s="380"/>
      <c r="U808" s="380"/>
      <c r="V808" s="380"/>
      <c r="W808" s="380"/>
      <c r="X808" s="380"/>
      <c r="Y808" s="380"/>
      <c r="Z808" s="380"/>
      <c r="AA808" s="380"/>
      <c r="AB808" s="380"/>
    </row>
    <row r="809">
      <c r="A809" s="378" t="s">
        <v>876</v>
      </c>
      <c r="B809" s="382">
        <v>4490.0</v>
      </c>
      <c r="C809" s="382">
        <v>0.0</v>
      </c>
      <c r="D809" s="375">
        <f t="shared" si="116"/>
        <v>-4490</v>
      </c>
      <c r="E809" s="374" t="s">
        <v>557</v>
      </c>
      <c r="F809" s="389">
        <f t="shared" si="123"/>
        <v>0</v>
      </c>
      <c r="G809" s="379"/>
      <c r="H809" s="377" t="str">
        <f t="shared" si="122"/>
        <v>#DIV/0!</v>
      </c>
      <c r="I809" s="380"/>
      <c r="J809" s="380"/>
      <c r="K809" s="380"/>
      <c r="L809" s="380"/>
      <c r="M809" s="380"/>
      <c r="N809" s="380"/>
      <c r="O809" s="380"/>
      <c r="P809" s="380"/>
      <c r="Q809" s="380"/>
      <c r="R809" s="380"/>
      <c r="S809" s="380"/>
      <c r="T809" s="380"/>
      <c r="U809" s="380"/>
      <c r="V809" s="380"/>
      <c r="W809" s="380"/>
      <c r="X809" s="380"/>
      <c r="Y809" s="380"/>
      <c r="Z809" s="380"/>
      <c r="AA809" s="380"/>
      <c r="AB809" s="380"/>
    </row>
    <row r="810">
      <c r="A810" s="128" t="s">
        <v>877</v>
      </c>
      <c r="B810" s="147">
        <v>1890.0</v>
      </c>
      <c r="C810" s="147">
        <v>2937.0</v>
      </c>
      <c r="D810" s="132">
        <f t="shared" si="116"/>
        <v>1047</v>
      </c>
      <c r="E810" s="147" t="s">
        <v>557</v>
      </c>
      <c r="F810" s="132">
        <f t="shared" si="123"/>
        <v>3729.99</v>
      </c>
      <c r="G810" s="337"/>
      <c r="H810" s="168">
        <f t="shared" si="122"/>
        <v>35.64862104</v>
      </c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</row>
    <row r="811">
      <c r="A811" s="385" t="s">
        <v>878</v>
      </c>
      <c r="B811" s="147">
        <v>290.0</v>
      </c>
      <c r="C811" s="147">
        <v>1382.0</v>
      </c>
      <c r="D811" s="132">
        <f t="shared" si="116"/>
        <v>1092</v>
      </c>
      <c r="E811" s="147" t="s">
        <v>805</v>
      </c>
      <c r="F811" s="127">
        <f t="shared" si="123"/>
        <v>1755.14</v>
      </c>
      <c r="G811" s="231"/>
      <c r="H811" s="168">
        <f t="shared" si="122"/>
        <v>79.01591896</v>
      </c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</row>
    <row r="812">
      <c r="A812" s="387" t="s">
        <v>879</v>
      </c>
      <c r="B812" s="147">
        <v>1190.0</v>
      </c>
      <c r="C812" s="147">
        <v>1382.0</v>
      </c>
      <c r="D812" s="132">
        <f t="shared" si="116"/>
        <v>192</v>
      </c>
      <c r="E812" s="147" t="s">
        <v>805</v>
      </c>
      <c r="F812" s="132">
        <f t="shared" si="123"/>
        <v>1755.14</v>
      </c>
      <c r="G812" s="347"/>
      <c r="H812" s="168">
        <f t="shared" si="122"/>
        <v>13.89290883</v>
      </c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</row>
    <row r="813">
      <c r="A813" s="128" t="s">
        <v>880</v>
      </c>
      <c r="B813" s="147">
        <v>3690.0</v>
      </c>
      <c r="C813" s="147">
        <v>4934.0</v>
      </c>
      <c r="D813" s="132">
        <f t="shared" si="116"/>
        <v>1244</v>
      </c>
      <c r="E813" s="147" t="s">
        <v>557</v>
      </c>
      <c r="F813" s="132">
        <f t="shared" si="123"/>
        <v>6266.18</v>
      </c>
      <c r="G813" s="337"/>
      <c r="H813" s="168">
        <f t="shared" si="122"/>
        <v>25.21280908</v>
      </c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</row>
    <row r="814">
      <c r="A814" s="128" t="s">
        <v>766</v>
      </c>
      <c r="B814" s="147">
        <v>1240.0</v>
      </c>
      <c r="C814" s="147">
        <v>1628.0</v>
      </c>
      <c r="D814" s="132">
        <f t="shared" si="116"/>
        <v>388</v>
      </c>
      <c r="E814" s="147" t="s">
        <v>629</v>
      </c>
      <c r="F814" s="132">
        <f t="shared" si="123"/>
        <v>2067.56</v>
      </c>
      <c r="G814" s="347"/>
      <c r="H814" s="168">
        <f t="shared" si="122"/>
        <v>23.83292383</v>
      </c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</row>
    <row r="815">
      <c r="A815" s="150" t="s">
        <v>754</v>
      </c>
      <c r="B815" s="147">
        <v>1490.0</v>
      </c>
      <c r="C815" s="147">
        <v>2200.0</v>
      </c>
      <c r="D815" s="132">
        <f t="shared" si="116"/>
        <v>710</v>
      </c>
      <c r="E815" s="147" t="s">
        <v>629</v>
      </c>
      <c r="F815" s="132">
        <f t="shared" si="123"/>
        <v>2794</v>
      </c>
      <c r="G815" s="347"/>
      <c r="H815" s="168">
        <f t="shared" si="122"/>
        <v>32.27272727</v>
      </c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</row>
    <row r="816">
      <c r="A816" s="150" t="s">
        <v>763</v>
      </c>
      <c r="B816" s="147">
        <v>1040.0</v>
      </c>
      <c r="C816" s="147">
        <v>1628.0</v>
      </c>
      <c r="D816" s="132">
        <f t="shared" si="116"/>
        <v>588</v>
      </c>
      <c r="E816" s="147" t="s">
        <v>629</v>
      </c>
      <c r="F816" s="132">
        <f t="shared" si="123"/>
        <v>2067.56</v>
      </c>
      <c r="G816" s="337"/>
      <c r="H816" s="168">
        <f t="shared" si="122"/>
        <v>36.11793612</v>
      </c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</row>
    <row r="817">
      <c r="A817" s="123" t="s">
        <v>881</v>
      </c>
      <c r="B817" s="124">
        <v>3590.0</v>
      </c>
      <c r="C817" s="147">
        <v>4900.0</v>
      </c>
      <c r="D817" s="132">
        <f t="shared" si="116"/>
        <v>1310</v>
      </c>
      <c r="E817" s="147" t="s">
        <v>557</v>
      </c>
      <c r="F817" s="127">
        <f t="shared" si="123"/>
        <v>6223</v>
      </c>
      <c r="G817" s="231"/>
      <c r="H817" s="168">
        <f t="shared" si="122"/>
        <v>26.73469388</v>
      </c>
    </row>
    <row r="818">
      <c r="A818" s="128" t="s">
        <v>753</v>
      </c>
      <c r="B818" s="147">
        <v>1240.0</v>
      </c>
      <c r="C818" s="147">
        <v>1628.0</v>
      </c>
      <c r="D818" s="132">
        <f t="shared" si="116"/>
        <v>388</v>
      </c>
      <c r="E818" s="147" t="s">
        <v>629</v>
      </c>
      <c r="F818" s="132">
        <f t="shared" si="123"/>
        <v>2067.56</v>
      </c>
      <c r="G818" s="231"/>
      <c r="H818" s="168">
        <f t="shared" si="122"/>
        <v>23.83292383</v>
      </c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  <c r="AA818" s="129"/>
      <c r="AB818" s="129"/>
    </row>
    <row r="819">
      <c r="A819" s="128" t="s">
        <v>753</v>
      </c>
      <c r="B819" s="147">
        <v>1240.0</v>
      </c>
      <c r="C819" s="147">
        <v>1628.0</v>
      </c>
      <c r="D819" s="132">
        <f t="shared" si="116"/>
        <v>388</v>
      </c>
      <c r="E819" s="147" t="s">
        <v>629</v>
      </c>
      <c r="F819" s="132">
        <f t="shared" si="123"/>
        <v>2067.56</v>
      </c>
      <c r="G819" s="231"/>
      <c r="H819" s="168">
        <f t="shared" si="122"/>
        <v>23.83292383</v>
      </c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  <c r="AA819" s="129"/>
      <c r="AB819" s="129"/>
    </row>
    <row r="820">
      <c r="A820" s="128" t="s">
        <v>753</v>
      </c>
      <c r="B820" s="147">
        <v>1240.0</v>
      </c>
      <c r="C820" s="147">
        <v>1628.0</v>
      </c>
      <c r="D820" s="132">
        <f t="shared" si="116"/>
        <v>388</v>
      </c>
      <c r="E820" s="147" t="s">
        <v>629</v>
      </c>
      <c r="F820" s="132">
        <f t="shared" si="123"/>
        <v>2067.56</v>
      </c>
      <c r="G820" s="231"/>
      <c r="H820" s="168">
        <f t="shared" si="122"/>
        <v>23.83292383</v>
      </c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  <c r="AA820" s="129"/>
      <c r="AB820" s="129"/>
    </row>
    <row r="821">
      <c r="A821" s="123" t="s">
        <v>882</v>
      </c>
      <c r="B821" s="147">
        <v>1090.0</v>
      </c>
      <c r="C821" s="147">
        <v>1545.0</v>
      </c>
      <c r="D821" s="132">
        <f t="shared" si="116"/>
        <v>455</v>
      </c>
      <c r="E821" s="147" t="s">
        <v>557</v>
      </c>
      <c r="F821" s="127">
        <f t="shared" si="123"/>
        <v>1962.15</v>
      </c>
      <c r="G821" s="231"/>
      <c r="H821" s="168">
        <f t="shared" si="122"/>
        <v>29.44983819</v>
      </c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  <c r="AA821" s="129"/>
      <c r="AB821" s="129"/>
    </row>
    <row r="822">
      <c r="A822" s="128" t="s">
        <v>883</v>
      </c>
      <c r="B822" s="147">
        <v>740.0</v>
      </c>
      <c r="C822" s="147">
        <v>1055.0</v>
      </c>
      <c r="D822" s="132">
        <f t="shared" si="116"/>
        <v>315</v>
      </c>
      <c r="E822" s="147" t="s">
        <v>557</v>
      </c>
      <c r="F822" s="127">
        <f t="shared" si="123"/>
        <v>1339.85</v>
      </c>
      <c r="G822" s="231"/>
      <c r="H822" s="168">
        <f t="shared" si="122"/>
        <v>29.85781991</v>
      </c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  <c r="AA822" s="129"/>
      <c r="AB822" s="129"/>
    </row>
    <row r="823">
      <c r="A823" s="128" t="s">
        <v>753</v>
      </c>
      <c r="B823" s="147">
        <v>1240.0</v>
      </c>
      <c r="C823" s="147">
        <v>1628.0</v>
      </c>
      <c r="D823" s="132">
        <f t="shared" si="116"/>
        <v>388</v>
      </c>
      <c r="E823" s="147" t="s">
        <v>629</v>
      </c>
      <c r="F823" s="132">
        <f t="shared" si="123"/>
        <v>2067.56</v>
      </c>
      <c r="G823" s="231"/>
      <c r="H823" s="168">
        <f t="shared" si="122"/>
        <v>23.83292383</v>
      </c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  <c r="AA823" s="129"/>
      <c r="AB823" s="129"/>
    </row>
    <row r="824">
      <c r="A824" s="123" t="s">
        <v>884</v>
      </c>
      <c r="B824" s="124">
        <v>3690.0</v>
      </c>
      <c r="C824" s="147">
        <v>4900.0</v>
      </c>
      <c r="D824" s="132">
        <f t="shared" si="116"/>
        <v>1210</v>
      </c>
      <c r="E824" s="147" t="s">
        <v>557</v>
      </c>
      <c r="F824" s="127">
        <f t="shared" si="123"/>
        <v>6223</v>
      </c>
      <c r="G824" s="231"/>
      <c r="H824" s="168">
        <f t="shared" si="122"/>
        <v>24.69387755</v>
      </c>
    </row>
    <row r="825">
      <c r="A825" s="128" t="s">
        <v>753</v>
      </c>
      <c r="B825" s="147">
        <v>1240.0</v>
      </c>
      <c r="C825" s="147">
        <v>1628.0</v>
      </c>
      <c r="D825" s="132">
        <f t="shared" si="116"/>
        <v>388</v>
      </c>
      <c r="E825" s="147" t="s">
        <v>629</v>
      </c>
      <c r="F825" s="132">
        <f t="shared" si="123"/>
        <v>2067.56</v>
      </c>
      <c r="G825" s="231"/>
      <c r="H825" s="168">
        <f t="shared" si="122"/>
        <v>23.83292383</v>
      </c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  <c r="AA825" s="129"/>
      <c r="AB825" s="129"/>
    </row>
    <row r="826">
      <c r="A826" s="150" t="s">
        <v>763</v>
      </c>
      <c r="B826" s="147">
        <v>1040.0</v>
      </c>
      <c r="C826" s="147">
        <v>1432.0</v>
      </c>
      <c r="D826" s="132">
        <f t="shared" si="116"/>
        <v>392</v>
      </c>
      <c r="E826" s="147" t="s">
        <v>629</v>
      </c>
      <c r="F826" s="132">
        <f t="shared" si="123"/>
        <v>1818.64</v>
      </c>
      <c r="G826" s="337"/>
      <c r="H826" s="168">
        <f t="shared" si="122"/>
        <v>27.37430168</v>
      </c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  <c r="AA826" s="129"/>
      <c r="AB826" s="129"/>
    </row>
    <row r="827">
      <c r="A827" s="150" t="s">
        <v>763</v>
      </c>
      <c r="B827" s="147">
        <v>1040.0</v>
      </c>
      <c r="C827" s="147">
        <v>1432.0</v>
      </c>
      <c r="D827" s="132">
        <f t="shared" si="116"/>
        <v>392</v>
      </c>
      <c r="E827" s="147" t="s">
        <v>629</v>
      </c>
      <c r="F827" s="132">
        <f t="shared" si="123"/>
        <v>1818.64</v>
      </c>
      <c r="G827" s="337"/>
      <c r="H827" s="168">
        <f t="shared" si="122"/>
        <v>27.37430168</v>
      </c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  <c r="AA827" s="129"/>
      <c r="AB827" s="129"/>
    </row>
    <row r="828">
      <c r="A828" s="123" t="s">
        <v>885</v>
      </c>
      <c r="B828" s="147">
        <v>1990.0</v>
      </c>
      <c r="C828" s="147">
        <v>3264.0</v>
      </c>
      <c r="D828" s="132">
        <f t="shared" si="116"/>
        <v>1274</v>
      </c>
      <c r="E828" s="147" t="s">
        <v>557</v>
      </c>
      <c r="F828" s="127">
        <f t="shared" si="123"/>
        <v>4145.28</v>
      </c>
      <c r="G828" s="231"/>
      <c r="H828" s="168">
        <f t="shared" si="122"/>
        <v>39.03186275</v>
      </c>
    </row>
    <row r="829">
      <c r="A829" s="128" t="s">
        <v>886</v>
      </c>
      <c r="B829" s="147">
        <v>2590.0</v>
      </c>
      <c r="C829" s="147">
        <v>3510.0</v>
      </c>
      <c r="D829" s="132">
        <f t="shared" si="116"/>
        <v>920</v>
      </c>
      <c r="E829" s="147" t="s">
        <v>629</v>
      </c>
      <c r="F829" s="132">
        <f t="shared" si="123"/>
        <v>4457.7</v>
      </c>
      <c r="G829" s="337"/>
      <c r="H829" s="168">
        <f t="shared" si="122"/>
        <v>26.21082621</v>
      </c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  <c r="AA829" s="129"/>
      <c r="AB829" s="129"/>
    </row>
    <row r="830">
      <c r="A830" s="128" t="s">
        <v>887</v>
      </c>
      <c r="B830" s="147">
        <v>5240.0</v>
      </c>
      <c r="C830" s="147">
        <v>7273.0</v>
      </c>
      <c r="D830" s="132">
        <f t="shared" si="116"/>
        <v>2033</v>
      </c>
      <c r="E830" s="147" t="s">
        <v>557</v>
      </c>
      <c r="F830" s="127">
        <f t="shared" si="123"/>
        <v>9236.71</v>
      </c>
      <c r="G830" s="231"/>
      <c r="H830" s="168">
        <f t="shared" si="122"/>
        <v>27.95270177</v>
      </c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  <c r="AA830" s="129"/>
      <c r="AB830" s="129"/>
    </row>
    <row r="831">
      <c r="A831" s="387" t="s">
        <v>888</v>
      </c>
      <c r="B831" s="147">
        <v>1190.0</v>
      </c>
      <c r="C831" s="147">
        <v>1382.0</v>
      </c>
      <c r="D831" s="132">
        <f t="shared" si="116"/>
        <v>192</v>
      </c>
      <c r="E831" s="147" t="s">
        <v>805</v>
      </c>
      <c r="F831" s="132">
        <f t="shared" si="123"/>
        <v>1755.14</v>
      </c>
      <c r="G831" s="347"/>
      <c r="H831" s="168">
        <f t="shared" si="122"/>
        <v>13.89290883</v>
      </c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  <c r="AA831" s="129"/>
      <c r="AB831" s="129"/>
    </row>
    <row r="832">
      <c r="A832" s="388" t="s">
        <v>889</v>
      </c>
      <c r="B832" s="132">
        <v>390.0</v>
      </c>
      <c r="C832" s="132">
        <v>1382.0</v>
      </c>
      <c r="D832" s="132">
        <f t="shared" si="116"/>
        <v>992</v>
      </c>
      <c r="E832" s="132" t="s">
        <v>805</v>
      </c>
      <c r="F832" s="132">
        <f t="shared" si="123"/>
        <v>1755.14</v>
      </c>
      <c r="G832" s="337"/>
      <c r="H832" s="168">
        <f t="shared" si="122"/>
        <v>71.78002894</v>
      </c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  <c r="AA832" s="129"/>
      <c r="AB832" s="129"/>
    </row>
    <row r="833">
      <c r="A833" s="387" t="s">
        <v>890</v>
      </c>
      <c r="B833" s="147">
        <v>1190.0</v>
      </c>
      <c r="C833" s="147">
        <v>1382.0</v>
      </c>
      <c r="D833" s="132">
        <f t="shared" si="116"/>
        <v>192</v>
      </c>
      <c r="E833" s="147" t="s">
        <v>805</v>
      </c>
      <c r="F833" s="132">
        <f t="shared" si="123"/>
        <v>1755.14</v>
      </c>
      <c r="G833" s="337"/>
      <c r="H833" s="168">
        <f t="shared" si="122"/>
        <v>13.89290883</v>
      </c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  <c r="AA833" s="129"/>
      <c r="AB833" s="129"/>
    </row>
    <row r="834">
      <c r="A834" s="128" t="s">
        <v>782</v>
      </c>
      <c r="B834" s="147">
        <v>1040.0</v>
      </c>
      <c r="C834" s="147">
        <v>1382.0</v>
      </c>
      <c r="D834" s="132">
        <f t="shared" si="116"/>
        <v>342</v>
      </c>
      <c r="E834" s="147" t="s">
        <v>629</v>
      </c>
      <c r="F834" s="132">
        <f t="shared" si="123"/>
        <v>1755.14</v>
      </c>
      <c r="G834" s="337"/>
      <c r="H834" s="168">
        <f t="shared" si="122"/>
        <v>24.74674385</v>
      </c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  <c r="AA834" s="129"/>
      <c r="AB834" s="129"/>
    </row>
    <row r="835">
      <c r="A835" s="150" t="s">
        <v>763</v>
      </c>
      <c r="B835" s="147">
        <v>1040.0</v>
      </c>
      <c r="C835" s="147">
        <v>1432.0</v>
      </c>
      <c r="D835" s="132">
        <f t="shared" si="116"/>
        <v>392</v>
      </c>
      <c r="E835" s="147" t="s">
        <v>629</v>
      </c>
      <c r="F835" s="132">
        <f t="shared" si="123"/>
        <v>1818.64</v>
      </c>
      <c r="G835" s="231"/>
      <c r="H835" s="168">
        <f t="shared" si="122"/>
        <v>27.37430168</v>
      </c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  <c r="AA835" s="129"/>
      <c r="AB835" s="129"/>
    </row>
    <row r="836">
      <c r="A836" s="150" t="s">
        <v>763</v>
      </c>
      <c r="B836" s="147">
        <v>1040.0</v>
      </c>
      <c r="C836" s="147">
        <v>1432.0</v>
      </c>
      <c r="D836" s="132">
        <f t="shared" si="116"/>
        <v>392</v>
      </c>
      <c r="E836" s="147" t="s">
        <v>629</v>
      </c>
      <c r="F836" s="132">
        <f t="shared" si="123"/>
        <v>1818.64</v>
      </c>
      <c r="G836" s="337"/>
      <c r="H836" s="168">
        <f t="shared" si="122"/>
        <v>27.37430168</v>
      </c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  <c r="AA836" s="129"/>
      <c r="AB836" s="129"/>
    </row>
    <row r="837">
      <c r="A837" s="150" t="s">
        <v>763</v>
      </c>
      <c r="B837" s="147">
        <v>1040.0</v>
      </c>
      <c r="C837" s="147">
        <v>1432.0</v>
      </c>
      <c r="D837" s="132">
        <f t="shared" si="116"/>
        <v>392</v>
      </c>
      <c r="E837" s="147" t="s">
        <v>629</v>
      </c>
      <c r="F837" s="132">
        <f t="shared" si="123"/>
        <v>1818.64</v>
      </c>
      <c r="G837" s="337"/>
      <c r="H837" s="168">
        <f t="shared" si="122"/>
        <v>27.37430168</v>
      </c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  <c r="AA837" s="129"/>
      <c r="AB837" s="129"/>
    </row>
    <row r="838">
      <c r="A838" s="150" t="s">
        <v>763</v>
      </c>
      <c r="B838" s="147">
        <v>1040.0</v>
      </c>
      <c r="C838" s="147">
        <v>1431.0</v>
      </c>
      <c r="D838" s="132">
        <f t="shared" si="116"/>
        <v>391</v>
      </c>
      <c r="E838" s="147" t="s">
        <v>629</v>
      </c>
      <c r="F838" s="132">
        <f t="shared" si="123"/>
        <v>1817.37</v>
      </c>
      <c r="G838" s="337"/>
      <c r="H838" s="168">
        <f t="shared" si="122"/>
        <v>27.32354997</v>
      </c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  <c r="AA838" s="129"/>
      <c r="AB838" s="129"/>
    </row>
    <row r="839">
      <c r="A839" s="150" t="s">
        <v>763</v>
      </c>
      <c r="B839" s="147">
        <v>1040.0</v>
      </c>
      <c r="C839" s="147">
        <v>1432.0</v>
      </c>
      <c r="D839" s="132">
        <f t="shared" si="116"/>
        <v>392</v>
      </c>
      <c r="E839" s="147" t="s">
        <v>629</v>
      </c>
      <c r="F839" s="132">
        <f t="shared" si="123"/>
        <v>1818.64</v>
      </c>
      <c r="G839" s="337"/>
      <c r="H839" s="168">
        <f t="shared" si="122"/>
        <v>27.37430168</v>
      </c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  <c r="AA839" s="129"/>
      <c r="AB839" s="129"/>
    </row>
    <row r="840">
      <c r="A840" s="128" t="s">
        <v>891</v>
      </c>
      <c r="B840" s="147">
        <v>1390.0</v>
      </c>
      <c r="C840" s="147">
        <v>2036.0</v>
      </c>
      <c r="D840" s="132">
        <f t="shared" si="116"/>
        <v>646</v>
      </c>
      <c r="E840" s="147" t="s">
        <v>557</v>
      </c>
      <c r="F840" s="127">
        <f t="shared" si="123"/>
        <v>2585.72</v>
      </c>
      <c r="G840" s="231"/>
      <c r="H840" s="168">
        <f t="shared" si="122"/>
        <v>31.72888016</v>
      </c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  <c r="AA840" s="129"/>
      <c r="AB840" s="129"/>
    </row>
    <row r="841">
      <c r="A841" s="150" t="s">
        <v>763</v>
      </c>
      <c r="B841" s="147">
        <v>1040.0</v>
      </c>
      <c r="C841" s="147">
        <v>1383.0</v>
      </c>
      <c r="D841" s="132">
        <f t="shared" si="116"/>
        <v>343</v>
      </c>
      <c r="E841" s="147" t="s">
        <v>629</v>
      </c>
      <c r="F841" s="132">
        <f t="shared" si="123"/>
        <v>1756.41</v>
      </c>
      <c r="G841" s="231"/>
      <c r="H841" s="168">
        <f t="shared" si="122"/>
        <v>24.80115691</v>
      </c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  <c r="AA841" s="129"/>
      <c r="AB841" s="129"/>
    </row>
    <row r="842">
      <c r="A842" s="150" t="s">
        <v>763</v>
      </c>
      <c r="B842" s="147">
        <v>1040.0</v>
      </c>
      <c r="C842" s="147">
        <v>1383.0</v>
      </c>
      <c r="D842" s="132">
        <f t="shared" si="116"/>
        <v>343</v>
      </c>
      <c r="E842" s="147" t="s">
        <v>629</v>
      </c>
      <c r="F842" s="132">
        <f t="shared" si="123"/>
        <v>1756.41</v>
      </c>
      <c r="G842" s="231"/>
      <c r="H842" s="168">
        <f t="shared" si="122"/>
        <v>24.80115691</v>
      </c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</row>
    <row r="843">
      <c r="A843" s="150" t="s">
        <v>763</v>
      </c>
      <c r="B843" s="147">
        <v>1040.0</v>
      </c>
      <c r="C843" s="147">
        <v>1382.0</v>
      </c>
      <c r="D843" s="132">
        <f t="shared" si="116"/>
        <v>342</v>
      </c>
      <c r="E843" s="147" t="s">
        <v>629</v>
      </c>
      <c r="F843" s="132">
        <f t="shared" si="123"/>
        <v>1755.14</v>
      </c>
      <c r="G843" s="337"/>
      <c r="H843" s="168">
        <f t="shared" si="122"/>
        <v>24.74674385</v>
      </c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</row>
    <row r="844">
      <c r="A844" s="150" t="s">
        <v>763</v>
      </c>
      <c r="B844" s="147">
        <v>1040.0</v>
      </c>
      <c r="C844" s="147">
        <v>1382.0</v>
      </c>
      <c r="D844" s="132">
        <f t="shared" si="116"/>
        <v>342</v>
      </c>
      <c r="E844" s="147" t="s">
        <v>629</v>
      </c>
      <c r="F844" s="132">
        <f t="shared" si="123"/>
        <v>1755.14</v>
      </c>
      <c r="G844" s="337"/>
      <c r="H844" s="168">
        <f t="shared" si="122"/>
        <v>24.74674385</v>
      </c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  <c r="AA844" s="129"/>
      <c r="AB844" s="129"/>
    </row>
    <row r="845">
      <c r="A845" s="123" t="s">
        <v>892</v>
      </c>
      <c r="B845" s="124">
        <v>4990.0</v>
      </c>
      <c r="C845" s="124">
        <v>7309.0</v>
      </c>
      <c r="D845" s="132">
        <f t="shared" si="116"/>
        <v>2319</v>
      </c>
      <c r="E845" s="147" t="s">
        <v>557</v>
      </c>
      <c r="F845" s="127">
        <f t="shared" si="123"/>
        <v>9282.43</v>
      </c>
      <c r="G845" s="231"/>
      <c r="H845" s="168">
        <f t="shared" si="122"/>
        <v>31.72800657</v>
      </c>
    </row>
    <row r="846">
      <c r="A846" s="128" t="s">
        <v>893</v>
      </c>
      <c r="B846" s="147">
        <v>2990.0</v>
      </c>
      <c r="C846" s="147">
        <v>3918.0</v>
      </c>
      <c r="D846" s="132">
        <f t="shared" si="116"/>
        <v>928</v>
      </c>
      <c r="E846" s="147" t="s">
        <v>629</v>
      </c>
      <c r="F846" s="132">
        <f t="shared" si="123"/>
        <v>4975.86</v>
      </c>
      <c r="G846" s="337"/>
      <c r="H846" s="168">
        <f t="shared" si="122"/>
        <v>23.68555385</v>
      </c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</row>
    <row r="847">
      <c r="A847" s="385" t="s">
        <v>894</v>
      </c>
      <c r="B847" s="147">
        <v>690.0</v>
      </c>
      <c r="C847" s="147">
        <v>1382.0</v>
      </c>
      <c r="D847" s="132">
        <f t="shared" si="116"/>
        <v>692</v>
      </c>
      <c r="E847" s="147" t="s">
        <v>805</v>
      </c>
      <c r="F847" s="127">
        <f t="shared" si="123"/>
        <v>1755.14</v>
      </c>
      <c r="G847" s="231"/>
      <c r="H847" s="168">
        <f t="shared" si="122"/>
        <v>50.0723589</v>
      </c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</row>
    <row r="848">
      <c r="A848" s="150" t="s">
        <v>763</v>
      </c>
      <c r="B848" s="147">
        <v>1040.0</v>
      </c>
      <c r="C848" s="147">
        <v>1382.0</v>
      </c>
      <c r="D848" s="132">
        <f t="shared" si="116"/>
        <v>342</v>
      </c>
      <c r="E848" s="147" t="s">
        <v>629</v>
      </c>
      <c r="F848" s="132">
        <f t="shared" si="123"/>
        <v>1755.14</v>
      </c>
      <c r="G848" s="231"/>
      <c r="H848" s="168">
        <f t="shared" si="122"/>
        <v>24.74674385</v>
      </c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</row>
    <row r="849">
      <c r="A849" s="150" t="s">
        <v>763</v>
      </c>
      <c r="B849" s="147">
        <v>1040.0</v>
      </c>
      <c r="C849" s="147">
        <v>1382.0</v>
      </c>
      <c r="D849" s="132">
        <f t="shared" si="116"/>
        <v>342</v>
      </c>
      <c r="E849" s="147" t="s">
        <v>629</v>
      </c>
      <c r="F849" s="132">
        <f t="shared" si="123"/>
        <v>1755.14</v>
      </c>
      <c r="G849" s="347"/>
      <c r="H849" s="168">
        <f t="shared" si="122"/>
        <v>24.74674385</v>
      </c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</row>
    <row r="850">
      <c r="A850" s="150" t="s">
        <v>763</v>
      </c>
      <c r="B850" s="147">
        <v>1040.0</v>
      </c>
      <c r="C850" s="147">
        <v>1382.0</v>
      </c>
      <c r="D850" s="132">
        <f t="shared" si="116"/>
        <v>342</v>
      </c>
      <c r="E850" s="147" t="s">
        <v>629</v>
      </c>
      <c r="F850" s="132">
        <f t="shared" si="123"/>
        <v>1755.14</v>
      </c>
      <c r="G850" s="337"/>
      <c r="H850" s="168">
        <f t="shared" si="122"/>
        <v>24.74674385</v>
      </c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</row>
    <row r="851">
      <c r="A851" s="385" t="s">
        <v>895</v>
      </c>
      <c r="B851" s="147">
        <v>390.0</v>
      </c>
      <c r="C851" s="147">
        <v>693.0</v>
      </c>
      <c r="D851" s="132">
        <f t="shared" si="116"/>
        <v>303</v>
      </c>
      <c r="E851" s="147" t="s">
        <v>557</v>
      </c>
      <c r="F851" s="127">
        <f t="shared" si="123"/>
        <v>880.11</v>
      </c>
      <c r="G851" s="231"/>
      <c r="H851" s="168">
        <f t="shared" si="122"/>
        <v>43.72294372</v>
      </c>
    </row>
    <row r="852">
      <c r="A852" s="123" t="s">
        <v>896</v>
      </c>
      <c r="B852" s="147">
        <v>2290.0</v>
      </c>
      <c r="C852" s="147">
        <v>3017.0</v>
      </c>
      <c r="D852" s="132">
        <f t="shared" si="116"/>
        <v>727</v>
      </c>
      <c r="E852" s="147" t="s">
        <v>557</v>
      </c>
      <c r="F852" s="127">
        <f t="shared" si="123"/>
        <v>3831.59</v>
      </c>
      <c r="G852" s="231"/>
      <c r="H852" s="168">
        <f t="shared" si="122"/>
        <v>24.09678489</v>
      </c>
    </row>
    <row r="853">
      <c r="A853" s="123" t="s">
        <v>897</v>
      </c>
      <c r="B853" s="124">
        <v>8740.0</v>
      </c>
      <c r="C853" s="124">
        <v>12263.0</v>
      </c>
      <c r="D853" s="132">
        <f t="shared" si="116"/>
        <v>3523</v>
      </c>
      <c r="E853" s="147" t="s">
        <v>557</v>
      </c>
      <c r="F853" s="132">
        <f t="shared" si="123"/>
        <v>15574.01</v>
      </c>
      <c r="G853" s="337"/>
      <c r="H853" s="168">
        <f t="shared" si="122"/>
        <v>28.72869608</v>
      </c>
    </row>
    <row r="854">
      <c r="A854" s="128" t="s">
        <v>752</v>
      </c>
      <c r="B854" s="147">
        <v>2490.0</v>
      </c>
      <c r="C854" s="147">
        <v>3183.0</v>
      </c>
      <c r="D854" s="132">
        <f t="shared" si="116"/>
        <v>693</v>
      </c>
      <c r="E854" s="147" t="s">
        <v>629</v>
      </c>
      <c r="F854" s="132">
        <f t="shared" si="123"/>
        <v>4042.41</v>
      </c>
      <c r="G854" s="337"/>
      <c r="H854" s="168">
        <f t="shared" si="122"/>
        <v>21.77191329</v>
      </c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</row>
    <row r="855">
      <c r="A855" s="128" t="s">
        <v>753</v>
      </c>
      <c r="B855" s="147">
        <v>1240.0</v>
      </c>
      <c r="C855" s="147">
        <v>1628.0</v>
      </c>
      <c r="D855" s="132">
        <f t="shared" si="116"/>
        <v>388</v>
      </c>
      <c r="E855" s="147" t="s">
        <v>629</v>
      </c>
      <c r="F855" s="132">
        <f t="shared" si="123"/>
        <v>2067.56</v>
      </c>
      <c r="G855" s="231"/>
      <c r="H855" s="168">
        <f t="shared" si="122"/>
        <v>23.83292383</v>
      </c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</row>
    <row r="856">
      <c r="A856" s="387" t="s">
        <v>898</v>
      </c>
      <c r="B856" s="147">
        <v>4990.0</v>
      </c>
      <c r="C856" s="147">
        <v>1382.0</v>
      </c>
      <c r="D856" s="132">
        <f t="shared" si="116"/>
        <v>-3608</v>
      </c>
      <c r="E856" s="147" t="s">
        <v>805</v>
      </c>
      <c r="F856" s="132">
        <f t="shared" si="123"/>
        <v>1755.14</v>
      </c>
      <c r="G856" s="337"/>
      <c r="H856" s="168">
        <f t="shared" si="122"/>
        <v>-261.0709117</v>
      </c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  <c r="AA856" s="129"/>
      <c r="AB856" s="129"/>
    </row>
    <row r="857">
      <c r="A857" s="150" t="s">
        <v>874</v>
      </c>
      <c r="B857" s="147">
        <v>1740.0</v>
      </c>
      <c r="C857" s="147">
        <v>2036.0</v>
      </c>
      <c r="D857" s="132">
        <f t="shared" si="116"/>
        <v>296</v>
      </c>
      <c r="E857" s="147" t="s">
        <v>629</v>
      </c>
      <c r="F857" s="132">
        <f t="shared" si="123"/>
        <v>2585.72</v>
      </c>
      <c r="G857" s="337"/>
      <c r="H857" s="168">
        <f t="shared" si="122"/>
        <v>14.53831041</v>
      </c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  <c r="AA857" s="129"/>
      <c r="AB857" s="129"/>
    </row>
    <row r="858">
      <c r="A858" s="128" t="s">
        <v>753</v>
      </c>
      <c r="B858" s="147">
        <v>1240.0</v>
      </c>
      <c r="C858" s="147">
        <v>1628.0</v>
      </c>
      <c r="D858" s="132">
        <f t="shared" si="116"/>
        <v>388</v>
      </c>
      <c r="E858" s="147" t="s">
        <v>629</v>
      </c>
      <c r="F858" s="132">
        <f t="shared" si="123"/>
        <v>2067.56</v>
      </c>
      <c r="G858" s="231"/>
      <c r="H858" s="168">
        <f t="shared" si="122"/>
        <v>23.83292383</v>
      </c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  <c r="AA858" s="129"/>
      <c r="AB858" s="129"/>
    </row>
    <row r="859">
      <c r="A859" s="128" t="s">
        <v>753</v>
      </c>
      <c r="B859" s="147">
        <v>1240.0</v>
      </c>
      <c r="C859" s="147">
        <v>1646.0</v>
      </c>
      <c r="D859" s="132">
        <f t="shared" si="116"/>
        <v>406</v>
      </c>
      <c r="E859" s="147" t="s">
        <v>629</v>
      </c>
      <c r="F859" s="132">
        <f t="shared" si="123"/>
        <v>2090.42</v>
      </c>
      <c r="G859" s="231"/>
      <c r="H859" s="168">
        <f t="shared" si="122"/>
        <v>24.66585662</v>
      </c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  <c r="AA859" s="129"/>
      <c r="AB859" s="129"/>
    </row>
    <row r="860">
      <c r="A860" s="128" t="s">
        <v>753</v>
      </c>
      <c r="B860" s="147">
        <v>1240.0</v>
      </c>
      <c r="C860" s="147">
        <v>1646.0</v>
      </c>
      <c r="D860" s="132">
        <f t="shared" si="116"/>
        <v>406</v>
      </c>
      <c r="E860" s="147" t="s">
        <v>629</v>
      </c>
      <c r="F860" s="132">
        <f t="shared" si="123"/>
        <v>2090.42</v>
      </c>
      <c r="G860" s="231"/>
      <c r="H860" s="168">
        <f t="shared" si="122"/>
        <v>24.66585662</v>
      </c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  <c r="AA860" s="129"/>
      <c r="AB860" s="129"/>
    </row>
    <row r="861">
      <c r="A861" s="128" t="s">
        <v>753</v>
      </c>
      <c r="B861" s="147">
        <v>1240.0</v>
      </c>
      <c r="C861" s="147">
        <v>1645.0</v>
      </c>
      <c r="D861" s="132">
        <f t="shared" si="116"/>
        <v>405</v>
      </c>
      <c r="E861" s="147" t="s">
        <v>629</v>
      </c>
      <c r="F861" s="132">
        <f t="shared" si="123"/>
        <v>2089.15</v>
      </c>
      <c r="G861" s="231"/>
      <c r="H861" s="168">
        <f t="shared" si="122"/>
        <v>24.62006079</v>
      </c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  <c r="AA861" s="129"/>
      <c r="AB861" s="129"/>
    </row>
    <row r="862">
      <c r="A862" s="150" t="s">
        <v>763</v>
      </c>
      <c r="B862" s="147">
        <v>1040.0</v>
      </c>
      <c r="C862" s="147">
        <v>1383.0</v>
      </c>
      <c r="D862" s="132">
        <f t="shared" si="116"/>
        <v>343</v>
      </c>
      <c r="E862" s="147" t="s">
        <v>629</v>
      </c>
      <c r="F862" s="132">
        <f t="shared" si="123"/>
        <v>1756.41</v>
      </c>
      <c r="G862" s="337"/>
      <c r="H862" s="168">
        <f t="shared" si="122"/>
        <v>24.80115691</v>
      </c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  <c r="AA862" s="129"/>
      <c r="AB862" s="129"/>
    </row>
    <row r="863">
      <c r="A863" s="150" t="s">
        <v>763</v>
      </c>
      <c r="B863" s="147">
        <v>1040.0</v>
      </c>
      <c r="C863" s="147">
        <v>1383.0</v>
      </c>
      <c r="D863" s="132">
        <f t="shared" si="116"/>
        <v>343</v>
      </c>
      <c r="E863" s="147" t="s">
        <v>629</v>
      </c>
      <c r="F863" s="132">
        <f t="shared" si="123"/>
        <v>1756.41</v>
      </c>
      <c r="G863" s="337"/>
      <c r="H863" s="168">
        <f t="shared" si="122"/>
        <v>24.80115691</v>
      </c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  <c r="AA863" s="129"/>
      <c r="AB863" s="129"/>
    </row>
    <row r="864">
      <c r="A864" s="150" t="s">
        <v>763</v>
      </c>
      <c r="B864" s="147">
        <v>1040.0</v>
      </c>
      <c r="C864" s="147">
        <v>1383.0</v>
      </c>
      <c r="D864" s="132">
        <f t="shared" si="116"/>
        <v>343</v>
      </c>
      <c r="E864" s="147" t="s">
        <v>629</v>
      </c>
      <c r="F864" s="132">
        <f t="shared" si="123"/>
        <v>1756.41</v>
      </c>
      <c r="G864" s="337"/>
      <c r="H864" s="168">
        <f t="shared" si="122"/>
        <v>24.80115691</v>
      </c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  <c r="AA864" s="129"/>
      <c r="AB864" s="129"/>
    </row>
    <row r="865">
      <c r="A865" s="150" t="s">
        <v>763</v>
      </c>
      <c r="B865" s="147">
        <v>1040.0</v>
      </c>
      <c r="C865" s="147">
        <v>1382.0</v>
      </c>
      <c r="D865" s="132">
        <f t="shared" si="116"/>
        <v>342</v>
      </c>
      <c r="E865" s="147" t="s">
        <v>629</v>
      </c>
      <c r="F865" s="132">
        <f t="shared" si="123"/>
        <v>1755.14</v>
      </c>
      <c r="G865" s="337"/>
      <c r="H865" s="168">
        <f t="shared" si="122"/>
        <v>24.74674385</v>
      </c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  <c r="AA865" s="129"/>
      <c r="AB865" s="129"/>
    </row>
    <row r="866">
      <c r="A866" s="150" t="s">
        <v>763</v>
      </c>
      <c r="B866" s="147">
        <v>1040.0</v>
      </c>
      <c r="C866" s="147">
        <v>1382.0</v>
      </c>
      <c r="D866" s="132">
        <f t="shared" si="116"/>
        <v>342</v>
      </c>
      <c r="E866" s="147" t="s">
        <v>629</v>
      </c>
      <c r="F866" s="132">
        <f t="shared" si="123"/>
        <v>1755.14</v>
      </c>
      <c r="G866" s="231"/>
      <c r="H866" s="168">
        <f t="shared" si="122"/>
        <v>24.74674385</v>
      </c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  <c r="AA866" s="129"/>
      <c r="AB866" s="129"/>
    </row>
    <row r="867">
      <c r="A867" s="143" t="s">
        <v>763</v>
      </c>
      <c r="B867" s="132">
        <v>1040.0</v>
      </c>
      <c r="C867" s="132">
        <v>1382.0</v>
      </c>
      <c r="D867" s="132">
        <f t="shared" si="116"/>
        <v>342</v>
      </c>
      <c r="E867" s="132" t="s">
        <v>629</v>
      </c>
      <c r="F867" s="132">
        <f t="shared" si="123"/>
        <v>1755.14</v>
      </c>
      <c r="G867" s="337"/>
      <c r="H867" s="168">
        <f t="shared" si="122"/>
        <v>24.74674385</v>
      </c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  <c r="AA867" s="129"/>
      <c r="AB867" s="129"/>
    </row>
    <row r="868">
      <c r="A868" s="128" t="s">
        <v>899</v>
      </c>
      <c r="B868" s="147">
        <v>7990.0</v>
      </c>
      <c r="C868" s="147">
        <v>12503.0</v>
      </c>
      <c r="D868" s="132">
        <f t="shared" si="116"/>
        <v>4513</v>
      </c>
      <c r="E868" s="126" t="s">
        <v>123</v>
      </c>
      <c r="F868" s="127">
        <f>C868*1.15</f>
        <v>14378.45</v>
      </c>
      <c r="G868" s="231"/>
      <c r="H868" s="168">
        <f t="shared" si="122"/>
        <v>36.09533712</v>
      </c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  <c r="AA868" s="129"/>
      <c r="AB868" s="129"/>
    </row>
    <row r="869">
      <c r="A869" s="128" t="s">
        <v>792</v>
      </c>
      <c r="B869" s="147">
        <v>1290.0</v>
      </c>
      <c r="C869" s="147">
        <v>1494.0</v>
      </c>
      <c r="D869" s="132">
        <f t="shared" si="116"/>
        <v>204</v>
      </c>
      <c r="E869" s="147" t="s">
        <v>120</v>
      </c>
      <c r="F869" s="127">
        <f t="shared" ref="F869:F870" si="124">C869*1.27</f>
        <v>1897.38</v>
      </c>
      <c r="G869" s="231"/>
      <c r="H869" s="168">
        <f t="shared" si="122"/>
        <v>13.65461847</v>
      </c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  <c r="AA869" s="129"/>
      <c r="AB869" s="129"/>
    </row>
    <row r="870">
      <c r="A870" s="128" t="s">
        <v>900</v>
      </c>
      <c r="B870" s="147">
        <v>1990.0</v>
      </c>
      <c r="C870" s="147">
        <v>2861.0</v>
      </c>
      <c r="D870" s="132">
        <f t="shared" si="116"/>
        <v>871</v>
      </c>
      <c r="E870" s="126" t="s">
        <v>123</v>
      </c>
      <c r="F870" s="127">
        <f t="shared" si="124"/>
        <v>3633.47</v>
      </c>
      <c r="G870" s="231"/>
      <c r="H870" s="168">
        <f>D870/(B870/100)</f>
        <v>43.76884422</v>
      </c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  <c r="AA870" s="129"/>
      <c r="AB870" s="129"/>
    </row>
    <row r="871">
      <c r="A871" s="143"/>
      <c r="B871" s="139"/>
      <c r="C871" s="139"/>
      <c r="D871" s="139"/>
      <c r="E871" s="129"/>
      <c r="F871" s="13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  <c r="AA871" s="129"/>
      <c r="AB871" s="129"/>
    </row>
    <row r="872">
      <c r="A872" s="144" t="s">
        <v>57</v>
      </c>
      <c r="B872" s="145">
        <f t="shared" ref="B872:D872" si="125">SUM(B698:B871)</f>
        <v>301640</v>
      </c>
      <c r="C872" s="145">
        <f t="shared" si="125"/>
        <v>422332</v>
      </c>
      <c r="D872" s="145">
        <f t="shared" si="125"/>
        <v>120692</v>
      </c>
      <c r="E872" s="129"/>
      <c r="F872" s="139"/>
      <c r="G872" s="129"/>
      <c r="H872" s="146">
        <f>D872/(C872/100)</f>
        <v>28.57751721</v>
      </c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  <c r="AA872" s="129"/>
      <c r="AB872" s="129"/>
    </row>
    <row r="873">
      <c r="A873" s="143"/>
      <c r="B873" s="139"/>
      <c r="C873" s="139"/>
      <c r="D873" s="139"/>
      <c r="E873" s="129"/>
      <c r="F873" s="13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  <c r="AA873" s="129"/>
      <c r="AB873" s="129"/>
    </row>
    <row r="874">
      <c r="A874" s="383">
        <v>46023.0</v>
      </c>
      <c r="B874" s="139"/>
      <c r="C874" s="139"/>
      <c r="D874" s="139"/>
      <c r="E874" s="129"/>
      <c r="F874" s="13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  <c r="AA874" s="129"/>
      <c r="AB874" s="129"/>
    </row>
    <row r="875">
      <c r="A875" s="150"/>
      <c r="B875" s="139"/>
      <c r="C875" s="139"/>
      <c r="D875" s="139"/>
      <c r="E875" s="139"/>
      <c r="F875" s="13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  <c r="AA875" s="129"/>
      <c r="AB875" s="129"/>
    </row>
    <row r="876">
      <c r="A876" s="150" t="s">
        <v>763</v>
      </c>
      <c r="B876" s="147">
        <v>1040.0</v>
      </c>
      <c r="C876" s="147">
        <v>1382.0</v>
      </c>
      <c r="D876" s="132">
        <f t="shared" ref="D876:D1043" si="126">C876-B876</f>
        <v>342</v>
      </c>
      <c r="E876" s="147" t="s">
        <v>629</v>
      </c>
      <c r="F876" s="132">
        <f t="shared" ref="F876:F992" si="127">C876*1.27</f>
        <v>1755.14</v>
      </c>
      <c r="G876" s="231"/>
      <c r="H876" s="168">
        <f t="shared" ref="H876:H1043" si="128">D876/(B876/100)</f>
        <v>32.88461538</v>
      </c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  <c r="AA876" s="129"/>
      <c r="AB876" s="129"/>
    </row>
    <row r="877">
      <c r="A877" s="123" t="s">
        <v>901</v>
      </c>
      <c r="B877" s="147">
        <v>990.0</v>
      </c>
      <c r="C877" s="147">
        <v>1472.0</v>
      </c>
      <c r="D877" s="132">
        <f t="shared" si="126"/>
        <v>482</v>
      </c>
      <c r="E877" s="147" t="s">
        <v>557</v>
      </c>
      <c r="F877" s="127">
        <f t="shared" si="127"/>
        <v>1869.44</v>
      </c>
      <c r="G877" s="231"/>
      <c r="H877" s="168">
        <f t="shared" si="128"/>
        <v>48.68686869</v>
      </c>
    </row>
    <row r="878">
      <c r="A878" s="128" t="s">
        <v>902</v>
      </c>
      <c r="B878" s="147">
        <v>990.0</v>
      </c>
      <c r="C878" s="147">
        <v>1472.0</v>
      </c>
      <c r="D878" s="132">
        <f t="shared" si="126"/>
        <v>482</v>
      </c>
      <c r="E878" s="147" t="s">
        <v>557</v>
      </c>
      <c r="F878" s="127">
        <f t="shared" si="127"/>
        <v>1869.44</v>
      </c>
      <c r="G878" s="231"/>
      <c r="H878" s="168">
        <f t="shared" si="128"/>
        <v>48.68686869</v>
      </c>
      <c r="I878" s="128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  <c r="AA878" s="129"/>
      <c r="AB878" s="129"/>
    </row>
    <row r="879">
      <c r="A879" s="123" t="s">
        <v>903</v>
      </c>
      <c r="B879" s="147">
        <v>1090.0</v>
      </c>
      <c r="C879" s="147">
        <v>1554.0</v>
      </c>
      <c r="D879" s="132">
        <f t="shared" si="126"/>
        <v>464</v>
      </c>
      <c r="E879" s="147" t="s">
        <v>557</v>
      </c>
      <c r="F879" s="127">
        <f t="shared" si="127"/>
        <v>1973.58</v>
      </c>
      <c r="G879" s="231"/>
      <c r="H879" s="168">
        <f t="shared" si="128"/>
        <v>42.56880734</v>
      </c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  <c r="AA879" s="129"/>
      <c r="AB879" s="129"/>
    </row>
    <row r="880">
      <c r="A880" s="128" t="s">
        <v>904</v>
      </c>
      <c r="B880" s="147">
        <v>890.0</v>
      </c>
      <c r="C880" s="147">
        <v>1554.0</v>
      </c>
      <c r="D880" s="132">
        <f t="shared" si="126"/>
        <v>664</v>
      </c>
      <c r="E880" s="147" t="s">
        <v>557</v>
      </c>
      <c r="F880" s="132">
        <f t="shared" si="127"/>
        <v>1973.58</v>
      </c>
      <c r="G880" s="337"/>
      <c r="H880" s="168">
        <f t="shared" si="128"/>
        <v>74.60674157</v>
      </c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</row>
    <row r="881">
      <c r="A881" s="385" t="s">
        <v>905</v>
      </c>
      <c r="B881" s="147">
        <v>490.0</v>
      </c>
      <c r="C881" s="147">
        <v>737.0</v>
      </c>
      <c r="D881" s="132">
        <f t="shared" si="126"/>
        <v>247</v>
      </c>
      <c r="E881" s="147" t="s">
        <v>557</v>
      </c>
      <c r="F881" s="127">
        <f t="shared" si="127"/>
        <v>935.99</v>
      </c>
      <c r="G881" s="231"/>
      <c r="H881" s="168">
        <f t="shared" si="128"/>
        <v>50.40816327</v>
      </c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</row>
    <row r="882">
      <c r="A882" s="123" t="s">
        <v>906</v>
      </c>
      <c r="B882" s="147">
        <v>1140.0</v>
      </c>
      <c r="C882" s="147">
        <v>1637.0</v>
      </c>
      <c r="D882" s="132">
        <f t="shared" si="126"/>
        <v>497</v>
      </c>
      <c r="E882" s="147" t="s">
        <v>557</v>
      </c>
      <c r="F882" s="127">
        <f t="shared" si="127"/>
        <v>2078.99</v>
      </c>
      <c r="G882" s="231"/>
      <c r="H882" s="168">
        <f t="shared" si="128"/>
        <v>43.59649123</v>
      </c>
    </row>
    <row r="883">
      <c r="A883" s="123" t="s">
        <v>907</v>
      </c>
      <c r="B883" s="124">
        <v>990.0</v>
      </c>
      <c r="C883" s="147">
        <v>1473.0</v>
      </c>
      <c r="D883" s="132">
        <f t="shared" si="126"/>
        <v>483</v>
      </c>
      <c r="E883" s="147" t="s">
        <v>557</v>
      </c>
      <c r="F883" s="132">
        <f t="shared" si="127"/>
        <v>1870.71</v>
      </c>
      <c r="G883" s="337"/>
      <c r="H883" s="168">
        <f t="shared" si="128"/>
        <v>48.78787879</v>
      </c>
    </row>
    <row r="884">
      <c r="A884" s="385" t="s">
        <v>908</v>
      </c>
      <c r="B884" s="147">
        <v>590.0</v>
      </c>
      <c r="C884" s="147">
        <v>901.0</v>
      </c>
      <c r="D884" s="132">
        <f t="shared" si="126"/>
        <v>311</v>
      </c>
      <c r="E884" s="147" t="s">
        <v>557</v>
      </c>
      <c r="F884" s="127">
        <f t="shared" si="127"/>
        <v>1144.27</v>
      </c>
      <c r="G884" s="231"/>
      <c r="H884" s="168">
        <f t="shared" si="128"/>
        <v>52.71186441</v>
      </c>
    </row>
    <row r="885">
      <c r="A885" s="123" t="s">
        <v>909</v>
      </c>
      <c r="B885" s="124">
        <v>190.0</v>
      </c>
      <c r="C885" s="124">
        <v>492.0</v>
      </c>
      <c r="D885" s="132">
        <f t="shared" si="126"/>
        <v>302</v>
      </c>
      <c r="E885" s="147" t="s">
        <v>557</v>
      </c>
      <c r="F885" s="127">
        <f t="shared" si="127"/>
        <v>624.84</v>
      </c>
      <c r="G885" s="231"/>
      <c r="H885" s="168">
        <f t="shared" si="128"/>
        <v>158.9473684</v>
      </c>
    </row>
    <row r="886">
      <c r="A886" s="123" t="s">
        <v>910</v>
      </c>
      <c r="B886" s="124">
        <v>740.0</v>
      </c>
      <c r="C886" s="124">
        <v>1064.0</v>
      </c>
      <c r="D886" s="132">
        <f t="shared" si="126"/>
        <v>324</v>
      </c>
      <c r="E886" s="147" t="s">
        <v>557</v>
      </c>
      <c r="F886" s="127">
        <f t="shared" si="127"/>
        <v>1351.28</v>
      </c>
      <c r="G886" s="231"/>
      <c r="H886" s="168">
        <f t="shared" si="128"/>
        <v>43.78378378</v>
      </c>
    </row>
    <row r="887">
      <c r="A887" s="385" t="s">
        <v>911</v>
      </c>
      <c r="B887" s="147">
        <v>490.0</v>
      </c>
      <c r="C887" s="147">
        <v>737.0</v>
      </c>
      <c r="D887" s="132">
        <f t="shared" si="126"/>
        <v>247</v>
      </c>
      <c r="E887" s="147" t="s">
        <v>557</v>
      </c>
      <c r="F887" s="127">
        <f t="shared" si="127"/>
        <v>935.99</v>
      </c>
      <c r="G887" s="231"/>
      <c r="H887" s="168">
        <f t="shared" si="128"/>
        <v>50.40816327</v>
      </c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</row>
    <row r="888">
      <c r="A888" s="123" t="s">
        <v>912</v>
      </c>
      <c r="B888" s="124">
        <v>990.0</v>
      </c>
      <c r="C888" s="147">
        <v>1964.0</v>
      </c>
      <c r="D888" s="132">
        <f t="shared" si="126"/>
        <v>974</v>
      </c>
      <c r="E888" s="147" t="s">
        <v>557</v>
      </c>
      <c r="F888" s="127">
        <f t="shared" si="127"/>
        <v>2494.28</v>
      </c>
      <c r="G888" s="231"/>
      <c r="H888" s="168">
        <f t="shared" si="128"/>
        <v>98.38383838</v>
      </c>
    </row>
    <row r="889">
      <c r="A889" s="123" t="s">
        <v>913</v>
      </c>
      <c r="B889" s="147">
        <v>1090.0</v>
      </c>
      <c r="C889" s="147">
        <v>1545.0</v>
      </c>
      <c r="D889" s="132">
        <f t="shared" si="126"/>
        <v>455</v>
      </c>
      <c r="E889" s="147" t="s">
        <v>557</v>
      </c>
      <c r="F889" s="127">
        <f t="shared" si="127"/>
        <v>1962.15</v>
      </c>
      <c r="G889" s="231"/>
      <c r="H889" s="168">
        <f t="shared" si="128"/>
        <v>41.74311927</v>
      </c>
    </row>
    <row r="890">
      <c r="A890" s="123" t="s">
        <v>914</v>
      </c>
      <c r="B890" s="124">
        <v>1690.0</v>
      </c>
      <c r="C890" s="124">
        <v>2165.0</v>
      </c>
      <c r="D890" s="132">
        <f t="shared" si="126"/>
        <v>475</v>
      </c>
      <c r="E890" s="147" t="s">
        <v>557</v>
      </c>
      <c r="F890" s="127">
        <f t="shared" si="127"/>
        <v>2749.55</v>
      </c>
      <c r="G890" s="231"/>
      <c r="H890" s="168">
        <f t="shared" si="128"/>
        <v>28.10650888</v>
      </c>
    </row>
    <row r="891">
      <c r="A891" s="123" t="s">
        <v>915</v>
      </c>
      <c r="B891" s="124">
        <v>1140.0</v>
      </c>
      <c r="C891" s="124">
        <v>1628.0</v>
      </c>
      <c r="D891" s="132">
        <f t="shared" si="126"/>
        <v>488</v>
      </c>
      <c r="E891" s="147" t="s">
        <v>557</v>
      </c>
      <c r="F891" s="127">
        <f t="shared" si="127"/>
        <v>2067.56</v>
      </c>
      <c r="G891" s="231"/>
      <c r="H891" s="168">
        <f t="shared" si="128"/>
        <v>42.80701754</v>
      </c>
    </row>
    <row r="892">
      <c r="A892" s="123" t="s">
        <v>916</v>
      </c>
      <c r="B892" s="124">
        <v>3790.0</v>
      </c>
      <c r="C892" s="147">
        <v>4900.0</v>
      </c>
      <c r="D892" s="132">
        <f t="shared" si="126"/>
        <v>1110</v>
      </c>
      <c r="E892" s="147" t="s">
        <v>557</v>
      </c>
      <c r="F892" s="127">
        <f t="shared" si="127"/>
        <v>6223</v>
      </c>
      <c r="G892" s="231"/>
      <c r="H892" s="168">
        <f t="shared" si="128"/>
        <v>29.28759894</v>
      </c>
    </row>
    <row r="893">
      <c r="A893" s="150" t="s">
        <v>763</v>
      </c>
      <c r="B893" s="147">
        <v>1040.0</v>
      </c>
      <c r="C893" s="147">
        <v>1382.0</v>
      </c>
      <c r="D893" s="132">
        <f t="shared" si="126"/>
        <v>342</v>
      </c>
      <c r="E893" s="147" t="s">
        <v>629</v>
      </c>
      <c r="F893" s="132">
        <f t="shared" si="127"/>
        <v>1755.14</v>
      </c>
      <c r="G893" s="347"/>
      <c r="H893" s="168">
        <f t="shared" si="128"/>
        <v>32.88461538</v>
      </c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</row>
    <row r="894">
      <c r="A894" s="123" t="s">
        <v>917</v>
      </c>
      <c r="B894" s="147">
        <v>1790.0</v>
      </c>
      <c r="C894" s="147">
        <v>2282.0</v>
      </c>
      <c r="D894" s="132">
        <f t="shared" si="126"/>
        <v>492</v>
      </c>
      <c r="E894" s="147" t="s">
        <v>557</v>
      </c>
      <c r="F894" s="127">
        <f t="shared" si="127"/>
        <v>2898.14</v>
      </c>
      <c r="G894" s="231"/>
      <c r="H894" s="168">
        <f t="shared" si="128"/>
        <v>27.48603352</v>
      </c>
    </row>
    <row r="895">
      <c r="A895" s="128" t="s">
        <v>766</v>
      </c>
      <c r="B895" s="147">
        <v>1190.0</v>
      </c>
      <c r="C895" s="147">
        <v>1513.5</v>
      </c>
      <c r="D895" s="132">
        <f t="shared" si="126"/>
        <v>323.5</v>
      </c>
      <c r="E895" s="147" t="s">
        <v>629</v>
      </c>
      <c r="F895" s="132">
        <f t="shared" si="127"/>
        <v>1922.145</v>
      </c>
      <c r="G895" s="347"/>
      <c r="H895" s="168">
        <f t="shared" si="128"/>
        <v>27.18487395</v>
      </c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  <c r="AA895" s="129"/>
      <c r="AB895" s="129"/>
    </row>
    <row r="896">
      <c r="A896" s="128" t="s">
        <v>766</v>
      </c>
      <c r="B896" s="147">
        <v>1190.0</v>
      </c>
      <c r="C896" s="147">
        <v>1513.5</v>
      </c>
      <c r="D896" s="132">
        <f t="shared" si="126"/>
        <v>323.5</v>
      </c>
      <c r="E896" s="147" t="s">
        <v>629</v>
      </c>
      <c r="F896" s="132">
        <f t="shared" si="127"/>
        <v>1922.145</v>
      </c>
      <c r="G896" s="347"/>
      <c r="H896" s="168">
        <f t="shared" si="128"/>
        <v>27.18487395</v>
      </c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  <c r="AA896" s="129"/>
      <c r="AB896" s="129"/>
    </row>
    <row r="897">
      <c r="A897" s="128" t="s">
        <v>766</v>
      </c>
      <c r="B897" s="147">
        <v>1190.0</v>
      </c>
      <c r="C897" s="147">
        <v>1513.0</v>
      </c>
      <c r="D897" s="132">
        <f t="shared" si="126"/>
        <v>323</v>
      </c>
      <c r="E897" s="147" t="s">
        <v>629</v>
      </c>
      <c r="F897" s="132">
        <f t="shared" si="127"/>
        <v>1921.51</v>
      </c>
      <c r="G897" s="347"/>
      <c r="H897" s="168">
        <f t="shared" si="128"/>
        <v>27.14285714</v>
      </c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  <c r="AA897" s="129"/>
      <c r="AB897" s="129"/>
    </row>
    <row r="898">
      <c r="A898" s="150" t="s">
        <v>754</v>
      </c>
      <c r="B898" s="147">
        <v>1490.0</v>
      </c>
      <c r="C898" s="147">
        <v>1909.0</v>
      </c>
      <c r="D898" s="132">
        <f t="shared" si="126"/>
        <v>419</v>
      </c>
      <c r="E898" s="147" t="s">
        <v>629</v>
      </c>
      <c r="F898" s="132">
        <f t="shared" si="127"/>
        <v>2424.43</v>
      </c>
      <c r="G898" s="337"/>
      <c r="H898" s="168">
        <f t="shared" si="128"/>
        <v>28.12080537</v>
      </c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  <c r="AA898" s="129"/>
      <c r="AB898" s="129"/>
    </row>
    <row r="899">
      <c r="A899" s="385" t="s">
        <v>918</v>
      </c>
      <c r="B899" s="147">
        <v>990.0</v>
      </c>
      <c r="C899" s="147">
        <v>1465.0</v>
      </c>
      <c r="D899" s="132">
        <f t="shared" si="126"/>
        <v>475</v>
      </c>
      <c r="E899" s="147" t="s">
        <v>557</v>
      </c>
      <c r="F899" s="127">
        <f t="shared" si="127"/>
        <v>1860.55</v>
      </c>
      <c r="G899" s="231"/>
      <c r="H899" s="168">
        <f t="shared" si="128"/>
        <v>47.97979798</v>
      </c>
    </row>
    <row r="900">
      <c r="A900" s="128" t="s">
        <v>766</v>
      </c>
      <c r="B900" s="147">
        <v>1190.0</v>
      </c>
      <c r="C900" s="147">
        <v>0.0</v>
      </c>
      <c r="D900" s="132">
        <f t="shared" si="126"/>
        <v>-1190</v>
      </c>
      <c r="E900" s="147" t="s">
        <v>629</v>
      </c>
      <c r="F900" s="132">
        <f t="shared" si="127"/>
        <v>0</v>
      </c>
      <c r="G900" s="347"/>
      <c r="H900" s="168">
        <f t="shared" si="128"/>
        <v>-100</v>
      </c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  <c r="AA900" s="129"/>
      <c r="AB900" s="129"/>
    </row>
    <row r="901">
      <c r="A901" s="128" t="s">
        <v>766</v>
      </c>
      <c r="B901" s="147">
        <v>1190.0</v>
      </c>
      <c r="C901" s="147">
        <v>1540.0</v>
      </c>
      <c r="D901" s="132">
        <f t="shared" si="126"/>
        <v>350</v>
      </c>
      <c r="E901" s="147" t="s">
        <v>629</v>
      </c>
      <c r="F901" s="132">
        <f t="shared" si="127"/>
        <v>1955.8</v>
      </c>
      <c r="G901" s="347"/>
      <c r="H901" s="168">
        <f t="shared" si="128"/>
        <v>29.41176471</v>
      </c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  <c r="AA901" s="129"/>
      <c r="AB901" s="129"/>
    </row>
    <row r="902">
      <c r="A902" s="128" t="s">
        <v>766</v>
      </c>
      <c r="B902" s="147">
        <v>1190.0</v>
      </c>
      <c r="C902" s="147">
        <v>1514.0</v>
      </c>
      <c r="D902" s="132">
        <f t="shared" si="126"/>
        <v>324</v>
      </c>
      <c r="E902" s="147" t="s">
        <v>629</v>
      </c>
      <c r="F902" s="132">
        <f t="shared" si="127"/>
        <v>1922.78</v>
      </c>
      <c r="G902" s="347"/>
      <c r="H902" s="168">
        <f t="shared" si="128"/>
        <v>27.22689076</v>
      </c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  <c r="AA902" s="129"/>
      <c r="AB902" s="129"/>
    </row>
    <row r="903">
      <c r="A903" s="128" t="s">
        <v>766</v>
      </c>
      <c r="B903" s="147">
        <v>1190.0</v>
      </c>
      <c r="C903" s="147">
        <v>1514.0</v>
      </c>
      <c r="D903" s="132">
        <f t="shared" si="126"/>
        <v>324</v>
      </c>
      <c r="E903" s="147" t="s">
        <v>629</v>
      </c>
      <c r="F903" s="132">
        <f t="shared" si="127"/>
        <v>1922.78</v>
      </c>
      <c r="G903" s="347"/>
      <c r="H903" s="168">
        <f t="shared" si="128"/>
        <v>27.22689076</v>
      </c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  <c r="AA903" s="129"/>
      <c r="AB903" s="129"/>
    </row>
    <row r="904">
      <c r="A904" s="128" t="s">
        <v>766</v>
      </c>
      <c r="B904" s="147">
        <v>1190.0</v>
      </c>
      <c r="C904" s="147">
        <v>1514.0</v>
      </c>
      <c r="D904" s="132">
        <f t="shared" si="126"/>
        <v>324</v>
      </c>
      <c r="E904" s="147" t="s">
        <v>629</v>
      </c>
      <c r="F904" s="132">
        <f t="shared" si="127"/>
        <v>1922.78</v>
      </c>
      <c r="G904" s="347"/>
      <c r="H904" s="168">
        <f t="shared" si="128"/>
        <v>27.22689076</v>
      </c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  <c r="AA904" s="129"/>
      <c r="AB904" s="129"/>
    </row>
    <row r="905">
      <c r="A905" s="150" t="s">
        <v>754</v>
      </c>
      <c r="B905" s="147">
        <v>1490.0</v>
      </c>
      <c r="C905" s="147">
        <v>1874.0</v>
      </c>
      <c r="D905" s="132">
        <f t="shared" si="126"/>
        <v>384</v>
      </c>
      <c r="E905" s="147" t="s">
        <v>629</v>
      </c>
      <c r="F905" s="132">
        <f t="shared" si="127"/>
        <v>2379.98</v>
      </c>
      <c r="G905" s="337"/>
      <c r="H905" s="168">
        <f t="shared" si="128"/>
        <v>25.77181208</v>
      </c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  <c r="AA905" s="129"/>
      <c r="AB905" s="129"/>
    </row>
    <row r="906">
      <c r="A906" s="150" t="s">
        <v>754</v>
      </c>
      <c r="B906" s="147">
        <v>1490.0</v>
      </c>
      <c r="C906" s="147">
        <v>1874.0</v>
      </c>
      <c r="D906" s="132">
        <f t="shared" si="126"/>
        <v>384</v>
      </c>
      <c r="E906" s="147" t="s">
        <v>629</v>
      </c>
      <c r="F906" s="132">
        <f t="shared" si="127"/>
        <v>2379.98</v>
      </c>
      <c r="G906" s="337"/>
      <c r="H906" s="168">
        <f t="shared" si="128"/>
        <v>25.77181208</v>
      </c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  <c r="AA906" s="129"/>
      <c r="AB906" s="129"/>
    </row>
    <row r="907">
      <c r="A907" s="128" t="s">
        <v>782</v>
      </c>
      <c r="B907" s="147">
        <v>1040.0</v>
      </c>
      <c r="C907" s="147">
        <v>1432.0</v>
      </c>
      <c r="D907" s="132">
        <f t="shared" si="126"/>
        <v>392</v>
      </c>
      <c r="E907" s="147" t="s">
        <v>629</v>
      </c>
      <c r="F907" s="132">
        <f t="shared" si="127"/>
        <v>1818.64</v>
      </c>
      <c r="G907" s="337"/>
      <c r="H907" s="168">
        <f t="shared" si="128"/>
        <v>37.69230769</v>
      </c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  <c r="AA907" s="129"/>
      <c r="AB907" s="129"/>
    </row>
    <row r="908">
      <c r="A908" s="150" t="s">
        <v>754</v>
      </c>
      <c r="B908" s="147">
        <v>1490.0</v>
      </c>
      <c r="C908" s="147">
        <v>1873.5</v>
      </c>
      <c r="D908" s="132">
        <f t="shared" si="126"/>
        <v>383.5</v>
      </c>
      <c r="E908" s="147" t="s">
        <v>629</v>
      </c>
      <c r="F908" s="132">
        <f t="shared" si="127"/>
        <v>2379.345</v>
      </c>
      <c r="G908" s="347"/>
      <c r="H908" s="168">
        <f t="shared" si="128"/>
        <v>25.73825503</v>
      </c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  <c r="AA908" s="129"/>
      <c r="AB908" s="129"/>
    </row>
    <row r="909">
      <c r="A909" s="150" t="s">
        <v>754</v>
      </c>
      <c r="B909" s="147">
        <v>1490.0</v>
      </c>
      <c r="C909" s="147">
        <v>1873.5</v>
      </c>
      <c r="D909" s="132">
        <f t="shared" si="126"/>
        <v>383.5</v>
      </c>
      <c r="E909" s="147" t="s">
        <v>629</v>
      </c>
      <c r="F909" s="132">
        <f t="shared" si="127"/>
        <v>2379.345</v>
      </c>
      <c r="G909" s="337"/>
      <c r="H909" s="168">
        <f t="shared" si="128"/>
        <v>25.73825503</v>
      </c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  <c r="AA909" s="129"/>
      <c r="AB909" s="129"/>
    </row>
    <row r="910">
      <c r="A910" s="150" t="s">
        <v>754</v>
      </c>
      <c r="B910" s="147">
        <v>1490.0</v>
      </c>
      <c r="C910" s="147">
        <v>1873.5</v>
      </c>
      <c r="D910" s="132">
        <f t="shared" si="126"/>
        <v>383.5</v>
      </c>
      <c r="E910" s="147" t="s">
        <v>629</v>
      </c>
      <c r="F910" s="132">
        <f t="shared" si="127"/>
        <v>2379.345</v>
      </c>
      <c r="G910" s="337"/>
      <c r="H910" s="168">
        <f t="shared" si="128"/>
        <v>25.73825503</v>
      </c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  <c r="AA910" s="129"/>
      <c r="AB910" s="129"/>
    </row>
    <row r="911">
      <c r="A911" s="150" t="s">
        <v>754</v>
      </c>
      <c r="B911" s="147">
        <v>1490.0</v>
      </c>
      <c r="C911" s="147">
        <v>1873.5</v>
      </c>
      <c r="D911" s="132">
        <f t="shared" si="126"/>
        <v>383.5</v>
      </c>
      <c r="E911" s="147" t="s">
        <v>629</v>
      </c>
      <c r="F911" s="132">
        <f t="shared" si="127"/>
        <v>2379.345</v>
      </c>
      <c r="G911" s="337"/>
      <c r="H911" s="168">
        <f t="shared" si="128"/>
        <v>25.73825503</v>
      </c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  <c r="AA911" s="129"/>
      <c r="AB911" s="129"/>
    </row>
    <row r="912">
      <c r="A912" s="123" t="s">
        <v>919</v>
      </c>
      <c r="B912" s="124">
        <v>1140.0</v>
      </c>
      <c r="C912" s="124">
        <v>1628.0</v>
      </c>
      <c r="D912" s="132">
        <f t="shared" si="126"/>
        <v>488</v>
      </c>
      <c r="E912" s="147" t="s">
        <v>557</v>
      </c>
      <c r="F912" s="127">
        <f t="shared" si="127"/>
        <v>2067.56</v>
      </c>
      <c r="G912" s="231"/>
      <c r="H912" s="168">
        <f t="shared" si="128"/>
        <v>42.80701754</v>
      </c>
    </row>
    <row r="913">
      <c r="A913" s="128" t="s">
        <v>766</v>
      </c>
      <c r="B913" s="147">
        <v>1190.0</v>
      </c>
      <c r="C913" s="147">
        <v>1513.5</v>
      </c>
      <c r="D913" s="132">
        <f t="shared" si="126"/>
        <v>323.5</v>
      </c>
      <c r="E913" s="147" t="s">
        <v>629</v>
      </c>
      <c r="F913" s="132">
        <f t="shared" si="127"/>
        <v>1922.145</v>
      </c>
      <c r="G913" s="347"/>
      <c r="H913" s="168">
        <f t="shared" si="128"/>
        <v>27.18487395</v>
      </c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  <c r="AA913" s="129"/>
      <c r="AB913" s="129"/>
    </row>
    <row r="914">
      <c r="A914" s="128" t="s">
        <v>766</v>
      </c>
      <c r="B914" s="147">
        <v>1190.0</v>
      </c>
      <c r="C914" s="147">
        <v>1513.5</v>
      </c>
      <c r="D914" s="132">
        <f t="shared" si="126"/>
        <v>323.5</v>
      </c>
      <c r="E914" s="147" t="s">
        <v>629</v>
      </c>
      <c r="F914" s="132">
        <f t="shared" si="127"/>
        <v>1922.145</v>
      </c>
      <c r="G914" s="347"/>
      <c r="H914" s="168">
        <f t="shared" si="128"/>
        <v>27.18487395</v>
      </c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  <c r="AA914" s="129"/>
      <c r="AB914" s="129"/>
    </row>
    <row r="915">
      <c r="A915" s="128" t="s">
        <v>766</v>
      </c>
      <c r="B915" s="147">
        <v>1190.0</v>
      </c>
      <c r="C915" s="147">
        <v>1513.5</v>
      </c>
      <c r="D915" s="132">
        <f t="shared" si="126"/>
        <v>323.5</v>
      </c>
      <c r="E915" s="147" t="s">
        <v>629</v>
      </c>
      <c r="F915" s="132">
        <f t="shared" si="127"/>
        <v>1922.145</v>
      </c>
      <c r="G915" s="347"/>
      <c r="H915" s="168">
        <f t="shared" si="128"/>
        <v>27.18487395</v>
      </c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  <c r="AA915" s="129"/>
      <c r="AB915" s="129"/>
    </row>
    <row r="916">
      <c r="A916" s="128" t="s">
        <v>766</v>
      </c>
      <c r="B916" s="147">
        <v>1190.0</v>
      </c>
      <c r="C916" s="147">
        <v>1513.5</v>
      </c>
      <c r="D916" s="132">
        <f t="shared" si="126"/>
        <v>323.5</v>
      </c>
      <c r="E916" s="147" t="s">
        <v>629</v>
      </c>
      <c r="F916" s="132">
        <f t="shared" si="127"/>
        <v>1922.145</v>
      </c>
      <c r="G916" s="347"/>
      <c r="H916" s="168">
        <f t="shared" si="128"/>
        <v>27.18487395</v>
      </c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  <c r="AA916" s="129"/>
      <c r="AB916" s="129"/>
    </row>
    <row r="917">
      <c r="A917" s="150" t="s">
        <v>874</v>
      </c>
      <c r="B917" s="147">
        <v>1740.0</v>
      </c>
      <c r="C917" s="147">
        <v>1955.5</v>
      </c>
      <c r="D917" s="132">
        <f t="shared" si="126"/>
        <v>215.5</v>
      </c>
      <c r="E917" s="147" t="s">
        <v>629</v>
      </c>
      <c r="F917" s="132">
        <f t="shared" si="127"/>
        <v>2483.485</v>
      </c>
      <c r="G917" s="337"/>
      <c r="H917" s="168">
        <f t="shared" si="128"/>
        <v>12.38505747</v>
      </c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  <c r="AA917" s="129"/>
      <c r="AB917" s="129"/>
    </row>
    <row r="918">
      <c r="A918" s="150" t="s">
        <v>874</v>
      </c>
      <c r="B918" s="147">
        <v>1740.0</v>
      </c>
      <c r="C918" s="147">
        <v>1955.5</v>
      </c>
      <c r="D918" s="132">
        <f t="shared" si="126"/>
        <v>215.5</v>
      </c>
      <c r="E918" s="147" t="s">
        <v>629</v>
      </c>
      <c r="F918" s="132">
        <f t="shared" si="127"/>
        <v>2483.485</v>
      </c>
      <c r="G918" s="337"/>
      <c r="H918" s="168">
        <f t="shared" si="128"/>
        <v>12.38505747</v>
      </c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</row>
    <row r="919">
      <c r="A919" s="128" t="s">
        <v>920</v>
      </c>
      <c r="B919" s="147">
        <v>3490.0</v>
      </c>
      <c r="C919" s="147">
        <v>4573.0</v>
      </c>
      <c r="D919" s="132">
        <f t="shared" si="126"/>
        <v>1083</v>
      </c>
      <c r="E919" s="147" t="s">
        <v>557</v>
      </c>
      <c r="F919" s="132">
        <f t="shared" si="127"/>
        <v>5807.71</v>
      </c>
      <c r="G919" s="337"/>
      <c r="H919" s="168">
        <f t="shared" si="128"/>
        <v>31.03151862</v>
      </c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</row>
    <row r="920">
      <c r="A920" s="150" t="s">
        <v>754</v>
      </c>
      <c r="B920" s="147">
        <v>1490.0</v>
      </c>
      <c r="C920" s="147">
        <v>1872.0</v>
      </c>
      <c r="D920" s="132">
        <f t="shared" si="126"/>
        <v>382</v>
      </c>
      <c r="E920" s="147" t="s">
        <v>629</v>
      </c>
      <c r="F920" s="132">
        <f t="shared" si="127"/>
        <v>2377.44</v>
      </c>
      <c r="G920" s="337"/>
      <c r="H920" s="168">
        <f t="shared" si="128"/>
        <v>25.63758389</v>
      </c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  <c r="AA920" s="129"/>
      <c r="AB920" s="129"/>
    </row>
    <row r="921">
      <c r="A921" s="150" t="s">
        <v>754</v>
      </c>
      <c r="B921" s="147">
        <v>1490.0</v>
      </c>
      <c r="C921" s="147">
        <v>1872.0</v>
      </c>
      <c r="D921" s="132">
        <f t="shared" si="126"/>
        <v>382</v>
      </c>
      <c r="E921" s="147" t="s">
        <v>629</v>
      </c>
      <c r="F921" s="132">
        <f t="shared" si="127"/>
        <v>2377.44</v>
      </c>
      <c r="G921" s="337"/>
      <c r="H921" s="168">
        <f t="shared" si="128"/>
        <v>25.63758389</v>
      </c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</row>
    <row r="922">
      <c r="A922" s="128" t="s">
        <v>766</v>
      </c>
      <c r="B922" s="147">
        <v>1190.0</v>
      </c>
      <c r="C922" s="147">
        <v>1465.0</v>
      </c>
      <c r="D922" s="132">
        <f t="shared" si="126"/>
        <v>275</v>
      </c>
      <c r="E922" s="147" t="s">
        <v>629</v>
      </c>
      <c r="F922" s="132">
        <f t="shared" si="127"/>
        <v>1860.55</v>
      </c>
      <c r="G922" s="347"/>
      <c r="H922" s="168">
        <f t="shared" si="128"/>
        <v>23.1092437</v>
      </c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</row>
    <row r="923">
      <c r="A923" s="128" t="s">
        <v>766</v>
      </c>
      <c r="B923" s="147">
        <v>1190.0</v>
      </c>
      <c r="C923" s="147">
        <v>1465.0</v>
      </c>
      <c r="D923" s="132">
        <f t="shared" si="126"/>
        <v>275</v>
      </c>
      <c r="E923" s="147" t="s">
        <v>629</v>
      </c>
      <c r="F923" s="132">
        <f t="shared" si="127"/>
        <v>1860.55</v>
      </c>
      <c r="G923" s="347"/>
      <c r="H923" s="168">
        <f t="shared" si="128"/>
        <v>23.1092437</v>
      </c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</row>
    <row r="924">
      <c r="A924" s="128" t="s">
        <v>766</v>
      </c>
      <c r="B924" s="147">
        <v>1190.0</v>
      </c>
      <c r="C924" s="147">
        <v>1464.0</v>
      </c>
      <c r="D924" s="132">
        <f t="shared" si="126"/>
        <v>274</v>
      </c>
      <c r="E924" s="147" t="s">
        <v>629</v>
      </c>
      <c r="F924" s="132">
        <f t="shared" si="127"/>
        <v>1859.28</v>
      </c>
      <c r="G924" s="347"/>
      <c r="H924" s="168">
        <f t="shared" si="128"/>
        <v>23.02521008</v>
      </c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</row>
    <row r="925">
      <c r="A925" s="128" t="s">
        <v>766</v>
      </c>
      <c r="B925" s="147">
        <v>1190.0</v>
      </c>
      <c r="C925" s="147">
        <v>1465.0</v>
      </c>
      <c r="D925" s="132">
        <f t="shared" si="126"/>
        <v>275</v>
      </c>
      <c r="E925" s="147" t="s">
        <v>629</v>
      </c>
      <c r="F925" s="132">
        <f t="shared" si="127"/>
        <v>1860.55</v>
      </c>
      <c r="G925" s="347"/>
      <c r="H925" s="168">
        <f t="shared" si="128"/>
        <v>23.1092437</v>
      </c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</row>
    <row r="926">
      <c r="A926" s="128" t="s">
        <v>766</v>
      </c>
      <c r="B926" s="147">
        <v>1190.0</v>
      </c>
      <c r="C926" s="147">
        <v>1465.0</v>
      </c>
      <c r="D926" s="132">
        <f t="shared" si="126"/>
        <v>275</v>
      </c>
      <c r="E926" s="147" t="s">
        <v>629</v>
      </c>
      <c r="F926" s="132">
        <f t="shared" si="127"/>
        <v>1860.55</v>
      </c>
      <c r="G926" s="347"/>
      <c r="H926" s="168">
        <f t="shared" si="128"/>
        <v>23.1092437</v>
      </c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</row>
    <row r="927">
      <c r="A927" s="128" t="s">
        <v>782</v>
      </c>
      <c r="B927" s="147">
        <v>1040.0</v>
      </c>
      <c r="C927" s="147">
        <v>1432.0</v>
      </c>
      <c r="D927" s="132">
        <f t="shared" si="126"/>
        <v>392</v>
      </c>
      <c r="E927" s="147" t="s">
        <v>629</v>
      </c>
      <c r="F927" s="132">
        <f t="shared" si="127"/>
        <v>1818.64</v>
      </c>
      <c r="G927" s="337"/>
      <c r="H927" s="168">
        <f t="shared" si="128"/>
        <v>37.69230769</v>
      </c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</row>
    <row r="928">
      <c r="A928" s="150" t="s">
        <v>754</v>
      </c>
      <c r="B928" s="147">
        <v>1490.0</v>
      </c>
      <c r="C928" s="147">
        <v>1872.0</v>
      </c>
      <c r="D928" s="132">
        <f t="shared" si="126"/>
        <v>382</v>
      </c>
      <c r="E928" s="147" t="s">
        <v>629</v>
      </c>
      <c r="F928" s="132">
        <f t="shared" si="127"/>
        <v>2377.44</v>
      </c>
      <c r="G928" s="347"/>
      <c r="H928" s="168">
        <f t="shared" si="128"/>
        <v>25.63758389</v>
      </c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</row>
    <row r="929">
      <c r="A929" s="150" t="s">
        <v>754</v>
      </c>
      <c r="B929" s="147">
        <v>1490.0</v>
      </c>
      <c r="C929" s="147">
        <v>1873.5</v>
      </c>
      <c r="D929" s="132">
        <f t="shared" si="126"/>
        <v>383.5</v>
      </c>
      <c r="E929" s="147" t="s">
        <v>629</v>
      </c>
      <c r="F929" s="132">
        <f t="shared" si="127"/>
        <v>2379.345</v>
      </c>
      <c r="G929" s="347"/>
      <c r="H929" s="168">
        <f t="shared" si="128"/>
        <v>25.73825503</v>
      </c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</row>
    <row r="930">
      <c r="A930" s="150" t="s">
        <v>754</v>
      </c>
      <c r="B930" s="147">
        <v>1490.0</v>
      </c>
      <c r="C930" s="147">
        <v>1873.5</v>
      </c>
      <c r="D930" s="132">
        <f t="shared" si="126"/>
        <v>383.5</v>
      </c>
      <c r="E930" s="147" t="s">
        <v>629</v>
      </c>
      <c r="F930" s="132">
        <f t="shared" si="127"/>
        <v>2379.345</v>
      </c>
      <c r="G930" s="347"/>
      <c r="H930" s="168">
        <f t="shared" si="128"/>
        <v>25.73825503</v>
      </c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</row>
    <row r="931">
      <c r="A931" s="388" t="s">
        <v>921</v>
      </c>
      <c r="B931" s="132">
        <v>390.0</v>
      </c>
      <c r="C931" s="147">
        <v>1432.0</v>
      </c>
      <c r="D931" s="132">
        <f t="shared" si="126"/>
        <v>1042</v>
      </c>
      <c r="E931" s="147" t="s">
        <v>805</v>
      </c>
      <c r="F931" s="132">
        <f t="shared" si="127"/>
        <v>1818.64</v>
      </c>
      <c r="G931" s="337"/>
      <c r="H931" s="168">
        <f t="shared" si="128"/>
        <v>267.1794872</v>
      </c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</row>
    <row r="932">
      <c r="A932" s="128" t="s">
        <v>922</v>
      </c>
      <c r="B932" s="132">
        <v>1.0</v>
      </c>
      <c r="C932" s="132">
        <v>0.0</v>
      </c>
      <c r="D932" s="132">
        <f t="shared" si="126"/>
        <v>-1</v>
      </c>
      <c r="E932" s="147" t="s">
        <v>805</v>
      </c>
      <c r="F932" s="132">
        <f t="shared" si="127"/>
        <v>0</v>
      </c>
      <c r="G932" s="337"/>
      <c r="H932" s="168">
        <f t="shared" si="128"/>
        <v>-100</v>
      </c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  <c r="AA932" s="129"/>
      <c r="AB932" s="129"/>
    </row>
    <row r="933">
      <c r="A933" s="128" t="s">
        <v>782</v>
      </c>
      <c r="B933" s="147">
        <v>1040.0</v>
      </c>
      <c r="C933" s="147">
        <v>1432.0</v>
      </c>
      <c r="D933" s="132">
        <f t="shared" si="126"/>
        <v>392</v>
      </c>
      <c r="E933" s="147" t="s">
        <v>629</v>
      </c>
      <c r="F933" s="132">
        <f t="shared" si="127"/>
        <v>1818.64</v>
      </c>
      <c r="G933" s="337"/>
      <c r="H933" s="168">
        <f t="shared" si="128"/>
        <v>37.69230769</v>
      </c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  <c r="AA933" s="129"/>
      <c r="AB933" s="129"/>
    </row>
    <row r="934">
      <c r="A934" s="150" t="s">
        <v>754</v>
      </c>
      <c r="B934" s="147">
        <v>1490.0</v>
      </c>
      <c r="C934" s="147">
        <v>1872.0</v>
      </c>
      <c r="D934" s="132">
        <f t="shared" si="126"/>
        <v>382</v>
      </c>
      <c r="E934" s="147" t="s">
        <v>629</v>
      </c>
      <c r="F934" s="132">
        <f t="shared" si="127"/>
        <v>2377.44</v>
      </c>
      <c r="G934" s="347"/>
      <c r="H934" s="168">
        <f t="shared" si="128"/>
        <v>25.63758389</v>
      </c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  <c r="AA934" s="129"/>
      <c r="AB934" s="129"/>
    </row>
    <row r="935">
      <c r="A935" s="128" t="s">
        <v>923</v>
      </c>
      <c r="B935" s="147">
        <v>3790.0</v>
      </c>
      <c r="C935" s="147">
        <v>4900.0</v>
      </c>
      <c r="D935" s="132">
        <f t="shared" si="126"/>
        <v>1110</v>
      </c>
      <c r="E935" s="147" t="s">
        <v>557</v>
      </c>
      <c r="F935" s="132">
        <f t="shared" si="127"/>
        <v>6223</v>
      </c>
      <c r="G935" s="337"/>
      <c r="H935" s="168">
        <f t="shared" si="128"/>
        <v>29.28759894</v>
      </c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  <c r="AA935" s="129"/>
      <c r="AB935" s="129"/>
    </row>
    <row r="936">
      <c r="A936" s="123" t="s">
        <v>924</v>
      </c>
      <c r="B936" s="147">
        <v>2190.0</v>
      </c>
      <c r="C936" s="147">
        <v>2856.0</v>
      </c>
      <c r="D936" s="132">
        <f t="shared" si="126"/>
        <v>666</v>
      </c>
      <c r="E936" s="147" t="s">
        <v>557</v>
      </c>
      <c r="F936" s="127">
        <f t="shared" si="127"/>
        <v>3627.12</v>
      </c>
      <c r="G936" s="231"/>
      <c r="H936" s="168">
        <f t="shared" si="128"/>
        <v>30.4109589</v>
      </c>
    </row>
    <row r="937">
      <c r="A937" s="123" t="s">
        <v>925</v>
      </c>
      <c r="B937" s="124">
        <v>1140.0</v>
      </c>
      <c r="C937" s="124">
        <v>1628.0</v>
      </c>
      <c r="D937" s="132">
        <f t="shared" si="126"/>
        <v>488</v>
      </c>
      <c r="E937" s="147" t="s">
        <v>557</v>
      </c>
      <c r="F937" s="127">
        <f t="shared" si="127"/>
        <v>2067.56</v>
      </c>
      <c r="G937" s="231"/>
      <c r="H937" s="168">
        <f t="shared" si="128"/>
        <v>42.80701754</v>
      </c>
    </row>
    <row r="938">
      <c r="A938" s="150" t="s">
        <v>874</v>
      </c>
      <c r="B938" s="147">
        <v>1740.0</v>
      </c>
      <c r="C938" s="147">
        <v>2036.0</v>
      </c>
      <c r="D938" s="132">
        <f t="shared" si="126"/>
        <v>296</v>
      </c>
      <c r="E938" s="147" t="s">
        <v>629</v>
      </c>
      <c r="F938" s="132">
        <f t="shared" si="127"/>
        <v>2585.72</v>
      </c>
      <c r="G938" s="337"/>
      <c r="H938" s="168">
        <f t="shared" si="128"/>
        <v>17.01149425</v>
      </c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  <c r="AA938" s="129"/>
      <c r="AB938" s="129"/>
    </row>
    <row r="939">
      <c r="A939" s="128" t="s">
        <v>766</v>
      </c>
      <c r="B939" s="147">
        <v>1190.0</v>
      </c>
      <c r="C939" s="147">
        <v>1628.0</v>
      </c>
      <c r="D939" s="132">
        <f t="shared" si="126"/>
        <v>438</v>
      </c>
      <c r="E939" s="147" t="s">
        <v>629</v>
      </c>
      <c r="F939" s="132">
        <f t="shared" si="127"/>
        <v>2067.56</v>
      </c>
      <c r="G939" s="347"/>
      <c r="H939" s="168">
        <f t="shared" si="128"/>
        <v>36.80672269</v>
      </c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  <c r="AA939" s="129"/>
      <c r="AB939" s="129"/>
    </row>
    <row r="940">
      <c r="A940" s="128" t="s">
        <v>926</v>
      </c>
      <c r="B940" s="147">
        <v>3190.0</v>
      </c>
      <c r="C940" s="147">
        <v>4573.0</v>
      </c>
      <c r="D940" s="132">
        <f t="shared" si="126"/>
        <v>1383</v>
      </c>
      <c r="E940" s="147" t="s">
        <v>557</v>
      </c>
      <c r="F940" s="132">
        <f t="shared" si="127"/>
        <v>5807.71</v>
      </c>
      <c r="G940" s="337"/>
      <c r="H940" s="168">
        <f t="shared" si="128"/>
        <v>43.35423197</v>
      </c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  <c r="AA940" s="129"/>
      <c r="AB940" s="129"/>
    </row>
    <row r="941">
      <c r="A941" s="150" t="s">
        <v>754</v>
      </c>
      <c r="B941" s="147">
        <v>1590.0</v>
      </c>
      <c r="C941" s="147">
        <v>2003.0</v>
      </c>
      <c r="D941" s="132">
        <f t="shared" si="126"/>
        <v>413</v>
      </c>
      <c r="E941" s="147" t="s">
        <v>629</v>
      </c>
      <c r="F941" s="132">
        <f t="shared" si="127"/>
        <v>2543.81</v>
      </c>
      <c r="G941" s="347"/>
      <c r="H941" s="168">
        <f t="shared" si="128"/>
        <v>25.97484277</v>
      </c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  <c r="AA941" s="129"/>
      <c r="AB941" s="129"/>
    </row>
    <row r="942">
      <c r="A942" s="150" t="s">
        <v>754</v>
      </c>
      <c r="B942" s="147">
        <v>1590.0</v>
      </c>
      <c r="C942" s="147">
        <v>2003.0</v>
      </c>
      <c r="D942" s="132">
        <f t="shared" si="126"/>
        <v>413</v>
      </c>
      <c r="E942" s="147" t="s">
        <v>629</v>
      </c>
      <c r="F942" s="132">
        <f t="shared" si="127"/>
        <v>2543.81</v>
      </c>
      <c r="G942" s="347"/>
      <c r="H942" s="168">
        <f t="shared" si="128"/>
        <v>25.97484277</v>
      </c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  <c r="AA942" s="129"/>
      <c r="AB942" s="129"/>
    </row>
    <row r="943">
      <c r="A943" s="384" t="s">
        <v>927</v>
      </c>
      <c r="B943" s="132">
        <v>390.0</v>
      </c>
      <c r="C943" s="147">
        <v>1432.0</v>
      </c>
      <c r="D943" s="132">
        <f t="shared" si="126"/>
        <v>1042</v>
      </c>
      <c r="E943" s="147" t="s">
        <v>805</v>
      </c>
      <c r="F943" s="132">
        <f t="shared" si="127"/>
        <v>1818.64</v>
      </c>
      <c r="G943" s="337"/>
      <c r="H943" s="168">
        <f t="shared" si="128"/>
        <v>267.1794872</v>
      </c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  <c r="AA943" s="129"/>
      <c r="AB943" s="129"/>
    </row>
    <row r="944">
      <c r="A944" s="128" t="s">
        <v>928</v>
      </c>
      <c r="B944" s="132">
        <v>1.0</v>
      </c>
      <c r="C944" s="132">
        <v>0.0</v>
      </c>
      <c r="D944" s="132">
        <f t="shared" si="126"/>
        <v>-1</v>
      </c>
      <c r="E944" s="147" t="s">
        <v>805</v>
      </c>
      <c r="F944" s="132">
        <f t="shared" si="127"/>
        <v>0</v>
      </c>
      <c r="G944" s="337"/>
      <c r="H944" s="168">
        <f t="shared" si="128"/>
        <v>-100</v>
      </c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  <c r="AA944" s="129"/>
      <c r="AB944" s="129"/>
    </row>
    <row r="945">
      <c r="A945" s="150" t="s">
        <v>754</v>
      </c>
      <c r="B945" s="147">
        <v>1590.0</v>
      </c>
      <c r="C945" s="147">
        <v>2040.0</v>
      </c>
      <c r="D945" s="132">
        <f t="shared" si="126"/>
        <v>450</v>
      </c>
      <c r="E945" s="147" t="s">
        <v>629</v>
      </c>
      <c r="F945" s="132">
        <f t="shared" si="127"/>
        <v>2590.8</v>
      </c>
      <c r="G945" s="337"/>
      <c r="H945" s="168">
        <f t="shared" si="128"/>
        <v>28.30188679</v>
      </c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  <c r="AA945" s="129"/>
      <c r="AB945" s="129"/>
    </row>
    <row r="946">
      <c r="A946" s="128" t="s">
        <v>929</v>
      </c>
      <c r="B946" s="147">
        <v>2990.0</v>
      </c>
      <c r="C946" s="147">
        <v>6128.0</v>
      </c>
      <c r="D946" s="132">
        <f t="shared" si="126"/>
        <v>3138</v>
      </c>
      <c r="E946" s="147" t="s">
        <v>557</v>
      </c>
      <c r="F946" s="127">
        <f t="shared" si="127"/>
        <v>7782.56</v>
      </c>
      <c r="G946" s="231"/>
      <c r="H946" s="168">
        <f t="shared" si="128"/>
        <v>104.9498328</v>
      </c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  <c r="AA946" s="129"/>
      <c r="AB946" s="129"/>
    </row>
    <row r="947">
      <c r="A947" s="128" t="s">
        <v>930</v>
      </c>
      <c r="B947" s="147">
        <v>1390.0</v>
      </c>
      <c r="C947" s="147">
        <v>1595.0</v>
      </c>
      <c r="D947" s="132">
        <f t="shared" si="126"/>
        <v>205</v>
      </c>
      <c r="E947" s="147" t="s">
        <v>629</v>
      </c>
      <c r="F947" s="127">
        <f t="shared" si="127"/>
        <v>2025.65</v>
      </c>
      <c r="G947" s="231"/>
      <c r="H947" s="168">
        <f t="shared" si="128"/>
        <v>14.74820144</v>
      </c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  <c r="AA947" s="129"/>
      <c r="AB947" s="129"/>
    </row>
    <row r="948">
      <c r="A948" s="128" t="s">
        <v>930</v>
      </c>
      <c r="B948" s="147">
        <v>1390.0</v>
      </c>
      <c r="C948" s="147">
        <v>1595.5</v>
      </c>
      <c r="D948" s="132">
        <f t="shared" si="126"/>
        <v>205.5</v>
      </c>
      <c r="E948" s="147" t="s">
        <v>629</v>
      </c>
      <c r="F948" s="127">
        <f t="shared" si="127"/>
        <v>2026.285</v>
      </c>
      <c r="G948" s="231"/>
      <c r="H948" s="168">
        <f t="shared" si="128"/>
        <v>14.78417266</v>
      </c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  <c r="AA948" s="129"/>
      <c r="AB948" s="129"/>
    </row>
    <row r="949">
      <c r="A949" s="128" t="s">
        <v>930</v>
      </c>
      <c r="B949" s="147">
        <v>1340.0</v>
      </c>
      <c r="C949" s="147">
        <v>1595.5</v>
      </c>
      <c r="D949" s="132">
        <f t="shared" si="126"/>
        <v>255.5</v>
      </c>
      <c r="E949" s="147" t="s">
        <v>629</v>
      </c>
      <c r="F949" s="127">
        <f t="shared" si="127"/>
        <v>2026.285</v>
      </c>
      <c r="G949" s="231"/>
      <c r="H949" s="168">
        <f t="shared" si="128"/>
        <v>19.06716418</v>
      </c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  <c r="AA949" s="129"/>
      <c r="AB949" s="129"/>
    </row>
    <row r="950">
      <c r="A950" s="385" t="s">
        <v>931</v>
      </c>
      <c r="B950" s="147">
        <v>440.0</v>
      </c>
      <c r="C950" s="147">
        <v>1432.0</v>
      </c>
      <c r="D950" s="132">
        <f t="shared" si="126"/>
        <v>992</v>
      </c>
      <c r="E950" s="147" t="s">
        <v>805</v>
      </c>
      <c r="F950" s="127">
        <f t="shared" si="127"/>
        <v>1818.64</v>
      </c>
      <c r="G950" s="231"/>
      <c r="H950" s="168">
        <f t="shared" si="128"/>
        <v>225.4545455</v>
      </c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  <c r="AA950" s="129"/>
      <c r="AB950" s="129"/>
    </row>
    <row r="951">
      <c r="A951" s="128" t="s">
        <v>932</v>
      </c>
      <c r="B951" s="132">
        <v>1.0</v>
      </c>
      <c r="C951" s="132">
        <v>0.0</v>
      </c>
      <c r="D951" s="132">
        <f t="shared" si="126"/>
        <v>-1</v>
      </c>
      <c r="E951" s="147" t="s">
        <v>805</v>
      </c>
      <c r="F951" s="132">
        <f t="shared" si="127"/>
        <v>0</v>
      </c>
      <c r="G951" s="337"/>
      <c r="H951" s="168">
        <f t="shared" si="128"/>
        <v>-100</v>
      </c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  <c r="AA951" s="129"/>
      <c r="AB951" s="129"/>
    </row>
    <row r="952">
      <c r="A952" s="128" t="s">
        <v>766</v>
      </c>
      <c r="B952" s="147">
        <v>1190.0</v>
      </c>
      <c r="C952" s="147">
        <v>1595.0</v>
      </c>
      <c r="D952" s="132">
        <f t="shared" si="126"/>
        <v>405</v>
      </c>
      <c r="E952" s="147" t="s">
        <v>629</v>
      </c>
      <c r="F952" s="132">
        <f t="shared" si="127"/>
        <v>2025.65</v>
      </c>
      <c r="G952" s="347"/>
      <c r="H952" s="168">
        <f t="shared" si="128"/>
        <v>34.03361345</v>
      </c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  <c r="AA952" s="129"/>
      <c r="AB952" s="129"/>
    </row>
    <row r="953">
      <c r="A953" s="150" t="s">
        <v>754</v>
      </c>
      <c r="B953" s="147">
        <v>1590.0</v>
      </c>
      <c r="C953" s="147">
        <v>2004.0</v>
      </c>
      <c r="D953" s="132">
        <f t="shared" si="126"/>
        <v>414</v>
      </c>
      <c r="E953" s="147" t="s">
        <v>629</v>
      </c>
      <c r="F953" s="132">
        <f t="shared" si="127"/>
        <v>2545.08</v>
      </c>
      <c r="G953" s="347"/>
      <c r="H953" s="168">
        <f t="shared" si="128"/>
        <v>26.03773585</v>
      </c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  <c r="AA953" s="129"/>
      <c r="AB953" s="129"/>
    </row>
    <row r="954">
      <c r="A954" s="387" t="s">
        <v>933</v>
      </c>
      <c r="B954" s="124">
        <v>3740.0</v>
      </c>
      <c r="C954" s="124">
        <v>1432.0</v>
      </c>
      <c r="D954" s="132">
        <f t="shared" si="126"/>
        <v>-2308</v>
      </c>
      <c r="E954" s="147" t="s">
        <v>805</v>
      </c>
      <c r="F954" s="127">
        <f t="shared" si="127"/>
        <v>1818.64</v>
      </c>
      <c r="G954" s="231"/>
      <c r="H954" s="168">
        <f t="shared" si="128"/>
        <v>-61.71122995</v>
      </c>
    </row>
    <row r="955">
      <c r="A955" s="128" t="s">
        <v>766</v>
      </c>
      <c r="B955" s="147">
        <v>1190.0</v>
      </c>
      <c r="C955" s="147">
        <v>1595.0</v>
      </c>
      <c r="D955" s="132">
        <f t="shared" si="126"/>
        <v>405</v>
      </c>
      <c r="E955" s="147" t="s">
        <v>629</v>
      </c>
      <c r="F955" s="132">
        <f t="shared" si="127"/>
        <v>2025.65</v>
      </c>
      <c r="G955" s="347"/>
      <c r="H955" s="168">
        <f t="shared" si="128"/>
        <v>34.03361345</v>
      </c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  <c r="AA955" s="129"/>
      <c r="AB955" s="129"/>
    </row>
    <row r="956">
      <c r="A956" s="338" t="s">
        <v>934</v>
      </c>
      <c r="B956" s="132">
        <v>1190.0</v>
      </c>
      <c r="C956" s="147">
        <v>1432.0</v>
      </c>
      <c r="D956" s="132">
        <f t="shared" si="126"/>
        <v>242</v>
      </c>
      <c r="E956" s="147" t="s">
        <v>805</v>
      </c>
      <c r="F956" s="132">
        <f t="shared" si="127"/>
        <v>1818.64</v>
      </c>
      <c r="G956" s="337"/>
      <c r="H956" s="168">
        <f t="shared" si="128"/>
        <v>20.33613445</v>
      </c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</row>
    <row r="957">
      <c r="A957" s="385" t="s">
        <v>935</v>
      </c>
      <c r="B957" s="147">
        <v>340.0</v>
      </c>
      <c r="C957" s="147">
        <v>1432.0</v>
      </c>
      <c r="D957" s="132">
        <f t="shared" si="126"/>
        <v>1092</v>
      </c>
      <c r="E957" s="147" t="s">
        <v>805</v>
      </c>
      <c r="F957" s="127">
        <f t="shared" si="127"/>
        <v>1818.64</v>
      </c>
      <c r="G957" s="231"/>
      <c r="H957" s="168">
        <f t="shared" si="128"/>
        <v>321.1764706</v>
      </c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</row>
    <row r="958">
      <c r="A958" s="385" t="s">
        <v>936</v>
      </c>
      <c r="B958" s="147">
        <v>440.0</v>
      </c>
      <c r="C958" s="147">
        <v>1432.0</v>
      </c>
      <c r="D958" s="132">
        <f t="shared" si="126"/>
        <v>992</v>
      </c>
      <c r="E958" s="147" t="s">
        <v>805</v>
      </c>
      <c r="F958" s="127">
        <f t="shared" si="127"/>
        <v>1818.64</v>
      </c>
      <c r="G958" s="231"/>
      <c r="H958" s="168">
        <f t="shared" si="128"/>
        <v>225.4545455</v>
      </c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  <c r="AA958" s="129"/>
      <c r="AB958" s="129"/>
    </row>
    <row r="959">
      <c r="A959" s="387" t="s">
        <v>937</v>
      </c>
      <c r="B959" s="147">
        <v>1190.0</v>
      </c>
      <c r="C959" s="147">
        <v>1432.0</v>
      </c>
      <c r="D959" s="132">
        <f t="shared" si="126"/>
        <v>242</v>
      </c>
      <c r="E959" s="147" t="s">
        <v>805</v>
      </c>
      <c r="F959" s="132">
        <f t="shared" si="127"/>
        <v>1818.64</v>
      </c>
      <c r="G959" s="347"/>
      <c r="H959" s="168">
        <f t="shared" si="128"/>
        <v>20.33613445</v>
      </c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</row>
    <row r="960">
      <c r="A960" s="128" t="s">
        <v>938</v>
      </c>
      <c r="B960" s="132">
        <v>1.0</v>
      </c>
      <c r="C960" s="132">
        <v>0.0</v>
      </c>
      <c r="D960" s="132">
        <f t="shared" si="126"/>
        <v>-1</v>
      </c>
      <c r="E960" s="147" t="s">
        <v>805</v>
      </c>
      <c r="F960" s="132">
        <f t="shared" si="127"/>
        <v>0</v>
      </c>
      <c r="G960" s="337"/>
      <c r="H960" s="168">
        <f t="shared" si="128"/>
        <v>-100</v>
      </c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</row>
    <row r="961">
      <c r="A961" s="128" t="s">
        <v>939</v>
      </c>
      <c r="B961" s="147">
        <v>4790.0</v>
      </c>
      <c r="C961" s="147">
        <v>6128.0</v>
      </c>
      <c r="D961" s="132">
        <f t="shared" si="126"/>
        <v>1338</v>
      </c>
      <c r="E961" s="147" t="s">
        <v>557</v>
      </c>
      <c r="F961" s="132">
        <f t="shared" si="127"/>
        <v>7782.56</v>
      </c>
      <c r="G961" s="337"/>
      <c r="H961" s="168">
        <f t="shared" si="128"/>
        <v>27.93319415</v>
      </c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</row>
    <row r="962">
      <c r="A962" s="390" t="s">
        <v>940</v>
      </c>
      <c r="B962" s="132">
        <v>3740.0</v>
      </c>
      <c r="C962" s="147">
        <v>1432.0</v>
      </c>
      <c r="D962" s="132">
        <f t="shared" si="126"/>
        <v>-2308</v>
      </c>
      <c r="E962" s="147" t="s">
        <v>805</v>
      </c>
      <c r="F962" s="132">
        <f t="shared" si="127"/>
        <v>1818.64</v>
      </c>
      <c r="G962" s="337"/>
      <c r="H962" s="168">
        <f t="shared" si="128"/>
        <v>-61.71122995</v>
      </c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</row>
    <row r="963">
      <c r="A963" s="128" t="s">
        <v>941</v>
      </c>
      <c r="B963" s="147">
        <v>1.0</v>
      </c>
      <c r="C963" s="147">
        <v>0.0</v>
      </c>
      <c r="D963" s="132">
        <f t="shared" si="126"/>
        <v>-1</v>
      </c>
      <c r="E963" s="147" t="s">
        <v>805</v>
      </c>
      <c r="F963" s="132">
        <f t="shared" si="127"/>
        <v>0</v>
      </c>
      <c r="G963" s="231"/>
      <c r="H963" s="168">
        <f t="shared" si="128"/>
        <v>-100</v>
      </c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</row>
    <row r="964">
      <c r="A964" s="128" t="s">
        <v>782</v>
      </c>
      <c r="B964" s="147">
        <v>1040.0</v>
      </c>
      <c r="C964" s="147">
        <v>1431.0</v>
      </c>
      <c r="D964" s="132">
        <f t="shared" si="126"/>
        <v>391</v>
      </c>
      <c r="E964" s="147" t="s">
        <v>629</v>
      </c>
      <c r="F964" s="132">
        <f t="shared" si="127"/>
        <v>1817.37</v>
      </c>
      <c r="G964" s="337"/>
      <c r="H964" s="168">
        <f t="shared" si="128"/>
        <v>37.59615385</v>
      </c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</row>
    <row r="965">
      <c r="A965" s="385" t="s">
        <v>942</v>
      </c>
      <c r="B965" s="147">
        <v>390.0</v>
      </c>
      <c r="C965" s="147">
        <v>1432.0</v>
      </c>
      <c r="D965" s="132">
        <f t="shared" si="126"/>
        <v>1042</v>
      </c>
      <c r="E965" s="147" t="s">
        <v>805</v>
      </c>
      <c r="F965" s="127">
        <f t="shared" si="127"/>
        <v>1818.64</v>
      </c>
      <c r="G965" s="231"/>
      <c r="H965" s="168">
        <f t="shared" si="128"/>
        <v>267.1794872</v>
      </c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</row>
    <row r="966">
      <c r="A966" s="128" t="s">
        <v>943</v>
      </c>
      <c r="B966" s="147">
        <v>1.0</v>
      </c>
      <c r="C966" s="147">
        <v>0.0</v>
      </c>
      <c r="D966" s="132">
        <f t="shared" si="126"/>
        <v>-1</v>
      </c>
      <c r="E966" s="147" t="s">
        <v>805</v>
      </c>
      <c r="F966" s="132">
        <f t="shared" si="127"/>
        <v>0</v>
      </c>
      <c r="G966" s="231"/>
      <c r="H966" s="168">
        <f t="shared" si="128"/>
        <v>-100</v>
      </c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</row>
    <row r="967">
      <c r="A967" s="150" t="s">
        <v>944</v>
      </c>
      <c r="B967" s="147">
        <v>1090.0</v>
      </c>
      <c r="C967" s="147">
        <v>1390.0</v>
      </c>
      <c r="D967" s="132">
        <f t="shared" si="126"/>
        <v>300</v>
      </c>
      <c r="E967" s="147" t="s">
        <v>629</v>
      </c>
      <c r="F967" s="132">
        <f t="shared" si="127"/>
        <v>1765.3</v>
      </c>
      <c r="G967" s="337"/>
      <c r="H967" s="168">
        <f t="shared" si="128"/>
        <v>27.52293578</v>
      </c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</row>
    <row r="968">
      <c r="A968" s="128" t="s">
        <v>945</v>
      </c>
      <c r="B968" s="147">
        <v>7790.0</v>
      </c>
      <c r="C968" s="147">
        <v>10104.0</v>
      </c>
      <c r="D968" s="132">
        <f t="shared" si="126"/>
        <v>2314</v>
      </c>
      <c r="E968" s="147" t="s">
        <v>629</v>
      </c>
      <c r="F968" s="132">
        <f t="shared" si="127"/>
        <v>12832.08</v>
      </c>
      <c r="G968" s="337"/>
      <c r="H968" s="168">
        <f t="shared" si="128"/>
        <v>29.70474968</v>
      </c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</row>
    <row r="969">
      <c r="A969" s="128" t="s">
        <v>946</v>
      </c>
      <c r="B969" s="147">
        <v>2990.0</v>
      </c>
      <c r="C969" s="147">
        <v>4048.0</v>
      </c>
      <c r="D969" s="132">
        <f t="shared" si="126"/>
        <v>1058</v>
      </c>
      <c r="E969" s="147" t="s">
        <v>629</v>
      </c>
      <c r="F969" s="132">
        <f t="shared" si="127"/>
        <v>5140.96</v>
      </c>
      <c r="G969" s="337"/>
      <c r="H969" s="168">
        <f t="shared" si="128"/>
        <v>35.38461538</v>
      </c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</row>
    <row r="970">
      <c r="A970" s="385" t="s">
        <v>947</v>
      </c>
      <c r="B970" s="147">
        <v>290.0</v>
      </c>
      <c r="C970" s="147">
        <v>1432.0</v>
      </c>
      <c r="D970" s="132">
        <f t="shared" si="126"/>
        <v>1142</v>
      </c>
      <c r="E970" s="147" t="s">
        <v>805</v>
      </c>
      <c r="F970" s="132">
        <f t="shared" si="127"/>
        <v>1818.64</v>
      </c>
      <c r="G970" s="337"/>
      <c r="H970" s="168">
        <f t="shared" si="128"/>
        <v>393.7931034</v>
      </c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  <c r="AA970" s="129"/>
      <c r="AB970" s="129"/>
    </row>
    <row r="971">
      <c r="A971" s="128" t="s">
        <v>948</v>
      </c>
      <c r="B971" s="147">
        <v>490.0</v>
      </c>
      <c r="C971" s="147">
        <v>0.0</v>
      </c>
      <c r="D971" s="132">
        <f t="shared" si="126"/>
        <v>-490</v>
      </c>
      <c r="E971" s="147" t="s">
        <v>805</v>
      </c>
      <c r="F971" s="127">
        <f t="shared" si="127"/>
        <v>0</v>
      </c>
      <c r="G971" s="231"/>
      <c r="H971" s="168">
        <f t="shared" si="128"/>
        <v>-100</v>
      </c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  <c r="AA971" s="129"/>
      <c r="AB971" s="129"/>
    </row>
    <row r="972">
      <c r="A972" s="128" t="s">
        <v>949</v>
      </c>
      <c r="B972" s="147">
        <v>1.0</v>
      </c>
      <c r="C972" s="147">
        <v>0.0</v>
      </c>
      <c r="D972" s="132">
        <f t="shared" si="126"/>
        <v>-1</v>
      </c>
      <c r="E972" s="147" t="s">
        <v>805</v>
      </c>
      <c r="F972" s="132">
        <f t="shared" si="127"/>
        <v>0</v>
      </c>
      <c r="G972" s="231"/>
      <c r="H972" s="168">
        <f t="shared" si="128"/>
        <v>-100</v>
      </c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  <c r="AA972" s="129"/>
      <c r="AB972" s="129"/>
    </row>
    <row r="973">
      <c r="A973" s="150" t="s">
        <v>763</v>
      </c>
      <c r="B973" s="147">
        <v>1190.0</v>
      </c>
      <c r="C973" s="147">
        <v>1596.0</v>
      </c>
      <c r="D973" s="132">
        <f t="shared" si="126"/>
        <v>406</v>
      </c>
      <c r="E973" s="147" t="s">
        <v>629</v>
      </c>
      <c r="F973" s="132">
        <f t="shared" si="127"/>
        <v>2026.92</v>
      </c>
      <c r="G973" s="337"/>
      <c r="H973" s="168">
        <f t="shared" si="128"/>
        <v>34.11764706</v>
      </c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  <c r="AA973" s="129"/>
      <c r="AB973" s="129"/>
    </row>
    <row r="974">
      <c r="A974" s="150" t="s">
        <v>763</v>
      </c>
      <c r="B974" s="147">
        <v>1190.0</v>
      </c>
      <c r="C974" s="147">
        <v>1596.0</v>
      </c>
      <c r="D974" s="132">
        <f t="shared" si="126"/>
        <v>406</v>
      </c>
      <c r="E974" s="147" t="s">
        <v>629</v>
      </c>
      <c r="F974" s="132">
        <f t="shared" si="127"/>
        <v>2026.92</v>
      </c>
      <c r="G974" s="347"/>
      <c r="H974" s="168">
        <f t="shared" si="128"/>
        <v>34.11764706</v>
      </c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  <c r="AA974" s="129"/>
      <c r="AB974" s="129"/>
    </row>
    <row r="975">
      <c r="A975" s="150" t="s">
        <v>763</v>
      </c>
      <c r="B975" s="147">
        <v>1190.0</v>
      </c>
      <c r="C975" s="147">
        <v>1595.0</v>
      </c>
      <c r="D975" s="132">
        <f t="shared" si="126"/>
        <v>405</v>
      </c>
      <c r="E975" s="147" t="s">
        <v>629</v>
      </c>
      <c r="F975" s="132">
        <f t="shared" si="127"/>
        <v>2025.65</v>
      </c>
      <c r="G975" s="347"/>
      <c r="H975" s="168">
        <f t="shared" si="128"/>
        <v>34.03361345</v>
      </c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  <c r="AA975" s="129"/>
      <c r="AB975" s="129"/>
    </row>
    <row r="976">
      <c r="A976" s="150" t="s">
        <v>763</v>
      </c>
      <c r="B976" s="147">
        <v>1190.0</v>
      </c>
      <c r="C976" s="147">
        <v>1595.0</v>
      </c>
      <c r="D976" s="132">
        <f t="shared" si="126"/>
        <v>405</v>
      </c>
      <c r="E976" s="147" t="s">
        <v>629</v>
      </c>
      <c r="F976" s="132">
        <f t="shared" si="127"/>
        <v>2025.65</v>
      </c>
      <c r="G976" s="347"/>
      <c r="H976" s="168">
        <f t="shared" si="128"/>
        <v>34.03361345</v>
      </c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  <c r="AA976" s="129"/>
      <c r="AB976" s="129"/>
    </row>
    <row r="977">
      <c r="A977" s="150" t="s">
        <v>754</v>
      </c>
      <c r="B977" s="147">
        <v>1590.0</v>
      </c>
      <c r="C977" s="147">
        <v>2005.0</v>
      </c>
      <c r="D977" s="132">
        <f t="shared" si="126"/>
        <v>415</v>
      </c>
      <c r="E977" s="147" t="s">
        <v>629</v>
      </c>
      <c r="F977" s="132">
        <f t="shared" si="127"/>
        <v>2546.35</v>
      </c>
      <c r="G977" s="347"/>
      <c r="H977" s="168">
        <f t="shared" si="128"/>
        <v>26.10062893</v>
      </c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  <c r="AA977" s="129"/>
      <c r="AB977" s="129"/>
    </row>
    <row r="978">
      <c r="A978" s="150" t="s">
        <v>754</v>
      </c>
      <c r="B978" s="147">
        <v>1590.0</v>
      </c>
      <c r="C978" s="147">
        <v>2004.0</v>
      </c>
      <c r="D978" s="132">
        <f t="shared" si="126"/>
        <v>414</v>
      </c>
      <c r="E978" s="147" t="s">
        <v>629</v>
      </c>
      <c r="F978" s="132">
        <f t="shared" si="127"/>
        <v>2545.08</v>
      </c>
      <c r="G978" s="347"/>
      <c r="H978" s="168">
        <f t="shared" si="128"/>
        <v>26.03773585</v>
      </c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  <c r="AA978" s="129"/>
      <c r="AB978" s="129"/>
    </row>
    <row r="979">
      <c r="A979" s="150" t="s">
        <v>754</v>
      </c>
      <c r="B979" s="147">
        <v>1590.0</v>
      </c>
      <c r="C979" s="147">
        <v>2004.0</v>
      </c>
      <c r="D979" s="132">
        <f t="shared" si="126"/>
        <v>414</v>
      </c>
      <c r="E979" s="147" t="s">
        <v>629</v>
      </c>
      <c r="F979" s="132">
        <f t="shared" si="127"/>
        <v>2545.08</v>
      </c>
      <c r="G979" s="347"/>
      <c r="H979" s="168">
        <f t="shared" si="128"/>
        <v>26.03773585</v>
      </c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  <c r="AA979" s="129"/>
      <c r="AB979" s="129"/>
    </row>
    <row r="980">
      <c r="A980" s="150" t="s">
        <v>754</v>
      </c>
      <c r="B980" s="147">
        <v>1590.0</v>
      </c>
      <c r="C980" s="147">
        <v>2004.0</v>
      </c>
      <c r="D980" s="132">
        <f t="shared" si="126"/>
        <v>414</v>
      </c>
      <c r="E980" s="147" t="s">
        <v>629</v>
      </c>
      <c r="F980" s="132">
        <f t="shared" si="127"/>
        <v>2545.08</v>
      </c>
      <c r="G980" s="347"/>
      <c r="H980" s="168">
        <f t="shared" si="128"/>
        <v>26.03773585</v>
      </c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  <c r="AA980" s="129"/>
      <c r="AB980" s="129"/>
    </row>
    <row r="981">
      <c r="A981" s="150" t="s">
        <v>754</v>
      </c>
      <c r="B981" s="147">
        <v>1590.0</v>
      </c>
      <c r="C981" s="147">
        <v>2003.0</v>
      </c>
      <c r="D981" s="132">
        <f t="shared" si="126"/>
        <v>413</v>
      </c>
      <c r="E981" s="147" t="s">
        <v>629</v>
      </c>
      <c r="F981" s="132">
        <f t="shared" si="127"/>
        <v>2543.81</v>
      </c>
      <c r="G981" s="347"/>
      <c r="H981" s="168">
        <f t="shared" si="128"/>
        <v>25.97484277</v>
      </c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  <c r="AA981" s="129"/>
      <c r="AB981" s="129"/>
    </row>
    <row r="982">
      <c r="A982" s="123" t="s">
        <v>950</v>
      </c>
      <c r="B982" s="124">
        <v>3740.0</v>
      </c>
      <c r="C982" s="124">
        <v>4700.0</v>
      </c>
      <c r="D982" s="132">
        <f t="shared" si="126"/>
        <v>960</v>
      </c>
      <c r="E982" s="147" t="s">
        <v>557</v>
      </c>
      <c r="F982" s="127">
        <f t="shared" si="127"/>
        <v>5969</v>
      </c>
      <c r="G982" s="231"/>
      <c r="H982" s="168">
        <f t="shared" si="128"/>
        <v>25.6684492</v>
      </c>
    </row>
    <row r="983">
      <c r="A983" s="123" t="s">
        <v>951</v>
      </c>
      <c r="B983" s="124">
        <v>840.0</v>
      </c>
      <c r="C983" s="124">
        <v>1174.0</v>
      </c>
      <c r="D983" s="132">
        <f t="shared" si="126"/>
        <v>334</v>
      </c>
      <c r="E983" s="147" t="s">
        <v>557</v>
      </c>
      <c r="F983" s="127">
        <f t="shared" si="127"/>
        <v>1490.98</v>
      </c>
      <c r="G983" s="231"/>
      <c r="H983" s="168">
        <f t="shared" si="128"/>
        <v>39.76190476</v>
      </c>
    </row>
    <row r="984">
      <c r="A984" s="128" t="s">
        <v>753</v>
      </c>
      <c r="B984" s="147">
        <v>1090.0</v>
      </c>
      <c r="C984" s="147">
        <v>1440.0</v>
      </c>
      <c r="D984" s="132">
        <f t="shared" si="126"/>
        <v>350</v>
      </c>
      <c r="E984" s="147" t="s">
        <v>629</v>
      </c>
      <c r="F984" s="132">
        <f t="shared" si="127"/>
        <v>1828.8</v>
      </c>
      <c r="G984" s="231"/>
      <c r="H984" s="168">
        <f t="shared" si="128"/>
        <v>32.11009174</v>
      </c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  <c r="AA984" s="129"/>
      <c r="AB984" s="129"/>
    </row>
    <row r="985">
      <c r="A985" s="128" t="s">
        <v>753</v>
      </c>
      <c r="B985" s="147">
        <v>1090.0</v>
      </c>
      <c r="C985" s="147">
        <v>1440.0</v>
      </c>
      <c r="D985" s="132">
        <f t="shared" si="126"/>
        <v>350</v>
      </c>
      <c r="E985" s="147" t="s">
        <v>629</v>
      </c>
      <c r="F985" s="132">
        <f t="shared" si="127"/>
        <v>1828.8</v>
      </c>
      <c r="G985" s="231"/>
      <c r="H985" s="168">
        <f t="shared" si="128"/>
        <v>32.11009174</v>
      </c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  <c r="AA985" s="129"/>
      <c r="AB985" s="129"/>
    </row>
    <row r="986">
      <c r="A986" s="128" t="s">
        <v>753</v>
      </c>
      <c r="B986" s="147">
        <v>1090.0</v>
      </c>
      <c r="C986" s="147">
        <v>1440.0</v>
      </c>
      <c r="D986" s="132">
        <f t="shared" si="126"/>
        <v>350</v>
      </c>
      <c r="E986" s="147" t="s">
        <v>629</v>
      </c>
      <c r="F986" s="132">
        <f t="shared" si="127"/>
        <v>1828.8</v>
      </c>
      <c r="G986" s="231"/>
      <c r="H986" s="168">
        <f t="shared" si="128"/>
        <v>32.11009174</v>
      </c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  <c r="AA986" s="129"/>
      <c r="AB986" s="129"/>
    </row>
    <row r="987">
      <c r="A987" s="128" t="s">
        <v>753</v>
      </c>
      <c r="B987" s="147">
        <v>1090.0</v>
      </c>
      <c r="C987" s="147">
        <v>1440.0</v>
      </c>
      <c r="D987" s="132">
        <f t="shared" si="126"/>
        <v>350</v>
      </c>
      <c r="E987" s="147" t="s">
        <v>629</v>
      </c>
      <c r="F987" s="132">
        <f t="shared" si="127"/>
        <v>1828.8</v>
      </c>
      <c r="G987" s="231"/>
      <c r="H987" s="168">
        <f t="shared" si="128"/>
        <v>32.11009174</v>
      </c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  <c r="AA987" s="129"/>
      <c r="AB987" s="129"/>
    </row>
    <row r="988">
      <c r="A988" s="128" t="s">
        <v>753</v>
      </c>
      <c r="B988" s="147">
        <v>1090.0</v>
      </c>
      <c r="C988" s="147">
        <v>1440.0</v>
      </c>
      <c r="D988" s="132">
        <f t="shared" si="126"/>
        <v>350</v>
      </c>
      <c r="E988" s="147" t="s">
        <v>629</v>
      </c>
      <c r="F988" s="132">
        <f t="shared" si="127"/>
        <v>1828.8</v>
      </c>
      <c r="G988" s="231"/>
      <c r="H988" s="168">
        <f t="shared" si="128"/>
        <v>32.11009174</v>
      </c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29"/>
      <c r="AA988" s="129"/>
      <c r="AB988" s="129"/>
    </row>
    <row r="989">
      <c r="A989" s="128" t="s">
        <v>753</v>
      </c>
      <c r="B989" s="147">
        <v>1090.0</v>
      </c>
      <c r="C989" s="147">
        <v>1440.0</v>
      </c>
      <c r="D989" s="132">
        <f t="shared" si="126"/>
        <v>350</v>
      </c>
      <c r="E989" s="147" t="s">
        <v>629</v>
      </c>
      <c r="F989" s="132">
        <f t="shared" si="127"/>
        <v>1828.8</v>
      </c>
      <c r="G989" s="231"/>
      <c r="H989" s="168">
        <f t="shared" si="128"/>
        <v>32.11009174</v>
      </c>
      <c r="I989" s="129"/>
      <c r="J989" s="129"/>
      <c r="K989" s="129"/>
      <c r="L989" s="129"/>
      <c r="M989" s="129"/>
      <c r="N989" s="129"/>
      <c r="O989" s="129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29"/>
      <c r="AA989" s="129"/>
      <c r="AB989" s="129"/>
    </row>
    <row r="990">
      <c r="A990" s="150" t="s">
        <v>754</v>
      </c>
      <c r="B990" s="147">
        <v>1590.0</v>
      </c>
      <c r="C990" s="147">
        <v>2003.0</v>
      </c>
      <c r="D990" s="132">
        <f t="shared" si="126"/>
        <v>413</v>
      </c>
      <c r="E990" s="147" t="s">
        <v>629</v>
      </c>
      <c r="F990" s="132">
        <f t="shared" si="127"/>
        <v>2543.81</v>
      </c>
      <c r="G990" s="347"/>
      <c r="H990" s="168">
        <f t="shared" si="128"/>
        <v>25.97484277</v>
      </c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  <c r="Z990" s="129"/>
      <c r="AA990" s="129"/>
      <c r="AB990" s="129"/>
    </row>
    <row r="991">
      <c r="A991" s="128" t="s">
        <v>952</v>
      </c>
      <c r="B991" s="147">
        <v>2490.0</v>
      </c>
      <c r="C991" s="147">
        <v>3231.0</v>
      </c>
      <c r="D991" s="132">
        <f t="shared" si="126"/>
        <v>741</v>
      </c>
      <c r="E991" s="147" t="s">
        <v>629</v>
      </c>
      <c r="F991" s="132">
        <f t="shared" si="127"/>
        <v>4103.37</v>
      </c>
      <c r="G991" s="231"/>
      <c r="H991" s="168">
        <f t="shared" si="128"/>
        <v>29.75903614</v>
      </c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  <c r="Z991" s="129"/>
      <c r="AA991" s="129"/>
      <c r="AB991" s="129"/>
    </row>
    <row r="992">
      <c r="A992" s="150" t="s">
        <v>944</v>
      </c>
      <c r="B992" s="147">
        <v>1090.0</v>
      </c>
      <c r="C992" s="147">
        <v>1469.0</v>
      </c>
      <c r="D992" s="132">
        <f t="shared" si="126"/>
        <v>379</v>
      </c>
      <c r="E992" s="147" t="s">
        <v>629</v>
      </c>
      <c r="F992" s="132">
        <f t="shared" si="127"/>
        <v>1865.63</v>
      </c>
      <c r="G992" s="337"/>
      <c r="H992" s="168">
        <f t="shared" si="128"/>
        <v>34.7706422</v>
      </c>
      <c r="I992" s="129"/>
      <c r="J992" s="129"/>
      <c r="K992" s="129"/>
      <c r="L992" s="129"/>
      <c r="M992" s="129"/>
      <c r="N992" s="129"/>
      <c r="O992" s="129"/>
      <c r="P992" s="129"/>
      <c r="Q992" s="129"/>
      <c r="R992" s="129"/>
      <c r="S992" s="129"/>
      <c r="T992" s="129"/>
      <c r="U992" s="129"/>
      <c r="V992" s="129"/>
      <c r="W992" s="129"/>
      <c r="X992" s="129"/>
      <c r="Y992" s="129"/>
      <c r="Z992" s="129"/>
      <c r="AA992" s="129"/>
      <c r="AB992" s="129"/>
    </row>
    <row r="993">
      <c r="A993" s="123" t="s">
        <v>953</v>
      </c>
      <c r="B993" s="124">
        <v>740.0</v>
      </c>
      <c r="C993" s="124">
        <v>1055.0</v>
      </c>
      <c r="D993" s="132">
        <f t="shared" si="126"/>
        <v>315</v>
      </c>
      <c r="E993" s="147" t="s">
        <v>557</v>
      </c>
      <c r="F993" s="127">
        <f>C993*1.3</f>
        <v>1371.5</v>
      </c>
      <c r="G993" s="231"/>
      <c r="H993" s="168">
        <f t="shared" si="128"/>
        <v>42.56756757</v>
      </c>
    </row>
    <row r="994">
      <c r="A994" s="150" t="s">
        <v>944</v>
      </c>
      <c r="B994" s="147">
        <v>1090.0</v>
      </c>
      <c r="C994" s="147">
        <v>1455.0</v>
      </c>
      <c r="D994" s="132">
        <f t="shared" si="126"/>
        <v>365</v>
      </c>
      <c r="E994" s="147" t="s">
        <v>629</v>
      </c>
      <c r="F994" s="132">
        <f t="shared" ref="F994:F1009" si="129">C994*1.27</f>
        <v>1847.85</v>
      </c>
      <c r="G994" s="337"/>
      <c r="H994" s="168">
        <f t="shared" si="128"/>
        <v>33.48623853</v>
      </c>
      <c r="I994" s="129"/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</row>
    <row r="995">
      <c r="A995" s="150" t="s">
        <v>944</v>
      </c>
      <c r="B995" s="147">
        <v>1090.0</v>
      </c>
      <c r="C995" s="147">
        <v>1455.0</v>
      </c>
      <c r="D995" s="132">
        <f t="shared" si="126"/>
        <v>365</v>
      </c>
      <c r="E995" s="147" t="s">
        <v>629</v>
      </c>
      <c r="F995" s="132">
        <f t="shared" si="129"/>
        <v>1847.85</v>
      </c>
      <c r="G995" s="337"/>
      <c r="H995" s="168">
        <f t="shared" si="128"/>
        <v>33.48623853</v>
      </c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</row>
    <row r="996">
      <c r="A996" s="128" t="s">
        <v>952</v>
      </c>
      <c r="B996" s="147">
        <v>2490.0</v>
      </c>
      <c r="C996" s="147">
        <v>3231.0</v>
      </c>
      <c r="D996" s="132">
        <f t="shared" si="126"/>
        <v>741</v>
      </c>
      <c r="E996" s="147" t="s">
        <v>629</v>
      </c>
      <c r="F996" s="132">
        <f t="shared" si="129"/>
        <v>4103.37</v>
      </c>
      <c r="G996" s="231"/>
      <c r="H996" s="168">
        <f t="shared" si="128"/>
        <v>29.75903614</v>
      </c>
      <c r="I996" s="129"/>
      <c r="J996" s="129"/>
      <c r="K996" s="129"/>
      <c r="L996" s="129"/>
      <c r="M996" s="129"/>
      <c r="N996" s="129"/>
      <c r="O996" s="129"/>
      <c r="P996" s="129"/>
      <c r="Q996" s="129"/>
      <c r="R996" s="129"/>
      <c r="S996" s="129"/>
      <c r="T996" s="129"/>
      <c r="U996" s="129"/>
      <c r="V996" s="129"/>
      <c r="W996" s="129"/>
      <c r="X996" s="129"/>
      <c r="Y996" s="129"/>
      <c r="Z996" s="129"/>
      <c r="AA996" s="129"/>
      <c r="AB996" s="129"/>
    </row>
    <row r="997">
      <c r="A997" s="128" t="s">
        <v>930</v>
      </c>
      <c r="B997" s="147">
        <v>1390.0</v>
      </c>
      <c r="C997" s="147">
        <v>1595.0</v>
      </c>
      <c r="D997" s="132">
        <f t="shared" si="126"/>
        <v>205</v>
      </c>
      <c r="E997" s="147" t="s">
        <v>629</v>
      </c>
      <c r="F997" s="127">
        <f t="shared" si="129"/>
        <v>2025.65</v>
      </c>
      <c r="G997" s="231"/>
      <c r="H997" s="168">
        <f t="shared" si="128"/>
        <v>14.74820144</v>
      </c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</row>
    <row r="998">
      <c r="A998" s="150" t="s">
        <v>754</v>
      </c>
      <c r="B998" s="147">
        <v>1590.0</v>
      </c>
      <c r="C998" s="147">
        <v>1514.0</v>
      </c>
      <c r="D998" s="132">
        <f t="shared" si="126"/>
        <v>-76</v>
      </c>
      <c r="E998" s="147" t="s">
        <v>629</v>
      </c>
      <c r="F998" s="132">
        <f t="shared" si="129"/>
        <v>1922.78</v>
      </c>
      <c r="G998" s="347"/>
      <c r="H998" s="168">
        <f t="shared" si="128"/>
        <v>-4.779874214</v>
      </c>
      <c r="I998" s="129"/>
      <c r="J998" s="129"/>
      <c r="K998" s="129"/>
      <c r="L998" s="129"/>
      <c r="M998" s="129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</row>
    <row r="999">
      <c r="A999" s="150" t="s">
        <v>757</v>
      </c>
      <c r="B999" s="147">
        <v>1390.0</v>
      </c>
      <c r="C999" s="147">
        <v>1513.0</v>
      </c>
      <c r="D999" s="132">
        <f t="shared" si="126"/>
        <v>123</v>
      </c>
      <c r="E999" s="147" t="s">
        <v>629</v>
      </c>
      <c r="F999" s="132">
        <f t="shared" si="129"/>
        <v>1921.51</v>
      </c>
      <c r="G999" s="231"/>
      <c r="H999" s="168">
        <f t="shared" si="128"/>
        <v>8.848920863</v>
      </c>
      <c r="I999" s="129"/>
      <c r="J999" s="129"/>
      <c r="K999" s="129"/>
      <c r="L999" s="129"/>
      <c r="M999" s="129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</row>
    <row r="1000">
      <c r="A1000" s="150" t="s">
        <v>754</v>
      </c>
      <c r="B1000" s="147">
        <v>1590.0</v>
      </c>
      <c r="C1000" s="147">
        <v>2036.0</v>
      </c>
      <c r="D1000" s="132">
        <f t="shared" si="126"/>
        <v>446</v>
      </c>
      <c r="E1000" s="147" t="s">
        <v>629</v>
      </c>
      <c r="F1000" s="132">
        <f t="shared" si="129"/>
        <v>2585.72</v>
      </c>
      <c r="G1000" s="347"/>
      <c r="H1000" s="168">
        <f t="shared" si="128"/>
        <v>28.05031447</v>
      </c>
      <c r="I1000" s="129"/>
      <c r="J1000" s="129"/>
      <c r="K1000" s="129"/>
      <c r="L1000" s="129"/>
      <c r="M1000" s="129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</row>
    <row r="1001">
      <c r="A1001" s="150" t="s">
        <v>754</v>
      </c>
      <c r="B1001" s="147">
        <v>1690.0</v>
      </c>
      <c r="C1001" s="147">
        <v>2003.0</v>
      </c>
      <c r="D1001" s="132">
        <f t="shared" si="126"/>
        <v>313</v>
      </c>
      <c r="E1001" s="147" t="s">
        <v>629</v>
      </c>
      <c r="F1001" s="132">
        <f t="shared" si="129"/>
        <v>2543.81</v>
      </c>
      <c r="G1001" s="347"/>
      <c r="H1001" s="168">
        <f t="shared" si="128"/>
        <v>18.52071006</v>
      </c>
      <c r="I1001" s="129"/>
      <c r="J1001" s="129"/>
      <c r="K1001" s="129"/>
      <c r="L1001" s="129"/>
      <c r="M1001" s="129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</row>
    <row r="1002">
      <c r="A1002" s="150" t="s">
        <v>944</v>
      </c>
      <c r="B1002" s="147">
        <v>1090.0</v>
      </c>
      <c r="C1002" s="147">
        <v>1432.0</v>
      </c>
      <c r="D1002" s="132">
        <f t="shared" si="126"/>
        <v>342</v>
      </c>
      <c r="E1002" s="147" t="s">
        <v>629</v>
      </c>
      <c r="F1002" s="132">
        <f t="shared" si="129"/>
        <v>1818.64</v>
      </c>
      <c r="G1002" s="337"/>
      <c r="H1002" s="168">
        <f t="shared" si="128"/>
        <v>31.37614679</v>
      </c>
      <c r="I1002" s="129"/>
      <c r="J1002" s="129"/>
      <c r="K1002" s="129"/>
      <c r="L1002" s="129"/>
      <c r="M1002" s="129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</row>
    <row r="1003">
      <c r="A1003" s="150" t="s">
        <v>754</v>
      </c>
      <c r="B1003" s="147">
        <v>1690.0</v>
      </c>
      <c r="C1003" s="147">
        <v>2003.0</v>
      </c>
      <c r="D1003" s="132">
        <f t="shared" si="126"/>
        <v>313</v>
      </c>
      <c r="E1003" s="147" t="s">
        <v>629</v>
      </c>
      <c r="F1003" s="132">
        <f t="shared" si="129"/>
        <v>2543.81</v>
      </c>
      <c r="G1003" s="347"/>
      <c r="H1003" s="168">
        <f t="shared" si="128"/>
        <v>18.52071006</v>
      </c>
      <c r="I1003" s="129"/>
      <c r="J1003" s="129"/>
      <c r="K1003" s="129"/>
      <c r="L1003" s="129"/>
      <c r="M1003" s="129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</row>
    <row r="1004">
      <c r="A1004" s="123" t="s">
        <v>954</v>
      </c>
      <c r="B1004" s="124">
        <v>3740.0</v>
      </c>
      <c r="C1004" s="124">
        <v>4582.0</v>
      </c>
      <c r="D1004" s="132">
        <f t="shared" si="126"/>
        <v>842</v>
      </c>
      <c r="E1004" s="147" t="s">
        <v>557</v>
      </c>
      <c r="F1004" s="127">
        <f t="shared" si="129"/>
        <v>5819.14</v>
      </c>
      <c r="G1004" s="231"/>
      <c r="H1004" s="168">
        <f t="shared" si="128"/>
        <v>22.51336898</v>
      </c>
    </row>
    <row r="1005">
      <c r="A1005" s="150" t="s">
        <v>944</v>
      </c>
      <c r="B1005" s="147">
        <v>1090.0</v>
      </c>
      <c r="C1005" s="147">
        <v>1432.0</v>
      </c>
      <c r="D1005" s="132">
        <f t="shared" si="126"/>
        <v>342</v>
      </c>
      <c r="E1005" s="147" t="s">
        <v>629</v>
      </c>
      <c r="F1005" s="132">
        <f t="shared" si="129"/>
        <v>1818.64</v>
      </c>
      <c r="G1005" s="337"/>
      <c r="H1005" s="168">
        <f t="shared" si="128"/>
        <v>31.37614679</v>
      </c>
      <c r="I1005" s="129"/>
      <c r="J1005" s="129"/>
      <c r="K1005" s="129"/>
      <c r="L1005" s="129"/>
      <c r="M1005" s="129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</row>
    <row r="1006">
      <c r="A1006" s="150" t="s">
        <v>944</v>
      </c>
      <c r="B1006" s="147">
        <v>1090.0</v>
      </c>
      <c r="C1006" s="147">
        <v>1432.0</v>
      </c>
      <c r="D1006" s="132">
        <f t="shared" si="126"/>
        <v>342</v>
      </c>
      <c r="E1006" s="147" t="s">
        <v>629</v>
      </c>
      <c r="F1006" s="132">
        <f t="shared" si="129"/>
        <v>1818.64</v>
      </c>
      <c r="G1006" s="337"/>
      <c r="H1006" s="168">
        <f t="shared" si="128"/>
        <v>31.37614679</v>
      </c>
      <c r="I1006" s="129"/>
      <c r="J1006" s="129"/>
      <c r="K1006" s="129"/>
      <c r="L1006" s="129"/>
      <c r="M1006" s="129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</row>
    <row r="1007">
      <c r="A1007" s="150" t="s">
        <v>944</v>
      </c>
      <c r="B1007" s="147">
        <v>1090.0</v>
      </c>
      <c r="C1007" s="147">
        <v>1431.0</v>
      </c>
      <c r="D1007" s="132">
        <f t="shared" si="126"/>
        <v>341</v>
      </c>
      <c r="E1007" s="147" t="s">
        <v>629</v>
      </c>
      <c r="F1007" s="132">
        <f t="shared" si="129"/>
        <v>1817.37</v>
      </c>
      <c r="G1007" s="337"/>
      <c r="H1007" s="168">
        <f t="shared" si="128"/>
        <v>31.28440367</v>
      </c>
      <c r="I1007" s="129"/>
      <c r="J1007" s="129"/>
      <c r="K1007" s="129"/>
      <c r="L1007" s="129"/>
      <c r="M1007" s="129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</row>
    <row r="1008">
      <c r="A1008" s="150" t="s">
        <v>763</v>
      </c>
      <c r="B1008" s="147">
        <v>1190.0</v>
      </c>
      <c r="C1008" s="147">
        <v>1513.0</v>
      </c>
      <c r="D1008" s="132">
        <f t="shared" si="126"/>
        <v>323</v>
      </c>
      <c r="E1008" s="147" t="s">
        <v>629</v>
      </c>
      <c r="F1008" s="132">
        <f t="shared" si="129"/>
        <v>1921.51</v>
      </c>
      <c r="G1008" s="337"/>
      <c r="H1008" s="168">
        <f t="shared" si="128"/>
        <v>27.14285714</v>
      </c>
      <c r="I1008" s="129"/>
      <c r="J1008" s="129"/>
      <c r="K1008" s="129"/>
      <c r="L1008" s="129"/>
      <c r="M1008" s="129"/>
      <c r="N1008" s="129"/>
      <c r="O1008" s="129"/>
      <c r="P1008" s="129"/>
      <c r="Q1008" s="129"/>
      <c r="R1008" s="129"/>
      <c r="S1008" s="129"/>
      <c r="T1008" s="129"/>
      <c r="U1008" s="129"/>
      <c r="V1008" s="129"/>
      <c r="W1008" s="129"/>
      <c r="X1008" s="129"/>
      <c r="Y1008" s="129"/>
      <c r="Z1008" s="129"/>
      <c r="AA1008" s="129"/>
      <c r="AB1008" s="129"/>
    </row>
    <row r="1009">
      <c r="A1009" s="150" t="s">
        <v>944</v>
      </c>
      <c r="B1009" s="147">
        <v>1090.0</v>
      </c>
      <c r="C1009" s="147">
        <v>1469.0</v>
      </c>
      <c r="D1009" s="132">
        <f t="shared" si="126"/>
        <v>379</v>
      </c>
      <c r="E1009" s="147" t="s">
        <v>629</v>
      </c>
      <c r="F1009" s="132">
        <f t="shared" si="129"/>
        <v>1865.63</v>
      </c>
      <c r="G1009" s="337"/>
      <c r="H1009" s="168">
        <f t="shared" si="128"/>
        <v>34.7706422</v>
      </c>
      <c r="I1009" s="129"/>
      <c r="J1009" s="129"/>
      <c r="K1009" s="129"/>
      <c r="L1009" s="129"/>
      <c r="M1009" s="129"/>
      <c r="N1009" s="129"/>
      <c r="O1009" s="129"/>
      <c r="P1009" s="129"/>
      <c r="Q1009" s="129"/>
      <c r="R1009" s="129"/>
      <c r="S1009" s="129"/>
      <c r="T1009" s="129"/>
      <c r="U1009" s="129"/>
      <c r="V1009" s="129"/>
      <c r="W1009" s="129"/>
      <c r="X1009" s="129"/>
      <c r="Y1009" s="129"/>
      <c r="Z1009" s="129"/>
      <c r="AA1009" s="129"/>
      <c r="AB1009" s="129"/>
    </row>
    <row r="1010">
      <c r="A1010" s="128" t="s">
        <v>630</v>
      </c>
      <c r="B1010" s="147">
        <v>1790.0</v>
      </c>
      <c r="C1010" s="147">
        <v>2086.0</v>
      </c>
      <c r="D1010" s="132">
        <f t="shared" si="126"/>
        <v>296</v>
      </c>
      <c r="E1010" s="147" t="s">
        <v>629</v>
      </c>
      <c r="F1010" s="132">
        <f>C1010*1.2</f>
        <v>2503.2</v>
      </c>
      <c r="G1010" s="231"/>
      <c r="H1010" s="168">
        <f t="shared" si="128"/>
        <v>16.53631285</v>
      </c>
      <c r="I1010" s="129"/>
      <c r="J1010" s="129"/>
      <c r="K1010" s="129"/>
      <c r="L1010" s="129"/>
      <c r="M1010" s="129"/>
      <c r="N1010" s="129"/>
      <c r="O1010" s="129"/>
      <c r="P1010" s="129"/>
      <c r="Q1010" s="129"/>
      <c r="R1010" s="129"/>
      <c r="S1010" s="129"/>
      <c r="T1010" s="129"/>
      <c r="U1010" s="129"/>
      <c r="V1010" s="129"/>
      <c r="W1010" s="129"/>
      <c r="X1010" s="129"/>
      <c r="Y1010" s="129"/>
      <c r="Z1010" s="129"/>
      <c r="AA1010" s="129"/>
      <c r="AB1010" s="129"/>
    </row>
    <row r="1011">
      <c r="A1011" s="150" t="s">
        <v>754</v>
      </c>
      <c r="B1011" s="147">
        <v>1690.0</v>
      </c>
      <c r="C1011" s="147">
        <v>2003.0</v>
      </c>
      <c r="D1011" s="132">
        <f t="shared" si="126"/>
        <v>313</v>
      </c>
      <c r="E1011" s="147" t="s">
        <v>629</v>
      </c>
      <c r="F1011" s="132">
        <f t="shared" ref="F1011:F1035" si="130">C1011*1.27</f>
        <v>2543.81</v>
      </c>
      <c r="G1011" s="347"/>
      <c r="H1011" s="168">
        <f t="shared" si="128"/>
        <v>18.52071006</v>
      </c>
      <c r="I1011" s="129"/>
      <c r="J1011" s="129"/>
      <c r="K1011" s="129"/>
      <c r="L1011" s="129"/>
      <c r="M1011" s="129"/>
      <c r="N1011" s="129"/>
      <c r="O1011" s="129"/>
      <c r="P1011" s="129"/>
      <c r="Q1011" s="129"/>
      <c r="R1011" s="129"/>
      <c r="S1011" s="129"/>
      <c r="T1011" s="129"/>
      <c r="U1011" s="129"/>
      <c r="V1011" s="129"/>
      <c r="W1011" s="129"/>
      <c r="X1011" s="129"/>
      <c r="Y1011" s="129"/>
      <c r="Z1011" s="129"/>
      <c r="AA1011" s="129"/>
      <c r="AB1011" s="129"/>
    </row>
    <row r="1012">
      <c r="A1012" s="150" t="s">
        <v>757</v>
      </c>
      <c r="B1012" s="147">
        <v>1390.0</v>
      </c>
      <c r="C1012" s="147">
        <v>1840.0</v>
      </c>
      <c r="D1012" s="132">
        <f t="shared" si="126"/>
        <v>450</v>
      </c>
      <c r="E1012" s="147" t="s">
        <v>629</v>
      </c>
      <c r="F1012" s="132">
        <f t="shared" si="130"/>
        <v>2336.8</v>
      </c>
      <c r="G1012" s="231"/>
      <c r="H1012" s="168">
        <f t="shared" si="128"/>
        <v>32.37410072</v>
      </c>
      <c r="I1012" s="129"/>
      <c r="J1012" s="129"/>
      <c r="K1012" s="129"/>
      <c r="L1012" s="129"/>
      <c r="M1012" s="129"/>
      <c r="N1012" s="129"/>
      <c r="O1012" s="129"/>
      <c r="P1012" s="129"/>
      <c r="Q1012" s="129"/>
      <c r="R1012" s="129"/>
      <c r="S1012" s="129"/>
      <c r="T1012" s="129"/>
      <c r="U1012" s="129"/>
      <c r="V1012" s="129"/>
      <c r="W1012" s="129"/>
      <c r="X1012" s="129"/>
      <c r="Y1012" s="129"/>
      <c r="Z1012" s="129"/>
      <c r="AA1012" s="129"/>
      <c r="AB1012" s="129"/>
    </row>
    <row r="1013">
      <c r="A1013" s="123" t="s">
        <v>955</v>
      </c>
      <c r="B1013" s="124">
        <v>3640.0</v>
      </c>
      <c r="C1013" s="124">
        <v>4492.0</v>
      </c>
      <c r="D1013" s="132">
        <f t="shared" si="126"/>
        <v>852</v>
      </c>
      <c r="E1013" s="147" t="s">
        <v>557</v>
      </c>
      <c r="F1013" s="127">
        <f t="shared" si="130"/>
        <v>5704.84</v>
      </c>
      <c r="G1013" s="231"/>
      <c r="H1013" s="168">
        <f t="shared" si="128"/>
        <v>23.40659341</v>
      </c>
    </row>
    <row r="1014">
      <c r="A1014" s="150" t="s">
        <v>763</v>
      </c>
      <c r="B1014" s="147">
        <v>1190.0</v>
      </c>
      <c r="C1014" s="147">
        <v>1514.0</v>
      </c>
      <c r="D1014" s="132">
        <f t="shared" si="126"/>
        <v>324</v>
      </c>
      <c r="E1014" s="147" t="s">
        <v>629</v>
      </c>
      <c r="F1014" s="132">
        <f t="shared" si="130"/>
        <v>1922.78</v>
      </c>
      <c r="G1014" s="347"/>
      <c r="H1014" s="168">
        <f t="shared" si="128"/>
        <v>27.22689076</v>
      </c>
      <c r="I1014" s="129"/>
      <c r="J1014" s="129"/>
      <c r="K1014" s="129"/>
      <c r="L1014" s="129"/>
      <c r="M1014" s="129"/>
      <c r="N1014" s="129"/>
      <c r="O1014" s="129"/>
      <c r="P1014" s="129"/>
      <c r="Q1014" s="129"/>
      <c r="R1014" s="129"/>
      <c r="S1014" s="129"/>
      <c r="T1014" s="129"/>
      <c r="U1014" s="129"/>
      <c r="V1014" s="129"/>
      <c r="W1014" s="129"/>
      <c r="X1014" s="129"/>
      <c r="Y1014" s="129"/>
      <c r="Z1014" s="129"/>
      <c r="AA1014" s="129"/>
      <c r="AB1014" s="129"/>
    </row>
    <row r="1015">
      <c r="A1015" s="150" t="s">
        <v>763</v>
      </c>
      <c r="B1015" s="147">
        <v>1190.0</v>
      </c>
      <c r="C1015" s="147">
        <v>1514.0</v>
      </c>
      <c r="D1015" s="132">
        <f t="shared" si="126"/>
        <v>324</v>
      </c>
      <c r="E1015" s="147" t="s">
        <v>629</v>
      </c>
      <c r="F1015" s="132">
        <f t="shared" si="130"/>
        <v>1922.78</v>
      </c>
      <c r="G1015" s="347"/>
      <c r="H1015" s="168">
        <f t="shared" si="128"/>
        <v>27.22689076</v>
      </c>
      <c r="I1015" s="129"/>
      <c r="J1015" s="129"/>
      <c r="K1015" s="129"/>
      <c r="L1015" s="129"/>
      <c r="M1015" s="129"/>
      <c r="N1015" s="129"/>
      <c r="O1015" s="129"/>
      <c r="P1015" s="129"/>
      <c r="Q1015" s="129"/>
      <c r="R1015" s="129"/>
      <c r="S1015" s="129"/>
      <c r="T1015" s="129"/>
      <c r="U1015" s="129"/>
      <c r="V1015" s="129"/>
      <c r="W1015" s="129"/>
      <c r="X1015" s="129"/>
      <c r="Y1015" s="129"/>
      <c r="Z1015" s="129"/>
      <c r="AA1015" s="129"/>
      <c r="AB1015" s="129"/>
    </row>
    <row r="1016">
      <c r="A1016" s="128" t="s">
        <v>956</v>
      </c>
      <c r="B1016" s="147">
        <v>3990.0</v>
      </c>
      <c r="C1016" s="147">
        <v>5358.0</v>
      </c>
      <c r="D1016" s="132">
        <f t="shared" si="126"/>
        <v>1368</v>
      </c>
      <c r="E1016" s="147" t="s">
        <v>629</v>
      </c>
      <c r="F1016" s="127">
        <f t="shared" si="130"/>
        <v>6804.66</v>
      </c>
      <c r="G1016" s="231"/>
      <c r="H1016" s="168">
        <f t="shared" si="128"/>
        <v>34.28571429</v>
      </c>
      <c r="I1016" s="129"/>
      <c r="J1016" s="129"/>
      <c r="K1016" s="129"/>
      <c r="L1016" s="129"/>
      <c r="M1016" s="129"/>
      <c r="N1016" s="129"/>
      <c r="O1016" s="129"/>
      <c r="P1016" s="129"/>
      <c r="Q1016" s="129"/>
      <c r="R1016" s="129"/>
      <c r="S1016" s="129"/>
      <c r="T1016" s="129"/>
      <c r="U1016" s="129"/>
      <c r="V1016" s="129"/>
      <c r="W1016" s="129"/>
      <c r="X1016" s="129"/>
      <c r="Y1016" s="129"/>
      <c r="Z1016" s="129"/>
      <c r="AA1016" s="129"/>
      <c r="AB1016" s="129"/>
    </row>
    <row r="1017">
      <c r="A1017" s="128" t="s">
        <v>957</v>
      </c>
      <c r="B1017" s="147">
        <v>440.0</v>
      </c>
      <c r="C1017" s="147">
        <v>727.0</v>
      </c>
      <c r="D1017" s="132">
        <f t="shared" si="126"/>
        <v>287</v>
      </c>
      <c r="E1017" s="147" t="s">
        <v>557</v>
      </c>
      <c r="F1017" s="127">
        <f t="shared" si="130"/>
        <v>923.29</v>
      </c>
      <c r="G1017" s="231"/>
      <c r="H1017" s="168">
        <f t="shared" si="128"/>
        <v>65.22727273</v>
      </c>
      <c r="I1017" s="129"/>
      <c r="J1017" s="129"/>
      <c r="K1017" s="129"/>
      <c r="L1017" s="129"/>
      <c r="M1017" s="129"/>
      <c r="N1017" s="129"/>
      <c r="O1017" s="129"/>
      <c r="P1017" s="129"/>
      <c r="Q1017" s="129"/>
      <c r="R1017" s="129"/>
      <c r="S1017" s="129"/>
      <c r="T1017" s="129"/>
      <c r="U1017" s="129"/>
      <c r="V1017" s="129"/>
      <c r="W1017" s="129"/>
      <c r="X1017" s="129"/>
      <c r="Y1017" s="129"/>
      <c r="Z1017" s="129"/>
      <c r="AA1017" s="129"/>
      <c r="AB1017" s="129"/>
    </row>
    <row r="1018">
      <c r="A1018" s="128" t="s">
        <v>958</v>
      </c>
      <c r="B1018" s="147">
        <v>3290.0</v>
      </c>
      <c r="C1018" s="147">
        <v>4082.0</v>
      </c>
      <c r="D1018" s="132">
        <f t="shared" si="126"/>
        <v>792</v>
      </c>
      <c r="E1018" s="147" t="s">
        <v>557</v>
      </c>
      <c r="F1018" s="127">
        <f t="shared" si="130"/>
        <v>5184.14</v>
      </c>
      <c r="G1018" s="231"/>
      <c r="H1018" s="168">
        <f t="shared" si="128"/>
        <v>24.07294833</v>
      </c>
      <c r="I1018" s="129"/>
      <c r="J1018" s="129"/>
      <c r="K1018" s="129"/>
      <c r="L1018" s="129"/>
      <c r="M1018" s="129"/>
      <c r="N1018" s="129"/>
      <c r="O1018" s="129"/>
      <c r="P1018" s="129"/>
      <c r="Q1018" s="129"/>
      <c r="R1018" s="129"/>
      <c r="S1018" s="129"/>
      <c r="T1018" s="129"/>
      <c r="U1018" s="129"/>
      <c r="V1018" s="129"/>
      <c r="W1018" s="129"/>
      <c r="X1018" s="129"/>
      <c r="Y1018" s="129"/>
      <c r="Z1018" s="129"/>
      <c r="AA1018" s="129"/>
      <c r="AB1018" s="129"/>
    </row>
    <row r="1019">
      <c r="A1019" s="123" t="s">
        <v>959</v>
      </c>
      <c r="B1019" s="124">
        <v>1690.0</v>
      </c>
      <c r="C1019" s="124">
        <v>2201.0</v>
      </c>
      <c r="D1019" s="132">
        <f t="shared" si="126"/>
        <v>511</v>
      </c>
      <c r="E1019" s="147" t="s">
        <v>557</v>
      </c>
      <c r="F1019" s="127">
        <f t="shared" si="130"/>
        <v>2795.27</v>
      </c>
      <c r="G1019" s="231"/>
      <c r="H1019" s="168">
        <f t="shared" si="128"/>
        <v>30.23668639</v>
      </c>
    </row>
    <row r="1020">
      <c r="A1020" s="123" t="s">
        <v>960</v>
      </c>
      <c r="B1020" s="124">
        <v>3540.0</v>
      </c>
      <c r="C1020" s="124">
        <v>4409.0</v>
      </c>
      <c r="D1020" s="132">
        <f t="shared" si="126"/>
        <v>869</v>
      </c>
      <c r="E1020" s="147" t="s">
        <v>557</v>
      </c>
      <c r="F1020" s="127">
        <f t="shared" si="130"/>
        <v>5599.43</v>
      </c>
      <c r="G1020" s="231"/>
      <c r="H1020" s="168">
        <f t="shared" si="128"/>
        <v>24.5480226</v>
      </c>
    </row>
    <row r="1021">
      <c r="A1021" s="128" t="s">
        <v>961</v>
      </c>
      <c r="B1021" s="147">
        <v>1390.0</v>
      </c>
      <c r="C1021" s="147">
        <v>1628.0</v>
      </c>
      <c r="D1021" s="132">
        <f t="shared" si="126"/>
        <v>238</v>
      </c>
      <c r="E1021" s="147" t="s">
        <v>629</v>
      </c>
      <c r="F1021" s="127">
        <f t="shared" si="130"/>
        <v>2067.56</v>
      </c>
      <c r="G1021" s="231"/>
      <c r="H1021" s="168">
        <f t="shared" si="128"/>
        <v>17.12230216</v>
      </c>
      <c r="I1021" s="129"/>
      <c r="J1021" s="129"/>
      <c r="K1021" s="129"/>
      <c r="L1021" s="129"/>
      <c r="M1021" s="129"/>
      <c r="N1021" s="129"/>
      <c r="O1021" s="129"/>
      <c r="P1021" s="129"/>
      <c r="Q1021" s="129"/>
      <c r="R1021" s="129"/>
      <c r="S1021" s="129"/>
      <c r="T1021" s="129"/>
      <c r="U1021" s="129"/>
      <c r="V1021" s="129"/>
      <c r="W1021" s="129"/>
      <c r="X1021" s="129"/>
      <c r="Y1021" s="129"/>
      <c r="Z1021" s="129"/>
      <c r="AA1021" s="129"/>
      <c r="AB1021" s="129"/>
    </row>
    <row r="1022">
      <c r="A1022" s="123" t="s">
        <v>962</v>
      </c>
      <c r="B1022" s="147">
        <v>2790.0</v>
      </c>
      <c r="C1022" s="147">
        <v>3591.0</v>
      </c>
      <c r="D1022" s="132">
        <f t="shared" si="126"/>
        <v>801</v>
      </c>
      <c r="E1022" s="147" t="s">
        <v>557</v>
      </c>
      <c r="F1022" s="127">
        <f t="shared" si="130"/>
        <v>4560.57</v>
      </c>
      <c r="G1022" s="231"/>
      <c r="H1022" s="168">
        <f t="shared" si="128"/>
        <v>28.70967742</v>
      </c>
    </row>
    <row r="1023">
      <c r="A1023" s="128" t="s">
        <v>963</v>
      </c>
      <c r="B1023" s="147">
        <v>2390.0</v>
      </c>
      <c r="C1023" s="147">
        <v>3100.0</v>
      </c>
      <c r="D1023" s="132">
        <f t="shared" si="126"/>
        <v>710</v>
      </c>
      <c r="E1023" s="147" t="s">
        <v>557</v>
      </c>
      <c r="F1023" s="127">
        <f t="shared" si="130"/>
        <v>3937</v>
      </c>
      <c r="G1023" s="231"/>
      <c r="H1023" s="168">
        <f t="shared" si="128"/>
        <v>29.70711297</v>
      </c>
      <c r="I1023" s="129"/>
      <c r="J1023" s="129"/>
      <c r="K1023" s="129"/>
      <c r="L1023" s="129"/>
      <c r="M1023" s="129"/>
      <c r="N1023" s="129"/>
      <c r="O1023" s="129"/>
      <c r="P1023" s="129"/>
      <c r="Q1023" s="129"/>
      <c r="R1023" s="129"/>
      <c r="S1023" s="129"/>
      <c r="T1023" s="129"/>
      <c r="U1023" s="129"/>
      <c r="V1023" s="129"/>
      <c r="W1023" s="129"/>
      <c r="X1023" s="129"/>
      <c r="Y1023" s="129"/>
      <c r="Z1023" s="129"/>
      <c r="AA1023" s="129"/>
      <c r="AB1023" s="129"/>
    </row>
    <row r="1024">
      <c r="A1024" s="150" t="s">
        <v>874</v>
      </c>
      <c r="B1024" s="147">
        <v>1590.0</v>
      </c>
      <c r="C1024" s="147">
        <v>2061.0</v>
      </c>
      <c r="D1024" s="132">
        <f t="shared" si="126"/>
        <v>471</v>
      </c>
      <c r="E1024" s="147" t="s">
        <v>629</v>
      </c>
      <c r="F1024" s="132">
        <f t="shared" si="130"/>
        <v>2617.47</v>
      </c>
      <c r="G1024" s="231"/>
      <c r="H1024" s="168">
        <f t="shared" si="128"/>
        <v>29.62264151</v>
      </c>
      <c r="I1024" s="129"/>
      <c r="J1024" s="129"/>
      <c r="K1024" s="129"/>
      <c r="L1024" s="129"/>
      <c r="M1024" s="129"/>
      <c r="N1024" s="129"/>
      <c r="O1024" s="129"/>
      <c r="P1024" s="129"/>
      <c r="Q1024" s="129"/>
      <c r="R1024" s="129"/>
      <c r="S1024" s="129"/>
      <c r="T1024" s="129"/>
      <c r="U1024" s="129"/>
      <c r="V1024" s="129"/>
      <c r="W1024" s="129"/>
      <c r="X1024" s="129"/>
      <c r="Y1024" s="129"/>
      <c r="Z1024" s="129"/>
      <c r="AA1024" s="129"/>
      <c r="AB1024" s="129"/>
    </row>
    <row r="1025">
      <c r="A1025" s="150" t="s">
        <v>874</v>
      </c>
      <c r="B1025" s="147">
        <v>1590.0</v>
      </c>
      <c r="C1025" s="147">
        <v>2060.0</v>
      </c>
      <c r="D1025" s="132">
        <f t="shared" si="126"/>
        <v>470</v>
      </c>
      <c r="E1025" s="147" t="s">
        <v>629</v>
      </c>
      <c r="F1025" s="132">
        <f t="shared" si="130"/>
        <v>2616.2</v>
      </c>
      <c r="G1025" s="231"/>
      <c r="H1025" s="168">
        <f t="shared" si="128"/>
        <v>29.55974843</v>
      </c>
      <c r="I1025" s="129"/>
      <c r="J1025" s="129"/>
      <c r="K1025" s="129"/>
      <c r="L1025" s="129"/>
      <c r="M1025" s="129"/>
      <c r="N1025" s="129"/>
      <c r="O1025" s="129"/>
      <c r="P1025" s="129"/>
      <c r="Q1025" s="129"/>
      <c r="R1025" s="129"/>
      <c r="S1025" s="129"/>
      <c r="T1025" s="129"/>
      <c r="U1025" s="129"/>
      <c r="V1025" s="129"/>
      <c r="W1025" s="129"/>
      <c r="X1025" s="129"/>
      <c r="Y1025" s="129"/>
      <c r="Z1025" s="129"/>
      <c r="AA1025" s="129"/>
      <c r="AB1025" s="129"/>
    </row>
    <row r="1026">
      <c r="A1026" s="128" t="s">
        <v>944</v>
      </c>
      <c r="B1026" s="147">
        <v>1040.0</v>
      </c>
      <c r="C1026" s="147">
        <v>1465.0</v>
      </c>
      <c r="D1026" s="132">
        <f t="shared" si="126"/>
        <v>425</v>
      </c>
      <c r="E1026" s="147" t="s">
        <v>629</v>
      </c>
      <c r="F1026" s="132">
        <f t="shared" si="130"/>
        <v>1860.55</v>
      </c>
      <c r="G1026" s="231"/>
      <c r="H1026" s="168">
        <f t="shared" si="128"/>
        <v>40.86538462</v>
      </c>
      <c r="I1026" s="129"/>
      <c r="J1026" s="129"/>
      <c r="K1026" s="129"/>
      <c r="L1026" s="129"/>
      <c r="M1026" s="129"/>
      <c r="N1026" s="129"/>
      <c r="O1026" s="129"/>
      <c r="P1026" s="129"/>
      <c r="Q1026" s="129"/>
      <c r="R1026" s="129"/>
      <c r="S1026" s="129"/>
      <c r="T1026" s="129"/>
      <c r="U1026" s="129"/>
      <c r="V1026" s="129"/>
      <c r="W1026" s="129"/>
      <c r="X1026" s="129"/>
      <c r="Y1026" s="129"/>
      <c r="Z1026" s="129"/>
      <c r="AA1026" s="129"/>
      <c r="AB1026" s="129"/>
    </row>
    <row r="1027">
      <c r="A1027" s="150" t="s">
        <v>874</v>
      </c>
      <c r="B1027" s="147">
        <v>1590.0</v>
      </c>
      <c r="C1027" s="147">
        <v>1955.0</v>
      </c>
      <c r="D1027" s="132">
        <f t="shared" si="126"/>
        <v>365</v>
      </c>
      <c r="E1027" s="147" t="s">
        <v>629</v>
      </c>
      <c r="F1027" s="132">
        <f t="shared" si="130"/>
        <v>2482.85</v>
      </c>
      <c r="G1027" s="231"/>
      <c r="H1027" s="168">
        <f t="shared" si="128"/>
        <v>22.95597484</v>
      </c>
      <c r="I1027" s="129"/>
      <c r="J1027" s="129"/>
      <c r="K1027" s="129"/>
      <c r="L1027" s="129"/>
      <c r="M1027" s="129"/>
      <c r="N1027" s="129"/>
      <c r="O1027" s="129"/>
      <c r="P1027" s="129"/>
      <c r="Q1027" s="129"/>
      <c r="R1027" s="129"/>
      <c r="S1027" s="129"/>
      <c r="T1027" s="129"/>
      <c r="U1027" s="129"/>
      <c r="V1027" s="129"/>
      <c r="W1027" s="129"/>
      <c r="X1027" s="129"/>
      <c r="Y1027" s="129"/>
      <c r="Z1027" s="129"/>
      <c r="AA1027" s="129"/>
      <c r="AB1027" s="129"/>
    </row>
    <row r="1028">
      <c r="A1028" s="150" t="s">
        <v>874</v>
      </c>
      <c r="B1028" s="147">
        <v>1590.0</v>
      </c>
      <c r="C1028" s="147">
        <v>1955.0</v>
      </c>
      <c r="D1028" s="132">
        <f t="shared" si="126"/>
        <v>365</v>
      </c>
      <c r="E1028" s="147" t="s">
        <v>629</v>
      </c>
      <c r="F1028" s="132">
        <f t="shared" si="130"/>
        <v>2482.85</v>
      </c>
      <c r="G1028" s="231"/>
      <c r="H1028" s="168">
        <f t="shared" si="128"/>
        <v>22.95597484</v>
      </c>
      <c r="I1028" s="129"/>
      <c r="J1028" s="129"/>
      <c r="K1028" s="129"/>
      <c r="L1028" s="129"/>
      <c r="M1028" s="129"/>
      <c r="N1028" s="129"/>
      <c r="O1028" s="129"/>
      <c r="P1028" s="129"/>
      <c r="Q1028" s="129"/>
      <c r="R1028" s="129"/>
      <c r="S1028" s="129"/>
      <c r="T1028" s="129"/>
      <c r="U1028" s="129"/>
      <c r="V1028" s="129"/>
      <c r="W1028" s="129"/>
      <c r="X1028" s="129"/>
      <c r="Y1028" s="129"/>
      <c r="Z1028" s="129"/>
      <c r="AA1028" s="129"/>
      <c r="AB1028" s="129"/>
    </row>
    <row r="1029">
      <c r="A1029" s="150" t="s">
        <v>754</v>
      </c>
      <c r="B1029" s="147">
        <v>1390.0</v>
      </c>
      <c r="C1029" s="147">
        <v>1841.0</v>
      </c>
      <c r="D1029" s="132">
        <f t="shared" si="126"/>
        <v>451</v>
      </c>
      <c r="E1029" s="147" t="s">
        <v>629</v>
      </c>
      <c r="F1029" s="132">
        <f t="shared" si="130"/>
        <v>2338.07</v>
      </c>
      <c r="G1029" s="347"/>
      <c r="H1029" s="168">
        <f t="shared" si="128"/>
        <v>32.44604317</v>
      </c>
      <c r="I1029" s="129"/>
      <c r="J1029" s="129"/>
      <c r="K1029" s="129"/>
      <c r="L1029" s="129"/>
      <c r="M1029" s="129"/>
      <c r="N1029" s="129"/>
      <c r="O1029" s="129"/>
      <c r="P1029" s="129"/>
      <c r="Q1029" s="129"/>
      <c r="R1029" s="129"/>
      <c r="S1029" s="129"/>
      <c r="T1029" s="129"/>
      <c r="U1029" s="129"/>
      <c r="V1029" s="129"/>
      <c r="W1029" s="129"/>
      <c r="X1029" s="129"/>
      <c r="Y1029" s="129"/>
      <c r="Z1029" s="129"/>
      <c r="AA1029" s="129"/>
      <c r="AB1029" s="129"/>
    </row>
    <row r="1030">
      <c r="A1030" s="150" t="s">
        <v>754</v>
      </c>
      <c r="B1030" s="147">
        <v>1390.0</v>
      </c>
      <c r="C1030" s="147">
        <v>1841.0</v>
      </c>
      <c r="D1030" s="132">
        <f t="shared" si="126"/>
        <v>451</v>
      </c>
      <c r="E1030" s="147" t="s">
        <v>629</v>
      </c>
      <c r="F1030" s="132">
        <f t="shared" si="130"/>
        <v>2338.07</v>
      </c>
      <c r="G1030" s="347"/>
      <c r="H1030" s="168">
        <f t="shared" si="128"/>
        <v>32.44604317</v>
      </c>
      <c r="I1030" s="129"/>
      <c r="J1030" s="129"/>
      <c r="K1030" s="129"/>
      <c r="L1030" s="129"/>
      <c r="M1030" s="129"/>
      <c r="N1030" s="129"/>
      <c r="O1030" s="129"/>
      <c r="P1030" s="129"/>
      <c r="Q1030" s="129"/>
      <c r="R1030" s="129"/>
      <c r="S1030" s="129"/>
      <c r="T1030" s="129"/>
      <c r="U1030" s="129"/>
      <c r="V1030" s="129"/>
      <c r="W1030" s="129"/>
      <c r="X1030" s="129"/>
      <c r="Y1030" s="129"/>
      <c r="Z1030" s="129"/>
      <c r="AA1030" s="129"/>
      <c r="AB1030" s="129"/>
    </row>
    <row r="1031">
      <c r="A1031" s="150" t="s">
        <v>874</v>
      </c>
      <c r="B1031" s="147">
        <v>1590.0</v>
      </c>
      <c r="C1031" s="147">
        <v>1992.0</v>
      </c>
      <c r="D1031" s="132">
        <f t="shared" si="126"/>
        <v>402</v>
      </c>
      <c r="E1031" s="147" t="s">
        <v>629</v>
      </c>
      <c r="F1031" s="132">
        <f t="shared" si="130"/>
        <v>2529.84</v>
      </c>
      <c r="G1031" s="231"/>
      <c r="H1031" s="168">
        <f t="shared" si="128"/>
        <v>25.28301887</v>
      </c>
      <c r="I1031" s="129"/>
      <c r="J1031" s="129"/>
      <c r="K1031" s="129"/>
      <c r="L1031" s="129"/>
      <c r="M1031" s="129"/>
      <c r="N1031" s="129"/>
      <c r="O1031" s="129"/>
      <c r="P1031" s="129"/>
      <c r="Q1031" s="129"/>
      <c r="R1031" s="129"/>
      <c r="S1031" s="129"/>
      <c r="T1031" s="129"/>
      <c r="U1031" s="129"/>
      <c r="V1031" s="129"/>
      <c r="W1031" s="129"/>
      <c r="X1031" s="129"/>
      <c r="Y1031" s="129"/>
      <c r="Z1031" s="129"/>
      <c r="AA1031" s="129"/>
      <c r="AB1031" s="129"/>
    </row>
    <row r="1032">
      <c r="A1032" s="123" t="s">
        <v>964</v>
      </c>
      <c r="B1032" s="147">
        <v>4290.0</v>
      </c>
      <c r="C1032" s="124">
        <v>5390.0</v>
      </c>
      <c r="D1032" s="132">
        <f t="shared" si="126"/>
        <v>1100</v>
      </c>
      <c r="E1032" s="147" t="s">
        <v>557</v>
      </c>
      <c r="F1032" s="127">
        <f t="shared" si="130"/>
        <v>6845.3</v>
      </c>
      <c r="G1032" s="231"/>
      <c r="H1032" s="168">
        <f t="shared" si="128"/>
        <v>25.64102564</v>
      </c>
    </row>
    <row r="1033">
      <c r="A1033" s="128" t="s">
        <v>965</v>
      </c>
      <c r="B1033" s="147">
        <v>2990.0</v>
      </c>
      <c r="C1033" s="147">
        <v>3510.0</v>
      </c>
      <c r="D1033" s="132">
        <f t="shared" si="126"/>
        <v>520</v>
      </c>
      <c r="E1033" s="147" t="s">
        <v>629</v>
      </c>
      <c r="F1033" s="132">
        <f t="shared" si="130"/>
        <v>4457.7</v>
      </c>
      <c r="G1033" s="231"/>
      <c r="H1033" s="168">
        <f t="shared" si="128"/>
        <v>17.39130435</v>
      </c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</row>
    <row r="1034">
      <c r="A1034" s="128" t="s">
        <v>966</v>
      </c>
      <c r="B1034" s="147">
        <v>3490.0</v>
      </c>
      <c r="C1034" s="147">
        <v>4245.0</v>
      </c>
      <c r="D1034" s="132">
        <f t="shared" si="126"/>
        <v>755</v>
      </c>
      <c r="E1034" s="147" t="s">
        <v>629</v>
      </c>
      <c r="F1034" s="132">
        <f t="shared" si="130"/>
        <v>5391.15</v>
      </c>
      <c r="G1034" s="231"/>
      <c r="H1034" s="168">
        <f t="shared" si="128"/>
        <v>21.63323782</v>
      </c>
      <c r="I1034" s="129"/>
      <c r="J1034" s="129"/>
      <c r="K1034" s="129"/>
      <c r="L1034" s="129"/>
      <c r="M1034" s="129"/>
      <c r="N1034" s="129"/>
      <c r="O1034" s="129"/>
      <c r="P1034" s="129"/>
      <c r="Q1034" s="129"/>
      <c r="R1034" s="129"/>
      <c r="S1034" s="129"/>
      <c r="T1034" s="129"/>
      <c r="U1034" s="129"/>
      <c r="V1034" s="129"/>
      <c r="W1034" s="129"/>
      <c r="X1034" s="129"/>
      <c r="Y1034" s="129"/>
      <c r="Z1034" s="129"/>
      <c r="AA1034" s="129"/>
      <c r="AB1034" s="129"/>
    </row>
    <row r="1035">
      <c r="A1035" s="128" t="s">
        <v>956</v>
      </c>
      <c r="B1035" s="147">
        <v>4240.0</v>
      </c>
      <c r="C1035" s="147">
        <v>4900.0</v>
      </c>
      <c r="D1035" s="132">
        <f t="shared" si="126"/>
        <v>660</v>
      </c>
      <c r="E1035" s="147" t="s">
        <v>629</v>
      </c>
      <c r="F1035" s="127">
        <f t="shared" si="130"/>
        <v>6223</v>
      </c>
      <c r="G1035" s="231"/>
      <c r="H1035" s="168">
        <f t="shared" si="128"/>
        <v>15.56603774</v>
      </c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</row>
    <row r="1036">
      <c r="A1036" s="150" t="s">
        <v>754</v>
      </c>
      <c r="B1036" s="147">
        <v>1390.0</v>
      </c>
      <c r="C1036" s="147">
        <v>1840.0</v>
      </c>
      <c r="D1036" s="132">
        <f t="shared" si="126"/>
        <v>450</v>
      </c>
      <c r="E1036" s="147" t="s">
        <v>629</v>
      </c>
      <c r="F1036" s="132">
        <f>C1036*1.3</f>
        <v>2392</v>
      </c>
      <c r="G1036" s="347"/>
      <c r="H1036" s="168">
        <f t="shared" si="128"/>
        <v>32.37410072</v>
      </c>
      <c r="I1036" s="129"/>
      <c r="J1036" s="129"/>
      <c r="K1036" s="129"/>
      <c r="L1036" s="129"/>
      <c r="M1036" s="129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</row>
    <row r="1037">
      <c r="A1037" s="150" t="s">
        <v>754</v>
      </c>
      <c r="B1037" s="147">
        <v>1390.0</v>
      </c>
      <c r="C1037" s="147">
        <v>1840.0</v>
      </c>
      <c r="D1037" s="132">
        <f t="shared" si="126"/>
        <v>450</v>
      </c>
      <c r="E1037" s="147" t="s">
        <v>629</v>
      </c>
      <c r="F1037" s="132">
        <f t="shared" ref="F1037:F1040" si="131">C1037*1.2</f>
        <v>2208</v>
      </c>
      <c r="G1037" s="347"/>
      <c r="H1037" s="168">
        <f t="shared" si="128"/>
        <v>32.37410072</v>
      </c>
      <c r="I1037" s="129"/>
      <c r="J1037" s="129"/>
      <c r="K1037" s="129"/>
      <c r="L1037" s="129"/>
      <c r="M1037" s="129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</row>
    <row r="1038">
      <c r="A1038" s="150" t="s">
        <v>757</v>
      </c>
      <c r="B1038" s="147">
        <v>1190.0</v>
      </c>
      <c r="C1038" s="147">
        <v>1599.0</v>
      </c>
      <c r="D1038" s="132">
        <f t="shared" si="126"/>
        <v>409</v>
      </c>
      <c r="E1038" s="147" t="s">
        <v>629</v>
      </c>
      <c r="F1038" s="132">
        <f t="shared" si="131"/>
        <v>1918.8</v>
      </c>
      <c r="G1038" s="231"/>
      <c r="H1038" s="168">
        <f t="shared" si="128"/>
        <v>34.3697479</v>
      </c>
      <c r="I1038" s="129"/>
      <c r="J1038" s="129"/>
      <c r="K1038" s="129"/>
      <c r="L1038" s="129"/>
      <c r="M1038" s="129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</row>
    <row r="1039">
      <c r="A1039" s="150" t="s">
        <v>757</v>
      </c>
      <c r="B1039" s="147">
        <v>1190.0</v>
      </c>
      <c r="C1039" s="147">
        <v>1599.0</v>
      </c>
      <c r="D1039" s="132">
        <f t="shared" si="126"/>
        <v>409</v>
      </c>
      <c r="E1039" s="147" t="s">
        <v>629</v>
      </c>
      <c r="F1039" s="132">
        <f t="shared" si="131"/>
        <v>1918.8</v>
      </c>
      <c r="G1039" s="231"/>
      <c r="H1039" s="168">
        <f t="shared" si="128"/>
        <v>34.3697479</v>
      </c>
      <c r="I1039" s="129"/>
      <c r="J1039" s="129"/>
      <c r="K1039" s="129"/>
      <c r="L1039" s="129"/>
      <c r="M1039" s="129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</row>
    <row r="1040">
      <c r="A1040" s="150" t="s">
        <v>757</v>
      </c>
      <c r="B1040" s="147">
        <v>1190.0</v>
      </c>
      <c r="C1040" s="147">
        <v>1598.0</v>
      </c>
      <c r="D1040" s="132">
        <f t="shared" si="126"/>
        <v>408</v>
      </c>
      <c r="E1040" s="147" t="s">
        <v>629</v>
      </c>
      <c r="F1040" s="132">
        <f t="shared" si="131"/>
        <v>1917.6</v>
      </c>
      <c r="G1040" s="231"/>
      <c r="H1040" s="168">
        <f t="shared" si="128"/>
        <v>34.28571429</v>
      </c>
      <c r="I1040" s="129"/>
      <c r="J1040" s="129"/>
      <c r="K1040" s="129"/>
      <c r="L1040" s="129"/>
      <c r="M1040" s="129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</row>
    <row r="1041">
      <c r="A1041" s="128" t="s">
        <v>967</v>
      </c>
      <c r="B1041" s="147">
        <v>2990.0</v>
      </c>
      <c r="C1041" s="147">
        <v>2076.0</v>
      </c>
      <c r="D1041" s="132">
        <f t="shared" si="126"/>
        <v>-914</v>
      </c>
      <c r="E1041" s="126" t="s">
        <v>123</v>
      </c>
      <c r="F1041" s="127">
        <f t="shared" ref="F1041:F1043" si="132">C1041*1.27</f>
        <v>2636.52</v>
      </c>
      <c r="G1041" s="231"/>
      <c r="H1041" s="168">
        <f t="shared" si="128"/>
        <v>-30.56856187</v>
      </c>
      <c r="I1041" s="129"/>
      <c r="L1041" s="129"/>
      <c r="M1041" s="129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</row>
    <row r="1042">
      <c r="A1042" s="128" t="s">
        <v>968</v>
      </c>
      <c r="B1042" s="147">
        <v>2490.0</v>
      </c>
      <c r="C1042" s="147">
        <v>2327.0</v>
      </c>
      <c r="D1042" s="132">
        <f t="shared" si="126"/>
        <v>-163</v>
      </c>
      <c r="E1042" s="126" t="s">
        <v>123</v>
      </c>
      <c r="F1042" s="127">
        <f t="shared" si="132"/>
        <v>2955.29</v>
      </c>
      <c r="G1042" s="231"/>
      <c r="H1042" s="168">
        <f t="shared" si="128"/>
        <v>-6.546184739</v>
      </c>
      <c r="I1042" s="129"/>
      <c r="J1042" s="129"/>
      <c r="K1042" s="129"/>
      <c r="L1042" s="129"/>
      <c r="M1042" s="129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</row>
    <row r="1043">
      <c r="A1043" s="128" t="s">
        <v>969</v>
      </c>
      <c r="B1043" s="147">
        <v>690.0</v>
      </c>
      <c r="C1043" s="147">
        <v>742.0</v>
      </c>
      <c r="D1043" s="132">
        <f t="shared" si="126"/>
        <v>52</v>
      </c>
      <c r="E1043" s="126" t="s">
        <v>123</v>
      </c>
      <c r="F1043" s="127">
        <f t="shared" si="132"/>
        <v>942.34</v>
      </c>
      <c r="G1043" s="231"/>
      <c r="H1043" s="168">
        <f t="shared" si="128"/>
        <v>7.536231884</v>
      </c>
      <c r="I1043" s="129"/>
      <c r="J1043" s="129"/>
      <c r="K1043" s="129"/>
      <c r="L1043" s="129"/>
      <c r="M1043" s="129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</row>
    <row r="1044">
      <c r="A1044" s="143"/>
      <c r="B1044" s="139"/>
      <c r="C1044" s="139"/>
      <c r="D1044" s="139"/>
      <c r="E1044" s="129"/>
      <c r="F1044" s="139"/>
      <c r="G1044" s="129"/>
      <c r="H1044" s="129"/>
      <c r="I1044" s="129"/>
      <c r="J1044" s="129"/>
      <c r="K1044" s="129"/>
      <c r="L1044" s="129"/>
      <c r="M1044" s="129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</row>
    <row r="1045">
      <c r="A1045" s="144" t="s">
        <v>57</v>
      </c>
      <c r="B1045" s="145">
        <f t="shared" ref="B1045:D1045" si="133">SUM(B874:B1044)</f>
        <v>256647</v>
      </c>
      <c r="C1045" s="145">
        <f t="shared" si="133"/>
        <v>327379</v>
      </c>
      <c r="D1045" s="145">
        <f t="shared" si="133"/>
        <v>70732</v>
      </c>
      <c r="F1045" s="139"/>
      <c r="G1045" s="129"/>
      <c r="H1045" s="146">
        <f>D1045/(C1045/100)</f>
        <v>21.60553976</v>
      </c>
      <c r="I1045" s="129"/>
      <c r="J1045" s="129"/>
      <c r="K1045" s="129"/>
      <c r="L1045" s="129"/>
      <c r="M1045" s="129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</row>
    <row r="1046">
      <c r="A1046" s="205"/>
      <c r="B1046" s="139"/>
      <c r="C1046" s="139"/>
      <c r="D1046" s="139"/>
      <c r="E1046" s="129"/>
      <c r="F1046" s="129"/>
      <c r="G1046" s="129"/>
      <c r="H1046" s="129"/>
      <c r="I1046" s="129"/>
      <c r="J1046" s="129"/>
      <c r="K1046" s="129"/>
      <c r="L1046" s="129"/>
      <c r="M1046" s="129"/>
      <c r="N1046" s="129"/>
      <c r="O1046" s="129"/>
      <c r="P1046" s="129"/>
      <c r="Q1046" s="129"/>
      <c r="R1046" s="129"/>
      <c r="S1046" s="129"/>
      <c r="T1046" s="129"/>
      <c r="U1046" s="129"/>
      <c r="V1046" s="129"/>
      <c r="W1046" s="129"/>
      <c r="X1046" s="129"/>
      <c r="Y1046" s="129"/>
      <c r="Z1046" s="129"/>
      <c r="AA1046" s="129"/>
      <c r="AB1046" s="129"/>
    </row>
    <row r="1047">
      <c r="A1047" s="205" t="s">
        <v>970</v>
      </c>
      <c r="B1047" s="139"/>
      <c r="C1047" s="139"/>
      <c r="D1047" s="139"/>
      <c r="E1047" s="129"/>
      <c r="F1047" s="129"/>
      <c r="G1047" s="129"/>
      <c r="H1047" s="129"/>
      <c r="I1047" s="129"/>
      <c r="J1047" s="129"/>
      <c r="K1047" s="129"/>
      <c r="L1047" s="129"/>
      <c r="M1047" s="129"/>
      <c r="N1047" s="129"/>
      <c r="O1047" s="129"/>
      <c r="P1047" s="129"/>
      <c r="Q1047" s="129"/>
      <c r="R1047" s="129"/>
      <c r="S1047" s="129"/>
      <c r="T1047" s="129"/>
      <c r="U1047" s="129"/>
      <c r="V1047" s="129"/>
      <c r="W1047" s="129"/>
      <c r="X1047" s="129"/>
      <c r="Y1047" s="129"/>
      <c r="Z1047" s="129"/>
      <c r="AA1047" s="129"/>
      <c r="AB1047" s="129"/>
    </row>
    <row r="1048" hidden="1">
      <c r="A1048" s="383">
        <v>45992.0</v>
      </c>
      <c r="B1048" s="139"/>
      <c r="C1048" s="139"/>
      <c r="D1048" s="139"/>
      <c r="E1048" s="129"/>
      <c r="F1048" s="129"/>
      <c r="G1048" s="129"/>
      <c r="H1048" s="129"/>
      <c r="I1048" s="129"/>
      <c r="J1048" s="129"/>
      <c r="K1048" s="129"/>
      <c r="L1048" s="129"/>
      <c r="M1048" s="129"/>
      <c r="N1048" s="129"/>
      <c r="O1048" s="129"/>
      <c r="P1048" s="129"/>
      <c r="Q1048" s="129"/>
      <c r="R1048" s="129"/>
      <c r="S1048" s="129"/>
      <c r="T1048" s="129"/>
      <c r="U1048" s="129"/>
      <c r="V1048" s="129"/>
      <c r="W1048" s="129"/>
      <c r="X1048" s="129"/>
      <c r="Y1048" s="129"/>
      <c r="Z1048" s="129"/>
      <c r="AA1048" s="129"/>
      <c r="AB1048" s="129"/>
    </row>
    <row r="1049" hidden="1">
      <c r="A1049" s="150"/>
      <c r="B1049" s="132"/>
      <c r="C1049" s="132"/>
      <c r="D1049" s="132"/>
      <c r="E1049" s="132"/>
      <c r="F1049" s="139"/>
      <c r="G1049" s="129"/>
      <c r="H1049" s="129"/>
      <c r="I1049" s="129"/>
      <c r="J1049" s="129"/>
      <c r="K1049" s="129"/>
      <c r="L1049" s="129"/>
      <c r="M1049" s="129"/>
      <c r="N1049" s="129"/>
      <c r="O1049" s="129"/>
      <c r="P1049" s="129"/>
      <c r="Q1049" s="129"/>
      <c r="R1049" s="129"/>
      <c r="S1049" s="129"/>
      <c r="T1049" s="129"/>
      <c r="U1049" s="129"/>
      <c r="V1049" s="129"/>
      <c r="W1049" s="129"/>
      <c r="X1049" s="129"/>
      <c r="Y1049" s="129"/>
      <c r="Z1049" s="129"/>
      <c r="AA1049" s="129"/>
      <c r="AB1049" s="129"/>
    </row>
    <row r="1050" hidden="1">
      <c r="A1050" s="123" t="s">
        <v>971</v>
      </c>
      <c r="B1050" s="124">
        <v>90.0</v>
      </c>
      <c r="C1050" s="124">
        <v>331.0</v>
      </c>
      <c r="D1050" s="132">
        <f t="shared" ref="D1050:D1129" si="134">C1050-B1050</f>
        <v>241</v>
      </c>
      <c r="E1050" s="132" t="s">
        <v>972</v>
      </c>
      <c r="F1050" s="128">
        <f t="shared" ref="F1050:F1116" si="135">C1050*1.3</f>
        <v>430.3</v>
      </c>
      <c r="G1050" s="231"/>
      <c r="H1050" s="168">
        <f t="shared" ref="H1050:H1129" si="136">D1050/(B1050/100)</f>
        <v>267.7777778</v>
      </c>
    </row>
    <row r="1051" hidden="1">
      <c r="A1051" s="123" t="s">
        <v>973</v>
      </c>
      <c r="B1051" s="124">
        <v>3490.0</v>
      </c>
      <c r="C1051" s="124">
        <v>4644.0</v>
      </c>
      <c r="D1051" s="132">
        <f t="shared" si="134"/>
        <v>1154</v>
      </c>
      <c r="E1051" s="132" t="s">
        <v>972</v>
      </c>
      <c r="F1051" s="128">
        <f t="shared" si="135"/>
        <v>6037.2</v>
      </c>
      <c r="G1051" s="231"/>
      <c r="H1051" s="168">
        <f t="shared" si="136"/>
        <v>33.06590258</v>
      </c>
    </row>
    <row r="1052" hidden="1">
      <c r="A1052" s="123" t="s">
        <v>974</v>
      </c>
      <c r="B1052" s="124">
        <v>4090.0</v>
      </c>
      <c r="C1052" s="124">
        <v>5146.0</v>
      </c>
      <c r="D1052" s="132">
        <f t="shared" si="134"/>
        <v>1056</v>
      </c>
      <c r="E1052" s="132" t="s">
        <v>972</v>
      </c>
      <c r="F1052" s="128">
        <f t="shared" si="135"/>
        <v>6689.8</v>
      </c>
      <c r="G1052" s="231"/>
      <c r="H1052" s="168">
        <f t="shared" si="136"/>
        <v>25.8190709</v>
      </c>
    </row>
    <row r="1053" hidden="1">
      <c r="A1053" s="150" t="s">
        <v>754</v>
      </c>
      <c r="B1053" s="147">
        <v>1390.0</v>
      </c>
      <c r="C1053" s="147">
        <v>1792.0</v>
      </c>
      <c r="D1053" s="132">
        <f t="shared" si="134"/>
        <v>402</v>
      </c>
      <c r="E1053" s="132" t="s">
        <v>972</v>
      </c>
      <c r="F1053" s="152">
        <f t="shared" si="135"/>
        <v>2329.6</v>
      </c>
      <c r="G1053" s="347"/>
      <c r="H1053" s="168">
        <f t="shared" si="136"/>
        <v>28.92086331</v>
      </c>
      <c r="I1053" s="129"/>
      <c r="J1053" s="129"/>
      <c r="K1053" s="129"/>
      <c r="L1053" s="129"/>
      <c r="M1053" s="129"/>
      <c r="N1053" s="129"/>
      <c r="O1053" s="129"/>
      <c r="P1053" s="129"/>
      <c r="Q1053" s="129"/>
      <c r="R1053" s="129"/>
      <c r="S1053" s="129"/>
      <c r="T1053" s="129"/>
      <c r="U1053" s="129"/>
      <c r="V1053" s="129"/>
      <c r="W1053" s="129"/>
      <c r="X1053" s="129"/>
      <c r="Y1053" s="129"/>
      <c r="Z1053" s="129"/>
      <c r="AA1053" s="129"/>
      <c r="AB1053" s="129"/>
    </row>
    <row r="1054" hidden="1">
      <c r="A1054" s="128" t="s">
        <v>754</v>
      </c>
      <c r="B1054" s="147">
        <v>1390.0</v>
      </c>
      <c r="C1054" s="147">
        <v>1792.0</v>
      </c>
      <c r="D1054" s="132">
        <f t="shared" si="134"/>
        <v>402</v>
      </c>
      <c r="E1054" s="132" t="s">
        <v>972</v>
      </c>
      <c r="F1054" s="152">
        <f t="shared" si="135"/>
        <v>2329.6</v>
      </c>
      <c r="G1054" s="231"/>
      <c r="H1054" s="168">
        <f t="shared" si="136"/>
        <v>28.92086331</v>
      </c>
      <c r="I1054" s="129"/>
      <c r="J1054" s="129"/>
      <c r="K1054" s="129"/>
      <c r="L1054" s="129"/>
      <c r="M1054" s="129"/>
      <c r="N1054" s="129"/>
      <c r="O1054" s="129"/>
      <c r="P1054" s="129"/>
      <c r="Q1054" s="129"/>
      <c r="R1054" s="129"/>
      <c r="S1054" s="129"/>
      <c r="T1054" s="129"/>
      <c r="U1054" s="129"/>
      <c r="V1054" s="129"/>
      <c r="W1054" s="129"/>
      <c r="X1054" s="129"/>
      <c r="Y1054" s="129"/>
      <c r="Z1054" s="129"/>
      <c r="AA1054" s="129"/>
      <c r="AB1054" s="129"/>
    </row>
    <row r="1055" hidden="1">
      <c r="A1055" s="128" t="s">
        <v>754</v>
      </c>
      <c r="B1055" s="147">
        <v>1390.0</v>
      </c>
      <c r="C1055" s="147">
        <v>1791.0</v>
      </c>
      <c r="D1055" s="132">
        <f t="shared" si="134"/>
        <v>401</v>
      </c>
      <c r="E1055" s="132" t="s">
        <v>972</v>
      </c>
      <c r="F1055" s="152">
        <f t="shared" si="135"/>
        <v>2328.3</v>
      </c>
      <c r="G1055" s="231"/>
      <c r="H1055" s="168">
        <f t="shared" si="136"/>
        <v>28.84892086</v>
      </c>
      <c r="I1055" s="129"/>
      <c r="J1055" s="129"/>
      <c r="K1055" s="129"/>
      <c r="L1055" s="129"/>
      <c r="M1055" s="129"/>
      <c r="N1055" s="129"/>
      <c r="O1055" s="129"/>
      <c r="P1055" s="129"/>
      <c r="Q1055" s="129"/>
      <c r="R1055" s="129"/>
      <c r="S1055" s="129"/>
      <c r="T1055" s="129"/>
      <c r="U1055" s="129"/>
      <c r="V1055" s="129"/>
      <c r="W1055" s="129"/>
      <c r="X1055" s="129"/>
      <c r="Y1055" s="129"/>
      <c r="Z1055" s="129"/>
      <c r="AA1055" s="129"/>
      <c r="AB1055" s="129"/>
    </row>
    <row r="1056" hidden="1">
      <c r="A1056" s="123" t="s">
        <v>975</v>
      </c>
      <c r="B1056" s="124">
        <v>740.0</v>
      </c>
      <c r="C1056" s="124">
        <v>1055.0</v>
      </c>
      <c r="D1056" s="132">
        <f t="shared" si="134"/>
        <v>315</v>
      </c>
      <c r="E1056" s="132" t="s">
        <v>972</v>
      </c>
      <c r="F1056" s="128">
        <f t="shared" si="135"/>
        <v>1371.5</v>
      </c>
      <c r="G1056" s="231"/>
      <c r="H1056" s="168">
        <f t="shared" si="136"/>
        <v>42.56756757</v>
      </c>
    </row>
    <row r="1057" hidden="1">
      <c r="A1057" s="128" t="s">
        <v>976</v>
      </c>
      <c r="B1057" s="147">
        <v>4290.0</v>
      </c>
      <c r="C1057" s="124">
        <v>5391.0</v>
      </c>
      <c r="D1057" s="132">
        <f t="shared" si="134"/>
        <v>1101</v>
      </c>
      <c r="E1057" s="132" t="s">
        <v>972</v>
      </c>
      <c r="F1057" s="128">
        <f t="shared" si="135"/>
        <v>7008.3</v>
      </c>
      <c r="G1057" s="347"/>
      <c r="H1057" s="168">
        <f t="shared" si="136"/>
        <v>25.66433566</v>
      </c>
      <c r="I1057" s="129"/>
      <c r="J1057" s="129"/>
      <c r="K1057" s="129"/>
      <c r="L1057" s="129"/>
      <c r="M1057" s="129"/>
      <c r="N1057" s="129"/>
      <c r="O1057" s="129"/>
      <c r="P1057" s="129"/>
      <c r="Q1057" s="129"/>
      <c r="R1057" s="129"/>
      <c r="S1057" s="129"/>
      <c r="T1057" s="129"/>
      <c r="U1057" s="129"/>
      <c r="V1057" s="129"/>
      <c r="W1057" s="129"/>
      <c r="X1057" s="129"/>
      <c r="Y1057" s="129"/>
      <c r="Z1057" s="129"/>
      <c r="AA1057" s="129"/>
      <c r="AB1057" s="129"/>
    </row>
    <row r="1058" hidden="1">
      <c r="A1058" s="123" t="s">
        <v>977</v>
      </c>
      <c r="B1058" s="124">
        <v>840.0</v>
      </c>
      <c r="C1058" s="124">
        <v>1137.0</v>
      </c>
      <c r="D1058" s="132">
        <f t="shared" si="134"/>
        <v>297</v>
      </c>
      <c r="E1058" s="132" t="s">
        <v>972</v>
      </c>
      <c r="F1058" s="128">
        <f t="shared" si="135"/>
        <v>1478.1</v>
      </c>
      <c r="G1058" s="231"/>
      <c r="H1058" s="168">
        <f t="shared" si="136"/>
        <v>35.35714286</v>
      </c>
    </row>
    <row r="1059" hidden="1">
      <c r="A1059" s="128" t="s">
        <v>978</v>
      </c>
      <c r="B1059" s="147">
        <v>4290.0</v>
      </c>
      <c r="C1059" s="147">
        <v>5588.0</v>
      </c>
      <c r="D1059" s="132">
        <f t="shared" si="134"/>
        <v>1298</v>
      </c>
      <c r="E1059" s="132" t="s">
        <v>972</v>
      </c>
      <c r="F1059" s="128">
        <f t="shared" si="135"/>
        <v>7264.4</v>
      </c>
      <c r="G1059" s="231"/>
      <c r="H1059" s="168">
        <f t="shared" si="136"/>
        <v>30.25641026</v>
      </c>
      <c r="I1059" s="129"/>
      <c r="J1059" s="129"/>
      <c r="K1059" s="129"/>
      <c r="L1059" s="129"/>
      <c r="M1059" s="129"/>
      <c r="N1059" s="129"/>
      <c r="O1059" s="129"/>
      <c r="P1059" s="129"/>
      <c r="Q1059" s="129"/>
      <c r="R1059" s="129"/>
      <c r="S1059" s="129"/>
      <c r="T1059" s="129"/>
      <c r="U1059" s="129"/>
      <c r="V1059" s="129"/>
      <c r="W1059" s="129"/>
      <c r="X1059" s="129"/>
      <c r="Y1059" s="129"/>
      <c r="Z1059" s="129"/>
      <c r="AA1059" s="129"/>
      <c r="AB1059" s="129"/>
    </row>
    <row r="1060" hidden="1">
      <c r="A1060" s="123" t="s">
        <v>979</v>
      </c>
      <c r="B1060" s="124">
        <v>3540.0</v>
      </c>
      <c r="C1060" s="124">
        <v>4492.0</v>
      </c>
      <c r="D1060" s="132">
        <f t="shared" si="134"/>
        <v>952</v>
      </c>
      <c r="E1060" s="132" t="s">
        <v>972</v>
      </c>
      <c r="F1060" s="128">
        <f t="shared" si="135"/>
        <v>5839.6</v>
      </c>
      <c r="G1060" s="231"/>
      <c r="H1060" s="168">
        <f t="shared" si="136"/>
        <v>26.89265537</v>
      </c>
    </row>
    <row r="1061" hidden="1">
      <c r="A1061" s="128" t="s">
        <v>980</v>
      </c>
      <c r="B1061" s="147">
        <v>90.0</v>
      </c>
      <c r="C1061" s="147">
        <v>319.0</v>
      </c>
      <c r="D1061" s="132">
        <f t="shared" si="134"/>
        <v>229</v>
      </c>
      <c r="E1061" s="132" t="s">
        <v>972</v>
      </c>
      <c r="F1061" s="128">
        <f t="shared" si="135"/>
        <v>414.7</v>
      </c>
      <c r="G1061" s="231"/>
      <c r="H1061" s="168">
        <f t="shared" si="136"/>
        <v>254.4444444</v>
      </c>
      <c r="I1061" s="129"/>
      <c r="J1061" s="129"/>
      <c r="K1061" s="129"/>
      <c r="L1061" s="129"/>
      <c r="M1061" s="129"/>
      <c r="N1061" s="129"/>
      <c r="O1061" s="129"/>
      <c r="P1061" s="129"/>
      <c r="Q1061" s="129"/>
      <c r="R1061" s="129"/>
      <c r="S1061" s="129"/>
      <c r="T1061" s="129"/>
      <c r="U1061" s="129"/>
      <c r="V1061" s="129"/>
      <c r="W1061" s="129"/>
      <c r="X1061" s="129"/>
      <c r="Y1061" s="129"/>
      <c r="Z1061" s="129"/>
      <c r="AA1061" s="129"/>
      <c r="AB1061" s="129"/>
    </row>
    <row r="1062" hidden="1">
      <c r="A1062" s="123" t="s">
        <v>981</v>
      </c>
      <c r="B1062" s="147">
        <v>790.0</v>
      </c>
      <c r="C1062" s="147">
        <v>1055.0</v>
      </c>
      <c r="D1062" s="132">
        <f t="shared" si="134"/>
        <v>265</v>
      </c>
      <c r="E1062" s="147" t="s">
        <v>972</v>
      </c>
      <c r="F1062" s="128">
        <f t="shared" si="135"/>
        <v>1371.5</v>
      </c>
      <c r="G1062" s="231"/>
      <c r="H1062" s="168">
        <f t="shared" si="136"/>
        <v>33.5443038</v>
      </c>
    </row>
    <row r="1063" hidden="1">
      <c r="A1063" s="128" t="s">
        <v>982</v>
      </c>
      <c r="B1063" s="147">
        <v>90.0</v>
      </c>
      <c r="C1063" s="147">
        <v>319.0</v>
      </c>
      <c r="D1063" s="132">
        <f t="shared" si="134"/>
        <v>229</v>
      </c>
      <c r="E1063" s="132" t="s">
        <v>972</v>
      </c>
      <c r="F1063" s="128">
        <f t="shared" si="135"/>
        <v>414.7</v>
      </c>
      <c r="G1063" s="231"/>
      <c r="H1063" s="168">
        <f t="shared" si="136"/>
        <v>254.4444444</v>
      </c>
      <c r="I1063" s="129"/>
      <c r="J1063" s="129"/>
      <c r="K1063" s="129"/>
      <c r="L1063" s="129"/>
      <c r="M1063" s="129"/>
      <c r="N1063" s="129"/>
      <c r="O1063" s="129"/>
      <c r="P1063" s="129"/>
      <c r="Q1063" s="129"/>
      <c r="R1063" s="129"/>
      <c r="S1063" s="129"/>
      <c r="T1063" s="129"/>
      <c r="U1063" s="129"/>
      <c r="V1063" s="129"/>
      <c r="W1063" s="129"/>
      <c r="X1063" s="129"/>
      <c r="Y1063" s="129"/>
      <c r="Z1063" s="129"/>
      <c r="AA1063" s="129"/>
      <c r="AB1063" s="129"/>
    </row>
    <row r="1064" hidden="1">
      <c r="A1064" s="123" t="s">
        <v>983</v>
      </c>
      <c r="B1064" s="124">
        <v>3540.0</v>
      </c>
      <c r="C1064" s="124">
        <v>4492.0</v>
      </c>
      <c r="D1064" s="132">
        <f t="shared" si="134"/>
        <v>952</v>
      </c>
      <c r="E1064" s="132" t="s">
        <v>972</v>
      </c>
      <c r="F1064" s="128">
        <f t="shared" si="135"/>
        <v>5839.6</v>
      </c>
      <c r="G1064" s="231"/>
      <c r="H1064" s="168">
        <f t="shared" si="136"/>
        <v>26.89265537</v>
      </c>
    </row>
    <row r="1065" hidden="1">
      <c r="A1065" s="150" t="s">
        <v>754</v>
      </c>
      <c r="B1065" s="147">
        <v>1390.0</v>
      </c>
      <c r="C1065" s="147">
        <v>1828.0</v>
      </c>
      <c r="D1065" s="132">
        <f t="shared" si="134"/>
        <v>438</v>
      </c>
      <c r="E1065" s="132" t="s">
        <v>972</v>
      </c>
      <c r="F1065" s="152">
        <f t="shared" si="135"/>
        <v>2376.4</v>
      </c>
      <c r="G1065" s="347"/>
      <c r="H1065" s="168">
        <f t="shared" si="136"/>
        <v>31.51079137</v>
      </c>
      <c r="I1065" s="129"/>
      <c r="J1065" s="129"/>
      <c r="K1065" s="129"/>
      <c r="L1065" s="129"/>
      <c r="M1065" s="129"/>
      <c r="N1065" s="129"/>
      <c r="O1065" s="129"/>
      <c r="P1065" s="129"/>
      <c r="Q1065" s="129"/>
      <c r="R1065" s="129"/>
      <c r="S1065" s="129"/>
      <c r="T1065" s="129"/>
      <c r="U1065" s="129"/>
      <c r="V1065" s="129"/>
      <c r="W1065" s="129"/>
      <c r="X1065" s="129"/>
      <c r="Y1065" s="129"/>
      <c r="Z1065" s="129"/>
      <c r="AA1065" s="129"/>
      <c r="AB1065" s="129"/>
    </row>
    <row r="1066" hidden="1">
      <c r="A1066" s="123" t="s">
        <v>984</v>
      </c>
      <c r="B1066" s="124">
        <v>3790.0</v>
      </c>
      <c r="C1066" s="124">
        <v>4736.0</v>
      </c>
      <c r="D1066" s="132">
        <f t="shared" si="134"/>
        <v>946</v>
      </c>
      <c r="E1066" s="132" t="s">
        <v>972</v>
      </c>
      <c r="F1066" s="128">
        <f t="shared" si="135"/>
        <v>6156.8</v>
      </c>
      <c r="G1066" s="231"/>
      <c r="H1066" s="168">
        <f t="shared" si="136"/>
        <v>24.96042216</v>
      </c>
    </row>
    <row r="1067" hidden="1">
      <c r="A1067" s="128" t="s">
        <v>985</v>
      </c>
      <c r="B1067" s="147">
        <v>2090.0</v>
      </c>
      <c r="C1067" s="147">
        <v>2446.0</v>
      </c>
      <c r="D1067" s="132">
        <f t="shared" si="134"/>
        <v>356</v>
      </c>
      <c r="E1067" s="132" t="s">
        <v>972</v>
      </c>
      <c r="F1067" s="128">
        <f t="shared" si="135"/>
        <v>3179.8</v>
      </c>
      <c r="G1067" s="231"/>
      <c r="H1067" s="168">
        <f t="shared" si="136"/>
        <v>17.03349282</v>
      </c>
      <c r="I1067" s="129"/>
      <c r="J1067" s="129"/>
      <c r="K1067" s="129"/>
      <c r="L1067" s="129"/>
      <c r="M1067" s="129"/>
      <c r="N1067" s="129"/>
      <c r="O1067" s="129"/>
      <c r="P1067" s="129"/>
      <c r="Q1067" s="129"/>
      <c r="R1067" s="129"/>
      <c r="S1067" s="129"/>
      <c r="T1067" s="129"/>
      <c r="U1067" s="129"/>
      <c r="V1067" s="129"/>
      <c r="W1067" s="129"/>
      <c r="X1067" s="129"/>
      <c r="Y1067" s="129"/>
      <c r="Z1067" s="129"/>
      <c r="AA1067" s="129"/>
      <c r="AB1067" s="129"/>
    </row>
    <row r="1068" hidden="1">
      <c r="A1068" s="150" t="s">
        <v>754</v>
      </c>
      <c r="B1068" s="147">
        <v>1390.0</v>
      </c>
      <c r="C1068" s="147">
        <v>1790.0</v>
      </c>
      <c r="D1068" s="132">
        <f t="shared" si="134"/>
        <v>400</v>
      </c>
      <c r="E1068" s="132" t="s">
        <v>972</v>
      </c>
      <c r="F1068" s="152">
        <f t="shared" si="135"/>
        <v>2327</v>
      </c>
      <c r="G1068" s="347"/>
      <c r="H1068" s="168">
        <f t="shared" si="136"/>
        <v>28.77697842</v>
      </c>
      <c r="I1068" s="129"/>
      <c r="J1068" s="129"/>
      <c r="K1068" s="129"/>
      <c r="L1068" s="129"/>
      <c r="M1068" s="129"/>
      <c r="N1068" s="129"/>
      <c r="O1068" s="129"/>
      <c r="P1068" s="129"/>
      <c r="Q1068" s="129"/>
      <c r="R1068" s="129"/>
      <c r="S1068" s="129"/>
      <c r="T1068" s="129"/>
      <c r="U1068" s="129"/>
      <c r="V1068" s="129"/>
      <c r="W1068" s="129"/>
      <c r="X1068" s="129"/>
      <c r="Y1068" s="129"/>
      <c r="Z1068" s="129"/>
      <c r="AA1068" s="129"/>
      <c r="AB1068" s="129"/>
    </row>
    <row r="1069" hidden="1">
      <c r="A1069" s="123" t="s">
        <v>986</v>
      </c>
      <c r="B1069" s="124">
        <v>590.0</v>
      </c>
      <c r="C1069" s="124">
        <v>812.0</v>
      </c>
      <c r="D1069" s="132">
        <f t="shared" si="134"/>
        <v>222</v>
      </c>
      <c r="E1069" s="132" t="s">
        <v>972</v>
      </c>
      <c r="F1069" s="128">
        <f t="shared" si="135"/>
        <v>1055.6</v>
      </c>
      <c r="G1069" s="231"/>
      <c r="H1069" s="168">
        <f t="shared" si="136"/>
        <v>37.62711864</v>
      </c>
    </row>
    <row r="1070" hidden="1">
      <c r="A1070" s="128" t="s">
        <v>956</v>
      </c>
      <c r="B1070" s="147">
        <v>4240.0</v>
      </c>
      <c r="C1070" s="147">
        <v>4409.0</v>
      </c>
      <c r="D1070" s="132">
        <f t="shared" si="134"/>
        <v>169</v>
      </c>
      <c r="E1070" s="132" t="s">
        <v>972</v>
      </c>
      <c r="F1070" s="128">
        <f t="shared" si="135"/>
        <v>5731.7</v>
      </c>
      <c r="G1070" s="231"/>
      <c r="H1070" s="168">
        <f t="shared" si="136"/>
        <v>3.985849057</v>
      </c>
      <c r="I1070" s="129"/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</row>
    <row r="1071" hidden="1">
      <c r="A1071" s="123" t="s">
        <v>987</v>
      </c>
      <c r="B1071" s="124">
        <v>4190.0</v>
      </c>
      <c r="C1071" s="124">
        <v>5473.0</v>
      </c>
      <c r="D1071" s="132">
        <f t="shared" si="134"/>
        <v>1283</v>
      </c>
      <c r="E1071" s="132" t="s">
        <v>972</v>
      </c>
      <c r="F1071" s="128">
        <f t="shared" si="135"/>
        <v>7114.9</v>
      </c>
      <c r="G1071" s="231"/>
      <c r="H1071" s="168">
        <f t="shared" si="136"/>
        <v>30.62052506</v>
      </c>
    </row>
    <row r="1072" hidden="1">
      <c r="A1072" s="123" t="s">
        <v>988</v>
      </c>
      <c r="B1072" s="124">
        <v>1.0</v>
      </c>
      <c r="C1072" s="124">
        <v>2773.0</v>
      </c>
      <c r="D1072" s="132">
        <f t="shared" si="134"/>
        <v>2772</v>
      </c>
      <c r="E1072" s="132" t="s">
        <v>972</v>
      </c>
      <c r="F1072" s="128">
        <f t="shared" si="135"/>
        <v>3604.9</v>
      </c>
      <c r="G1072" s="231"/>
      <c r="H1072" s="168">
        <f t="shared" si="136"/>
        <v>277200</v>
      </c>
    </row>
    <row r="1073" hidden="1">
      <c r="A1073" s="128" t="s">
        <v>754</v>
      </c>
      <c r="B1073" s="147">
        <v>1290.0</v>
      </c>
      <c r="C1073" s="147">
        <v>1709.0</v>
      </c>
      <c r="D1073" s="132">
        <f t="shared" si="134"/>
        <v>419</v>
      </c>
      <c r="E1073" s="132" t="s">
        <v>972</v>
      </c>
      <c r="F1073" s="128">
        <f t="shared" si="135"/>
        <v>2221.7</v>
      </c>
      <c r="G1073" s="231"/>
      <c r="H1073" s="168">
        <f t="shared" si="136"/>
        <v>32.48062016</v>
      </c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</row>
    <row r="1074" hidden="1">
      <c r="A1074" s="128" t="s">
        <v>754</v>
      </c>
      <c r="B1074" s="147">
        <v>1290.0</v>
      </c>
      <c r="C1074" s="147">
        <v>1465.0</v>
      </c>
      <c r="D1074" s="132">
        <f t="shared" si="134"/>
        <v>175</v>
      </c>
      <c r="E1074" s="132" t="s">
        <v>972</v>
      </c>
      <c r="F1074" s="128">
        <f t="shared" si="135"/>
        <v>1904.5</v>
      </c>
      <c r="G1074" s="231"/>
      <c r="H1074" s="168">
        <f t="shared" si="136"/>
        <v>13.56589147</v>
      </c>
      <c r="I1074" s="129"/>
      <c r="J1074" s="129"/>
      <c r="K1074" s="129"/>
      <c r="L1074" s="129"/>
      <c r="M1074" s="129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</row>
    <row r="1075" hidden="1">
      <c r="A1075" s="150" t="s">
        <v>763</v>
      </c>
      <c r="B1075" s="147">
        <v>1290.0</v>
      </c>
      <c r="C1075" s="147">
        <v>1792.0</v>
      </c>
      <c r="D1075" s="132">
        <f t="shared" si="134"/>
        <v>502</v>
      </c>
      <c r="E1075" s="132" t="s">
        <v>972</v>
      </c>
      <c r="F1075" s="128">
        <f t="shared" si="135"/>
        <v>2329.6</v>
      </c>
      <c r="G1075" s="231"/>
      <c r="H1075" s="168">
        <f t="shared" si="136"/>
        <v>38.91472868</v>
      </c>
      <c r="I1075" s="129"/>
      <c r="J1075" s="129"/>
      <c r="K1075" s="129"/>
      <c r="L1075" s="129"/>
      <c r="M1075" s="129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</row>
    <row r="1076" hidden="1">
      <c r="A1076" s="150" t="s">
        <v>874</v>
      </c>
      <c r="B1076" s="147">
        <v>1540.0</v>
      </c>
      <c r="C1076" s="147">
        <v>1709.0</v>
      </c>
      <c r="D1076" s="132">
        <f t="shared" si="134"/>
        <v>169</v>
      </c>
      <c r="E1076" s="132" t="s">
        <v>972</v>
      </c>
      <c r="F1076" s="128">
        <f t="shared" si="135"/>
        <v>2221.7</v>
      </c>
      <c r="G1076" s="231"/>
      <c r="H1076" s="168">
        <f t="shared" si="136"/>
        <v>10.97402597</v>
      </c>
      <c r="I1076" s="129"/>
      <c r="J1076" s="129"/>
      <c r="K1076" s="129"/>
      <c r="L1076" s="129"/>
      <c r="M1076" s="129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</row>
    <row r="1077" hidden="1">
      <c r="A1077" s="150" t="s">
        <v>763</v>
      </c>
      <c r="B1077" s="147">
        <v>2680.0</v>
      </c>
      <c r="C1077" s="147">
        <v>3301.0</v>
      </c>
      <c r="D1077" s="132">
        <f t="shared" si="134"/>
        <v>621</v>
      </c>
      <c r="E1077" s="132" t="s">
        <v>972</v>
      </c>
      <c r="F1077" s="128">
        <f t="shared" si="135"/>
        <v>4291.3</v>
      </c>
      <c r="G1077" s="231"/>
      <c r="H1077" s="168">
        <f t="shared" si="136"/>
        <v>23.17164179</v>
      </c>
      <c r="I1077" s="129"/>
      <c r="J1077" s="129"/>
      <c r="K1077" s="129"/>
      <c r="L1077" s="129"/>
      <c r="M1077" s="129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</row>
    <row r="1078" hidden="1">
      <c r="A1078" s="150" t="s">
        <v>763</v>
      </c>
      <c r="B1078" s="147">
        <v>0.0</v>
      </c>
      <c r="C1078" s="147">
        <v>0.0</v>
      </c>
      <c r="D1078" s="132">
        <f t="shared" si="134"/>
        <v>0</v>
      </c>
      <c r="E1078" s="132" t="s">
        <v>972</v>
      </c>
      <c r="F1078" s="128">
        <f t="shared" si="135"/>
        <v>0</v>
      </c>
      <c r="G1078" s="231"/>
      <c r="H1078" s="168" t="str">
        <f t="shared" si="136"/>
        <v>#DIV/0!</v>
      </c>
      <c r="I1078" s="129"/>
      <c r="J1078" s="129"/>
      <c r="K1078" s="129"/>
      <c r="L1078" s="129"/>
      <c r="M1078" s="129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</row>
    <row r="1079" hidden="1">
      <c r="A1079" s="128" t="s">
        <v>754</v>
      </c>
      <c r="B1079" s="147">
        <v>2580.0</v>
      </c>
      <c r="C1079" s="147">
        <v>3129.0</v>
      </c>
      <c r="D1079" s="132">
        <f t="shared" si="134"/>
        <v>549</v>
      </c>
      <c r="E1079" s="132" t="s">
        <v>972</v>
      </c>
      <c r="F1079" s="128">
        <f t="shared" si="135"/>
        <v>4067.7</v>
      </c>
      <c r="G1079" s="231"/>
      <c r="H1079" s="168">
        <f t="shared" si="136"/>
        <v>21.27906977</v>
      </c>
      <c r="I1079" s="129"/>
      <c r="J1079" s="129"/>
      <c r="K1079" s="129"/>
      <c r="L1079" s="129"/>
      <c r="M1079" s="129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</row>
    <row r="1080" hidden="1">
      <c r="A1080" s="128" t="s">
        <v>754</v>
      </c>
      <c r="B1080" s="147">
        <v>0.0</v>
      </c>
      <c r="C1080" s="147">
        <v>0.0</v>
      </c>
      <c r="D1080" s="132">
        <f t="shared" si="134"/>
        <v>0</v>
      </c>
      <c r="E1080" s="132" t="s">
        <v>972</v>
      </c>
      <c r="F1080" s="128">
        <f t="shared" si="135"/>
        <v>0</v>
      </c>
      <c r="G1080" s="231"/>
      <c r="H1080" s="168" t="str">
        <f t="shared" si="136"/>
        <v>#DIV/0!</v>
      </c>
      <c r="I1080" s="129"/>
      <c r="J1080" s="129"/>
      <c r="K1080" s="129"/>
      <c r="L1080" s="129"/>
      <c r="M1080" s="129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</row>
    <row r="1081" hidden="1">
      <c r="A1081" s="128" t="s">
        <v>961</v>
      </c>
      <c r="B1081" s="147">
        <v>1390.0</v>
      </c>
      <c r="C1081" s="147">
        <v>0.0</v>
      </c>
      <c r="D1081" s="132">
        <f t="shared" si="134"/>
        <v>-1390</v>
      </c>
      <c r="E1081" s="132" t="s">
        <v>972</v>
      </c>
      <c r="F1081" s="152">
        <f t="shared" si="135"/>
        <v>0</v>
      </c>
      <c r="G1081" s="231"/>
      <c r="H1081" s="168">
        <f t="shared" si="136"/>
        <v>-100</v>
      </c>
      <c r="I1081" s="129"/>
      <c r="J1081" s="129"/>
      <c r="K1081" s="129"/>
      <c r="L1081" s="129"/>
      <c r="M1081" s="129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</row>
    <row r="1082" hidden="1">
      <c r="A1082" s="128" t="s">
        <v>930</v>
      </c>
      <c r="B1082" s="147">
        <v>1390.0</v>
      </c>
      <c r="C1082" s="147">
        <v>0.0</v>
      </c>
      <c r="D1082" s="132">
        <f t="shared" si="134"/>
        <v>-1390</v>
      </c>
      <c r="E1082" s="132" t="s">
        <v>972</v>
      </c>
      <c r="F1082" s="152">
        <f t="shared" si="135"/>
        <v>0</v>
      </c>
      <c r="G1082" s="231"/>
      <c r="H1082" s="168">
        <f t="shared" si="136"/>
        <v>-100</v>
      </c>
      <c r="I1082" s="129"/>
      <c r="J1082" s="129"/>
      <c r="K1082" s="129"/>
      <c r="L1082" s="129"/>
      <c r="M1082" s="129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</row>
    <row r="1083" hidden="1">
      <c r="A1083" s="128" t="s">
        <v>989</v>
      </c>
      <c r="B1083" s="147">
        <v>3890.0</v>
      </c>
      <c r="C1083" s="147">
        <v>5108.0</v>
      </c>
      <c r="D1083" s="132">
        <f t="shared" si="134"/>
        <v>1218</v>
      </c>
      <c r="E1083" s="132" t="s">
        <v>972</v>
      </c>
      <c r="F1083" s="152">
        <f t="shared" si="135"/>
        <v>6640.4</v>
      </c>
      <c r="G1083" s="231"/>
      <c r="H1083" s="168">
        <f t="shared" si="136"/>
        <v>31.31105398</v>
      </c>
      <c r="I1083" s="129"/>
      <c r="J1083" s="129"/>
      <c r="K1083" s="129"/>
      <c r="L1083" s="129"/>
      <c r="M1083" s="129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</row>
    <row r="1084" hidden="1">
      <c r="A1084" s="150" t="s">
        <v>874</v>
      </c>
      <c r="B1084" s="147">
        <v>1540.0</v>
      </c>
      <c r="C1084" s="147">
        <v>1836.0</v>
      </c>
      <c r="D1084" s="132">
        <f t="shared" si="134"/>
        <v>296</v>
      </c>
      <c r="E1084" s="132" t="s">
        <v>972</v>
      </c>
      <c r="F1084" s="152">
        <f t="shared" si="135"/>
        <v>2386.8</v>
      </c>
      <c r="G1084" s="231"/>
      <c r="H1084" s="168">
        <f t="shared" si="136"/>
        <v>19.22077922</v>
      </c>
      <c r="I1084" s="129"/>
      <c r="J1084" s="129"/>
      <c r="K1084" s="129"/>
      <c r="L1084" s="129"/>
      <c r="M1084" s="129"/>
      <c r="N1084" s="129"/>
      <c r="O1084" s="129"/>
      <c r="P1084" s="129"/>
      <c r="Q1084" s="129"/>
      <c r="R1084" s="129"/>
      <c r="S1084" s="129"/>
      <c r="T1084" s="129"/>
      <c r="U1084" s="129"/>
      <c r="V1084" s="129"/>
      <c r="W1084" s="129"/>
      <c r="X1084" s="129"/>
      <c r="Y1084" s="129"/>
      <c r="Z1084" s="129"/>
      <c r="AA1084" s="129"/>
      <c r="AB1084" s="129"/>
    </row>
    <row r="1085" hidden="1">
      <c r="A1085" s="150" t="s">
        <v>763</v>
      </c>
      <c r="B1085" s="147">
        <v>5950.0</v>
      </c>
      <c r="C1085" s="147">
        <v>6927.0</v>
      </c>
      <c r="D1085" s="132">
        <f t="shared" si="134"/>
        <v>977</v>
      </c>
      <c r="E1085" s="132" t="s">
        <v>972</v>
      </c>
      <c r="F1085" s="152">
        <f t="shared" si="135"/>
        <v>9005.1</v>
      </c>
      <c r="G1085" s="231"/>
      <c r="H1085" s="168">
        <f t="shared" si="136"/>
        <v>16.42016807</v>
      </c>
      <c r="I1085" s="129"/>
      <c r="J1085" s="129"/>
      <c r="K1085" s="129"/>
      <c r="L1085" s="129"/>
      <c r="M1085" s="129"/>
      <c r="N1085" s="129"/>
      <c r="O1085" s="129"/>
      <c r="P1085" s="129"/>
      <c r="Q1085" s="129"/>
      <c r="R1085" s="129"/>
      <c r="S1085" s="129"/>
      <c r="T1085" s="129"/>
      <c r="U1085" s="129"/>
      <c r="V1085" s="129"/>
      <c r="W1085" s="129"/>
      <c r="X1085" s="129"/>
      <c r="Y1085" s="129"/>
      <c r="Z1085" s="129"/>
      <c r="AA1085" s="129"/>
      <c r="AB1085" s="129"/>
    </row>
    <row r="1086" hidden="1">
      <c r="A1086" s="150" t="s">
        <v>763</v>
      </c>
      <c r="B1086" s="147">
        <v>0.0</v>
      </c>
      <c r="C1086" s="147">
        <v>0.0</v>
      </c>
      <c r="D1086" s="132">
        <f t="shared" si="134"/>
        <v>0</v>
      </c>
      <c r="E1086" s="132" t="s">
        <v>972</v>
      </c>
      <c r="F1086" s="152">
        <f t="shared" si="135"/>
        <v>0</v>
      </c>
      <c r="G1086" s="231"/>
      <c r="H1086" s="168" t="str">
        <f t="shared" si="136"/>
        <v>#DIV/0!</v>
      </c>
      <c r="I1086" s="129"/>
      <c r="J1086" s="129"/>
      <c r="K1086" s="129"/>
      <c r="L1086" s="129"/>
      <c r="M1086" s="129"/>
      <c r="N1086" s="129"/>
      <c r="O1086" s="129"/>
      <c r="P1086" s="129"/>
      <c r="Q1086" s="129"/>
      <c r="R1086" s="129"/>
      <c r="S1086" s="129"/>
      <c r="T1086" s="129"/>
      <c r="U1086" s="129"/>
      <c r="V1086" s="129"/>
      <c r="W1086" s="129"/>
      <c r="X1086" s="129"/>
      <c r="Y1086" s="129"/>
      <c r="Z1086" s="129"/>
      <c r="AA1086" s="129"/>
      <c r="AB1086" s="129"/>
    </row>
    <row r="1087" hidden="1">
      <c r="A1087" s="150" t="s">
        <v>763</v>
      </c>
      <c r="B1087" s="147">
        <v>0.0</v>
      </c>
      <c r="C1087" s="147">
        <v>0.0</v>
      </c>
      <c r="D1087" s="132">
        <f t="shared" si="134"/>
        <v>0</v>
      </c>
      <c r="E1087" s="132" t="s">
        <v>972</v>
      </c>
      <c r="F1087" s="152">
        <f t="shared" si="135"/>
        <v>0</v>
      </c>
      <c r="G1087" s="231"/>
      <c r="H1087" s="168" t="str">
        <f t="shared" si="136"/>
        <v>#DIV/0!</v>
      </c>
      <c r="I1087" s="129"/>
      <c r="J1087" s="129"/>
      <c r="K1087" s="129"/>
      <c r="L1087" s="129"/>
      <c r="M1087" s="129"/>
      <c r="N1087" s="129"/>
      <c r="O1087" s="129"/>
      <c r="P1087" s="129"/>
      <c r="Q1087" s="129"/>
      <c r="R1087" s="129"/>
      <c r="S1087" s="129"/>
      <c r="T1087" s="129"/>
      <c r="U1087" s="129"/>
      <c r="V1087" s="129"/>
      <c r="W1087" s="129"/>
      <c r="X1087" s="129"/>
      <c r="Y1087" s="129"/>
      <c r="Z1087" s="129"/>
      <c r="AA1087" s="129"/>
      <c r="AB1087" s="129"/>
    </row>
    <row r="1088" hidden="1">
      <c r="A1088" s="128" t="s">
        <v>763</v>
      </c>
      <c r="B1088" s="147">
        <v>0.0</v>
      </c>
      <c r="C1088" s="147">
        <v>0.0</v>
      </c>
      <c r="D1088" s="132">
        <f t="shared" si="134"/>
        <v>0</v>
      </c>
      <c r="E1088" s="132" t="s">
        <v>972</v>
      </c>
      <c r="F1088" s="152">
        <f t="shared" si="135"/>
        <v>0</v>
      </c>
      <c r="G1088" s="231"/>
      <c r="H1088" s="168" t="str">
        <f t="shared" si="136"/>
        <v>#DIV/0!</v>
      </c>
      <c r="I1088" s="129"/>
      <c r="J1088" s="129"/>
      <c r="K1088" s="129"/>
      <c r="L1088" s="129"/>
      <c r="M1088" s="129"/>
      <c r="N1088" s="129"/>
      <c r="O1088" s="129"/>
      <c r="P1088" s="129"/>
      <c r="Q1088" s="129"/>
      <c r="R1088" s="129"/>
      <c r="S1088" s="129"/>
      <c r="T1088" s="129"/>
      <c r="U1088" s="129"/>
      <c r="V1088" s="129"/>
      <c r="W1088" s="129"/>
      <c r="X1088" s="129"/>
      <c r="Y1088" s="129"/>
      <c r="Z1088" s="129"/>
      <c r="AA1088" s="129"/>
      <c r="AB1088" s="129"/>
    </row>
    <row r="1089" hidden="1">
      <c r="A1089" s="128" t="s">
        <v>763</v>
      </c>
      <c r="B1089" s="147">
        <v>0.0</v>
      </c>
      <c r="C1089" s="147">
        <v>0.0</v>
      </c>
      <c r="D1089" s="132">
        <f t="shared" si="134"/>
        <v>0</v>
      </c>
      <c r="E1089" s="132" t="s">
        <v>972</v>
      </c>
      <c r="F1089" s="152">
        <f t="shared" si="135"/>
        <v>0</v>
      </c>
      <c r="G1089" s="231"/>
      <c r="H1089" s="168" t="str">
        <f t="shared" si="136"/>
        <v>#DIV/0!</v>
      </c>
      <c r="I1089" s="129"/>
      <c r="J1089" s="129"/>
      <c r="K1089" s="129"/>
      <c r="L1089" s="129"/>
      <c r="M1089" s="129"/>
      <c r="N1089" s="129"/>
      <c r="O1089" s="129"/>
      <c r="P1089" s="129"/>
      <c r="Q1089" s="129"/>
      <c r="R1089" s="129"/>
      <c r="S1089" s="129"/>
      <c r="T1089" s="129"/>
      <c r="U1089" s="129"/>
      <c r="V1089" s="129"/>
      <c r="W1089" s="129"/>
      <c r="X1089" s="129"/>
      <c r="Y1089" s="129"/>
      <c r="Z1089" s="129"/>
      <c r="AA1089" s="129"/>
      <c r="AB1089" s="129"/>
    </row>
    <row r="1090" hidden="1">
      <c r="A1090" s="123" t="s">
        <v>990</v>
      </c>
      <c r="B1090" s="124">
        <v>4290.0</v>
      </c>
      <c r="C1090" s="124">
        <v>5108.0</v>
      </c>
      <c r="D1090" s="132">
        <f t="shared" si="134"/>
        <v>818</v>
      </c>
      <c r="E1090" s="132" t="s">
        <v>972</v>
      </c>
      <c r="F1090" s="152">
        <f t="shared" si="135"/>
        <v>6640.4</v>
      </c>
      <c r="G1090" s="231"/>
      <c r="H1090" s="168">
        <f t="shared" si="136"/>
        <v>19.06759907</v>
      </c>
    </row>
    <row r="1091" hidden="1">
      <c r="A1091" s="128" t="s">
        <v>961</v>
      </c>
      <c r="B1091" s="147">
        <v>1390.0</v>
      </c>
      <c r="C1091" s="147">
        <v>1574.0</v>
      </c>
      <c r="D1091" s="132">
        <f t="shared" si="134"/>
        <v>184</v>
      </c>
      <c r="E1091" s="132" t="s">
        <v>972</v>
      </c>
      <c r="F1091" s="152">
        <f t="shared" si="135"/>
        <v>2046.2</v>
      </c>
      <c r="G1091" s="231"/>
      <c r="H1091" s="168">
        <f t="shared" si="136"/>
        <v>13.23741007</v>
      </c>
      <c r="I1091" s="129"/>
      <c r="J1091" s="129"/>
      <c r="K1091" s="129"/>
      <c r="L1091" s="129"/>
      <c r="M1091" s="129"/>
      <c r="N1091" s="129"/>
      <c r="O1091" s="129"/>
      <c r="P1091" s="129"/>
      <c r="Q1091" s="129"/>
      <c r="R1091" s="129"/>
      <c r="S1091" s="129"/>
      <c r="T1091" s="129"/>
      <c r="U1091" s="129"/>
      <c r="V1091" s="129"/>
      <c r="W1091" s="129"/>
      <c r="X1091" s="129"/>
      <c r="Y1091" s="129"/>
      <c r="Z1091" s="129"/>
      <c r="AA1091" s="129"/>
      <c r="AB1091" s="129"/>
    </row>
    <row r="1092" hidden="1">
      <c r="A1092" s="123" t="s">
        <v>991</v>
      </c>
      <c r="B1092" s="147">
        <v>1.0</v>
      </c>
      <c r="C1092" s="147">
        <v>284.0</v>
      </c>
      <c r="D1092" s="132">
        <f t="shared" si="134"/>
        <v>283</v>
      </c>
      <c r="E1092" s="132" t="s">
        <v>972</v>
      </c>
      <c r="F1092" s="152">
        <f t="shared" si="135"/>
        <v>369.2</v>
      </c>
      <c r="G1092" s="231"/>
      <c r="H1092" s="168">
        <f t="shared" si="136"/>
        <v>28300</v>
      </c>
    </row>
    <row r="1093" hidden="1">
      <c r="A1093" s="128" t="s">
        <v>754</v>
      </c>
      <c r="B1093" s="147">
        <v>1190.0</v>
      </c>
      <c r="C1093" s="147">
        <v>1492.0</v>
      </c>
      <c r="D1093" s="132">
        <f t="shared" si="134"/>
        <v>302</v>
      </c>
      <c r="E1093" s="132" t="s">
        <v>972</v>
      </c>
      <c r="F1093" s="152">
        <f t="shared" si="135"/>
        <v>1939.6</v>
      </c>
      <c r="G1093" s="231"/>
      <c r="H1093" s="168">
        <f t="shared" si="136"/>
        <v>25.37815126</v>
      </c>
      <c r="I1093" s="129"/>
      <c r="J1093" s="129"/>
      <c r="K1093" s="129"/>
      <c r="L1093" s="129"/>
      <c r="M1093" s="129"/>
      <c r="N1093" s="129"/>
      <c r="O1093" s="129"/>
      <c r="P1093" s="129"/>
      <c r="Q1093" s="129"/>
      <c r="R1093" s="129"/>
      <c r="S1093" s="129"/>
      <c r="T1093" s="129"/>
      <c r="U1093" s="129"/>
      <c r="V1093" s="129"/>
      <c r="W1093" s="129"/>
      <c r="X1093" s="129"/>
      <c r="Y1093" s="129"/>
      <c r="Z1093" s="129"/>
      <c r="AA1093" s="129"/>
      <c r="AB1093" s="129"/>
    </row>
    <row r="1094" hidden="1">
      <c r="A1094" s="123" t="s">
        <v>992</v>
      </c>
      <c r="B1094" s="147">
        <v>90.0</v>
      </c>
      <c r="C1094" s="147">
        <v>340.0</v>
      </c>
      <c r="D1094" s="132">
        <f t="shared" si="134"/>
        <v>250</v>
      </c>
      <c r="E1094" s="132" t="s">
        <v>972</v>
      </c>
      <c r="F1094" s="152">
        <f t="shared" si="135"/>
        <v>442</v>
      </c>
      <c r="G1094" s="231"/>
      <c r="H1094" s="168">
        <f t="shared" si="136"/>
        <v>277.7777778</v>
      </c>
    </row>
    <row r="1095" hidden="1">
      <c r="A1095" s="128" t="s">
        <v>754</v>
      </c>
      <c r="B1095" s="147">
        <v>1190.0</v>
      </c>
      <c r="C1095" s="147">
        <v>1400.0</v>
      </c>
      <c r="D1095" s="132">
        <f t="shared" si="134"/>
        <v>210</v>
      </c>
      <c r="E1095" s="132" t="s">
        <v>972</v>
      </c>
      <c r="F1095" s="152">
        <f t="shared" si="135"/>
        <v>1820</v>
      </c>
      <c r="G1095" s="231"/>
      <c r="H1095" s="168">
        <f t="shared" si="136"/>
        <v>17.64705882</v>
      </c>
      <c r="I1095" s="129"/>
      <c r="J1095" s="129"/>
      <c r="K1095" s="129"/>
      <c r="L1095" s="129"/>
      <c r="M1095" s="129"/>
      <c r="N1095" s="129"/>
      <c r="O1095" s="129"/>
      <c r="P1095" s="129"/>
      <c r="Q1095" s="129"/>
      <c r="R1095" s="129"/>
      <c r="S1095" s="129"/>
      <c r="T1095" s="129"/>
      <c r="U1095" s="129"/>
      <c r="V1095" s="129"/>
      <c r="W1095" s="129"/>
      <c r="X1095" s="129"/>
      <c r="Y1095" s="129"/>
      <c r="Z1095" s="129"/>
      <c r="AA1095" s="129"/>
      <c r="AB1095" s="129"/>
    </row>
    <row r="1096" hidden="1">
      <c r="A1096" s="128" t="s">
        <v>754</v>
      </c>
      <c r="B1096" s="147">
        <v>1190.0</v>
      </c>
      <c r="C1096" s="147">
        <v>1400.0</v>
      </c>
      <c r="D1096" s="132">
        <f t="shared" si="134"/>
        <v>210</v>
      </c>
      <c r="E1096" s="132" t="s">
        <v>972</v>
      </c>
      <c r="F1096" s="152">
        <f t="shared" si="135"/>
        <v>1820</v>
      </c>
      <c r="G1096" s="231"/>
      <c r="H1096" s="168">
        <f t="shared" si="136"/>
        <v>17.64705882</v>
      </c>
      <c r="I1096" s="129"/>
      <c r="J1096" s="129"/>
      <c r="K1096" s="129"/>
      <c r="L1096" s="129"/>
      <c r="M1096" s="129"/>
      <c r="N1096" s="129"/>
      <c r="O1096" s="129"/>
      <c r="P1096" s="129"/>
      <c r="Q1096" s="129"/>
      <c r="R1096" s="129"/>
      <c r="S1096" s="129"/>
      <c r="T1096" s="129"/>
      <c r="U1096" s="129"/>
      <c r="V1096" s="129"/>
      <c r="W1096" s="129"/>
      <c r="X1096" s="129"/>
      <c r="Y1096" s="129"/>
      <c r="Z1096" s="129"/>
      <c r="AA1096" s="129"/>
      <c r="AB1096" s="129"/>
    </row>
    <row r="1097" hidden="1">
      <c r="A1097" s="150" t="s">
        <v>763</v>
      </c>
      <c r="B1097" s="147">
        <v>1190.0</v>
      </c>
      <c r="C1097" s="147">
        <v>1403.0</v>
      </c>
      <c r="D1097" s="132">
        <f t="shared" si="134"/>
        <v>213</v>
      </c>
      <c r="E1097" s="132" t="s">
        <v>972</v>
      </c>
      <c r="F1097" s="152">
        <f t="shared" si="135"/>
        <v>1823.9</v>
      </c>
      <c r="G1097" s="231"/>
      <c r="H1097" s="168">
        <f t="shared" si="136"/>
        <v>17.89915966</v>
      </c>
      <c r="I1097" s="129"/>
      <c r="J1097" s="129"/>
      <c r="K1097" s="129"/>
      <c r="L1097" s="129"/>
      <c r="M1097" s="129"/>
      <c r="N1097" s="129"/>
      <c r="O1097" s="129"/>
      <c r="P1097" s="129"/>
      <c r="Q1097" s="129"/>
      <c r="R1097" s="129"/>
      <c r="S1097" s="129"/>
      <c r="T1097" s="129"/>
      <c r="U1097" s="129"/>
      <c r="V1097" s="129"/>
      <c r="W1097" s="129"/>
      <c r="X1097" s="129"/>
      <c r="Y1097" s="129"/>
      <c r="Z1097" s="129"/>
      <c r="AA1097" s="129"/>
      <c r="AB1097" s="129"/>
    </row>
    <row r="1098" hidden="1">
      <c r="A1098" s="128" t="s">
        <v>930</v>
      </c>
      <c r="B1098" s="147">
        <v>1390.0</v>
      </c>
      <c r="C1098" s="147">
        <v>1574.0</v>
      </c>
      <c r="D1098" s="132">
        <f t="shared" si="134"/>
        <v>184</v>
      </c>
      <c r="E1098" s="132" t="s">
        <v>972</v>
      </c>
      <c r="F1098" s="152">
        <f t="shared" si="135"/>
        <v>2046.2</v>
      </c>
      <c r="G1098" s="231"/>
      <c r="H1098" s="168">
        <f t="shared" si="136"/>
        <v>13.23741007</v>
      </c>
      <c r="I1098" s="129"/>
      <c r="J1098" s="129"/>
      <c r="K1098" s="129"/>
      <c r="L1098" s="129"/>
      <c r="M1098" s="129"/>
      <c r="N1098" s="129"/>
      <c r="O1098" s="129"/>
      <c r="P1098" s="129"/>
      <c r="Q1098" s="129"/>
      <c r="R1098" s="129"/>
      <c r="S1098" s="129"/>
      <c r="T1098" s="129"/>
      <c r="U1098" s="129"/>
      <c r="V1098" s="129"/>
      <c r="W1098" s="129"/>
      <c r="X1098" s="129"/>
      <c r="Y1098" s="129"/>
      <c r="Z1098" s="129"/>
      <c r="AA1098" s="129"/>
      <c r="AB1098" s="129"/>
    </row>
    <row r="1099" hidden="1">
      <c r="A1099" s="128" t="s">
        <v>754</v>
      </c>
      <c r="B1099" s="147">
        <v>1190.0</v>
      </c>
      <c r="C1099" s="147">
        <v>1449.0</v>
      </c>
      <c r="D1099" s="132">
        <f t="shared" si="134"/>
        <v>259</v>
      </c>
      <c r="E1099" s="132" t="s">
        <v>972</v>
      </c>
      <c r="F1099" s="152">
        <f t="shared" si="135"/>
        <v>1883.7</v>
      </c>
      <c r="G1099" s="231"/>
      <c r="H1099" s="168">
        <f t="shared" si="136"/>
        <v>21.76470588</v>
      </c>
      <c r="I1099" s="129"/>
      <c r="J1099" s="129"/>
      <c r="K1099" s="129"/>
      <c r="L1099" s="129"/>
      <c r="M1099" s="129"/>
      <c r="N1099" s="129"/>
      <c r="O1099" s="129"/>
      <c r="P1099" s="129"/>
      <c r="Q1099" s="129"/>
      <c r="R1099" s="129"/>
      <c r="S1099" s="129"/>
      <c r="T1099" s="129"/>
      <c r="U1099" s="129"/>
      <c r="V1099" s="129"/>
      <c r="W1099" s="129"/>
      <c r="X1099" s="129"/>
      <c r="Y1099" s="129"/>
      <c r="Z1099" s="129"/>
      <c r="AA1099" s="129"/>
      <c r="AB1099" s="129"/>
    </row>
    <row r="1100" hidden="1">
      <c r="A1100" s="128" t="s">
        <v>754</v>
      </c>
      <c r="B1100" s="147">
        <v>1190.0</v>
      </c>
      <c r="C1100" s="147">
        <v>1406.0</v>
      </c>
      <c r="D1100" s="132">
        <f t="shared" si="134"/>
        <v>216</v>
      </c>
      <c r="E1100" s="132" t="s">
        <v>972</v>
      </c>
      <c r="F1100" s="152">
        <f t="shared" si="135"/>
        <v>1827.8</v>
      </c>
      <c r="G1100" s="231"/>
      <c r="H1100" s="168">
        <f t="shared" si="136"/>
        <v>18.1512605</v>
      </c>
      <c r="I1100" s="129"/>
      <c r="J1100" s="129"/>
      <c r="K1100" s="129"/>
      <c r="L1100" s="129"/>
      <c r="M1100" s="129"/>
      <c r="N1100" s="129"/>
      <c r="O1100" s="129"/>
      <c r="P1100" s="129"/>
      <c r="Q1100" s="129"/>
      <c r="R1100" s="129"/>
      <c r="S1100" s="129"/>
      <c r="T1100" s="129"/>
      <c r="U1100" s="129"/>
      <c r="V1100" s="129"/>
      <c r="W1100" s="129"/>
      <c r="X1100" s="129"/>
      <c r="Y1100" s="129"/>
      <c r="Z1100" s="129"/>
      <c r="AA1100" s="129"/>
      <c r="AB1100" s="129"/>
    </row>
    <row r="1101" hidden="1">
      <c r="A1101" s="123" t="s">
        <v>993</v>
      </c>
      <c r="B1101" s="124">
        <v>1490.0</v>
      </c>
      <c r="C1101" s="124">
        <v>1747.0</v>
      </c>
      <c r="D1101" s="132">
        <f t="shared" si="134"/>
        <v>257</v>
      </c>
      <c r="E1101" s="132" t="s">
        <v>972</v>
      </c>
      <c r="F1101" s="152">
        <f t="shared" si="135"/>
        <v>2271.1</v>
      </c>
      <c r="G1101" s="231"/>
      <c r="H1101" s="168">
        <f t="shared" si="136"/>
        <v>17.24832215</v>
      </c>
    </row>
    <row r="1102" hidden="1">
      <c r="A1102" s="150" t="s">
        <v>754</v>
      </c>
      <c r="B1102" s="147">
        <v>1190.0</v>
      </c>
      <c r="C1102" s="147">
        <v>1406.0</v>
      </c>
      <c r="D1102" s="132">
        <f t="shared" si="134"/>
        <v>216</v>
      </c>
      <c r="E1102" s="132" t="s">
        <v>972</v>
      </c>
      <c r="F1102" s="152">
        <f t="shared" si="135"/>
        <v>1827.8</v>
      </c>
      <c r="G1102" s="231"/>
      <c r="H1102" s="168">
        <f t="shared" si="136"/>
        <v>18.1512605</v>
      </c>
      <c r="I1102" s="129"/>
      <c r="J1102" s="129"/>
      <c r="K1102" s="129"/>
      <c r="L1102" s="129"/>
      <c r="M1102" s="129"/>
      <c r="N1102" s="129"/>
      <c r="O1102" s="129"/>
      <c r="P1102" s="129"/>
      <c r="Q1102" s="129"/>
      <c r="R1102" s="129"/>
      <c r="S1102" s="129"/>
      <c r="T1102" s="129"/>
      <c r="U1102" s="129"/>
      <c r="V1102" s="129"/>
      <c r="W1102" s="129"/>
      <c r="X1102" s="129"/>
      <c r="Y1102" s="129"/>
      <c r="Z1102" s="129"/>
      <c r="AA1102" s="129"/>
      <c r="AB1102" s="129"/>
    </row>
    <row r="1103" hidden="1">
      <c r="A1103" s="128" t="s">
        <v>630</v>
      </c>
      <c r="B1103" s="147">
        <v>1790.0</v>
      </c>
      <c r="C1103" s="147">
        <v>1884.0</v>
      </c>
      <c r="D1103" s="132">
        <f t="shared" si="134"/>
        <v>94</v>
      </c>
      <c r="E1103" s="132" t="s">
        <v>972</v>
      </c>
      <c r="F1103" s="152">
        <f t="shared" si="135"/>
        <v>2449.2</v>
      </c>
      <c r="G1103" s="231"/>
      <c r="H1103" s="168">
        <f t="shared" si="136"/>
        <v>5.251396648</v>
      </c>
      <c r="I1103" s="129"/>
      <c r="J1103" s="129"/>
      <c r="K1103" s="129"/>
      <c r="L1103" s="129"/>
      <c r="M1103" s="129"/>
      <c r="N1103" s="129"/>
      <c r="O1103" s="129"/>
      <c r="P1103" s="129"/>
      <c r="Q1103" s="129"/>
      <c r="R1103" s="129"/>
      <c r="S1103" s="129"/>
      <c r="T1103" s="129"/>
      <c r="U1103" s="129"/>
      <c r="V1103" s="129"/>
      <c r="W1103" s="129"/>
      <c r="X1103" s="129"/>
      <c r="Y1103" s="129"/>
      <c r="Z1103" s="129"/>
      <c r="AA1103" s="129"/>
      <c r="AB1103" s="129"/>
    </row>
    <row r="1104" hidden="1">
      <c r="A1104" s="128" t="s">
        <v>754</v>
      </c>
      <c r="B1104" s="147">
        <v>1190.0</v>
      </c>
      <c r="C1104" s="147">
        <v>1368.0</v>
      </c>
      <c r="D1104" s="132">
        <f t="shared" si="134"/>
        <v>178</v>
      </c>
      <c r="E1104" s="132" t="s">
        <v>972</v>
      </c>
      <c r="F1104" s="152">
        <f t="shared" si="135"/>
        <v>1778.4</v>
      </c>
      <c r="G1104" s="231"/>
      <c r="H1104" s="168">
        <f t="shared" si="136"/>
        <v>14.95798319</v>
      </c>
      <c r="I1104" s="129"/>
      <c r="J1104" s="129"/>
      <c r="K1104" s="129"/>
      <c r="L1104" s="129"/>
      <c r="M1104" s="129"/>
      <c r="N1104" s="129"/>
      <c r="O1104" s="129"/>
      <c r="P1104" s="129"/>
      <c r="Q1104" s="129"/>
      <c r="R1104" s="129"/>
      <c r="S1104" s="129"/>
      <c r="T1104" s="129"/>
      <c r="U1104" s="129"/>
      <c r="V1104" s="129"/>
      <c r="W1104" s="129"/>
      <c r="X1104" s="129"/>
      <c r="Y1104" s="129"/>
      <c r="Z1104" s="129"/>
      <c r="AA1104" s="129"/>
      <c r="AB1104" s="129"/>
    </row>
    <row r="1105" hidden="1">
      <c r="A1105" s="150" t="s">
        <v>994</v>
      </c>
      <c r="B1105" s="147">
        <v>5290.0</v>
      </c>
      <c r="C1105" s="147">
        <v>5194.0</v>
      </c>
      <c r="D1105" s="132">
        <f t="shared" si="134"/>
        <v>-96</v>
      </c>
      <c r="E1105" s="132" t="s">
        <v>972</v>
      </c>
      <c r="F1105" s="152">
        <f t="shared" si="135"/>
        <v>6752.2</v>
      </c>
      <c r="G1105" s="231"/>
      <c r="H1105" s="168">
        <f t="shared" si="136"/>
        <v>-1.814744802</v>
      </c>
      <c r="I1105" s="129"/>
      <c r="J1105" s="129"/>
      <c r="K1105" s="129"/>
      <c r="L1105" s="129"/>
      <c r="M1105" s="129"/>
      <c r="N1105" s="129"/>
      <c r="O1105" s="129"/>
      <c r="P1105" s="129"/>
      <c r="Q1105" s="129"/>
      <c r="R1105" s="129"/>
      <c r="S1105" s="129"/>
      <c r="T1105" s="129"/>
      <c r="U1105" s="129"/>
      <c r="V1105" s="129"/>
      <c r="W1105" s="129"/>
      <c r="X1105" s="129"/>
      <c r="Y1105" s="129"/>
      <c r="Z1105" s="129"/>
      <c r="AA1105" s="129"/>
      <c r="AB1105" s="129"/>
    </row>
    <row r="1106" hidden="1">
      <c r="A1106" s="123" t="s">
        <v>995</v>
      </c>
      <c r="B1106" s="124">
        <v>940.0</v>
      </c>
      <c r="C1106" s="124">
        <v>1233.0</v>
      </c>
      <c r="D1106" s="132">
        <f t="shared" si="134"/>
        <v>293</v>
      </c>
      <c r="E1106" s="132" t="s">
        <v>972</v>
      </c>
      <c r="F1106" s="152">
        <f t="shared" si="135"/>
        <v>1602.9</v>
      </c>
      <c r="G1106" s="231"/>
      <c r="H1106" s="168">
        <f t="shared" si="136"/>
        <v>31.17021277</v>
      </c>
    </row>
    <row r="1107" hidden="1">
      <c r="A1107" s="150" t="s">
        <v>754</v>
      </c>
      <c r="B1107" s="147">
        <v>1190.0</v>
      </c>
      <c r="C1107" s="147">
        <v>1406.0</v>
      </c>
      <c r="D1107" s="132">
        <f t="shared" si="134"/>
        <v>216</v>
      </c>
      <c r="E1107" s="132" t="s">
        <v>972</v>
      </c>
      <c r="F1107" s="152">
        <f t="shared" si="135"/>
        <v>1827.8</v>
      </c>
      <c r="G1107" s="231"/>
      <c r="H1107" s="168">
        <f t="shared" si="136"/>
        <v>18.1512605</v>
      </c>
      <c r="I1107" s="129"/>
      <c r="J1107" s="129"/>
      <c r="K1107" s="129"/>
      <c r="L1107" s="129"/>
      <c r="M1107" s="129"/>
      <c r="N1107" s="129"/>
      <c r="O1107" s="129"/>
      <c r="P1107" s="129"/>
      <c r="Q1107" s="129"/>
      <c r="R1107" s="129"/>
      <c r="S1107" s="129"/>
      <c r="T1107" s="129"/>
      <c r="U1107" s="129"/>
      <c r="V1107" s="129"/>
      <c r="W1107" s="129"/>
      <c r="X1107" s="129"/>
      <c r="Y1107" s="129"/>
      <c r="Z1107" s="129"/>
      <c r="AA1107" s="129"/>
      <c r="AB1107" s="129"/>
    </row>
    <row r="1108" hidden="1">
      <c r="A1108" s="128" t="s">
        <v>996</v>
      </c>
      <c r="B1108" s="147">
        <v>8820.0</v>
      </c>
      <c r="C1108" s="147">
        <v>13500.0</v>
      </c>
      <c r="D1108" s="132">
        <f t="shared" si="134"/>
        <v>4680</v>
      </c>
      <c r="E1108" s="132" t="s">
        <v>972</v>
      </c>
      <c r="F1108" s="152">
        <f t="shared" si="135"/>
        <v>17550</v>
      </c>
      <c r="G1108" s="231"/>
      <c r="H1108" s="168">
        <f t="shared" si="136"/>
        <v>53.06122449</v>
      </c>
      <c r="I1108" s="129"/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</row>
    <row r="1109" hidden="1">
      <c r="A1109" s="128" t="s">
        <v>997</v>
      </c>
      <c r="B1109" s="147">
        <v>0.0</v>
      </c>
      <c r="C1109" s="147">
        <v>0.0</v>
      </c>
      <c r="D1109" s="132">
        <f t="shared" si="134"/>
        <v>0</v>
      </c>
      <c r="E1109" s="132" t="s">
        <v>972</v>
      </c>
      <c r="F1109" s="152">
        <f t="shared" si="135"/>
        <v>0</v>
      </c>
      <c r="G1109" s="231"/>
      <c r="H1109" s="168" t="str">
        <f t="shared" si="136"/>
        <v>#DIV/0!</v>
      </c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</row>
    <row r="1110" hidden="1">
      <c r="A1110" s="128" t="s">
        <v>758</v>
      </c>
      <c r="B1110" s="147">
        <v>0.0</v>
      </c>
      <c r="C1110" s="147">
        <v>0.0</v>
      </c>
      <c r="D1110" s="132">
        <f t="shared" si="134"/>
        <v>0</v>
      </c>
      <c r="E1110" s="132" t="s">
        <v>972</v>
      </c>
      <c r="F1110" s="152">
        <f t="shared" si="135"/>
        <v>0</v>
      </c>
      <c r="G1110" s="231"/>
      <c r="H1110" s="168" t="str">
        <f t="shared" si="136"/>
        <v>#DIV/0!</v>
      </c>
      <c r="I1110" s="129"/>
      <c r="J1110" s="129"/>
      <c r="K1110" s="129"/>
      <c r="L1110" s="129"/>
      <c r="M1110" s="129"/>
      <c r="N1110" s="129"/>
      <c r="O1110" s="129"/>
      <c r="P1110" s="129"/>
      <c r="Q1110" s="129"/>
      <c r="R1110" s="129"/>
      <c r="S1110" s="129"/>
      <c r="T1110" s="129"/>
      <c r="U1110" s="129"/>
      <c r="V1110" s="129"/>
      <c r="W1110" s="129"/>
      <c r="X1110" s="129"/>
      <c r="Y1110" s="129"/>
      <c r="Z1110" s="129"/>
      <c r="AA1110" s="129"/>
      <c r="AB1110" s="129"/>
    </row>
    <row r="1111" hidden="1">
      <c r="A1111" s="123" t="s">
        <v>998</v>
      </c>
      <c r="B1111" s="124">
        <v>1490.0</v>
      </c>
      <c r="C1111" s="124">
        <v>1980.0</v>
      </c>
      <c r="D1111" s="132">
        <f t="shared" si="134"/>
        <v>490</v>
      </c>
      <c r="E1111" s="132" t="s">
        <v>972</v>
      </c>
      <c r="F1111" s="152">
        <f t="shared" si="135"/>
        <v>2574</v>
      </c>
      <c r="G1111" s="231"/>
      <c r="H1111" s="168">
        <f t="shared" si="136"/>
        <v>32.88590604</v>
      </c>
    </row>
    <row r="1112" hidden="1">
      <c r="A1112" s="150" t="s">
        <v>122</v>
      </c>
      <c r="B1112" s="147">
        <v>690.0</v>
      </c>
      <c r="C1112" s="386">
        <v>575.0</v>
      </c>
      <c r="D1112" s="132">
        <f t="shared" si="134"/>
        <v>-115</v>
      </c>
      <c r="E1112" s="171" t="s">
        <v>123</v>
      </c>
      <c r="F1112" s="128">
        <f t="shared" si="135"/>
        <v>747.5</v>
      </c>
      <c r="G1112" s="231"/>
      <c r="H1112" s="168">
        <f t="shared" si="136"/>
        <v>-16.66666667</v>
      </c>
      <c r="I1112" s="129"/>
      <c r="J1112" s="129"/>
      <c r="K1112" s="129"/>
      <c r="L1112" s="129"/>
      <c r="M1112" s="129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</row>
    <row r="1113" hidden="1">
      <c r="A1113" s="150" t="s">
        <v>122</v>
      </c>
      <c r="B1113" s="147">
        <v>690.0</v>
      </c>
      <c r="C1113" s="386">
        <v>575.0</v>
      </c>
      <c r="D1113" s="132">
        <f t="shared" si="134"/>
        <v>-115</v>
      </c>
      <c r="E1113" s="171" t="s">
        <v>123</v>
      </c>
      <c r="F1113" s="128">
        <f t="shared" si="135"/>
        <v>747.5</v>
      </c>
      <c r="G1113" s="231"/>
      <c r="H1113" s="168">
        <f t="shared" si="136"/>
        <v>-16.66666667</v>
      </c>
      <c r="I1113" s="129"/>
      <c r="J1113" s="129"/>
      <c r="K1113" s="129"/>
      <c r="L1113" s="129"/>
      <c r="M1113" s="129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</row>
    <row r="1114" hidden="1">
      <c r="A1114" s="123" t="s">
        <v>507</v>
      </c>
      <c r="B1114" s="386">
        <v>1090.0</v>
      </c>
      <c r="C1114" s="386">
        <v>575.0</v>
      </c>
      <c r="D1114" s="170">
        <f t="shared" si="134"/>
        <v>-515</v>
      </c>
      <c r="E1114" s="126" t="s">
        <v>123</v>
      </c>
      <c r="F1114" s="152">
        <f t="shared" si="135"/>
        <v>747.5</v>
      </c>
      <c r="G1114" s="231"/>
      <c r="H1114" s="168">
        <f t="shared" si="136"/>
        <v>-47.24770642</v>
      </c>
    </row>
    <row r="1115" hidden="1">
      <c r="A1115" s="128" t="s">
        <v>999</v>
      </c>
      <c r="B1115" s="168">
        <v>1090.0</v>
      </c>
      <c r="C1115" s="167">
        <v>993.0</v>
      </c>
      <c r="D1115" s="168">
        <f t="shared" si="134"/>
        <v>-97</v>
      </c>
      <c r="E1115" s="132" t="s">
        <v>123</v>
      </c>
      <c r="F1115" s="152">
        <f t="shared" si="135"/>
        <v>1290.9</v>
      </c>
      <c r="G1115" s="231"/>
      <c r="H1115" s="168">
        <f t="shared" si="136"/>
        <v>-8.899082569</v>
      </c>
      <c r="I1115" s="129"/>
      <c r="J1115" s="129"/>
      <c r="K1115" s="129"/>
      <c r="L1115" s="129"/>
      <c r="M1115" s="129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</row>
    <row r="1116" hidden="1">
      <c r="A1116" s="150" t="s">
        <v>1000</v>
      </c>
      <c r="B1116" s="147">
        <v>1290.0</v>
      </c>
      <c r="C1116" s="147">
        <v>1159.0</v>
      </c>
      <c r="D1116" s="132">
        <f t="shared" si="134"/>
        <v>-131</v>
      </c>
      <c r="E1116" s="132" t="s">
        <v>123</v>
      </c>
      <c r="F1116" s="152">
        <f t="shared" si="135"/>
        <v>1506.7</v>
      </c>
      <c r="G1116" s="231"/>
      <c r="H1116" s="168">
        <f t="shared" si="136"/>
        <v>-10.15503876</v>
      </c>
      <c r="I1116" s="129"/>
      <c r="J1116" s="129"/>
      <c r="K1116" s="129"/>
      <c r="L1116" s="129"/>
      <c r="M1116" s="129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</row>
    <row r="1117" hidden="1">
      <c r="A1117" s="128" t="s">
        <v>1001</v>
      </c>
      <c r="B1117" s="132">
        <v>5490.0</v>
      </c>
      <c r="C1117" s="147">
        <v>4996.0</v>
      </c>
      <c r="D1117" s="132">
        <f t="shared" si="134"/>
        <v>-494</v>
      </c>
      <c r="E1117" s="126" t="s">
        <v>123</v>
      </c>
      <c r="F1117" s="128">
        <f>C1117*0.85</f>
        <v>4246.6</v>
      </c>
      <c r="G1117" s="231"/>
      <c r="H1117" s="168">
        <f t="shared" si="136"/>
        <v>-8.998178506</v>
      </c>
      <c r="I1117" s="129"/>
      <c r="J1117" s="129"/>
      <c r="K1117" s="129"/>
      <c r="L1117" s="129"/>
      <c r="M1117" s="129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</row>
    <row r="1118" hidden="1">
      <c r="A1118" s="123" t="s">
        <v>443</v>
      </c>
      <c r="B1118" s="147">
        <v>1390.0</v>
      </c>
      <c r="C1118" s="147">
        <v>1409.0</v>
      </c>
      <c r="D1118" s="125">
        <f t="shared" si="134"/>
        <v>19</v>
      </c>
      <c r="E1118" s="126" t="s">
        <v>123</v>
      </c>
      <c r="F1118" s="128">
        <f t="shared" ref="F1118:F1129" si="137">C1118*1.3</f>
        <v>1831.7</v>
      </c>
      <c r="G1118" s="231"/>
      <c r="H1118" s="168">
        <f t="shared" si="136"/>
        <v>1.366906475</v>
      </c>
    </row>
    <row r="1119" hidden="1">
      <c r="A1119" s="128" t="s">
        <v>1002</v>
      </c>
      <c r="B1119" s="147">
        <v>1090.0</v>
      </c>
      <c r="C1119" s="147">
        <v>1743.0</v>
      </c>
      <c r="D1119" s="132">
        <f t="shared" si="134"/>
        <v>653</v>
      </c>
      <c r="E1119" s="126" t="s">
        <v>123</v>
      </c>
      <c r="F1119" s="128">
        <f t="shared" si="137"/>
        <v>2265.9</v>
      </c>
      <c r="G1119" s="231"/>
      <c r="H1119" s="168">
        <f t="shared" si="136"/>
        <v>59.90825688</v>
      </c>
      <c r="I1119" s="129"/>
      <c r="J1119" s="129"/>
      <c r="K1119" s="129"/>
      <c r="L1119" s="129"/>
      <c r="M1119" s="129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</row>
    <row r="1120" hidden="1">
      <c r="A1120" s="128" t="s">
        <v>1003</v>
      </c>
      <c r="B1120" s="147">
        <v>990.0</v>
      </c>
      <c r="C1120" s="147">
        <v>1660.0</v>
      </c>
      <c r="D1120" s="132">
        <f t="shared" si="134"/>
        <v>670</v>
      </c>
      <c r="E1120" s="126" t="s">
        <v>123</v>
      </c>
      <c r="F1120" s="128">
        <f t="shared" si="137"/>
        <v>2158</v>
      </c>
      <c r="G1120" s="231"/>
      <c r="H1120" s="168">
        <f t="shared" si="136"/>
        <v>67.67676768</v>
      </c>
      <c r="I1120" s="129"/>
      <c r="J1120" s="129"/>
      <c r="K1120" s="129"/>
      <c r="L1120" s="129"/>
      <c r="M1120" s="129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</row>
    <row r="1121" hidden="1">
      <c r="A1121" s="159" t="s">
        <v>1004</v>
      </c>
      <c r="B1121" s="124">
        <v>1490.0</v>
      </c>
      <c r="C1121" s="147">
        <v>1660.0</v>
      </c>
      <c r="D1121" s="125">
        <f t="shared" si="134"/>
        <v>170</v>
      </c>
      <c r="E1121" s="126" t="s">
        <v>123</v>
      </c>
      <c r="F1121" s="128">
        <f t="shared" si="137"/>
        <v>2158</v>
      </c>
      <c r="G1121" s="231"/>
      <c r="H1121" s="168">
        <f t="shared" si="136"/>
        <v>11.40939597</v>
      </c>
    </row>
    <row r="1122" hidden="1">
      <c r="A1122" s="150" t="s">
        <v>494</v>
      </c>
      <c r="B1122" s="147">
        <v>1290.0</v>
      </c>
      <c r="C1122" s="147">
        <v>1159.0</v>
      </c>
      <c r="D1122" s="132">
        <f t="shared" si="134"/>
        <v>-131</v>
      </c>
      <c r="E1122" s="132" t="s">
        <v>123</v>
      </c>
      <c r="F1122" s="128">
        <f t="shared" si="137"/>
        <v>1506.7</v>
      </c>
      <c r="G1122" s="231"/>
      <c r="H1122" s="168">
        <f t="shared" si="136"/>
        <v>-10.15503876</v>
      </c>
      <c r="I1122" s="129"/>
      <c r="J1122" s="129"/>
      <c r="K1122" s="129"/>
      <c r="L1122" s="129"/>
      <c r="M1122" s="129"/>
      <c r="N1122" s="129"/>
      <c r="O1122" s="129"/>
      <c r="P1122" s="129"/>
      <c r="Q1122" s="129"/>
      <c r="R1122" s="129"/>
      <c r="S1122" s="129"/>
      <c r="T1122" s="129"/>
      <c r="U1122" s="129"/>
      <c r="V1122" s="129"/>
      <c r="W1122" s="129"/>
      <c r="X1122" s="129"/>
      <c r="Y1122" s="129"/>
      <c r="Z1122" s="129"/>
      <c r="AA1122" s="129"/>
      <c r="AB1122" s="129"/>
    </row>
    <row r="1123" hidden="1">
      <c r="A1123" s="391" t="s">
        <v>1005</v>
      </c>
      <c r="B1123" s="392">
        <v>990.0</v>
      </c>
      <c r="C1123" s="393">
        <v>1233.0</v>
      </c>
      <c r="D1123" s="392">
        <f t="shared" si="134"/>
        <v>243</v>
      </c>
      <c r="E1123" s="392" t="s">
        <v>123</v>
      </c>
      <c r="F1123" s="128">
        <f t="shared" si="137"/>
        <v>1602.9</v>
      </c>
      <c r="G1123" s="231"/>
      <c r="H1123" s="168">
        <f t="shared" si="136"/>
        <v>24.54545455</v>
      </c>
    </row>
    <row r="1124" hidden="1">
      <c r="A1124" s="391" t="s">
        <v>1005</v>
      </c>
      <c r="B1124" s="392">
        <v>990.0</v>
      </c>
      <c r="C1124" s="393">
        <v>1267.0</v>
      </c>
      <c r="D1124" s="392">
        <f t="shared" si="134"/>
        <v>277</v>
      </c>
      <c r="E1124" s="392" t="s">
        <v>123</v>
      </c>
      <c r="F1124" s="128">
        <f t="shared" si="137"/>
        <v>1647.1</v>
      </c>
      <c r="G1124" s="231"/>
      <c r="H1124" s="168">
        <f t="shared" si="136"/>
        <v>27.97979798</v>
      </c>
    </row>
    <row r="1125" hidden="1">
      <c r="A1125" s="391" t="s">
        <v>1006</v>
      </c>
      <c r="B1125" s="392">
        <v>790.0</v>
      </c>
      <c r="C1125" s="393">
        <v>922.0</v>
      </c>
      <c r="D1125" s="392">
        <f t="shared" si="134"/>
        <v>132</v>
      </c>
      <c r="E1125" s="126" t="s">
        <v>123</v>
      </c>
      <c r="F1125" s="128">
        <f t="shared" si="137"/>
        <v>1198.6</v>
      </c>
      <c r="G1125" s="231"/>
      <c r="H1125" s="168">
        <f t="shared" si="136"/>
        <v>16.70886076</v>
      </c>
      <c r="I1125" s="129"/>
      <c r="J1125" s="129"/>
      <c r="K1125" s="129"/>
      <c r="L1125" s="129"/>
      <c r="M1125" s="129"/>
      <c r="N1125" s="129"/>
      <c r="O1125" s="129"/>
      <c r="P1125" s="129"/>
      <c r="Q1125" s="129"/>
      <c r="R1125" s="129"/>
      <c r="S1125" s="129"/>
      <c r="T1125" s="129"/>
      <c r="U1125" s="129"/>
      <c r="V1125" s="129"/>
      <c r="W1125" s="129"/>
      <c r="X1125" s="129"/>
      <c r="Y1125" s="129"/>
      <c r="Z1125" s="129"/>
      <c r="AA1125" s="129"/>
      <c r="AB1125" s="129"/>
    </row>
    <row r="1126" hidden="1">
      <c r="A1126" s="128" t="s">
        <v>1007</v>
      </c>
      <c r="B1126" s="147">
        <v>1290.0</v>
      </c>
      <c r="C1126" s="147">
        <v>1178.0</v>
      </c>
      <c r="D1126" s="132">
        <f t="shared" si="134"/>
        <v>-112</v>
      </c>
      <c r="E1126" s="147" t="s">
        <v>120</v>
      </c>
      <c r="F1126" s="128">
        <f t="shared" si="137"/>
        <v>1531.4</v>
      </c>
      <c r="G1126" s="231"/>
      <c r="H1126" s="168">
        <f t="shared" si="136"/>
        <v>-8.682170543</v>
      </c>
      <c r="I1126" s="129"/>
      <c r="J1126" s="129"/>
      <c r="K1126" s="129"/>
      <c r="L1126" s="129"/>
      <c r="M1126" s="129"/>
      <c r="N1126" s="129"/>
      <c r="O1126" s="129"/>
      <c r="P1126" s="129"/>
      <c r="Q1126" s="129"/>
      <c r="R1126" s="129"/>
      <c r="S1126" s="129"/>
      <c r="T1126" s="129"/>
      <c r="U1126" s="129"/>
      <c r="V1126" s="129"/>
      <c r="W1126" s="129"/>
      <c r="X1126" s="129"/>
      <c r="Y1126" s="129"/>
      <c r="Z1126" s="129"/>
      <c r="AA1126" s="129"/>
      <c r="AB1126" s="129"/>
    </row>
    <row r="1127" hidden="1">
      <c r="A1127" s="128" t="s">
        <v>473</v>
      </c>
      <c r="B1127" s="147">
        <v>990.0</v>
      </c>
      <c r="C1127" s="147">
        <v>819.0</v>
      </c>
      <c r="D1127" s="132">
        <f t="shared" si="134"/>
        <v>-171</v>
      </c>
      <c r="E1127" s="132" t="s">
        <v>123</v>
      </c>
      <c r="F1127" s="128">
        <f t="shared" si="137"/>
        <v>1064.7</v>
      </c>
      <c r="G1127" s="231"/>
      <c r="H1127" s="168">
        <f t="shared" si="136"/>
        <v>-17.27272727</v>
      </c>
      <c r="I1127" s="129"/>
      <c r="J1127" s="129"/>
      <c r="K1127" s="129"/>
      <c r="L1127" s="129"/>
      <c r="M1127" s="129"/>
      <c r="N1127" s="129"/>
      <c r="O1127" s="129"/>
      <c r="P1127" s="129"/>
      <c r="Q1127" s="129"/>
      <c r="R1127" s="129"/>
      <c r="S1127" s="129"/>
      <c r="T1127" s="129"/>
      <c r="U1127" s="129"/>
      <c r="V1127" s="129"/>
      <c r="W1127" s="129"/>
      <c r="X1127" s="129"/>
      <c r="Y1127" s="129"/>
      <c r="Z1127" s="129"/>
      <c r="AA1127" s="129"/>
      <c r="AB1127" s="129"/>
    </row>
    <row r="1128" hidden="1">
      <c r="A1128" s="142" t="s">
        <v>1008</v>
      </c>
      <c r="B1128" s="147">
        <v>1490.0</v>
      </c>
      <c r="C1128" s="147">
        <v>1889.0</v>
      </c>
      <c r="D1128" s="132">
        <f t="shared" si="134"/>
        <v>399</v>
      </c>
      <c r="E1128" s="126" t="s">
        <v>123</v>
      </c>
      <c r="F1128" s="128">
        <f t="shared" si="137"/>
        <v>2455.7</v>
      </c>
      <c r="G1128" s="231"/>
      <c r="H1128" s="168">
        <f t="shared" si="136"/>
        <v>26.77852349</v>
      </c>
      <c r="I1128" s="129"/>
      <c r="J1128" s="129"/>
      <c r="K1128" s="129"/>
      <c r="L1128" s="129"/>
      <c r="M1128" s="129"/>
      <c r="N1128" s="129"/>
      <c r="O1128" s="129"/>
      <c r="P1128" s="129"/>
      <c r="Q1128" s="129"/>
      <c r="R1128" s="129"/>
      <c r="S1128" s="129"/>
      <c r="T1128" s="129"/>
      <c r="U1128" s="129"/>
      <c r="V1128" s="129"/>
      <c r="W1128" s="129"/>
      <c r="X1128" s="129"/>
      <c r="Y1128" s="129"/>
      <c r="Z1128" s="129"/>
      <c r="AA1128" s="129"/>
      <c r="AB1128" s="129"/>
    </row>
    <row r="1129" hidden="1">
      <c r="A1129" s="123" t="s">
        <v>1009</v>
      </c>
      <c r="B1129" s="147">
        <v>1090.0</v>
      </c>
      <c r="C1129" s="124">
        <v>736.0</v>
      </c>
      <c r="D1129" s="125">
        <f t="shared" si="134"/>
        <v>-354</v>
      </c>
      <c r="E1129" s="147" t="s">
        <v>120</v>
      </c>
      <c r="F1129" s="128">
        <f t="shared" si="137"/>
        <v>956.8</v>
      </c>
      <c r="G1129" s="231"/>
      <c r="H1129" s="168">
        <f t="shared" si="136"/>
        <v>-32.47706422</v>
      </c>
    </row>
    <row r="1130" hidden="1">
      <c r="A1130" s="143"/>
      <c r="B1130" s="139"/>
      <c r="C1130" s="139"/>
      <c r="D1130" s="139"/>
      <c r="E1130" s="129"/>
      <c r="F1130" s="129"/>
      <c r="G1130" s="129"/>
      <c r="H1130" s="129"/>
      <c r="I1130" s="129"/>
      <c r="J1130" s="129"/>
      <c r="K1130" s="129"/>
      <c r="L1130" s="129"/>
      <c r="M1130" s="129"/>
      <c r="N1130" s="129"/>
      <c r="O1130" s="129"/>
      <c r="P1130" s="129"/>
      <c r="Q1130" s="129"/>
      <c r="R1130" s="129"/>
      <c r="S1130" s="129"/>
      <c r="T1130" s="129"/>
      <c r="U1130" s="129"/>
      <c r="V1130" s="129"/>
      <c r="W1130" s="129"/>
      <c r="X1130" s="129"/>
      <c r="Y1130" s="129"/>
      <c r="Z1130" s="129"/>
      <c r="AA1130" s="129"/>
      <c r="AB1130" s="129"/>
    </row>
    <row r="1131" hidden="1">
      <c r="A1131" s="144" t="s">
        <v>57</v>
      </c>
      <c r="B1131" s="145">
        <f t="shared" ref="B1131:D1131" si="138">SUM(B1048:B1130)</f>
        <v>134472</v>
      </c>
      <c r="C1131" s="145">
        <f t="shared" si="138"/>
        <v>162283</v>
      </c>
      <c r="D1131" s="145">
        <f t="shared" si="138"/>
        <v>27811</v>
      </c>
      <c r="E1131" s="146"/>
      <c r="F1131" s="129"/>
      <c r="G1131" s="129"/>
      <c r="H1131" s="146">
        <f>D1131/(C1131/100)</f>
        <v>17.13734649</v>
      </c>
      <c r="I1131" s="129"/>
      <c r="J1131" s="129"/>
      <c r="K1131" s="129"/>
      <c r="L1131" s="129"/>
      <c r="M1131" s="129"/>
      <c r="N1131" s="129"/>
      <c r="O1131" s="129"/>
      <c r="P1131" s="129"/>
      <c r="Q1131" s="129"/>
      <c r="R1131" s="129"/>
      <c r="S1131" s="129"/>
      <c r="T1131" s="129"/>
      <c r="U1131" s="129"/>
      <c r="V1131" s="129"/>
      <c r="W1131" s="129"/>
      <c r="X1131" s="129"/>
      <c r="Y1131" s="129"/>
      <c r="Z1131" s="129"/>
      <c r="AA1131" s="129"/>
      <c r="AB1131" s="129"/>
    </row>
    <row r="1132" hidden="1">
      <c r="A1132" s="143"/>
      <c r="B1132" s="139"/>
      <c r="C1132" s="139"/>
      <c r="D1132" s="139"/>
      <c r="E1132" s="139"/>
      <c r="F1132" s="139"/>
      <c r="G1132" s="129"/>
      <c r="H1132" s="129"/>
      <c r="I1132" s="129"/>
      <c r="J1132" s="129"/>
      <c r="K1132" s="129"/>
      <c r="L1132" s="129"/>
      <c r="M1132" s="129"/>
      <c r="N1132" s="129"/>
      <c r="O1132" s="129"/>
      <c r="P1132" s="129"/>
      <c r="Q1132" s="129"/>
      <c r="R1132" s="129"/>
      <c r="S1132" s="129"/>
      <c r="T1132" s="129"/>
      <c r="U1132" s="129"/>
      <c r="V1132" s="129"/>
      <c r="W1132" s="129"/>
      <c r="X1132" s="129"/>
      <c r="Y1132" s="129"/>
      <c r="Z1132" s="129"/>
      <c r="AA1132" s="129"/>
      <c r="AB1132" s="129"/>
    </row>
    <row r="1133" hidden="1">
      <c r="A1133" s="383">
        <v>45962.0</v>
      </c>
      <c r="B1133" s="139"/>
      <c r="C1133" s="139"/>
      <c r="D1133" s="139"/>
      <c r="E1133" s="129"/>
      <c r="F1133" s="129"/>
      <c r="G1133" s="129"/>
      <c r="H1133" s="129"/>
      <c r="I1133" s="129"/>
      <c r="J1133" s="129"/>
      <c r="K1133" s="129"/>
      <c r="L1133" s="129"/>
      <c r="M1133" s="129"/>
      <c r="N1133" s="129"/>
      <c r="O1133" s="129"/>
      <c r="P1133" s="129"/>
      <c r="Q1133" s="129"/>
      <c r="R1133" s="129"/>
      <c r="S1133" s="129"/>
      <c r="T1133" s="129"/>
      <c r="U1133" s="129"/>
      <c r="V1133" s="129"/>
      <c r="W1133" s="129"/>
      <c r="X1133" s="129"/>
      <c r="Y1133" s="129"/>
      <c r="Z1133" s="129"/>
      <c r="AA1133" s="129"/>
      <c r="AB1133" s="129"/>
    </row>
    <row r="1134" hidden="1">
      <c r="A1134" s="143"/>
      <c r="B1134" s="139"/>
      <c r="C1134" s="139"/>
      <c r="D1134" s="139"/>
      <c r="E1134" s="139"/>
      <c r="F1134" s="139"/>
      <c r="G1134" s="129"/>
      <c r="H1134" s="129"/>
      <c r="I1134" s="129"/>
      <c r="J1134" s="129"/>
      <c r="K1134" s="129"/>
      <c r="L1134" s="129"/>
      <c r="M1134" s="129"/>
      <c r="N1134" s="129"/>
      <c r="O1134" s="129"/>
      <c r="P1134" s="129"/>
      <c r="Q1134" s="129"/>
      <c r="R1134" s="129"/>
      <c r="S1134" s="129"/>
      <c r="T1134" s="129"/>
      <c r="U1134" s="129"/>
      <c r="V1134" s="129"/>
      <c r="W1134" s="129"/>
      <c r="X1134" s="129"/>
      <c r="Y1134" s="129"/>
      <c r="Z1134" s="129"/>
      <c r="AA1134" s="129"/>
      <c r="AB1134" s="129"/>
    </row>
    <row r="1135" hidden="1">
      <c r="A1135" s="123" t="s">
        <v>1010</v>
      </c>
      <c r="B1135" s="124">
        <v>2090.0</v>
      </c>
      <c r="C1135" s="124">
        <v>2525.0</v>
      </c>
      <c r="D1135" s="132">
        <f t="shared" ref="D1135:D1176" si="139">C1135-B1135</f>
        <v>435</v>
      </c>
      <c r="E1135" s="132" t="s">
        <v>972</v>
      </c>
      <c r="F1135" s="128"/>
      <c r="G1135" s="168"/>
    </row>
    <row r="1136" hidden="1">
      <c r="A1136" s="123" t="s">
        <v>1011</v>
      </c>
      <c r="B1136" s="124">
        <v>990.0</v>
      </c>
      <c r="C1136" s="124">
        <v>1320.0</v>
      </c>
      <c r="D1136" s="132">
        <f t="shared" si="139"/>
        <v>330</v>
      </c>
      <c r="E1136" s="132" t="s">
        <v>972</v>
      </c>
      <c r="F1136" s="128"/>
      <c r="G1136" s="168"/>
    </row>
    <row r="1137" hidden="1">
      <c r="A1137" s="150" t="s">
        <v>757</v>
      </c>
      <c r="B1137" s="147">
        <v>940.0</v>
      </c>
      <c r="C1137" s="147">
        <v>1283.0</v>
      </c>
      <c r="D1137" s="132">
        <f t="shared" si="139"/>
        <v>343</v>
      </c>
      <c r="E1137" s="132" t="s">
        <v>972</v>
      </c>
      <c r="F1137" s="152"/>
      <c r="G1137" s="168"/>
      <c r="H1137" s="129"/>
      <c r="I1137" s="129"/>
      <c r="J1137" s="129"/>
      <c r="K1137" s="129"/>
      <c r="L1137" s="129"/>
      <c r="M1137" s="129"/>
      <c r="N1137" s="129"/>
      <c r="O1137" s="129"/>
      <c r="P1137" s="129"/>
      <c r="Q1137" s="129"/>
      <c r="R1137" s="129"/>
      <c r="S1137" s="129"/>
      <c r="T1137" s="129"/>
      <c r="U1137" s="129"/>
      <c r="V1137" s="129"/>
      <c r="W1137" s="129"/>
      <c r="X1137" s="129"/>
      <c r="Y1137" s="129"/>
      <c r="Z1137" s="129"/>
      <c r="AA1137" s="129"/>
      <c r="AB1137" s="129"/>
    </row>
    <row r="1138" hidden="1">
      <c r="A1138" s="123" t="s">
        <v>1012</v>
      </c>
      <c r="B1138" s="124">
        <v>3590.0</v>
      </c>
      <c r="C1138" s="124">
        <v>4209.0</v>
      </c>
      <c r="D1138" s="132">
        <f t="shared" si="139"/>
        <v>619</v>
      </c>
      <c r="E1138" s="132" t="s">
        <v>972</v>
      </c>
      <c r="F1138" s="128"/>
      <c r="G1138" s="168"/>
    </row>
    <row r="1139" hidden="1">
      <c r="A1139" s="123" t="s">
        <v>1013</v>
      </c>
      <c r="B1139" s="124">
        <v>3590.0</v>
      </c>
      <c r="C1139" s="124">
        <v>4238.0</v>
      </c>
      <c r="D1139" s="132">
        <f t="shared" si="139"/>
        <v>648</v>
      </c>
      <c r="E1139" s="132" t="s">
        <v>972</v>
      </c>
      <c r="F1139" s="128"/>
      <c r="G1139" s="168"/>
    </row>
    <row r="1140" hidden="1">
      <c r="A1140" s="123" t="s">
        <v>1014</v>
      </c>
      <c r="B1140" s="124">
        <v>9290.0</v>
      </c>
      <c r="C1140" s="124">
        <v>12043.0</v>
      </c>
      <c r="D1140" s="132">
        <f t="shared" si="139"/>
        <v>2753</v>
      </c>
      <c r="E1140" s="132" t="s">
        <v>972</v>
      </c>
      <c r="F1140" s="128"/>
      <c r="G1140" s="168"/>
    </row>
    <row r="1141" hidden="1">
      <c r="A1141" s="123" t="s">
        <v>1015</v>
      </c>
      <c r="B1141" s="147">
        <v>2990.0</v>
      </c>
      <c r="C1141" s="147">
        <v>6732.0</v>
      </c>
      <c r="D1141" s="132">
        <f t="shared" si="139"/>
        <v>3742</v>
      </c>
      <c r="E1141" s="147" t="s">
        <v>972</v>
      </c>
      <c r="F1141" s="128"/>
      <c r="G1141" s="168"/>
    </row>
    <row r="1142" hidden="1">
      <c r="A1142" s="128" t="s">
        <v>1016</v>
      </c>
      <c r="B1142" s="147">
        <v>2990.0</v>
      </c>
      <c r="C1142" s="147">
        <v>0.0</v>
      </c>
      <c r="D1142" s="132">
        <f t="shared" si="139"/>
        <v>-2990</v>
      </c>
      <c r="E1142" s="132" t="s">
        <v>972</v>
      </c>
      <c r="F1142" s="128"/>
      <c r="G1142" s="168"/>
      <c r="H1142" s="129"/>
      <c r="I1142" s="129"/>
      <c r="J1142" s="129"/>
      <c r="K1142" s="129"/>
      <c r="L1142" s="129"/>
      <c r="M1142" s="129"/>
      <c r="N1142" s="129"/>
      <c r="O1142" s="129"/>
      <c r="P1142" s="129"/>
      <c r="Q1142" s="129"/>
      <c r="R1142" s="129"/>
      <c r="S1142" s="129"/>
      <c r="T1142" s="129"/>
      <c r="U1142" s="129"/>
      <c r="V1142" s="129"/>
      <c r="W1142" s="129"/>
      <c r="X1142" s="129"/>
      <c r="Y1142" s="129"/>
      <c r="Z1142" s="129"/>
      <c r="AA1142" s="129"/>
      <c r="AB1142" s="129"/>
    </row>
    <row r="1143" hidden="1">
      <c r="A1143" s="123" t="s">
        <v>1017</v>
      </c>
      <c r="B1143" s="124">
        <v>30.0</v>
      </c>
      <c r="C1143" s="124">
        <v>321.0</v>
      </c>
      <c r="D1143" s="132">
        <f t="shared" si="139"/>
        <v>291</v>
      </c>
      <c r="E1143" s="132" t="s">
        <v>972</v>
      </c>
      <c r="F1143" s="128"/>
      <c r="G1143" s="168"/>
      <c r="H1143" s="134"/>
      <c r="I1143" s="134"/>
      <c r="J1143" s="134"/>
      <c r="K1143" s="134"/>
      <c r="L1143" s="134"/>
      <c r="M1143" s="134"/>
      <c r="N1143" s="134"/>
      <c r="O1143" s="134"/>
      <c r="P1143" s="134"/>
      <c r="Q1143" s="134"/>
      <c r="R1143" s="134"/>
      <c r="S1143" s="134"/>
      <c r="T1143" s="134"/>
      <c r="U1143" s="134"/>
      <c r="V1143" s="134"/>
      <c r="W1143" s="134"/>
      <c r="X1143" s="134"/>
      <c r="Y1143" s="134"/>
      <c r="Z1143" s="134"/>
      <c r="AA1143" s="134"/>
      <c r="AB1143" s="134"/>
    </row>
    <row r="1144" hidden="1">
      <c r="A1144" s="123" t="s">
        <v>1017</v>
      </c>
      <c r="B1144" s="124">
        <v>30.0</v>
      </c>
      <c r="C1144" s="124">
        <v>0.0</v>
      </c>
      <c r="D1144" s="132">
        <f t="shared" si="139"/>
        <v>-30</v>
      </c>
      <c r="E1144" s="132" t="s">
        <v>972</v>
      </c>
      <c r="F1144" s="128"/>
      <c r="G1144" s="168"/>
      <c r="H1144" s="134"/>
      <c r="I1144" s="134"/>
      <c r="J1144" s="134"/>
      <c r="K1144" s="134"/>
      <c r="L1144" s="134"/>
      <c r="M1144" s="134"/>
      <c r="N1144" s="134"/>
      <c r="O1144" s="134"/>
      <c r="P1144" s="134"/>
      <c r="Q1144" s="134"/>
      <c r="R1144" s="134"/>
      <c r="S1144" s="134"/>
      <c r="T1144" s="134"/>
      <c r="U1144" s="134"/>
      <c r="V1144" s="134"/>
      <c r="W1144" s="134"/>
      <c r="X1144" s="134"/>
      <c r="Y1144" s="134"/>
      <c r="Z1144" s="134"/>
      <c r="AA1144" s="134"/>
      <c r="AB1144" s="134"/>
    </row>
    <row r="1145" hidden="1">
      <c r="A1145" s="123" t="s">
        <v>1017</v>
      </c>
      <c r="B1145" s="124">
        <v>30.0</v>
      </c>
      <c r="C1145" s="124">
        <v>0.0</v>
      </c>
      <c r="D1145" s="132">
        <f t="shared" si="139"/>
        <v>-30</v>
      </c>
      <c r="E1145" s="132" t="s">
        <v>972</v>
      </c>
      <c r="F1145" s="128"/>
      <c r="G1145" s="168"/>
      <c r="H1145" s="134"/>
      <c r="I1145" s="134"/>
      <c r="J1145" s="134"/>
      <c r="K1145" s="134"/>
      <c r="L1145" s="134"/>
      <c r="M1145" s="134"/>
      <c r="N1145" s="134"/>
      <c r="O1145" s="134"/>
      <c r="P1145" s="134"/>
      <c r="Q1145" s="134"/>
      <c r="R1145" s="134"/>
      <c r="S1145" s="134"/>
      <c r="T1145" s="134"/>
      <c r="U1145" s="134"/>
      <c r="V1145" s="134"/>
      <c r="W1145" s="134"/>
      <c r="X1145" s="134"/>
      <c r="Y1145" s="134"/>
      <c r="Z1145" s="134"/>
      <c r="AA1145" s="134"/>
      <c r="AB1145" s="134"/>
    </row>
    <row r="1146" hidden="1">
      <c r="A1146" s="123" t="s">
        <v>1018</v>
      </c>
      <c r="B1146" s="147">
        <v>190.0</v>
      </c>
      <c r="C1146" s="147">
        <v>421.0</v>
      </c>
      <c r="D1146" s="132">
        <f t="shared" si="139"/>
        <v>231</v>
      </c>
      <c r="E1146" s="132" t="s">
        <v>972</v>
      </c>
      <c r="F1146" s="128"/>
      <c r="G1146" s="168"/>
    </row>
    <row r="1147" hidden="1">
      <c r="A1147" s="128" t="s">
        <v>1019</v>
      </c>
      <c r="B1147" s="147">
        <v>3390.0</v>
      </c>
      <c r="C1147" s="147">
        <v>7558.0</v>
      </c>
      <c r="D1147" s="132">
        <f t="shared" si="139"/>
        <v>4168</v>
      </c>
      <c r="E1147" s="132" t="s">
        <v>972</v>
      </c>
      <c r="F1147" s="128"/>
      <c r="G1147" s="168"/>
      <c r="H1147" s="129"/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</row>
    <row r="1148" hidden="1">
      <c r="A1148" s="128" t="s">
        <v>1020</v>
      </c>
      <c r="B1148" s="147">
        <v>3390.0</v>
      </c>
      <c r="C1148" s="147">
        <v>0.0</v>
      </c>
      <c r="D1148" s="132">
        <f t="shared" si="139"/>
        <v>-3390</v>
      </c>
      <c r="E1148" s="132" t="s">
        <v>972</v>
      </c>
      <c r="F1148" s="128"/>
      <c r="G1148" s="168"/>
      <c r="H1148" s="129"/>
      <c r="I1148" s="129"/>
      <c r="J1148" s="129"/>
      <c r="K1148" s="129"/>
      <c r="L1148" s="129"/>
      <c r="M1148" s="129"/>
      <c r="N1148" s="129"/>
      <c r="O1148" s="129"/>
      <c r="P1148" s="129"/>
      <c r="Q1148" s="129"/>
      <c r="R1148" s="129"/>
      <c r="S1148" s="129"/>
      <c r="T1148" s="129"/>
      <c r="U1148" s="129"/>
      <c r="V1148" s="129"/>
      <c r="W1148" s="129"/>
      <c r="X1148" s="129"/>
      <c r="Y1148" s="129"/>
      <c r="Z1148" s="129"/>
      <c r="AA1148" s="129"/>
      <c r="AB1148" s="129"/>
    </row>
    <row r="1149" hidden="1">
      <c r="A1149" s="123" t="s">
        <v>1021</v>
      </c>
      <c r="B1149" s="124">
        <v>0.0</v>
      </c>
      <c r="C1149" s="124">
        <v>459.0</v>
      </c>
      <c r="D1149" s="132">
        <f t="shared" si="139"/>
        <v>459</v>
      </c>
      <c r="E1149" s="132" t="s">
        <v>972</v>
      </c>
      <c r="F1149" s="128"/>
      <c r="G1149" s="123"/>
    </row>
    <row r="1150" hidden="1">
      <c r="A1150" s="128" t="s">
        <v>1022</v>
      </c>
      <c r="B1150" s="147">
        <v>2890.0</v>
      </c>
      <c r="C1150" s="147">
        <v>2869.0</v>
      </c>
      <c r="D1150" s="132">
        <f t="shared" si="139"/>
        <v>-21</v>
      </c>
      <c r="E1150" s="132" t="s">
        <v>972</v>
      </c>
      <c r="F1150" s="128"/>
      <c r="G1150" s="123"/>
      <c r="H1150" s="129"/>
      <c r="I1150" s="129"/>
      <c r="J1150" s="129"/>
      <c r="K1150" s="129"/>
      <c r="L1150" s="129"/>
      <c r="M1150" s="129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</row>
    <row r="1151" hidden="1">
      <c r="A1151" s="128" t="s">
        <v>1023</v>
      </c>
      <c r="B1151" s="147">
        <v>340.0</v>
      </c>
      <c r="C1151" s="147">
        <v>1653.0</v>
      </c>
      <c r="D1151" s="132">
        <f t="shared" si="139"/>
        <v>1313</v>
      </c>
      <c r="E1151" s="132" t="s">
        <v>972</v>
      </c>
      <c r="F1151" s="128"/>
      <c r="H1151" s="129"/>
      <c r="I1151" s="128"/>
      <c r="J1151" s="129"/>
      <c r="K1151" s="129"/>
      <c r="L1151" s="129"/>
      <c r="M1151" s="129"/>
      <c r="N1151" s="129"/>
      <c r="O1151" s="129"/>
      <c r="P1151" s="129"/>
      <c r="Q1151" s="129"/>
      <c r="R1151" s="129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</row>
    <row r="1152" hidden="1">
      <c r="A1152" s="128" t="s">
        <v>1024</v>
      </c>
      <c r="B1152" s="147">
        <v>790.0</v>
      </c>
      <c r="C1152" s="147">
        <v>0.0</v>
      </c>
      <c r="D1152" s="132">
        <f t="shared" si="139"/>
        <v>-790</v>
      </c>
      <c r="E1152" s="132" t="s">
        <v>972</v>
      </c>
      <c r="F1152" s="128"/>
      <c r="H1152" s="129"/>
      <c r="I1152" s="128"/>
      <c r="J1152" s="129"/>
      <c r="K1152" s="129"/>
      <c r="L1152" s="129"/>
      <c r="M1152" s="129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</row>
    <row r="1153" hidden="1">
      <c r="A1153" s="123" t="s">
        <v>1017</v>
      </c>
      <c r="B1153" s="124">
        <v>30.0</v>
      </c>
      <c r="C1153" s="124">
        <v>476.0</v>
      </c>
      <c r="D1153" s="132">
        <f t="shared" si="139"/>
        <v>446</v>
      </c>
      <c r="E1153" s="132" t="s">
        <v>972</v>
      </c>
      <c r="F1153" s="128"/>
      <c r="G1153" s="134"/>
      <c r="H1153" s="134"/>
      <c r="I1153" s="134"/>
      <c r="J1153" s="134"/>
      <c r="K1153" s="134"/>
      <c r="L1153" s="134"/>
      <c r="M1153" s="134"/>
      <c r="N1153" s="134"/>
      <c r="O1153" s="134"/>
      <c r="P1153" s="134"/>
      <c r="Q1153" s="134"/>
      <c r="R1153" s="134"/>
      <c r="S1153" s="134"/>
      <c r="T1153" s="134"/>
      <c r="U1153" s="134"/>
      <c r="V1153" s="134"/>
      <c r="W1153" s="134"/>
      <c r="X1153" s="134"/>
      <c r="Y1153" s="134"/>
      <c r="Z1153" s="134"/>
      <c r="AA1153" s="134"/>
      <c r="AB1153" s="134"/>
    </row>
    <row r="1154" hidden="1">
      <c r="A1154" s="123" t="s">
        <v>1017</v>
      </c>
      <c r="B1154" s="124">
        <v>30.0</v>
      </c>
      <c r="C1154" s="124">
        <v>0.0</v>
      </c>
      <c r="D1154" s="132">
        <f t="shared" si="139"/>
        <v>-30</v>
      </c>
      <c r="E1154" s="132" t="s">
        <v>972</v>
      </c>
      <c r="F1154" s="128"/>
      <c r="G1154" s="134"/>
      <c r="H1154" s="134"/>
      <c r="I1154" s="134"/>
      <c r="J1154" s="134"/>
      <c r="K1154" s="134"/>
      <c r="L1154" s="134"/>
      <c r="M1154" s="134"/>
      <c r="N1154" s="134"/>
      <c r="O1154" s="134"/>
      <c r="P1154" s="134"/>
      <c r="Q1154" s="134"/>
      <c r="R1154" s="134"/>
      <c r="S1154" s="134"/>
      <c r="T1154" s="134"/>
      <c r="U1154" s="134"/>
      <c r="V1154" s="134"/>
      <c r="W1154" s="134"/>
      <c r="X1154" s="134"/>
      <c r="Y1154" s="134"/>
      <c r="Z1154" s="134"/>
      <c r="AA1154" s="134"/>
      <c r="AB1154" s="134"/>
    </row>
    <row r="1155" hidden="1">
      <c r="A1155" s="123" t="s">
        <v>1017</v>
      </c>
      <c r="B1155" s="124">
        <v>30.0</v>
      </c>
      <c r="C1155" s="124">
        <v>0.0</v>
      </c>
      <c r="D1155" s="132">
        <f t="shared" si="139"/>
        <v>-30</v>
      </c>
      <c r="E1155" s="132" t="s">
        <v>972</v>
      </c>
      <c r="F1155" s="128"/>
      <c r="G1155" s="134"/>
      <c r="H1155" s="134"/>
      <c r="I1155" s="134"/>
      <c r="J1155" s="134"/>
      <c r="K1155" s="134"/>
      <c r="L1155" s="134"/>
      <c r="M1155" s="134"/>
      <c r="N1155" s="134"/>
      <c r="O1155" s="134"/>
      <c r="P1155" s="134"/>
      <c r="Q1155" s="134"/>
      <c r="R1155" s="134"/>
      <c r="S1155" s="134"/>
      <c r="T1155" s="134"/>
      <c r="U1155" s="134"/>
      <c r="V1155" s="134"/>
      <c r="W1155" s="134"/>
      <c r="X1155" s="134"/>
      <c r="Y1155" s="134"/>
      <c r="Z1155" s="134"/>
      <c r="AA1155" s="134"/>
      <c r="AB1155" s="134"/>
    </row>
    <row r="1156" hidden="1">
      <c r="A1156" s="123" t="s">
        <v>1017</v>
      </c>
      <c r="B1156" s="124">
        <v>30.0</v>
      </c>
      <c r="C1156" s="124">
        <v>0.0</v>
      </c>
      <c r="D1156" s="132">
        <f t="shared" si="139"/>
        <v>-30</v>
      </c>
      <c r="E1156" s="132" t="s">
        <v>972</v>
      </c>
      <c r="F1156" s="128"/>
      <c r="G1156" s="134"/>
      <c r="H1156" s="134"/>
      <c r="I1156" s="134"/>
      <c r="J1156" s="134"/>
      <c r="K1156" s="134"/>
      <c r="L1156" s="134"/>
      <c r="M1156" s="134"/>
      <c r="N1156" s="134"/>
      <c r="O1156" s="134"/>
      <c r="P1156" s="134"/>
      <c r="Q1156" s="134"/>
      <c r="R1156" s="134"/>
      <c r="S1156" s="134"/>
      <c r="T1156" s="134"/>
      <c r="U1156" s="134"/>
      <c r="V1156" s="134"/>
      <c r="W1156" s="134"/>
      <c r="X1156" s="134"/>
      <c r="Y1156" s="134"/>
      <c r="Z1156" s="134"/>
      <c r="AA1156" s="134"/>
      <c r="AB1156" s="134"/>
    </row>
    <row r="1157" hidden="1">
      <c r="A1157" s="150" t="s">
        <v>630</v>
      </c>
      <c r="B1157" s="147">
        <v>1540.0</v>
      </c>
      <c r="C1157" s="147">
        <v>1798.0</v>
      </c>
      <c r="D1157" s="132">
        <f t="shared" si="139"/>
        <v>258</v>
      </c>
      <c r="E1157" s="132" t="s">
        <v>972</v>
      </c>
      <c r="F1157" s="152"/>
      <c r="G1157" s="129"/>
      <c r="H1157" s="129"/>
      <c r="I1157" s="129"/>
      <c r="J1157" s="129"/>
      <c r="K1157" s="129"/>
      <c r="L1157" s="129"/>
      <c r="M1157" s="129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</row>
    <row r="1158" hidden="1">
      <c r="A1158" s="128" t="s">
        <v>1025</v>
      </c>
      <c r="B1158" s="147">
        <v>3450.0</v>
      </c>
      <c r="C1158" s="147">
        <v>3807.0</v>
      </c>
      <c r="D1158" s="132">
        <f t="shared" si="139"/>
        <v>357</v>
      </c>
      <c r="E1158" s="132" t="s">
        <v>972</v>
      </c>
      <c r="F1158" s="128"/>
      <c r="H1158" s="129"/>
      <c r="I1158" s="129"/>
      <c r="J1158" s="129"/>
      <c r="K1158" s="129"/>
      <c r="L1158" s="129"/>
      <c r="M1158" s="129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</row>
    <row r="1159" hidden="1">
      <c r="A1159" s="150" t="s">
        <v>1026</v>
      </c>
      <c r="B1159" s="147">
        <v>2540.0</v>
      </c>
      <c r="C1159" s="147">
        <v>2866.0</v>
      </c>
      <c r="D1159" s="132">
        <f t="shared" si="139"/>
        <v>326</v>
      </c>
      <c r="E1159" s="132" t="s">
        <v>972</v>
      </c>
      <c r="F1159" s="128"/>
      <c r="H1159" s="129"/>
      <c r="I1159" s="129"/>
      <c r="J1159" s="129"/>
      <c r="K1159" s="129"/>
      <c r="L1159" s="129"/>
      <c r="M1159" s="129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</row>
    <row r="1160" hidden="1">
      <c r="A1160" s="128" t="s">
        <v>630</v>
      </c>
      <c r="B1160" s="147">
        <v>1540.0</v>
      </c>
      <c r="C1160" s="147">
        <v>1798.0</v>
      </c>
      <c r="D1160" s="132">
        <f t="shared" si="139"/>
        <v>258</v>
      </c>
      <c r="E1160" s="132" t="s">
        <v>972</v>
      </c>
      <c r="F1160" s="152"/>
      <c r="H1160" s="129"/>
      <c r="I1160" s="129"/>
      <c r="J1160" s="129"/>
      <c r="K1160" s="129"/>
      <c r="L1160" s="129"/>
      <c r="M1160" s="129"/>
      <c r="N1160" s="129"/>
      <c r="O1160" s="129"/>
      <c r="P1160" s="129"/>
      <c r="Q1160" s="129"/>
      <c r="R1160" s="129"/>
      <c r="S1160" s="129"/>
      <c r="T1160" s="129"/>
      <c r="U1160" s="129"/>
      <c r="V1160" s="129"/>
      <c r="W1160" s="129"/>
      <c r="X1160" s="129"/>
      <c r="Y1160" s="129"/>
      <c r="Z1160" s="129"/>
      <c r="AA1160" s="129"/>
      <c r="AB1160" s="129"/>
    </row>
    <row r="1161" hidden="1">
      <c r="A1161" s="128" t="s">
        <v>630</v>
      </c>
      <c r="B1161" s="147">
        <v>1540.0</v>
      </c>
      <c r="C1161" s="147">
        <v>1798.0</v>
      </c>
      <c r="D1161" s="132">
        <f t="shared" si="139"/>
        <v>258</v>
      </c>
      <c r="E1161" s="132" t="s">
        <v>972</v>
      </c>
      <c r="F1161" s="152"/>
      <c r="H1161" s="129"/>
      <c r="I1161" s="129"/>
      <c r="J1161" s="129"/>
      <c r="K1161" s="129"/>
      <c r="L1161" s="129"/>
      <c r="M1161" s="129"/>
      <c r="N1161" s="129"/>
      <c r="O1161" s="129"/>
      <c r="P1161" s="129"/>
      <c r="Q1161" s="129"/>
      <c r="R1161" s="129"/>
      <c r="S1161" s="129"/>
      <c r="T1161" s="129"/>
      <c r="U1161" s="129"/>
      <c r="V1161" s="129"/>
      <c r="W1161" s="129"/>
      <c r="X1161" s="129"/>
      <c r="Y1161" s="129"/>
      <c r="Z1161" s="129"/>
      <c r="AA1161" s="129"/>
      <c r="AB1161" s="129"/>
    </row>
    <row r="1162" hidden="1">
      <c r="A1162" s="128" t="s">
        <v>630</v>
      </c>
      <c r="B1162" s="147">
        <v>1540.0</v>
      </c>
      <c r="C1162" s="147">
        <v>1798.0</v>
      </c>
      <c r="D1162" s="132">
        <f t="shared" si="139"/>
        <v>258</v>
      </c>
      <c r="E1162" s="132" t="s">
        <v>972</v>
      </c>
      <c r="F1162" s="152"/>
      <c r="H1162" s="129"/>
      <c r="I1162" s="129"/>
      <c r="J1162" s="129"/>
      <c r="K1162" s="129"/>
      <c r="L1162" s="129"/>
      <c r="M1162" s="129"/>
      <c r="N1162" s="129"/>
      <c r="O1162" s="129"/>
      <c r="P1162" s="129"/>
      <c r="Q1162" s="129"/>
      <c r="R1162" s="129"/>
      <c r="S1162" s="129"/>
      <c r="T1162" s="129"/>
      <c r="U1162" s="129"/>
      <c r="V1162" s="129"/>
      <c r="W1162" s="129"/>
      <c r="X1162" s="129"/>
      <c r="Y1162" s="129"/>
      <c r="Z1162" s="129"/>
      <c r="AA1162" s="129"/>
      <c r="AB1162" s="129"/>
    </row>
    <row r="1163" hidden="1">
      <c r="A1163" s="128" t="s">
        <v>630</v>
      </c>
      <c r="B1163" s="147">
        <v>1540.0</v>
      </c>
      <c r="C1163" s="147">
        <v>1798.0</v>
      </c>
      <c r="D1163" s="132">
        <f t="shared" si="139"/>
        <v>258</v>
      </c>
      <c r="E1163" s="132" t="s">
        <v>972</v>
      </c>
      <c r="F1163" s="152"/>
      <c r="H1163" s="129"/>
      <c r="I1163" s="129"/>
      <c r="J1163" s="129"/>
      <c r="K1163" s="129"/>
      <c r="L1163" s="129"/>
      <c r="M1163" s="129"/>
      <c r="N1163" s="129"/>
      <c r="O1163" s="129"/>
      <c r="P1163" s="129"/>
      <c r="Q1163" s="129"/>
      <c r="R1163" s="129"/>
      <c r="S1163" s="129"/>
      <c r="T1163" s="129"/>
      <c r="U1163" s="129"/>
      <c r="V1163" s="129"/>
      <c r="W1163" s="129"/>
      <c r="X1163" s="129"/>
      <c r="Y1163" s="129"/>
      <c r="Z1163" s="129"/>
      <c r="AA1163" s="129"/>
      <c r="AB1163" s="129"/>
    </row>
    <row r="1164" hidden="1">
      <c r="A1164" s="128" t="s">
        <v>874</v>
      </c>
      <c r="B1164" s="147">
        <v>1440.0</v>
      </c>
      <c r="C1164" s="147">
        <v>1712.0</v>
      </c>
      <c r="D1164" s="132">
        <f t="shared" si="139"/>
        <v>272</v>
      </c>
      <c r="E1164" s="132" t="s">
        <v>972</v>
      </c>
      <c r="F1164" s="128"/>
      <c r="H1164" s="129"/>
      <c r="I1164" s="129"/>
      <c r="J1164" s="129"/>
      <c r="K1164" s="129"/>
      <c r="L1164" s="129"/>
      <c r="M1164" s="129"/>
      <c r="N1164" s="129"/>
      <c r="O1164" s="129"/>
      <c r="P1164" s="129"/>
      <c r="Q1164" s="129"/>
      <c r="R1164" s="129"/>
      <c r="S1164" s="129"/>
      <c r="T1164" s="129"/>
      <c r="U1164" s="129"/>
      <c r="V1164" s="129"/>
      <c r="W1164" s="129"/>
      <c r="X1164" s="129"/>
      <c r="Y1164" s="129"/>
      <c r="Z1164" s="129"/>
      <c r="AA1164" s="129"/>
      <c r="AB1164" s="129"/>
    </row>
    <row r="1165" hidden="1">
      <c r="A1165" s="128" t="s">
        <v>874</v>
      </c>
      <c r="B1165" s="147">
        <v>1440.0</v>
      </c>
      <c r="C1165" s="147">
        <v>1712.0</v>
      </c>
      <c r="D1165" s="132">
        <f t="shared" si="139"/>
        <v>272</v>
      </c>
      <c r="E1165" s="132" t="s">
        <v>972</v>
      </c>
      <c r="F1165" s="128"/>
      <c r="H1165" s="129"/>
      <c r="I1165" s="129"/>
      <c r="J1165" s="129"/>
      <c r="K1165" s="129"/>
      <c r="L1165" s="129"/>
      <c r="M1165" s="129"/>
      <c r="N1165" s="129"/>
      <c r="O1165" s="129"/>
      <c r="P1165" s="129"/>
      <c r="Q1165" s="129"/>
      <c r="R1165" s="129"/>
      <c r="S1165" s="129"/>
      <c r="T1165" s="129"/>
      <c r="U1165" s="129"/>
      <c r="V1165" s="129"/>
      <c r="W1165" s="129"/>
      <c r="X1165" s="129"/>
      <c r="Y1165" s="129"/>
      <c r="Z1165" s="129"/>
      <c r="AA1165" s="129"/>
      <c r="AB1165" s="129"/>
    </row>
    <row r="1166" hidden="1">
      <c r="A1166" s="128" t="s">
        <v>1027</v>
      </c>
      <c r="B1166" s="147">
        <v>790.0</v>
      </c>
      <c r="C1166" s="147">
        <v>1024.0</v>
      </c>
      <c r="D1166" s="132">
        <f t="shared" si="139"/>
        <v>234</v>
      </c>
      <c r="E1166" s="132" t="s">
        <v>972</v>
      </c>
      <c r="F1166" s="128"/>
      <c r="H1166" s="129"/>
      <c r="I1166" s="128"/>
      <c r="J1166" s="129"/>
      <c r="K1166" s="129"/>
      <c r="L1166" s="129"/>
      <c r="M1166" s="129"/>
      <c r="N1166" s="129"/>
      <c r="O1166" s="129"/>
      <c r="P1166" s="129"/>
      <c r="Q1166" s="129"/>
      <c r="R1166" s="129"/>
      <c r="S1166" s="129"/>
      <c r="T1166" s="129"/>
      <c r="U1166" s="129"/>
      <c r="V1166" s="129"/>
      <c r="W1166" s="129"/>
      <c r="X1166" s="129"/>
      <c r="Y1166" s="129"/>
      <c r="Z1166" s="129"/>
      <c r="AA1166" s="129"/>
      <c r="AB1166" s="129"/>
    </row>
    <row r="1167" hidden="1">
      <c r="A1167" s="128" t="s">
        <v>1028</v>
      </c>
      <c r="B1167" s="147">
        <v>3450.0</v>
      </c>
      <c r="C1167" s="147">
        <v>3778.0</v>
      </c>
      <c r="D1167" s="132">
        <f t="shared" si="139"/>
        <v>328</v>
      </c>
      <c r="E1167" s="132" t="s">
        <v>972</v>
      </c>
      <c r="F1167" s="128"/>
      <c r="H1167" s="129"/>
      <c r="I1167" s="129"/>
      <c r="J1167" s="129"/>
      <c r="K1167" s="129"/>
      <c r="L1167" s="129"/>
      <c r="M1167" s="129"/>
      <c r="N1167" s="129"/>
      <c r="O1167" s="129"/>
      <c r="P1167" s="129"/>
      <c r="Q1167" s="129"/>
      <c r="R1167" s="129"/>
      <c r="S1167" s="129"/>
      <c r="T1167" s="129"/>
      <c r="U1167" s="129"/>
      <c r="V1167" s="129"/>
      <c r="W1167" s="129"/>
      <c r="X1167" s="129"/>
      <c r="Y1167" s="129"/>
      <c r="Z1167" s="129"/>
      <c r="AA1167" s="129"/>
      <c r="AB1167" s="129"/>
    </row>
    <row r="1168" hidden="1">
      <c r="A1168" s="128" t="s">
        <v>874</v>
      </c>
      <c r="B1168" s="147">
        <v>1440.0</v>
      </c>
      <c r="C1168" s="147">
        <v>1712.0</v>
      </c>
      <c r="D1168" s="132">
        <f t="shared" si="139"/>
        <v>272</v>
      </c>
      <c r="E1168" s="132" t="s">
        <v>972</v>
      </c>
      <c r="F1168" s="128"/>
      <c r="H1168" s="129"/>
      <c r="I1168" s="129"/>
      <c r="J1168" s="129"/>
      <c r="K1168" s="129"/>
      <c r="L1168" s="129"/>
      <c r="M1168" s="129"/>
      <c r="N1168" s="129"/>
      <c r="O1168" s="129"/>
      <c r="P1168" s="129"/>
      <c r="Q1168" s="129"/>
      <c r="R1168" s="129"/>
      <c r="S1168" s="129"/>
      <c r="T1168" s="129"/>
      <c r="U1168" s="129"/>
      <c r="V1168" s="129"/>
      <c r="W1168" s="129"/>
      <c r="X1168" s="129"/>
      <c r="Y1168" s="129"/>
      <c r="Z1168" s="129"/>
      <c r="AA1168" s="129"/>
      <c r="AB1168" s="129"/>
    </row>
    <row r="1169" hidden="1">
      <c r="A1169" s="128" t="s">
        <v>754</v>
      </c>
      <c r="B1169" s="147">
        <v>1090.0</v>
      </c>
      <c r="C1169" s="147">
        <v>0.0</v>
      </c>
      <c r="D1169" s="132">
        <f t="shared" si="139"/>
        <v>-1090</v>
      </c>
      <c r="E1169" s="132" t="s">
        <v>972</v>
      </c>
      <c r="F1169" s="128"/>
      <c r="H1169" s="129"/>
      <c r="I1169" s="129"/>
      <c r="J1169" s="129"/>
      <c r="K1169" s="129"/>
      <c r="L1169" s="129"/>
      <c r="M1169" s="129"/>
      <c r="N1169" s="129"/>
      <c r="O1169" s="129"/>
      <c r="P1169" s="129"/>
      <c r="Q1169" s="129"/>
      <c r="R1169" s="129"/>
      <c r="S1169" s="129"/>
      <c r="T1169" s="129"/>
      <c r="U1169" s="129"/>
      <c r="V1169" s="129"/>
      <c r="W1169" s="129"/>
      <c r="X1169" s="129"/>
      <c r="Y1169" s="129"/>
      <c r="Z1169" s="129"/>
      <c r="AA1169" s="129"/>
      <c r="AB1169" s="129"/>
    </row>
    <row r="1170" hidden="1">
      <c r="A1170" s="128" t="s">
        <v>754</v>
      </c>
      <c r="B1170" s="147">
        <v>1090.0</v>
      </c>
      <c r="C1170" s="147">
        <v>0.0</v>
      </c>
      <c r="D1170" s="132">
        <f t="shared" si="139"/>
        <v>-1090</v>
      </c>
      <c r="E1170" s="132" t="s">
        <v>972</v>
      </c>
      <c r="F1170" s="128"/>
      <c r="H1170" s="129"/>
      <c r="I1170" s="129"/>
      <c r="J1170" s="129"/>
      <c r="K1170" s="129"/>
      <c r="L1170" s="129"/>
      <c r="M1170" s="129"/>
      <c r="N1170" s="129"/>
      <c r="O1170" s="129"/>
      <c r="P1170" s="129"/>
      <c r="Q1170" s="129"/>
      <c r="R1170" s="129"/>
      <c r="S1170" s="129"/>
      <c r="T1170" s="129"/>
      <c r="U1170" s="129"/>
      <c r="V1170" s="129"/>
      <c r="W1170" s="129"/>
      <c r="X1170" s="129"/>
      <c r="Y1170" s="129"/>
      <c r="Z1170" s="129"/>
      <c r="AA1170" s="129"/>
      <c r="AB1170" s="129"/>
    </row>
    <row r="1171" hidden="1">
      <c r="A1171" s="128" t="s">
        <v>1029</v>
      </c>
      <c r="B1171" s="147">
        <v>890.0</v>
      </c>
      <c r="C1171" s="147">
        <v>824.0</v>
      </c>
      <c r="D1171" s="132">
        <f t="shared" si="139"/>
        <v>-66</v>
      </c>
      <c r="E1171" s="132" t="s">
        <v>123</v>
      </c>
      <c r="F1171" s="128"/>
      <c r="G1171" s="168"/>
      <c r="H1171" s="129"/>
      <c r="I1171" s="129"/>
      <c r="J1171" s="129"/>
      <c r="K1171" s="129"/>
      <c r="L1171" s="129"/>
      <c r="M1171" s="129"/>
      <c r="N1171" s="129"/>
      <c r="O1171" s="129"/>
      <c r="P1171" s="129"/>
      <c r="Q1171" s="129"/>
      <c r="R1171" s="129"/>
      <c r="S1171" s="129"/>
      <c r="T1171" s="129"/>
      <c r="U1171" s="129"/>
      <c r="V1171" s="129"/>
      <c r="W1171" s="129"/>
      <c r="X1171" s="129"/>
      <c r="Y1171" s="129"/>
      <c r="Z1171" s="129"/>
      <c r="AA1171" s="129"/>
      <c r="AB1171" s="129"/>
    </row>
    <row r="1172" hidden="1">
      <c r="A1172" s="159" t="s">
        <v>1030</v>
      </c>
      <c r="B1172" s="124">
        <v>1590.0</v>
      </c>
      <c r="C1172" s="124">
        <v>1270.0</v>
      </c>
      <c r="D1172" s="125">
        <f t="shared" si="139"/>
        <v>-320</v>
      </c>
      <c r="E1172" s="126" t="s">
        <v>123</v>
      </c>
      <c r="F1172" s="128"/>
      <c r="G1172" s="168"/>
      <c r="I1172" s="129"/>
      <c r="J1172" s="129"/>
      <c r="K1172" s="129"/>
      <c r="L1172" s="129"/>
      <c r="M1172" s="129"/>
      <c r="N1172" s="129"/>
      <c r="O1172" s="129"/>
      <c r="P1172" s="129"/>
      <c r="Q1172" s="129"/>
      <c r="R1172" s="129"/>
      <c r="S1172" s="129"/>
      <c r="T1172" s="129"/>
      <c r="U1172" s="129"/>
      <c r="V1172" s="129"/>
      <c r="W1172" s="129"/>
      <c r="X1172" s="129"/>
      <c r="Y1172" s="129"/>
      <c r="Z1172" s="129"/>
      <c r="AA1172" s="129"/>
      <c r="AB1172" s="129"/>
    </row>
    <row r="1173" hidden="1">
      <c r="A1173" s="128" t="s">
        <v>1031</v>
      </c>
      <c r="B1173" s="127">
        <v>690.0</v>
      </c>
      <c r="C1173" s="147">
        <v>1969.0</v>
      </c>
      <c r="D1173" s="132">
        <f t="shared" si="139"/>
        <v>1279</v>
      </c>
      <c r="E1173" s="126" t="s">
        <v>120</v>
      </c>
      <c r="F1173" s="128"/>
      <c r="G1173" s="168"/>
      <c r="H1173" s="129"/>
      <c r="I1173" s="129"/>
      <c r="J1173" s="129"/>
      <c r="K1173" s="129"/>
      <c r="L1173" s="129"/>
      <c r="M1173" s="129"/>
      <c r="N1173" s="129"/>
      <c r="O1173" s="129"/>
      <c r="P1173" s="129"/>
      <c r="Q1173" s="129"/>
      <c r="R1173" s="129"/>
      <c r="S1173" s="129"/>
      <c r="T1173" s="129"/>
      <c r="U1173" s="129"/>
      <c r="V1173" s="129"/>
      <c r="W1173" s="129"/>
      <c r="X1173" s="129"/>
      <c r="Y1173" s="129"/>
      <c r="Z1173" s="129"/>
      <c r="AA1173" s="129"/>
      <c r="AB1173" s="129"/>
    </row>
    <row r="1174" hidden="1">
      <c r="A1174" s="128" t="s">
        <v>1029</v>
      </c>
      <c r="B1174" s="147">
        <v>890.0</v>
      </c>
      <c r="C1174" s="147">
        <v>0.0</v>
      </c>
      <c r="D1174" s="132">
        <f t="shared" si="139"/>
        <v>-890</v>
      </c>
      <c r="E1174" s="132" t="s">
        <v>123</v>
      </c>
      <c r="F1174" s="128"/>
      <c r="G1174" s="168"/>
      <c r="H1174" s="129"/>
      <c r="I1174" s="129"/>
      <c r="J1174" s="129"/>
      <c r="K1174" s="129"/>
      <c r="L1174" s="129"/>
      <c r="M1174" s="129"/>
      <c r="N1174" s="129"/>
      <c r="O1174" s="129"/>
      <c r="P1174" s="129"/>
      <c r="Q1174" s="129"/>
      <c r="R1174" s="129"/>
      <c r="S1174" s="129"/>
      <c r="T1174" s="129"/>
      <c r="U1174" s="129"/>
      <c r="V1174" s="129"/>
      <c r="W1174" s="129"/>
      <c r="X1174" s="129"/>
      <c r="Y1174" s="129"/>
      <c r="Z1174" s="129"/>
      <c r="AA1174" s="129"/>
      <c r="AB1174" s="129"/>
    </row>
    <row r="1175" hidden="1">
      <c r="A1175" s="150" t="s">
        <v>122</v>
      </c>
      <c r="B1175" s="132">
        <v>690.0</v>
      </c>
      <c r="C1175" s="386">
        <v>647.0</v>
      </c>
      <c r="D1175" s="132">
        <f t="shared" si="139"/>
        <v>-43</v>
      </c>
      <c r="E1175" s="394" t="s">
        <v>123</v>
      </c>
      <c r="F1175" s="128"/>
      <c r="G1175" s="129"/>
      <c r="H1175" s="129"/>
      <c r="I1175" s="129"/>
      <c r="J1175" s="129"/>
      <c r="K1175" s="129"/>
      <c r="L1175" s="129"/>
      <c r="M1175" s="129"/>
      <c r="N1175" s="129"/>
      <c r="O1175" s="129"/>
      <c r="P1175" s="129"/>
      <c r="Q1175" s="129"/>
      <c r="R1175" s="129"/>
      <c r="S1175" s="129"/>
      <c r="T1175" s="129"/>
      <c r="U1175" s="129"/>
      <c r="V1175" s="129"/>
      <c r="W1175" s="129"/>
      <c r="X1175" s="129"/>
      <c r="Y1175" s="129"/>
      <c r="Z1175" s="129"/>
      <c r="AA1175" s="129"/>
      <c r="AB1175" s="129"/>
    </row>
    <row r="1176" hidden="1">
      <c r="A1176" s="128" t="s">
        <v>969</v>
      </c>
      <c r="B1176" s="147">
        <v>690.0</v>
      </c>
      <c r="C1176" s="147">
        <v>613.0</v>
      </c>
      <c r="D1176" s="132">
        <f t="shared" si="139"/>
        <v>-77</v>
      </c>
      <c r="E1176" s="126" t="s">
        <v>123</v>
      </c>
      <c r="F1176" s="128"/>
      <c r="G1176" s="129"/>
      <c r="H1176" s="129"/>
      <c r="I1176" s="129"/>
      <c r="J1176" s="129"/>
      <c r="K1176" s="129"/>
      <c r="L1176" s="129"/>
      <c r="M1176" s="129"/>
      <c r="N1176" s="129"/>
      <c r="O1176" s="129"/>
      <c r="P1176" s="129"/>
      <c r="Q1176" s="129"/>
      <c r="R1176" s="129"/>
      <c r="S1176" s="129"/>
      <c r="T1176" s="129"/>
      <c r="U1176" s="129"/>
      <c r="V1176" s="129"/>
      <c r="W1176" s="129"/>
      <c r="X1176" s="129"/>
      <c r="Y1176" s="129"/>
      <c r="Z1176" s="129"/>
      <c r="AA1176" s="129"/>
      <c r="AB1176" s="129"/>
    </row>
    <row r="1177" hidden="1">
      <c r="A1177" s="150"/>
      <c r="B1177" s="132"/>
      <c r="C1177" s="132"/>
      <c r="D1177" s="132"/>
      <c r="E1177" s="132"/>
      <c r="F1177" s="139"/>
      <c r="G1177" s="129"/>
      <c r="H1177" s="129"/>
      <c r="I1177" s="129"/>
      <c r="J1177" s="129"/>
      <c r="K1177" s="129"/>
      <c r="L1177" s="129"/>
      <c r="M1177" s="129"/>
      <c r="N1177" s="129"/>
      <c r="O1177" s="129"/>
      <c r="P1177" s="129"/>
      <c r="Q1177" s="129"/>
      <c r="R1177" s="129"/>
      <c r="S1177" s="129"/>
      <c r="T1177" s="129"/>
      <c r="U1177" s="129"/>
      <c r="V1177" s="129"/>
      <c r="W1177" s="129"/>
      <c r="X1177" s="129"/>
      <c r="Y1177" s="129"/>
      <c r="Z1177" s="129"/>
      <c r="AA1177" s="129"/>
      <c r="AB1177" s="129"/>
    </row>
    <row r="1178" hidden="1">
      <c r="A1178" s="144" t="s">
        <v>57</v>
      </c>
      <c r="B1178" s="145">
        <f t="shared" ref="B1178:D1178" si="140">SUM(B1134:B1177)</f>
        <v>67540</v>
      </c>
      <c r="C1178" s="145">
        <f t="shared" si="140"/>
        <v>77031</v>
      </c>
      <c r="D1178" s="145">
        <f t="shared" si="140"/>
        <v>9491</v>
      </c>
      <c r="E1178" s="146">
        <f>D1178/(C1178/100)</f>
        <v>12.32101362</v>
      </c>
      <c r="F1178" s="129"/>
      <c r="G1178" s="129"/>
      <c r="H1178" s="129"/>
      <c r="I1178" s="129"/>
      <c r="J1178" s="129"/>
      <c r="K1178" s="129"/>
      <c r="L1178" s="129"/>
      <c r="M1178" s="129"/>
      <c r="N1178" s="129"/>
      <c r="O1178" s="129"/>
      <c r="P1178" s="129"/>
      <c r="Q1178" s="129"/>
      <c r="R1178" s="129"/>
      <c r="S1178" s="129"/>
      <c r="T1178" s="129"/>
      <c r="U1178" s="129"/>
      <c r="V1178" s="129"/>
      <c r="W1178" s="129"/>
      <c r="X1178" s="129"/>
      <c r="Y1178" s="129"/>
      <c r="Z1178" s="129"/>
      <c r="AA1178" s="129"/>
      <c r="AB1178" s="129"/>
    </row>
    <row r="1179" hidden="1">
      <c r="A1179" s="143"/>
      <c r="B1179" s="139"/>
      <c r="C1179" s="139"/>
      <c r="D1179" s="139"/>
      <c r="E1179" s="139"/>
      <c r="F1179" s="139"/>
      <c r="G1179" s="129"/>
      <c r="H1179" s="129"/>
      <c r="I1179" s="129"/>
      <c r="J1179" s="129"/>
      <c r="K1179" s="129"/>
      <c r="L1179" s="129"/>
      <c r="M1179" s="129"/>
      <c r="N1179" s="129"/>
      <c r="O1179" s="129"/>
      <c r="P1179" s="129"/>
      <c r="Q1179" s="129"/>
      <c r="R1179" s="129"/>
      <c r="S1179" s="129"/>
      <c r="T1179" s="129"/>
      <c r="U1179" s="129"/>
      <c r="V1179" s="129"/>
      <c r="W1179" s="129"/>
      <c r="X1179" s="129"/>
      <c r="Y1179" s="129"/>
      <c r="Z1179" s="129"/>
      <c r="AA1179" s="129"/>
      <c r="AB1179" s="129"/>
    </row>
    <row r="1180" hidden="1">
      <c r="A1180" s="383">
        <v>45931.0</v>
      </c>
      <c r="B1180" s="139"/>
      <c r="C1180" s="139"/>
      <c r="D1180" s="139"/>
      <c r="E1180" s="129"/>
      <c r="F1180" s="129"/>
      <c r="G1180" s="129"/>
      <c r="H1180" s="129"/>
      <c r="I1180" s="129"/>
      <c r="J1180" s="129"/>
      <c r="K1180" s="129"/>
      <c r="L1180" s="129"/>
      <c r="M1180" s="129"/>
      <c r="N1180" s="129"/>
      <c r="O1180" s="129"/>
      <c r="P1180" s="129"/>
      <c r="Q1180" s="129"/>
      <c r="R1180" s="129"/>
      <c r="S1180" s="129"/>
      <c r="T1180" s="129"/>
      <c r="U1180" s="129"/>
      <c r="V1180" s="129"/>
      <c r="W1180" s="129"/>
      <c r="X1180" s="129"/>
      <c r="Y1180" s="129"/>
      <c r="Z1180" s="129"/>
      <c r="AA1180" s="129"/>
      <c r="AB1180" s="129"/>
    </row>
    <row r="1181" hidden="1">
      <c r="A1181" s="123" t="s">
        <v>1017</v>
      </c>
      <c r="B1181" s="124">
        <v>30.0</v>
      </c>
      <c r="C1181" s="124">
        <v>30.0</v>
      </c>
      <c r="D1181" s="132">
        <f t="shared" ref="D1181:D1251" si="141">C1181-B1181</f>
        <v>0</v>
      </c>
      <c r="E1181" s="132" t="s">
        <v>972</v>
      </c>
      <c r="F1181" s="128"/>
      <c r="G1181" s="134"/>
      <c r="H1181" s="134"/>
      <c r="I1181" s="134"/>
      <c r="J1181" s="134"/>
      <c r="K1181" s="134"/>
      <c r="L1181" s="134"/>
      <c r="M1181" s="134"/>
      <c r="N1181" s="134"/>
      <c r="O1181" s="134"/>
      <c r="P1181" s="134"/>
      <c r="Q1181" s="134"/>
      <c r="R1181" s="134"/>
      <c r="S1181" s="134"/>
      <c r="T1181" s="134"/>
      <c r="U1181" s="134"/>
      <c r="V1181" s="134"/>
      <c r="W1181" s="134"/>
      <c r="X1181" s="134"/>
      <c r="Y1181" s="134"/>
      <c r="Z1181" s="134"/>
      <c r="AA1181" s="134"/>
      <c r="AB1181" s="134"/>
    </row>
    <row r="1182" hidden="1">
      <c r="A1182" s="123" t="s">
        <v>1017</v>
      </c>
      <c r="B1182" s="124">
        <v>30.0</v>
      </c>
      <c r="C1182" s="124">
        <v>30.0</v>
      </c>
      <c r="D1182" s="132">
        <f t="shared" si="141"/>
        <v>0</v>
      </c>
      <c r="E1182" s="132" t="s">
        <v>972</v>
      </c>
      <c r="F1182" s="128"/>
      <c r="G1182" s="134"/>
      <c r="H1182" s="134"/>
      <c r="I1182" s="134"/>
      <c r="J1182" s="134"/>
      <c r="K1182" s="134"/>
      <c r="L1182" s="134"/>
      <c r="M1182" s="134"/>
      <c r="N1182" s="134"/>
      <c r="O1182" s="134"/>
      <c r="P1182" s="134"/>
      <c r="Q1182" s="134"/>
      <c r="R1182" s="134"/>
      <c r="S1182" s="134"/>
      <c r="T1182" s="134"/>
      <c r="U1182" s="134"/>
      <c r="V1182" s="134"/>
      <c r="W1182" s="134"/>
      <c r="X1182" s="134"/>
      <c r="Y1182" s="134"/>
      <c r="Z1182" s="134"/>
      <c r="AA1182" s="134"/>
      <c r="AB1182" s="134"/>
    </row>
    <row r="1183" hidden="1">
      <c r="A1183" s="128" t="s">
        <v>757</v>
      </c>
      <c r="B1183" s="147">
        <v>1040.0</v>
      </c>
      <c r="C1183" s="147">
        <v>0.0</v>
      </c>
      <c r="D1183" s="132">
        <f t="shared" si="141"/>
        <v>-1040</v>
      </c>
      <c r="E1183" s="132" t="s">
        <v>972</v>
      </c>
      <c r="F1183" s="128"/>
      <c r="H1183" s="129"/>
      <c r="I1183" s="129"/>
      <c r="J1183" s="129"/>
      <c r="K1183" s="129"/>
      <c r="L1183" s="129"/>
      <c r="M1183" s="129"/>
      <c r="N1183" s="129"/>
      <c r="O1183" s="129"/>
      <c r="P1183" s="129"/>
      <c r="Q1183" s="129"/>
      <c r="R1183" s="129"/>
      <c r="S1183" s="129"/>
      <c r="T1183" s="129"/>
      <c r="U1183" s="129"/>
      <c r="V1183" s="129"/>
      <c r="W1183" s="129"/>
      <c r="X1183" s="129"/>
      <c r="Y1183" s="129"/>
      <c r="Z1183" s="129"/>
      <c r="AA1183" s="129"/>
      <c r="AB1183" s="129"/>
    </row>
    <row r="1184" hidden="1">
      <c r="A1184" s="128" t="s">
        <v>753</v>
      </c>
      <c r="B1184" s="147">
        <v>1090.0</v>
      </c>
      <c r="C1184" s="147">
        <v>0.0</v>
      </c>
      <c r="D1184" s="132">
        <f t="shared" si="141"/>
        <v>-1090</v>
      </c>
      <c r="E1184" s="132" t="s">
        <v>972</v>
      </c>
      <c r="F1184" s="152"/>
      <c r="G1184" s="129"/>
      <c r="H1184" s="129"/>
      <c r="I1184" s="129"/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</row>
    <row r="1185" hidden="1">
      <c r="A1185" s="128" t="s">
        <v>753</v>
      </c>
      <c r="B1185" s="147">
        <v>1090.0</v>
      </c>
      <c r="C1185" s="147">
        <v>0.0</v>
      </c>
      <c r="D1185" s="132">
        <f t="shared" si="141"/>
        <v>-1090</v>
      </c>
      <c r="E1185" s="132" t="s">
        <v>972</v>
      </c>
      <c r="F1185" s="152"/>
      <c r="G1185" s="129"/>
      <c r="H1185" s="129"/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</row>
    <row r="1186" hidden="1">
      <c r="A1186" s="128" t="s">
        <v>1032</v>
      </c>
      <c r="B1186" s="147">
        <v>1940.0</v>
      </c>
      <c r="C1186" s="147">
        <v>0.0</v>
      </c>
      <c r="D1186" s="132">
        <f t="shared" si="141"/>
        <v>-1940</v>
      </c>
      <c r="E1186" s="132" t="s">
        <v>972</v>
      </c>
      <c r="F1186" s="128"/>
      <c r="H1186" s="129"/>
      <c r="I1186" s="129"/>
      <c r="J1186" s="129"/>
      <c r="K1186" s="129"/>
      <c r="L1186" s="129"/>
      <c r="M1186" s="129"/>
      <c r="N1186" s="129"/>
      <c r="O1186" s="129"/>
      <c r="P1186" s="129"/>
      <c r="Q1186" s="129"/>
      <c r="R1186" s="129"/>
      <c r="S1186" s="129"/>
      <c r="T1186" s="129"/>
      <c r="U1186" s="129"/>
      <c r="V1186" s="129"/>
      <c r="W1186" s="129"/>
      <c r="X1186" s="129"/>
      <c r="Y1186" s="129"/>
      <c r="Z1186" s="129"/>
      <c r="AA1186" s="129"/>
      <c r="AB1186" s="129"/>
    </row>
    <row r="1187" hidden="1">
      <c r="A1187" s="150" t="s">
        <v>1026</v>
      </c>
      <c r="B1187" s="147">
        <v>2540.0</v>
      </c>
      <c r="C1187" s="147">
        <v>0.0</v>
      </c>
      <c r="D1187" s="132">
        <f t="shared" si="141"/>
        <v>-2540</v>
      </c>
      <c r="E1187" s="132" t="s">
        <v>972</v>
      </c>
      <c r="F1187" s="128"/>
      <c r="H1187" s="129"/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</row>
    <row r="1188" hidden="1">
      <c r="A1188" s="150" t="s">
        <v>1033</v>
      </c>
      <c r="B1188" s="147">
        <v>330.0</v>
      </c>
      <c r="C1188" s="147">
        <v>0.0</v>
      </c>
      <c r="D1188" s="132">
        <f t="shared" si="141"/>
        <v>-330</v>
      </c>
      <c r="E1188" s="132" t="s">
        <v>972</v>
      </c>
      <c r="F1188" s="152"/>
      <c r="G1188" s="129"/>
      <c r="H1188" s="129"/>
      <c r="I1188" s="129"/>
      <c r="J1188" s="129"/>
      <c r="K1188" s="129"/>
      <c r="L1188" s="129"/>
      <c r="M1188" s="129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</row>
    <row r="1189" hidden="1">
      <c r="A1189" s="128" t="s">
        <v>1033</v>
      </c>
      <c r="B1189" s="147">
        <v>330.0</v>
      </c>
      <c r="C1189" s="147">
        <v>0.0</v>
      </c>
      <c r="D1189" s="132">
        <f t="shared" si="141"/>
        <v>-330</v>
      </c>
      <c r="E1189" s="132" t="s">
        <v>972</v>
      </c>
      <c r="F1189" s="128"/>
      <c r="G1189" s="129"/>
      <c r="H1189" s="129"/>
      <c r="I1189" s="129"/>
      <c r="J1189" s="129"/>
      <c r="K1189" s="129"/>
      <c r="L1189" s="129"/>
      <c r="M1189" s="129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</row>
    <row r="1190" hidden="1">
      <c r="A1190" s="128" t="s">
        <v>1033</v>
      </c>
      <c r="B1190" s="147">
        <v>330.0</v>
      </c>
      <c r="C1190" s="147">
        <v>0.0</v>
      </c>
      <c r="D1190" s="132">
        <f t="shared" si="141"/>
        <v>-330</v>
      </c>
      <c r="E1190" s="132" t="s">
        <v>972</v>
      </c>
      <c r="F1190" s="128"/>
      <c r="G1190" s="129"/>
      <c r="H1190" s="129"/>
      <c r="I1190" s="129"/>
      <c r="J1190" s="129"/>
      <c r="K1190" s="129"/>
      <c r="L1190" s="129"/>
      <c r="M1190" s="129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</row>
    <row r="1191" hidden="1">
      <c r="A1191" s="128" t="s">
        <v>1033</v>
      </c>
      <c r="B1191" s="147">
        <v>330.0</v>
      </c>
      <c r="C1191" s="147">
        <v>0.0</v>
      </c>
      <c r="D1191" s="132">
        <f t="shared" si="141"/>
        <v>-330</v>
      </c>
      <c r="E1191" s="132" t="s">
        <v>972</v>
      </c>
      <c r="F1191" s="128"/>
      <c r="G1191" s="129"/>
      <c r="H1191" s="129"/>
      <c r="I1191" s="129"/>
      <c r="J1191" s="129"/>
      <c r="K1191" s="129"/>
      <c r="L1191" s="129"/>
      <c r="M1191" s="129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</row>
    <row r="1192" hidden="1">
      <c r="A1192" s="128" t="s">
        <v>1033</v>
      </c>
      <c r="B1192" s="147">
        <v>330.0</v>
      </c>
      <c r="C1192" s="147">
        <v>0.0</v>
      </c>
      <c r="D1192" s="132">
        <f t="shared" si="141"/>
        <v>-330</v>
      </c>
      <c r="E1192" s="132" t="s">
        <v>972</v>
      </c>
      <c r="F1192" s="128"/>
      <c r="G1192" s="129"/>
      <c r="H1192" s="129"/>
      <c r="I1192" s="129"/>
      <c r="J1192" s="129"/>
      <c r="K1192" s="129"/>
      <c r="L1192" s="129"/>
      <c r="M1192" s="129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</row>
    <row r="1193" hidden="1">
      <c r="A1193" s="128" t="s">
        <v>1033</v>
      </c>
      <c r="B1193" s="147">
        <v>330.0</v>
      </c>
      <c r="C1193" s="147">
        <v>0.0</v>
      </c>
      <c r="D1193" s="132">
        <f t="shared" si="141"/>
        <v>-330</v>
      </c>
      <c r="E1193" s="132" t="s">
        <v>972</v>
      </c>
      <c r="F1193" s="128"/>
      <c r="G1193" s="129"/>
      <c r="H1193" s="129"/>
      <c r="I1193" s="129"/>
      <c r="J1193" s="129"/>
      <c r="K1193" s="129"/>
      <c r="L1193" s="129"/>
      <c r="M1193" s="129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</row>
    <row r="1194" hidden="1">
      <c r="A1194" s="128" t="s">
        <v>1033</v>
      </c>
      <c r="B1194" s="147">
        <v>330.0</v>
      </c>
      <c r="C1194" s="147">
        <v>0.0</v>
      </c>
      <c r="D1194" s="132">
        <f t="shared" si="141"/>
        <v>-330</v>
      </c>
      <c r="E1194" s="132" t="s">
        <v>972</v>
      </c>
      <c r="F1194" s="128"/>
      <c r="G1194" s="129"/>
      <c r="H1194" s="129"/>
      <c r="I1194" s="129"/>
      <c r="J1194" s="129"/>
      <c r="K1194" s="129"/>
      <c r="L1194" s="129"/>
      <c r="M1194" s="129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</row>
    <row r="1195" hidden="1">
      <c r="A1195" s="128" t="s">
        <v>1033</v>
      </c>
      <c r="B1195" s="147">
        <v>330.0</v>
      </c>
      <c r="C1195" s="147">
        <v>0.0</v>
      </c>
      <c r="D1195" s="132">
        <f t="shared" si="141"/>
        <v>-330</v>
      </c>
      <c r="E1195" s="132" t="s">
        <v>972</v>
      </c>
      <c r="F1195" s="128"/>
      <c r="G1195" s="129"/>
      <c r="H1195" s="129"/>
      <c r="I1195" s="129"/>
      <c r="J1195" s="129"/>
      <c r="K1195" s="129"/>
      <c r="L1195" s="129"/>
      <c r="M1195" s="129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</row>
    <row r="1196" hidden="1">
      <c r="A1196" s="128" t="s">
        <v>1033</v>
      </c>
      <c r="B1196" s="147">
        <v>330.0</v>
      </c>
      <c r="C1196" s="147">
        <v>0.0</v>
      </c>
      <c r="D1196" s="132">
        <f t="shared" si="141"/>
        <v>-330</v>
      </c>
      <c r="E1196" s="132" t="s">
        <v>972</v>
      </c>
      <c r="F1196" s="128"/>
      <c r="G1196" s="129"/>
      <c r="H1196" s="129"/>
      <c r="I1196" s="129"/>
      <c r="J1196" s="129"/>
      <c r="K1196" s="129"/>
      <c r="L1196" s="129"/>
      <c r="M1196" s="129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</row>
    <row r="1197" hidden="1">
      <c r="A1197" s="150" t="s">
        <v>630</v>
      </c>
      <c r="B1197" s="147">
        <v>1540.0</v>
      </c>
      <c r="C1197" s="147">
        <v>1798.0</v>
      </c>
      <c r="D1197" s="132">
        <f t="shared" si="141"/>
        <v>258</v>
      </c>
      <c r="E1197" s="132" t="s">
        <v>972</v>
      </c>
      <c r="F1197" s="152"/>
      <c r="G1197" s="129"/>
      <c r="H1197" s="129"/>
      <c r="I1197" s="129"/>
      <c r="J1197" s="129"/>
      <c r="K1197" s="129"/>
      <c r="L1197" s="129"/>
      <c r="M1197" s="129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</row>
    <row r="1198" hidden="1">
      <c r="A1198" s="150" t="s">
        <v>630</v>
      </c>
      <c r="B1198" s="147">
        <v>1540.0</v>
      </c>
      <c r="C1198" s="147">
        <v>1833.0</v>
      </c>
      <c r="D1198" s="132">
        <f t="shared" si="141"/>
        <v>293</v>
      </c>
      <c r="E1198" s="132" t="s">
        <v>972</v>
      </c>
      <c r="F1198" s="152"/>
      <c r="G1198" s="129"/>
      <c r="H1198" s="129"/>
      <c r="I1198" s="129"/>
      <c r="J1198" s="129"/>
      <c r="K1198" s="129"/>
      <c r="L1198" s="129"/>
      <c r="M1198" s="129"/>
      <c r="N1198" s="129"/>
      <c r="O1198" s="129"/>
      <c r="P1198" s="129"/>
      <c r="Q1198" s="129"/>
      <c r="R1198" s="129"/>
      <c r="S1198" s="129"/>
      <c r="T1198" s="129"/>
      <c r="U1198" s="129"/>
      <c r="V1198" s="129"/>
      <c r="W1198" s="129"/>
      <c r="X1198" s="129"/>
      <c r="Y1198" s="129"/>
      <c r="Z1198" s="129"/>
      <c r="AA1198" s="129"/>
      <c r="AB1198" s="129"/>
    </row>
    <row r="1199" hidden="1">
      <c r="A1199" s="128" t="s">
        <v>630</v>
      </c>
      <c r="B1199" s="147">
        <v>1540.0</v>
      </c>
      <c r="C1199" s="147">
        <v>1833.0</v>
      </c>
      <c r="D1199" s="132">
        <f t="shared" si="141"/>
        <v>293</v>
      </c>
      <c r="E1199" s="132" t="s">
        <v>972</v>
      </c>
      <c r="F1199" s="152"/>
      <c r="H1199" s="129"/>
      <c r="I1199" s="129"/>
      <c r="J1199" s="129"/>
      <c r="K1199" s="129"/>
      <c r="L1199" s="129"/>
      <c r="M1199" s="129"/>
      <c r="N1199" s="129"/>
      <c r="O1199" s="129"/>
      <c r="P1199" s="129"/>
      <c r="Q1199" s="129"/>
      <c r="R1199" s="129"/>
      <c r="S1199" s="129"/>
      <c r="T1199" s="129"/>
      <c r="U1199" s="129"/>
      <c r="V1199" s="129"/>
      <c r="W1199" s="129"/>
      <c r="X1199" s="129"/>
      <c r="Y1199" s="129"/>
      <c r="Z1199" s="129"/>
      <c r="AA1199" s="129"/>
      <c r="AB1199" s="129"/>
    </row>
    <row r="1200" hidden="1">
      <c r="A1200" s="128" t="s">
        <v>1034</v>
      </c>
      <c r="B1200" s="147">
        <v>1250.0</v>
      </c>
      <c r="C1200" s="147">
        <v>1664.0</v>
      </c>
      <c r="D1200" s="132">
        <f t="shared" si="141"/>
        <v>414</v>
      </c>
      <c r="E1200" s="147" t="s">
        <v>972</v>
      </c>
      <c r="F1200" s="128"/>
      <c r="H1200" s="129"/>
      <c r="I1200" s="129"/>
      <c r="J1200" s="129"/>
      <c r="K1200" s="129"/>
      <c r="L1200" s="129"/>
      <c r="M1200" s="129"/>
      <c r="N1200" s="129"/>
      <c r="O1200" s="129"/>
      <c r="P1200" s="129"/>
      <c r="Q1200" s="129"/>
      <c r="R1200" s="129"/>
      <c r="S1200" s="129"/>
      <c r="T1200" s="129"/>
      <c r="U1200" s="129"/>
      <c r="V1200" s="129"/>
      <c r="W1200" s="129"/>
      <c r="X1200" s="129"/>
      <c r="Y1200" s="129"/>
      <c r="Z1200" s="129"/>
      <c r="AA1200" s="129"/>
      <c r="AB1200" s="129"/>
    </row>
    <row r="1201" hidden="1">
      <c r="A1201" s="123" t="s">
        <v>1035</v>
      </c>
      <c r="B1201" s="123">
        <v>3740.0</v>
      </c>
      <c r="C1201" s="123">
        <v>4898.0</v>
      </c>
      <c r="D1201" s="132">
        <f t="shared" si="141"/>
        <v>1158</v>
      </c>
      <c r="E1201" s="132" t="s">
        <v>972</v>
      </c>
      <c r="F1201" s="128"/>
    </row>
    <row r="1202" hidden="1">
      <c r="A1202" s="123" t="s">
        <v>1036</v>
      </c>
      <c r="B1202" s="147">
        <v>0.0</v>
      </c>
      <c r="C1202" s="147">
        <v>275.0</v>
      </c>
      <c r="D1202" s="132">
        <f t="shared" si="141"/>
        <v>275</v>
      </c>
      <c r="E1202" s="132" t="s">
        <v>972</v>
      </c>
      <c r="F1202" s="128"/>
    </row>
    <row r="1203" hidden="1">
      <c r="A1203" s="123" t="s">
        <v>1017</v>
      </c>
      <c r="B1203" s="124">
        <v>30.0</v>
      </c>
      <c r="C1203" s="124">
        <v>107.0</v>
      </c>
      <c r="D1203" s="132">
        <f t="shared" si="141"/>
        <v>77</v>
      </c>
      <c r="E1203" s="132" t="s">
        <v>972</v>
      </c>
      <c r="F1203" s="128"/>
      <c r="G1203" s="134"/>
      <c r="H1203" s="134"/>
      <c r="I1203" s="134"/>
      <c r="J1203" s="134"/>
      <c r="K1203" s="134"/>
      <c r="L1203" s="134"/>
      <c r="M1203" s="134"/>
      <c r="N1203" s="134"/>
      <c r="O1203" s="134"/>
      <c r="P1203" s="134"/>
      <c r="Q1203" s="134"/>
      <c r="R1203" s="134"/>
      <c r="S1203" s="134"/>
      <c r="T1203" s="134"/>
      <c r="U1203" s="134"/>
      <c r="V1203" s="134"/>
      <c r="W1203" s="134"/>
      <c r="X1203" s="134"/>
      <c r="Y1203" s="134"/>
      <c r="Z1203" s="134"/>
      <c r="AA1203" s="134"/>
      <c r="AB1203" s="134"/>
    </row>
    <row r="1204" hidden="1">
      <c r="A1204" s="128" t="s">
        <v>1032</v>
      </c>
      <c r="B1204" s="147">
        <v>1940.0</v>
      </c>
      <c r="C1204" s="147">
        <v>2258.0</v>
      </c>
      <c r="D1204" s="132">
        <f t="shared" si="141"/>
        <v>318</v>
      </c>
      <c r="E1204" s="132" t="s">
        <v>972</v>
      </c>
      <c r="F1204" s="128"/>
      <c r="H1204" s="129"/>
      <c r="I1204" s="129"/>
      <c r="J1204" s="129"/>
      <c r="K1204" s="129"/>
      <c r="L1204" s="129"/>
      <c r="M1204" s="129"/>
      <c r="N1204" s="129"/>
      <c r="O1204" s="129"/>
      <c r="P1204" s="129"/>
      <c r="Q1204" s="129"/>
      <c r="R1204" s="129"/>
      <c r="S1204" s="129"/>
      <c r="T1204" s="129"/>
      <c r="U1204" s="129"/>
      <c r="V1204" s="129"/>
      <c r="W1204" s="129"/>
      <c r="X1204" s="129"/>
      <c r="Y1204" s="129"/>
      <c r="Z1204" s="129"/>
      <c r="AA1204" s="129"/>
      <c r="AB1204" s="129"/>
    </row>
    <row r="1205" hidden="1">
      <c r="A1205" s="128" t="s">
        <v>1033</v>
      </c>
      <c r="B1205" s="147">
        <v>330.0</v>
      </c>
      <c r="C1205" s="147">
        <v>330.0</v>
      </c>
      <c r="D1205" s="132">
        <f t="shared" si="141"/>
        <v>0</v>
      </c>
      <c r="E1205" s="132" t="s">
        <v>972</v>
      </c>
      <c r="F1205" s="128"/>
      <c r="G1205" s="129"/>
      <c r="H1205" s="129"/>
      <c r="I1205" s="129"/>
      <c r="J1205" s="129"/>
      <c r="K1205" s="129"/>
      <c r="L1205" s="129"/>
      <c r="M1205" s="129"/>
      <c r="N1205" s="129"/>
      <c r="O1205" s="129"/>
      <c r="P1205" s="129"/>
      <c r="Q1205" s="129"/>
      <c r="R1205" s="129"/>
      <c r="S1205" s="129"/>
      <c r="T1205" s="129"/>
      <c r="U1205" s="129"/>
      <c r="V1205" s="129"/>
      <c r="W1205" s="129"/>
      <c r="X1205" s="129"/>
      <c r="Y1205" s="129"/>
      <c r="Z1205" s="129"/>
      <c r="AA1205" s="129"/>
      <c r="AB1205" s="129"/>
    </row>
    <row r="1206" hidden="1">
      <c r="A1206" s="128" t="s">
        <v>1033</v>
      </c>
      <c r="B1206" s="147">
        <v>330.0</v>
      </c>
      <c r="C1206" s="147">
        <v>330.0</v>
      </c>
      <c r="D1206" s="132">
        <f t="shared" si="141"/>
        <v>0</v>
      </c>
      <c r="E1206" s="132" t="s">
        <v>972</v>
      </c>
      <c r="F1206" s="128"/>
      <c r="G1206" s="129"/>
      <c r="H1206" s="129"/>
      <c r="I1206" s="129"/>
      <c r="J1206" s="129"/>
      <c r="K1206" s="129"/>
      <c r="L1206" s="129"/>
      <c r="M1206" s="129"/>
      <c r="N1206" s="129"/>
      <c r="O1206" s="129"/>
      <c r="P1206" s="129"/>
      <c r="Q1206" s="129"/>
      <c r="R1206" s="129"/>
      <c r="S1206" s="129"/>
      <c r="T1206" s="129"/>
      <c r="U1206" s="129"/>
      <c r="V1206" s="129"/>
      <c r="W1206" s="129"/>
      <c r="X1206" s="129"/>
      <c r="Y1206" s="129"/>
      <c r="Z1206" s="129"/>
      <c r="AA1206" s="129"/>
      <c r="AB1206" s="129"/>
    </row>
    <row r="1207" hidden="1">
      <c r="A1207" s="128" t="s">
        <v>1032</v>
      </c>
      <c r="B1207" s="147">
        <v>1940.0</v>
      </c>
      <c r="C1207" s="147">
        <v>3454.0</v>
      </c>
      <c r="D1207" s="132">
        <f t="shared" si="141"/>
        <v>1514</v>
      </c>
      <c r="E1207" s="132" t="s">
        <v>972</v>
      </c>
      <c r="F1207" s="128"/>
      <c r="H1207" s="129"/>
      <c r="I1207" s="129"/>
      <c r="J1207" s="129"/>
      <c r="K1207" s="129"/>
      <c r="L1207" s="129"/>
      <c r="M1207" s="129"/>
      <c r="N1207" s="129"/>
      <c r="O1207" s="129"/>
      <c r="P1207" s="129"/>
      <c r="Q1207" s="129"/>
      <c r="R1207" s="129"/>
      <c r="S1207" s="129"/>
      <c r="T1207" s="129"/>
      <c r="U1207" s="129"/>
      <c r="V1207" s="129"/>
      <c r="W1207" s="129"/>
      <c r="X1207" s="129"/>
      <c r="Y1207" s="129"/>
      <c r="Z1207" s="129"/>
      <c r="AA1207" s="129"/>
      <c r="AB1207" s="129"/>
    </row>
    <row r="1208" hidden="1">
      <c r="A1208" s="128" t="s">
        <v>1037</v>
      </c>
      <c r="B1208" s="147">
        <v>640.0</v>
      </c>
      <c r="C1208" s="147">
        <v>0.0</v>
      </c>
      <c r="D1208" s="132">
        <f t="shared" si="141"/>
        <v>-640</v>
      </c>
      <c r="E1208" s="132" t="s">
        <v>972</v>
      </c>
      <c r="F1208" s="128"/>
      <c r="G1208" s="123"/>
      <c r="H1208" s="129"/>
      <c r="I1208" s="128"/>
      <c r="J1208" s="129"/>
      <c r="K1208" s="129"/>
      <c r="L1208" s="129"/>
      <c r="M1208" s="129"/>
      <c r="N1208" s="129"/>
      <c r="O1208" s="129"/>
      <c r="P1208" s="129"/>
      <c r="Q1208" s="129"/>
      <c r="R1208" s="129"/>
      <c r="S1208" s="129"/>
      <c r="T1208" s="129"/>
      <c r="U1208" s="129"/>
      <c r="V1208" s="129"/>
      <c r="W1208" s="129"/>
      <c r="X1208" s="129"/>
      <c r="Y1208" s="129"/>
      <c r="Z1208" s="129"/>
      <c r="AA1208" s="129"/>
      <c r="AB1208" s="129"/>
    </row>
    <row r="1209" hidden="1">
      <c r="A1209" s="123" t="s">
        <v>1038</v>
      </c>
      <c r="B1209" s="123">
        <f>5490+4990</f>
        <v>10480</v>
      </c>
      <c r="C1209" s="123">
        <v>12942.0</v>
      </c>
      <c r="D1209" s="132">
        <f t="shared" si="141"/>
        <v>2462</v>
      </c>
      <c r="E1209" s="132" t="s">
        <v>972</v>
      </c>
      <c r="F1209" s="128"/>
    </row>
    <row r="1210" hidden="1">
      <c r="A1210" s="123" t="s">
        <v>1039</v>
      </c>
      <c r="B1210" s="123">
        <v>0.0</v>
      </c>
      <c r="C1210" s="123">
        <v>0.0</v>
      </c>
      <c r="D1210" s="132">
        <f t="shared" si="141"/>
        <v>0</v>
      </c>
      <c r="E1210" s="132" t="s">
        <v>972</v>
      </c>
      <c r="F1210" s="128"/>
    </row>
    <row r="1211" hidden="1">
      <c r="A1211" s="123" t="s">
        <v>1040</v>
      </c>
      <c r="B1211" s="123">
        <v>0.0</v>
      </c>
      <c r="C1211" s="123">
        <v>0.0</v>
      </c>
      <c r="D1211" s="132">
        <f t="shared" si="141"/>
        <v>0</v>
      </c>
      <c r="E1211" s="132" t="s">
        <v>972</v>
      </c>
      <c r="F1211" s="128"/>
    </row>
    <row r="1212" hidden="1">
      <c r="A1212" s="123" t="s">
        <v>1041</v>
      </c>
      <c r="B1212" s="123">
        <v>0.0</v>
      </c>
      <c r="C1212" s="123">
        <v>0.0</v>
      </c>
      <c r="D1212" s="132">
        <f t="shared" si="141"/>
        <v>0</v>
      </c>
      <c r="E1212" s="132" t="s">
        <v>972</v>
      </c>
      <c r="F1212" s="128"/>
    </row>
    <row r="1213" hidden="1">
      <c r="A1213" s="123" t="s">
        <v>1042</v>
      </c>
      <c r="B1213" s="123">
        <v>0.0</v>
      </c>
      <c r="C1213" s="123">
        <v>0.0</v>
      </c>
      <c r="D1213" s="132">
        <f t="shared" si="141"/>
        <v>0</v>
      </c>
      <c r="E1213" s="132" t="s">
        <v>972</v>
      </c>
      <c r="F1213" s="128"/>
    </row>
    <row r="1214" hidden="1">
      <c r="A1214" s="123" t="s">
        <v>1043</v>
      </c>
      <c r="B1214" s="123">
        <v>0.0</v>
      </c>
      <c r="C1214" s="123">
        <v>0.0</v>
      </c>
      <c r="D1214" s="132">
        <f t="shared" si="141"/>
        <v>0</v>
      </c>
      <c r="E1214" s="132" t="s">
        <v>972</v>
      </c>
      <c r="F1214" s="128"/>
    </row>
    <row r="1215" hidden="1">
      <c r="A1215" s="123" t="s">
        <v>1044</v>
      </c>
      <c r="B1215" s="123">
        <v>0.0</v>
      </c>
      <c r="C1215" s="123">
        <v>0.0</v>
      </c>
      <c r="D1215" s="132">
        <f t="shared" si="141"/>
        <v>0</v>
      </c>
      <c r="E1215" s="132" t="s">
        <v>972</v>
      </c>
      <c r="F1215" s="128"/>
    </row>
    <row r="1216" hidden="1">
      <c r="A1216" s="123" t="s">
        <v>1045</v>
      </c>
      <c r="B1216" s="123">
        <v>0.0</v>
      </c>
      <c r="C1216" s="123">
        <v>0.0</v>
      </c>
      <c r="D1216" s="132">
        <f t="shared" si="141"/>
        <v>0</v>
      </c>
      <c r="E1216" s="132" t="s">
        <v>972</v>
      </c>
      <c r="F1216" s="128"/>
    </row>
    <row r="1217" hidden="1">
      <c r="A1217" s="123" t="s">
        <v>1046</v>
      </c>
      <c r="B1217" s="123">
        <v>0.0</v>
      </c>
      <c r="C1217" s="123">
        <v>0.0</v>
      </c>
      <c r="D1217" s="132">
        <f t="shared" si="141"/>
        <v>0</v>
      </c>
      <c r="E1217" s="132" t="s">
        <v>972</v>
      </c>
      <c r="F1217" s="128"/>
    </row>
    <row r="1218" hidden="1">
      <c r="A1218" s="123" t="s">
        <v>1047</v>
      </c>
      <c r="B1218" s="123">
        <v>0.0</v>
      </c>
      <c r="C1218" s="123">
        <v>0.0</v>
      </c>
      <c r="D1218" s="132">
        <f t="shared" si="141"/>
        <v>0</v>
      </c>
      <c r="E1218" s="132" t="s">
        <v>972</v>
      </c>
      <c r="F1218" s="128"/>
    </row>
    <row r="1219" hidden="1">
      <c r="A1219" s="128" t="s">
        <v>753</v>
      </c>
      <c r="B1219" s="147">
        <v>1090.0</v>
      </c>
      <c r="C1219" s="147">
        <v>1090.0</v>
      </c>
      <c r="D1219" s="132">
        <f t="shared" si="141"/>
        <v>0</v>
      </c>
      <c r="E1219" s="132" t="s">
        <v>972</v>
      </c>
      <c r="F1219" s="152"/>
      <c r="G1219" s="129"/>
      <c r="H1219" s="129"/>
      <c r="I1219" s="129"/>
      <c r="J1219" s="129"/>
      <c r="K1219" s="129"/>
      <c r="L1219" s="129"/>
      <c r="M1219" s="129"/>
      <c r="N1219" s="129"/>
      <c r="O1219" s="129"/>
      <c r="P1219" s="129"/>
      <c r="Q1219" s="129"/>
      <c r="R1219" s="129"/>
      <c r="S1219" s="129"/>
      <c r="T1219" s="129"/>
      <c r="U1219" s="129"/>
      <c r="V1219" s="129"/>
      <c r="W1219" s="129"/>
      <c r="X1219" s="129"/>
      <c r="Y1219" s="129"/>
      <c r="Z1219" s="129"/>
      <c r="AA1219" s="129"/>
      <c r="AB1219" s="129"/>
    </row>
    <row r="1220" hidden="1">
      <c r="A1220" s="128" t="s">
        <v>1048</v>
      </c>
      <c r="B1220" s="147">
        <v>3990.0</v>
      </c>
      <c r="C1220" s="147">
        <v>4727.0</v>
      </c>
      <c r="D1220" s="132">
        <f t="shared" si="141"/>
        <v>737</v>
      </c>
      <c r="E1220" s="132" t="s">
        <v>972</v>
      </c>
      <c r="F1220" s="128"/>
      <c r="G1220" s="123"/>
      <c r="H1220" s="129"/>
      <c r="I1220" s="129"/>
      <c r="J1220" s="129"/>
      <c r="K1220" s="129"/>
      <c r="L1220" s="129"/>
      <c r="M1220" s="129"/>
      <c r="N1220" s="129"/>
      <c r="O1220" s="129"/>
      <c r="P1220" s="129"/>
      <c r="Q1220" s="129"/>
      <c r="R1220" s="129"/>
      <c r="S1220" s="129"/>
      <c r="T1220" s="129"/>
      <c r="U1220" s="129"/>
      <c r="V1220" s="129"/>
      <c r="W1220" s="129"/>
      <c r="X1220" s="129"/>
      <c r="Y1220" s="129"/>
      <c r="Z1220" s="129"/>
      <c r="AA1220" s="129"/>
      <c r="AB1220" s="129"/>
    </row>
    <row r="1221" hidden="1">
      <c r="A1221" s="150" t="s">
        <v>1026</v>
      </c>
      <c r="B1221" s="147">
        <v>2540.0</v>
      </c>
      <c r="C1221" s="147">
        <v>2855.0</v>
      </c>
      <c r="D1221" s="132">
        <f t="shared" si="141"/>
        <v>315</v>
      </c>
      <c r="E1221" s="132" t="s">
        <v>972</v>
      </c>
      <c r="F1221" s="128"/>
      <c r="H1221" s="129"/>
      <c r="I1221" s="129"/>
      <c r="J1221" s="129"/>
      <c r="K1221" s="129"/>
      <c r="L1221" s="129"/>
      <c r="M1221" s="129"/>
      <c r="N1221" s="129"/>
      <c r="O1221" s="129"/>
      <c r="P1221" s="129"/>
      <c r="Q1221" s="129"/>
      <c r="R1221" s="129"/>
      <c r="S1221" s="129"/>
      <c r="T1221" s="129"/>
      <c r="U1221" s="129"/>
      <c r="V1221" s="129"/>
      <c r="W1221" s="129"/>
      <c r="X1221" s="129"/>
      <c r="Y1221" s="129"/>
      <c r="Z1221" s="129"/>
      <c r="AA1221" s="129"/>
      <c r="AB1221" s="129"/>
    </row>
    <row r="1222" hidden="1">
      <c r="A1222" s="128" t="s">
        <v>1049</v>
      </c>
      <c r="B1222" s="147">
        <v>0.0</v>
      </c>
      <c r="C1222" s="147">
        <v>340.0</v>
      </c>
      <c r="D1222" s="132">
        <f t="shared" si="141"/>
        <v>340</v>
      </c>
      <c r="E1222" s="132" t="s">
        <v>972</v>
      </c>
      <c r="F1222" s="271"/>
      <c r="G1222" s="129"/>
      <c r="H1222" s="129"/>
      <c r="I1222" s="129"/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</row>
    <row r="1223" hidden="1">
      <c r="A1223" s="150" t="s">
        <v>994</v>
      </c>
      <c r="B1223" s="147">
        <v>3740.0</v>
      </c>
      <c r="C1223" s="147">
        <v>6390.0</v>
      </c>
      <c r="D1223" s="132">
        <f t="shared" si="141"/>
        <v>2650</v>
      </c>
      <c r="E1223" s="132" t="s">
        <v>972</v>
      </c>
      <c r="F1223" s="128"/>
      <c r="H1223" s="129"/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</row>
    <row r="1224" hidden="1">
      <c r="A1224" s="128" t="s">
        <v>1050</v>
      </c>
      <c r="B1224" s="147">
        <v>3340.0</v>
      </c>
      <c r="C1224" s="147">
        <v>7184.0</v>
      </c>
      <c r="D1224" s="132">
        <f t="shared" si="141"/>
        <v>3844</v>
      </c>
      <c r="E1224" s="132" t="s">
        <v>972</v>
      </c>
      <c r="F1224" s="128"/>
      <c r="H1224" s="129"/>
      <c r="I1224" s="129"/>
      <c r="J1224" s="129"/>
      <c r="K1224" s="129"/>
      <c r="L1224" s="129"/>
      <c r="M1224" s="129"/>
      <c r="N1224" s="129"/>
      <c r="O1224" s="129"/>
      <c r="P1224" s="129"/>
      <c r="Q1224" s="129"/>
      <c r="R1224" s="129"/>
      <c r="S1224" s="129"/>
      <c r="T1224" s="129"/>
      <c r="U1224" s="129"/>
      <c r="V1224" s="129"/>
      <c r="W1224" s="129"/>
      <c r="X1224" s="129"/>
      <c r="Y1224" s="129"/>
      <c r="Z1224" s="129"/>
      <c r="AA1224" s="129"/>
      <c r="AB1224" s="129"/>
    </row>
    <row r="1225" hidden="1">
      <c r="A1225" s="128" t="s">
        <v>1050</v>
      </c>
      <c r="B1225" s="147">
        <v>3340.0</v>
      </c>
      <c r="C1225" s="147">
        <v>0.0</v>
      </c>
      <c r="D1225" s="132">
        <f t="shared" si="141"/>
        <v>-3340</v>
      </c>
      <c r="E1225" s="132" t="s">
        <v>972</v>
      </c>
      <c r="F1225" s="128"/>
      <c r="H1225" s="129"/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</row>
    <row r="1226" hidden="1">
      <c r="A1226" s="128" t="s">
        <v>1051</v>
      </c>
      <c r="B1226" s="147">
        <v>890.0</v>
      </c>
      <c r="C1226" s="147">
        <v>1397.0</v>
      </c>
      <c r="D1226" s="132">
        <f t="shared" si="141"/>
        <v>507</v>
      </c>
      <c r="E1226" s="132" t="s">
        <v>972</v>
      </c>
      <c r="F1226" s="128"/>
      <c r="H1226" s="129"/>
      <c r="I1226" s="129"/>
      <c r="J1226" s="129"/>
      <c r="K1226" s="129"/>
      <c r="L1226" s="129"/>
      <c r="M1226" s="129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</row>
    <row r="1227" hidden="1">
      <c r="A1227" s="128" t="s">
        <v>1052</v>
      </c>
      <c r="B1227" s="147">
        <v>400.0</v>
      </c>
      <c r="C1227" s="147">
        <v>0.0</v>
      </c>
      <c r="D1227" s="132">
        <f t="shared" si="141"/>
        <v>-400</v>
      </c>
      <c r="E1227" s="132" t="s">
        <v>972</v>
      </c>
      <c r="F1227" s="150"/>
      <c r="G1227" s="129"/>
      <c r="H1227" s="129"/>
      <c r="I1227" s="129"/>
      <c r="J1227" s="129"/>
      <c r="K1227" s="129"/>
      <c r="L1227" s="129"/>
      <c r="M1227" s="129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</row>
    <row r="1228" hidden="1">
      <c r="A1228" s="128" t="s">
        <v>1050</v>
      </c>
      <c r="B1228" s="147">
        <v>3340.0</v>
      </c>
      <c r="C1228" s="147">
        <v>3611.0</v>
      </c>
      <c r="D1228" s="132">
        <f t="shared" si="141"/>
        <v>271</v>
      </c>
      <c r="E1228" s="132" t="s">
        <v>972</v>
      </c>
      <c r="F1228" s="128"/>
      <c r="H1228" s="129"/>
      <c r="I1228" s="129"/>
      <c r="J1228" s="129"/>
      <c r="K1228" s="129"/>
      <c r="L1228" s="129"/>
      <c r="M1228" s="129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</row>
    <row r="1229" hidden="1">
      <c r="A1229" s="128" t="s">
        <v>1053</v>
      </c>
      <c r="B1229" s="147">
        <v>1690.0</v>
      </c>
      <c r="C1229" s="147">
        <v>3000.0</v>
      </c>
      <c r="D1229" s="132">
        <f t="shared" si="141"/>
        <v>1310</v>
      </c>
      <c r="E1229" s="132" t="s">
        <v>972</v>
      </c>
      <c r="F1229" s="128"/>
      <c r="H1229" s="129"/>
      <c r="I1229" s="129"/>
      <c r="J1229" s="129"/>
      <c r="K1229" s="129"/>
      <c r="L1229" s="129"/>
      <c r="M1229" s="129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</row>
    <row r="1230" hidden="1">
      <c r="A1230" s="128" t="s">
        <v>1033</v>
      </c>
      <c r="B1230" s="147">
        <v>490.0</v>
      </c>
      <c r="C1230" s="147">
        <v>0.0</v>
      </c>
      <c r="D1230" s="132">
        <f t="shared" si="141"/>
        <v>-490</v>
      </c>
      <c r="E1230" s="132" t="s">
        <v>972</v>
      </c>
      <c r="F1230" s="128"/>
      <c r="H1230" s="129"/>
      <c r="I1230" s="129"/>
      <c r="J1230" s="129"/>
      <c r="K1230" s="129"/>
      <c r="L1230" s="129"/>
      <c r="M1230" s="129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</row>
    <row r="1231" hidden="1">
      <c r="A1231" s="128" t="s">
        <v>630</v>
      </c>
      <c r="B1231" s="147">
        <v>1290.0</v>
      </c>
      <c r="C1231" s="147">
        <v>1886.0</v>
      </c>
      <c r="D1231" s="132">
        <f t="shared" si="141"/>
        <v>596</v>
      </c>
      <c r="E1231" s="132" t="s">
        <v>972</v>
      </c>
      <c r="F1231" s="128"/>
      <c r="H1231" s="129"/>
      <c r="I1231" s="129"/>
      <c r="J1231" s="129"/>
      <c r="K1231" s="129"/>
      <c r="L1231" s="129"/>
      <c r="M1231" s="129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</row>
    <row r="1232" hidden="1">
      <c r="A1232" s="128" t="s">
        <v>1054</v>
      </c>
      <c r="B1232" s="147">
        <v>3450.0</v>
      </c>
      <c r="C1232" s="147">
        <v>4244.0</v>
      </c>
      <c r="D1232" s="132">
        <f t="shared" si="141"/>
        <v>794</v>
      </c>
      <c r="E1232" s="132" t="s">
        <v>972</v>
      </c>
      <c r="F1232" s="128"/>
      <c r="H1232" s="129"/>
      <c r="I1232" s="129"/>
      <c r="J1232" s="129"/>
      <c r="K1232" s="129"/>
      <c r="L1232" s="129"/>
      <c r="M1232" s="129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</row>
    <row r="1233" hidden="1">
      <c r="A1233" s="128" t="s">
        <v>1055</v>
      </c>
      <c r="B1233" s="147">
        <v>1000.0</v>
      </c>
      <c r="C1233" s="147">
        <v>2000.0</v>
      </c>
      <c r="D1233" s="132">
        <f t="shared" si="141"/>
        <v>1000</v>
      </c>
      <c r="E1233" s="132" t="s">
        <v>972</v>
      </c>
      <c r="F1233" s="271"/>
      <c r="G1233" s="129"/>
      <c r="H1233" s="129"/>
      <c r="I1233" s="129"/>
      <c r="J1233" s="129"/>
      <c r="K1233" s="129"/>
      <c r="L1233" s="129"/>
      <c r="M1233" s="129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</row>
    <row r="1234" hidden="1">
      <c r="A1234" s="128" t="s">
        <v>1033</v>
      </c>
      <c r="B1234" s="147">
        <v>531.0</v>
      </c>
      <c r="C1234" s="147">
        <v>1752.0</v>
      </c>
      <c r="D1234" s="132">
        <f t="shared" si="141"/>
        <v>1221</v>
      </c>
      <c r="E1234" s="132" t="s">
        <v>972</v>
      </c>
      <c r="F1234" s="313"/>
    </row>
    <row r="1235" hidden="1">
      <c r="A1235" s="128" t="s">
        <v>1033</v>
      </c>
      <c r="B1235" s="147">
        <v>531.0</v>
      </c>
      <c r="C1235" s="147">
        <v>0.0</v>
      </c>
      <c r="D1235" s="132">
        <f t="shared" si="141"/>
        <v>-531</v>
      </c>
      <c r="E1235" s="132" t="s">
        <v>972</v>
      </c>
      <c r="F1235" s="313"/>
    </row>
    <row r="1236" hidden="1">
      <c r="A1236" s="128" t="s">
        <v>1033</v>
      </c>
      <c r="B1236" s="132">
        <v>531.0</v>
      </c>
      <c r="C1236" s="147">
        <v>0.0</v>
      </c>
      <c r="D1236" s="132">
        <f t="shared" si="141"/>
        <v>-531</v>
      </c>
      <c r="E1236" s="132" t="s">
        <v>972</v>
      </c>
      <c r="F1236" s="271"/>
      <c r="G1236" s="129"/>
      <c r="H1236" s="129"/>
      <c r="I1236" s="129"/>
      <c r="J1236" s="129"/>
      <c r="K1236" s="129"/>
      <c r="L1236" s="129"/>
      <c r="M1236" s="129"/>
      <c r="N1236" s="129"/>
      <c r="O1236" s="129"/>
      <c r="P1236" s="129"/>
      <c r="Q1236" s="129"/>
      <c r="R1236" s="129"/>
      <c r="S1236" s="129"/>
      <c r="T1236" s="129"/>
      <c r="U1236" s="129"/>
      <c r="V1236" s="129"/>
      <c r="W1236" s="129"/>
      <c r="X1236" s="129"/>
      <c r="Y1236" s="129"/>
      <c r="Z1236" s="129"/>
      <c r="AA1236" s="129"/>
      <c r="AB1236" s="129"/>
    </row>
    <row r="1237" hidden="1">
      <c r="A1237" s="128" t="s">
        <v>1033</v>
      </c>
      <c r="B1237" s="147">
        <v>531.0</v>
      </c>
      <c r="C1237" s="147">
        <v>0.0</v>
      </c>
      <c r="D1237" s="132">
        <f t="shared" si="141"/>
        <v>-531</v>
      </c>
      <c r="E1237" s="132" t="s">
        <v>972</v>
      </c>
      <c r="F1237" s="313"/>
    </row>
    <row r="1238" hidden="1">
      <c r="A1238" s="128" t="s">
        <v>1056</v>
      </c>
      <c r="B1238" s="147">
        <v>3000.0</v>
      </c>
      <c r="C1238" s="147">
        <v>3695.0</v>
      </c>
      <c r="D1238" s="132">
        <f t="shared" si="141"/>
        <v>695</v>
      </c>
      <c r="E1238" s="132" t="s">
        <v>972</v>
      </c>
      <c r="F1238" s="139"/>
      <c r="G1238" s="129"/>
      <c r="H1238" s="129"/>
      <c r="I1238" s="129"/>
      <c r="J1238" s="129"/>
      <c r="K1238" s="129"/>
      <c r="L1238" s="129"/>
      <c r="M1238" s="129"/>
      <c r="N1238" s="129"/>
      <c r="O1238" s="129"/>
      <c r="P1238" s="129"/>
      <c r="Q1238" s="129"/>
      <c r="R1238" s="129"/>
      <c r="S1238" s="129"/>
      <c r="T1238" s="129"/>
      <c r="U1238" s="129"/>
      <c r="V1238" s="129"/>
      <c r="W1238" s="129"/>
      <c r="X1238" s="129"/>
      <c r="Y1238" s="129"/>
      <c r="Z1238" s="129"/>
      <c r="AA1238" s="129"/>
      <c r="AB1238" s="129"/>
    </row>
    <row r="1239" hidden="1">
      <c r="A1239" s="128" t="s">
        <v>1057</v>
      </c>
      <c r="B1239" s="147">
        <v>1023.0</v>
      </c>
      <c r="C1239" s="147">
        <v>1368.0</v>
      </c>
      <c r="D1239" s="132">
        <f t="shared" si="141"/>
        <v>345</v>
      </c>
      <c r="E1239" s="147" t="s">
        <v>972</v>
      </c>
      <c r="F1239" s="139"/>
      <c r="G1239" s="129"/>
      <c r="H1239" s="129"/>
      <c r="I1239" s="129"/>
      <c r="J1239" s="129"/>
      <c r="K1239" s="129"/>
      <c r="L1239" s="129"/>
      <c r="M1239" s="129"/>
      <c r="N1239" s="129"/>
      <c r="O1239" s="129"/>
      <c r="P1239" s="129"/>
      <c r="Q1239" s="129"/>
      <c r="R1239" s="129"/>
      <c r="S1239" s="129"/>
      <c r="T1239" s="129"/>
      <c r="U1239" s="129"/>
      <c r="V1239" s="129"/>
      <c r="W1239" s="129"/>
      <c r="X1239" s="129"/>
      <c r="Y1239" s="129"/>
      <c r="Z1239" s="129"/>
      <c r="AA1239" s="129"/>
      <c r="AB1239" s="129"/>
    </row>
    <row r="1240" hidden="1">
      <c r="A1240" s="123" t="s">
        <v>1058</v>
      </c>
      <c r="B1240" s="147">
        <v>1490.0</v>
      </c>
      <c r="C1240" s="147">
        <v>2429.0</v>
      </c>
      <c r="D1240" s="125">
        <f t="shared" si="141"/>
        <v>939</v>
      </c>
      <c r="E1240" s="126" t="s">
        <v>123</v>
      </c>
      <c r="F1240" s="128"/>
      <c r="G1240" s="129"/>
    </row>
    <row r="1241" hidden="1">
      <c r="A1241" s="150" t="s">
        <v>1059</v>
      </c>
      <c r="B1241" s="132">
        <v>590.0</v>
      </c>
      <c r="C1241" s="147">
        <v>1261.0</v>
      </c>
      <c r="D1241" s="132">
        <f t="shared" si="141"/>
        <v>671</v>
      </c>
      <c r="E1241" s="126" t="s">
        <v>123</v>
      </c>
      <c r="F1241" s="128"/>
      <c r="G1241" s="129"/>
      <c r="H1241" s="129"/>
      <c r="I1241" s="129"/>
      <c r="J1241" s="129"/>
      <c r="K1241" s="129"/>
      <c r="L1241" s="129"/>
      <c r="M1241" s="129"/>
      <c r="N1241" s="129"/>
      <c r="O1241" s="129"/>
      <c r="P1241" s="129"/>
      <c r="Q1241" s="129"/>
      <c r="R1241" s="129"/>
      <c r="S1241" s="129"/>
      <c r="T1241" s="129"/>
      <c r="U1241" s="129"/>
      <c r="V1241" s="129"/>
      <c r="W1241" s="129"/>
      <c r="X1241" s="129"/>
      <c r="Y1241" s="129"/>
      <c r="Z1241" s="129"/>
      <c r="AA1241" s="129"/>
      <c r="AB1241" s="129"/>
    </row>
    <row r="1242" hidden="1">
      <c r="A1242" s="128" t="s">
        <v>1060</v>
      </c>
      <c r="B1242" s="147">
        <v>790.0</v>
      </c>
      <c r="C1242" s="147">
        <v>824.0</v>
      </c>
      <c r="D1242" s="132">
        <f t="shared" si="141"/>
        <v>34</v>
      </c>
      <c r="E1242" s="132" t="s">
        <v>123</v>
      </c>
      <c r="F1242" s="128"/>
      <c r="G1242" s="129"/>
      <c r="H1242" s="129"/>
      <c r="I1242" s="129"/>
      <c r="J1242" s="129"/>
      <c r="K1242" s="129"/>
      <c r="L1242" s="129"/>
      <c r="M1242" s="129"/>
      <c r="N1242" s="129"/>
      <c r="O1242" s="129"/>
      <c r="P1242" s="129"/>
      <c r="Q1242" s="129"/>
      <c r="R1242" s="129"/>
      <c r="S1242" s="129"/>
      <c r="T1242" s="129"/>
      <c r="U1242" s="129"/>
      <c r="V1242" s="129"/>
      <c r="W1242" s="129"/>
      <c r="X1242" s="129"/>
      <c r="Y1242" s="129"/>
      <c r="Z1242" s="129"/>
      <c r="AA1242" s="129"/>
      <c r="AB1242" s="129"/>
    </row>
    <row r="1243" hidden="1">
      <c r="A1243" s="150" t="s">
        <v>1061</v>
      </c>
      <c r="B1243" s="167">
        <v>1090.0</v>
      </c>
      <c r="C1243" s="167">
        <v>916.0</v>
      </c>
      <c r="D1243" s="168">
        <f t="shared" si="141"/>
        <v>-174</v>
      </c>
      <c r="E1243" s="132" t="s">
        <v>123</v>
      </c>
      <c r="F1243" s="128"/>
      <c r="G1243" s="129"/>
      <c r="H1243" s="129"/>
      <c r="I1243" s="129"/>
      <c r="J1243" s="129"/>
      <c r="K1243" s="129"/>
      <c r="L1243" s="129"/>
      <c r="M1243" s="129"/>
      <c r="N1243" s="129"/>
      <c r="O1243" s="129"/>
      <c r="P1243" s="129"/>
      <c r="Q1243" s="129"/>
      <c r="R1243" s="129"/>
      <c r="S1243" s="129"/>
      <c r="T1243" s="129"/>
      <c r="U1243" s="129"/>
      <c r="V1243" s="129"/>
      <c r="W1243" s="129"/>
      <c r="X1243" s="129"/>
      <c r="Y1243" s="129"/>
      <c r="Z1243" s="129"/>
      <c r="AA1243" s="129"/>
      <c r="AB1243" s="129"/>
    </row>
    <row r="1244" hidden="1">
      <c r="A1244" s="128" t="s">
        <v>1062</v>
      </c>
      <c r="B1244" s="147">
        <v>1190.0</v>
      </c>
      <c r="C1244" s="147">
        <v>2025.0</v>
      </c>
      <c r="D1244" s="132">
        <f t="shared" si="141"/>
        <v>835</v>
      </c>
      <c r="E1244" s="126" t="s">
        <v>123</v>
      </c>
      <c r="F1244" s="128"/>
      <c r="G1244" s="129"/>
      <c r="H1244" s="129"/>
      <c r="I1244" s="129"/>
      <c r="J1244" s="129"/>
      <c r="K1244" s="129"/>
      <c r="L1244" s="129"/>
      <c r="M1244" s="129"/>
      <c r="N1244" s="129"/>
      <c r="O1244" s="129"/>
      <c r="P1244" s="129"/>
      <c r="Q1244" s="129"/>
      <c r="R1244" s="129"/>
      <c r="S1244" s="129"/>
      <c r="T1244" s="129"/>
      <c r="U1244" s="129"/>
      <c r="V1244" s="129"/>
      <c r="W1244" s="129"/>
      <c r="X1244" s="129"/>
      <c r="Y1244" s="129"/>
      <c r="Z1244" s="129"/>
      <c r="AA1244" s="129"/>
      <c r="AB1244" s="129"/>
    </row>
    <row r="1245" hidden="1">
      <c r="A1245" s="128" t="s">
        <v>1063</v>
      </c>
      <c r="B1245" s="167">
        <v>1090.0</v>
      </c>
      <c r="C1245" s="167">
        <v>1030.0</v>
      </c>
      <c r="D1245" s="168">
        <f t="shared" si="141"/>
        <v>-60</v>
      </c>
      <c r="E1245" s="132" t="s">
        <v>123</v>
      </c>
      <c r="F1245" s="139"/>
      <c r="G1245" s="150"/>
      <c r="H1245" s="129"/>
      <c r="I1245" s="129"/>
      <c r="J1245" s="129"/>
      <c r="K1245" s="129"/>
      <c r="L1245" s="129"/>
      <c r="M1245" s="129"/>
      <c r="N1245" s="129"/>
      <c r="O1245" s="129"/>
      <c r="P1245" s="129"/>
      <c r="Q1245" s="129"/>
      <c r="R1245" s="129"/>
      <c r="S1245" s="129"/>
      <c r="T1245" s="129"/>
      <c r="U1245" s="129"/>
      <c r="V1245" s="129"/>
      <c r="W1245" s="129"/>
      <c r="X1245" s="129"/>
      <c r="Y1245" s="129"/>
      <c r="Z1245" s="129"/>
      <c r="AA1245" s="129"/>
      <c r="AB1245" s="129"/>
    </row>
    <row r="1246" hidden="1">
      <c r="A1246" s="150" t="s">
        <v>467</v>
      </c>
      <c r="B1246" s="132">
        <v>990.0</v>
      </c>
      <c r="C1246" s="147">
        <v>764.0</v>
      </c>
      <c r="D1246" s="132">
        <f t="shared" si="141"/>
        <v>-226</v>
      </c>
      <c r="E1246" s="132" t="s">
        <v>123</v>
      </c>
      <c r="F1246" s="139"/>
      <c r="G1246" s="129"/>
      <c r="H1246" s="129"/>
      <c r="I1246" s="129"/>
      <c r="J1246" s="129"/>
      <c r="K1246" s="129"/>
      <c r="L1246" s="129"/>
      <c r="M1246" s="129"/>
      <c r="N1246" s="129"/>
      <c r="O1246" s="129"/>
      <c r="P1246" s="129"/>
      <c r="Q1246" s="129"/>
      <c r="R1246" s="129"/>
      <c r="S1246" s="129"/>
      <c r="T1246" s="129"/>
      <c r="U1246" s="129"/>
      <c r="V1246" s="129"/>
      <c r="W1246" s="129"/>
      <c r="X1246" s="129"/>
      <c r="Y1246" s="129"/>
      <c r="Z1246" s="129"/>
      <c r="AA1246" s="129"/>
      <c r="AB1246" s="129"/>
    </row>
    <row r="1247" hidden="1">
      <c r="A1247" s="142" t="s">
        <v>457</v>
      </c>
      <c r="B1247" s="124">
        <v>1190.0</v>
      </c>
      <c r="C1247" s="124">
        <v>1740.0</v>
      </c>
      <c r="D1247" s="132">
        <f t="shared" si="141"/>
        <v>550</v>
      </c>
      <c r="E1247" s="147" t="s">
        <v>123</v>
      </c>
      <c r="F1247" s="139"/>
      <c r="G1247" s="129"/>
      <c r="H1247" s="129"/>
      <c r="I1247" s="129"/>
      <c r="J1247" s="129"/>
      <c r="K1247" s="129"/>
      <c r="L1247" s="129"/>
      <c r="M1247" s="129"/>
      <c r="N1247" s="129"/>
      <c r="O1247" s="129"/>
      <c r="P1247" s="129"/>
      <c r="Q1247" s="129"/>
      <c r="R1247" s="129"/>
      <c r="S1247" s="129"/>
      <c r="T1247" s="129"/>
      <c r="U1247" s="129"/>
      <c r="V1247" s="129"/>
      <c r="W1247" s="129"/>
      <c r="X1247" s="129"/>
      <c r="Y1247" s="129"/>
      <c r="Z1247" s="129"/>
      <c r="AA1247" s="129"/>
      <c r="AB1247" s="129"/>
    </row>
    <row r="1248" hidden="1">
      <c r="A1248" s="150" t="s">
        <v>467</v>
      </c>
      <c r="B1248" s="132">
        <v>990.0</v>
      </c>
      <c r="C1248" s="147">
        <v>0.0</v>
      </c>
      <c r="D1248" s="132">
        <f t="shared" si="141"/>
        <v>-990</v>
      </c>
      <c r="E1248" s="132" t="s">
        <v>123</v>
      </c>
      <c r="F1248" s="139"/>
      <c r="G1248" s="129"/>
      <c r="H1248" s="129"/>
      <c r="I1248" s="129"/>
      <c r="J1248" s="129"/>
      <c r="K1248" s="129"/>
      <c r="L1248" s="129"/>
      <c r="M1248" s="129"/>
      <c r="N1248" s="129"/>
      <c r="O1248" s="129"/>
      <c r="P1248" s="129"/>
      <c r="Q1248" s="129"/>
      <c r="R1248" s="129"/>
      <c r="S1248" s="129"/>
      <c r="T1248" s="129"/>
      <c r="U1248" s="129"/>
      <c r="V1248" s="129"/>
      <c r="W1248" s="129"/>
      <c r="X1248" s="129"/>
      <c r="Y1248" s="129"/>
      <c r="Z1248" s="129"/>
      <c r="AA1248" s="129"/>
      <c r="AB1248" s="129"/>
    </row>
    <row r="1249" hidden="1">
      <c r="A1249" s="150" t="s">
        <v>467</v>
      </c>
      <c r="B1249" s="132">
        <v>990.0</v>
      </c>
      <c r="C1249" s="147">
        <v>779.0</v>
      </c>
      <c r="D1249" s="132">
        <f t="shared" si="141"/>
        <v>-211</v>
      </c>
      <c r="E1249" s="132" t="s">
        <v>123</v>
      </c>
      <c r="F1249" s="132"/>
      <c r="G1249" s="129"/>
      <c r="H1249" s="129"/>
      <c r="I1249" s="129"/>
      <c r="J1249" s="129"/>
      <c r="K1249" s="129"/>
      <c r="L1249" s="129"/>
      <c r="M1249" s="129"/>
      <c r="N1249" s="129"/>
      <c r="O1249" s="129"/>
      <c r="P1249" s="129"/>
      <c r="Q1249" s="129"/>
      <c r="R1249" s="129"/>
      <c r="S1249" s="129"/>
      <c r="T1249" s="129"/>
      <c r="U1249" s="129"/>
      <c r="V1249" s="129"/>
      <c r="W1249" s="129"/>
      <c r="X1249" s="129"/>
      <c r="Y1249" s="129"/>
      <c r="Z1249" s="129"/>
      <c r="AA1249" s="129"/>
      <c r="AB1249" s="129"/>
    </row>
    <row r="1250" hidden="1">
      <c r="A1250" s="128" t="s">
        <v>1029</v>
      </c>
      <c r="B1250" s="147">
        <v>890.0</v>
      </c>
      <c r="C1250" s="147">
        <v>850.0</v>
      </c>
      <c r="D1250" s="132">
        <f t="shared" si="141"/>
        <v>-40</v>
      </c>
      <c r="E1250" s="132" t="s">
        <v>123</v>
      </c>
      <c r="F1250" s="132"/>
      <c r="G1250" s="129"/>
      <c r="H1250" s="129"/>
      <c r="I1250" s="129"/>
      <c r="J1250" s="129"/>
      <c r="K1250" s="129"/>
      <c r="L1250" s="129"/>
      <c r="M1250" s="129"/>
      <c r="N1250" s="129"/>
      <c r="O1250" s="129"/>
      <c r="P1250" s="129"/>
      <c r="Q1250" s="129"/>
      <c r="R1250" s="129"/>
      <c r="S1250" s="129"/>
      <c r="T1250" s="129"/>
      <c r="U1250" s="129"/>
      <c r="V1250" s="129"/>
      <c r="W1250" s="129"/>
      <c r="X1250" s="129"/>
      <c r="Y1250" s="129"/>
      <c r="Z1250" s="129"/>
      <c r="AA1250" s="129"/>
      <c r="AB1250" s="129"/>
    </row>
    <row r="1251" hidden="1">
      <c r="A1251" s="150" t="s">
        <v>467</v>
      </c>
      <c r="B1251" s="132">
        <v>990.0</v>
      </c>
      <c r="C1251" s="147">
        <v>789.0</v>
      </c>
      <c r="D1251" s="132">
        <f t="shared" si="141"/>
        <v>-201</v>
      </c>
      <c r="E1251" s="132" t="s">
        <v>123</v>
      </c>
      <c r="F1251" s="132"/>
      <c r="G1251" s="129"/>
      <c r="H1251" s="129"/>
      <c r="I1251" s="129"/>
      <c r="J1251" s="129"/>
      <c r="K1251" s="129"/>
      <c r="L1251" s="129"/>
      <c r="M1251" s="129"/>
      <c r="N1251" s="129"/>
      <c r="O1251" s="129"/>
      <c r="P1251" s="129"/>
      <c r="Q1251" s="129"/>
      <c r="R1251" s="129"/>
      <c r="S1251" s="129"/>
      <c r="T1251" s="129"/>
      <c r="U1251" s="129"/>
      <c r="V1251" s="129"/>
      <c r="W1251" s="129"/>
      <c r="X1251" s="129"/>
      <c r="Y1251" s="129"/>
      <c r="Z1251" s="129"/>
      <c r="AA1251" s="129"/>
      <c r="AB1251" s="129"/>
    </row>
    <row r="1252" hidden="1">
      <c r="A1252" s="143"/>
      <c r="B1252" s="139"/>
      <c r="C1252" s="139"/>
      <c r="D1252" s="139"/>
      <c r="E1252" s="139"/>
      <c r="F1252" s="139"/>
      <c r="G1252" s="129"/>
      <c r="H1252" s="129"/>
      <c r="I1252" s="129"/>
      <c r="J1252" s="129"/>
      <c r="K1252" s="129"/>
      <c r="L1252" s="129"/>
      <c r="M1252" s="129"/>
      <c r="N1252" s="129"/>
      <c r="O1252" s="129"/>
      <c r="P1252" s="129"/>
      <c r="Q1252" s="129"/>
      <c r="R1252" s="129"/>
      <c r="S1252" s="129"/>
      <c r="T1252" s="129"/>
      <c r="U1252" s="129"/>
      <c r="V1252" s="129"/>
      <c r="W1252" s="129"/>
      <c r="X1252" s="129"/>
      <c r="Y1252" s="129"/>
      <c r="Z1252" s="129"/>
      <c r="AA1252" s="129"/>
      <c r="AB1252" s="129"/>
    </row>
    <row r="1253" hidden="1">
      <c r="A1253" s="144" t="s">
        <v>57</v>
      </c>
      <c r="B1253" s="145">
        <f t="shared" ref="B1253:D1253" si="142">SUM(B1180:B1252)</f>
        <v>85047</v>
      </c>
      <c r="C1253" s="145">
        <f t="shared" si="142"/>
        <v>90728</v>
      </c>
      <c r="D1253" s="145">
        <f t="shared" si="142"/>
        <v>5681</v>
      </c>
      <c r="E1253" s="146">
        <f>D1253/(C1253/100)</f>
        <v>6.261573054</v>
      </c>
      <c r="F1253" s="129"/>
      <c r="G1253" s="129"/>
      <c r="H1253" s="129"/>
      <c r="I1253" s="129"/>
      <c r="J1253" s="129"/>
      <c r="K1253" s="129"/>
      <c r="L1253" s="129"/>
      <c r="M1253" s="129"/>
      <c r="N1253" s="129"/>
      <c r="O1253" s="129"/>
      <c r="P1253" s="129"/>
      <c r="Q1253" s="129"/>
      <c r="R1253" s="129"/>
      <c r="S1253" s="129"/>
      <c r="T1253" s="129"/>
      <c r="U1253" s="129"/>
      <c r="V1253" s="129"/>
      <c r="W1253" s="129"/>
      <c r="X1253" s="129"/>
      <c r="Y1253" s="129"/>
      <c r="Z1253" s="129"/>
      <c r="AA1253" s="129"/>
      <c r="AB1253" s="129"/>
    </row>
    <row r="1254" hidden="1">
      <c r="A1254" s="143"/>
      <c r="B1254" s="139"/>
      <c r="C1254" s="139"/>
      <c r="D1254" s="139"/>
      <c r="E1254" s="129"/>
      <c r="F1254" s="129"/>
      <c r="G1254" s="129"/>
      <c r="H1254" s="129"/>
      <c r="I1254" s="129"/>
      <c r="J1254" s="129"/>
      <c r="K1254" s="129"/>
      <c r="L1254" s="129"/>
      <c r="M1254" s="129"/>
      <c r="N1254" s="129"/>
      <c r="O1254" s="129"/>
      <c r="P1254" s="129"/>
      <c r="Q1254" s="129"/>
      <c r="R1254" s="129"/>
      <c r="S1254" s="129"/>
      <c r="T1254" s="129"/>
      <c r="U1254" s="129"/>
      <c r="V1254" s="129"/>
      <c r="W1254" s="129"/>
      <c r="X1254" s="129"/>
      <c r="Y1254" s="129"/>
      <c r="Z1254" s="129"/>
      <c r="AA1254" s="129"/>
      <c r="AB1254" s="129"/>
    </row>
    <row r="1255" hidden="1">
      <c r="A1255" s="383">
        <v>45901.0</v>
      </c>
      <c r="B1255" s="139"/>
      <c r="C1255" s="139"/>
      <c r="D1255" s="139"/>
      <c r="E1255" s="129"/>
      <c r="F1255" s="129"/>
      <c r="G1255" s="129"/>
      <c r="H1255" s="129"/>
      <c r="I1255" s="129"/>
      <c r="J1255" s="129"/>
      <c r="K1255" s="129"/>
      <c r="L1255" s="129"/>
      <c r="M1255" s="129"/>
      <c r="N1255" s="129"/>
      <c r="O1255" s="129"/>
      <c r="P1255" s="129"/>
      <c r="Q1255" s="129"/>
      <c r="R1255" s="129"/>
      <c r="S1255" s="129"/>
      <c r="T1255" s="129"/>
      <c r="U1255" s="129"/>
      <c r="V1255" s="129"/>
      <c r="W1255" s="129"/>
      <c r="X1255" s="129"/>
      <c r="Y1255" s="129"/>
      <c r="Z1255" s="129"/>
      <c r="AA1255" s="129"/>
      <c r="AB1255" s="129"/>
    </row>
    <row r="1256" hidden="1">
      <c r="A1256" s="128" t="s">
        <v>555</v>
      </c>
      <c r="B1256" s="147">
        <v>7250.0</v>
      </c>
      <c r="C1256" s="147">
        <v>0.0</v>
      </c>
      <c r="D1256" s="132">
        <f t="shared" ref="D1256:D1278" si="143">C1256-B1256</f>
        <v>-7250</v>
      </c>
      <c r="E1256" s="132" t="s">
        <v>972</v>
      </c>
      <c r="F1256" s="271"/>
      <c r="G1256" s="129"/>
      <c r="H1256" s="129"/>
      <c r="I1256" s="129"/>
      <c r="J1256" s="129"/>
      <c r="K1256" s="129"/>
      <c r="L1256" s="129"/>
      <c r="M1256" s="129"/>
      <c r="N1256" s="129"/>
      <c r="O1256" s="129"/>
      <c r="P1256" s="129"/>
      <c r="Q1256" s="129"/>
      <c r="R1256" s="129"/>
      <c r="S1256" s="129"/>
      <c r="T1256" s="129"/>
      <c r="U1256" s="129"/>
      <c r="V1256" s="129"/>
      <c r="W1256" s="129"/>
      <c r="X1256" s="129"/>
      <c r="Y1256" s="129"/>
      <c r="Z1256" s="129"/>
      <c r="AA1256" s="129"/>
      <c r="AB1256" s="129"/>
    </row>
    <row r="1257" hidden="1">
      <c r="A1257" s="128" t="s">
        <v>1064</v>
      </c>
      <c r="B1257" s="147">
        <v>6250.0</v>
      </c>
      <c r="C1257" s="147">
        <v>0.0</v>
      </c>
      <c r="D1257" s="132">
        <f t="shared" si="143"/>
        <v>-6250</v>
      </c>
      <c r="E1257" s="132" t="s">
        <v>972</v>
      </c>
      <c r="F1257" s="271"/>
      <c r="G1257" s="129"/>
      <c r="H1257" s="129"/>
      <c r="I1257" s="129"/>
      <c r="J1257" s="129"/>
      <c r="K1257" s="129"/>
      <c r="L1257" s="129"/>
      <c r="M1257" s="129"/>
      <c r="N1257" s="129"/>
      <c r="O1257" s="129"/>
      <c r="P1257" s="129"/>
      <c r="Q1257" s="129"/>
      <c r="R1257" s="129"/>
      <c r="S1257" s="129"/>
      <c r="T1257" s="129"/>
      <c r="U1257" s="129"/>
      <c r="V1257" s="129"/>
      <c r="W1257" s="129"/>
      <c r="X1257" s="129"/>
      <c r="Y1257" s="129"/>
      <c r="Z1257" s="129"/>
      <c r="AA1257" s="129"/>
      <c r="AB1257" s="129"/>
    </row>
    <row r="1258" hidden="1">
      <c r="A1258" s="128" t="s">
        <v>1065</v>
      </c>
      <c r="B1258" s="147">
        <v>1862.0</v>
      </c>
      <c r="C1258" s="147">
        <v>0.0</v>
      </c>
      <c r="D1258" s="132">
        <f t="shared" si="143"/>
        <v>-1862</v>
      </c>
      <c r="E1258" s="132" t="s">
        <v>972</v>
      </c>
      <c r="F1258" s="139"/>
      <c r="G1258" s="129"/>
      <c r="H1258" s="129"/>
      <c r="I1258" s="129"/>
      <c r="J1258" s="129"/>
      <c r="K1258" s="129"/>
      <c r="L1258" s="129"/>
      <c r="M1258" s="129"/>
      <c r="N1258" s="129"/>
      <c r="O1258" s="129"/>
      <c r="P1258" s="129"/>
      <c r="Q1258" s="129"/>
      <c r="R1258" s="129"/>
      <c r="S1258" s="129"/>
      <c r="T1258" s="129"/>
      <c r="U1258" s="129"/>
      <c r="V1258" s="129"/>
      <c r="W1258" s="129"/>
      <c r="X1258" s="129"/>
      <c r="Y1258" s="129"/>
      <c r="Z1258" s="129"/>
      <c r="AA1258" s="129"/>
      <c r="AB1258" s="129"/>
    </row>
    <row r="1259" hidden="1">
      <c r="A1259" s="128" t="s">
        <v>1066</v>
      </c>
      <c r="B1259" s="147">
        <v>1862.0</v>
      </c>
      <c r="C1259" s="147">
        <v>0.0</v>
      </c>
      <c r="D1259" s="132">
        <f t="shared" si="143"/>
        <v>-1862</v>
      </c>
      <c r="E1259" s="132" t="s">
        <v>972</v>
      </c>
      <c r="F1259" s="139"/>
      <c r="G1259" s="129"/>
      <c r="H1259" s="129"/>
      <c r="I1259" s="129"/>
      <c r="J1259" s="129"/>
      <c r="K1259" s="129"/>
      <c r="L1259" s="129"/>
      <c r="M1259" s="129"/>
      <c r="N1259" s="129"/>
      <c r="O1259" s="129"/>
      <c r="P1259" s="129"/>
      <c r="Q1259" s="129"/>
      <c r="R1259" s="129"/>
      <c r="S1259" s="129"/>
      <c r="T1259" s="129"/>
      <c r="U1259" s="129"/>
      <c r="V1259" s="129"/>
      <c r="W1259" s="129"/>
      <c r="X1259" s="129"/>
      <c r="Y1259" s="129"/>
      <c r="Z1259" s="129"/>
      <c r="AA1259" s="129"/>
      <c r="AB1259" s="129"/>
    </row>
    <row r="1260" hidden="1">
      <c r="A1260" s="123" t="s">
        <v>1067</v>
      </c>
      <c r="B1260" s="147">
        <v>1350.0</v>
      </c>
      <c r="C1260" s="147">
        <v>0.0</v>
      </c>
      <c r="D1260" s="132">
        <f t="shared" si="143"/>
        <v>-1350</v>
      </c>
      <c r="E1260" s="132" t="s">
        <v>972</v>
      </c>
      <c r="F1260" s="313"/>
    </row>
    <row r="1261" hidden="1">
      <c r="A1261" s="128" t="s">
        <v>1033</v>
      </c>
      <c r="B1261" s="147">
        <v>531.0</v>
      </c>
      <c r="C1261" s="147">
        <v>0.0</v>
      </c>
      <c r="D1261" s="132">
        <f t="shared" si="143"/>
        <v>-531</v>
      </c>
      <c r="E1261" s="132" t="s">
        <v>972</v>
      </c>
      <c r="F1261" s="313"/>
    </row>
    <row r="1262" hidden="1">
      <c r="A1262" s="128" t="s">
        <v>1033</v>
      </c>
      <c r="B1262" s="147">
        <v>413.0</v>
      </c>
      <c r="C1262" s="147">
        <v>0.0</v>
      </c>
      <c r="D1262" s="132">
        <f t="shared" si="143"/>
        <v>-413</v>
      </c>
      <c r="E1262" s="132" t="s">
        <v>972</v>
      </c>
      <c r="F1262" s="132"/>
      <c r="G1262" s="129"/>
      <c r="H1262" s="129"/>
      <c r="I1262" s="129"/>
      <c r="J1262" s="129"/>
      <c r="K1262" s="129"/>
      <c r="L1262" s="129"/>
      <c r="M1262" s="129"/>
      <c r="N1262" s="129"/>
      <c r="O1262" s="129"/>
      <c r="P1262" s="129"/>
      <c r="Q1262" s="129"/>
      <c r="R1262" s="129"/>
      <c r="S1262" s="129"/>
      <c r="T1262" s="129"/>
      <c r="U1262" s="129"/>
      <c r="V1262" s="129"/>
      <c r="W1262" s="129"/>
      <c r="X1262" s="129"/>
      <c r="Y1262" s="129"/>
      <c r="Z1262" s="129"/>
      <c r="AA1262" s="129"/>
      <c r="AB1262" s="129"/>
    </row>
    <row r="1263" hidden="1">
      <c r="A1263" s="128" t="s">
        <v>1033</v>
      </c>
      <c r="B1263" s="147">
        <v>413.0</v>
      </c>
      <c r="C1263" s="147">
        <v>0.0</v>
      </c>
      <c r="D1263" s="132">
        <f t="shared" si="143"/>
        <v>-413</v>
      </c>
      <c r="E1263" s="132" t="s">
        <v>972</v>
      </c>
      <c r="F1263" s="313"/>
    </row>
    <row r="1264" hidden="1">
      <c r="A1264" s="128" t="s">
        <v>1033</v>
      </c>
      <c r="B1264" s="147">
        <v>413.0</v>
      </c>
      <c r="C1264" s="147">
        <v>0.0</v>
      </c>
      <c r="D1264" s="132">
        <f t="shared" si="143"/>
        <v>-413</v>
      </c>
      <c r="E1264" s="132" t="s">
        <v>972</v>
      </c>
      <c r="F1264" s="313"/>
    </row>
    <row r="1265" hidden="1">
      <c r="A1265" s="128" t="s">
        <v>1033</v>
      </c>
      <c r="B1265" s="147">
        <v>413.0</v>
      </c>
      <c r="C1265" s="147">
        <v>0.0</v>
      </c>
      <c r="D1265" s="132">
        <f t="shared" si="143"/>
        <v>-413</v>
      </c>
      <c r="E1265" s="132" t="s">
        <v>972</v>
      </c>
      <c r="F1265" s="313"/>
    </row>
    <row r="1266" hidden="1">
      <c r="A1266" s="128" t="s">
        <v>1033</v>
      </c>
      <c r="B1266" s="147">
        <v>413.0</v>
      </c>
      <c r="C1266" s="147">
        <v>0.0</v>
      </c>
      <c r="D1266" s="132">
        <f t="shared" si="143"/>
        <v>-413</v>
      </c>
      <c r="E1266" s="132" t="s">
        <v>972</v>
      </c>
      <c r="F1266" s="313"/>
    </row>
    <row r="1267" hidden="1">
      <c r="A1267" s="150" t="s">
        <v>1068</v>
      </c>
      <c r="B1267" s="132">
        <v>1650.0</v>
      </c>
      <c r="C1267" s="147">
        <v>0.0</v>
      </c>
      <c r="D1267" s="132">
        <f t="shared" si="143"/>
        <v>-1650</v>
      </c>
      <c r="E1267" s="132" t="s">
        <v>972</v>
      </c>
      <c r="F1267" s="139"/>
      <c r="G1267" s="129"/>
      <c r="H1267" s="129"/>
      <c r="I1267" s="129"/>
      <c r="J1267" s="129"/>
      <c r="K1267" s="129"/>
      <c r="L1267" s="129"/>
      <c r="M1267" s="129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</row>
    <row r="1268" hidden="1">
      <c r="A1268" s="123" t="s">
        <v>1068</v>
      </c>
      <c r="B1268" s="147">
        <v>1650.0</v>
      </c>
      <c r="C1268" s="147">
        <v>0.0</v>
      </c>
      <c r="D1268" s="132">
        <f t="shared" si="143"/>
        <v>-1650</v>
      </c>
      <c r="E1268" s="132" t="s">
        <v>972</v>
      </c>
      <c r="F1268" s="132"/>
      <c r="G1268" s="129"/>
      <c r="H1268" s="129"/>
      <c r="I1268" s="129"/>
      <c r="J1268" s="129"/>
      <c r="K1268" s="129"/>
      <c r="L1268" s="129"/>
      <c r="M1268" s="129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</row>
    <row r="1269" hidden="1">
      <c r="A1269" s="128" t="s">
        <v>1069</v>
      </c>
      <c r="B1269" s="147">
        <v>3190.0</v>
      </c>
      <c r="C1269" s="147">
        <v>0.0</v>
      </c>
      <c r="D1269" s="132">
        <f t="shared" si="143"/>
        <v>-3190</v>
      </c>
      <c r="E1269" s="132" t="s">
        <v>972</v>
      </c>
      <c r="F1269" s="139"/>
      <c r="G1269" s="129"/>
      <c r="H1269" s="129"/>
      <c r="I1269" s="129"/>
      <c r="J1269" s="129"/>
      <c r="K1269" s="129"/>
      <c r="L1269" s="129"/>
      <c r="M1269" s="129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</row>
    <row r="1270" hidden="1">
      <c r="A1270" s="123" t="s">
        <v>1070</v>
      </c>
      <c r="B1270" s="147">
        <v>1369.0</v>
      </c>
      <c r="C1270" s="147">
        <v>1542.0</v>
      </c>
      <c r="D1270" s="132">
        <f t="shared" si="143"/>
        <v>173</v>
      </c>
      <c r="E1270" s="147" t="s">
        <v>972</v>
      </c>
      <c r="F1270" s="313"/>
    </row>
    <row r="1271" hidden="1">
      <c r="A1271" s="128" t="s">
        <v>1049</v>
      </c>
      <c r="B1271" s="147">
        <v>0.0</v>
      </c>
      <c r="C1271" s="147">
        <v>339.0</v>
      </c>
      <c r="D1271" s="132">
        <f t="shared" si="143"/>
        <v>339</v>
      </c>
      <c r="E1271" s="132" t="s">
        <v>972</v>
      </c>
      <c r="F1271" s="271"/>
      <c r="G1271" s="129"/>
      <c r="H1271" s="129"/>
      <c r="I1271" s="129"/>
      <c r="J1271" s="129"/>
      <c r="K1271" s="129"/>
      <c r="L1271" s="129"/>
      <c r="M1271" s="129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</row>
    <row r="1272" hidden="1">
      <c r="A1272" s="128" t="s">
        <v>1071</v>
      </c>
      <c r="B1272" s="147">
        <v>0.0</v>
      </c>
      <c r="C1272" s="147">
        <v>68.0</v>
      </c>
      <c r="D1272" s="132">
        <f t="shared" si="143"/>
        <v>68</v>
      </c>
      <c r="E1272" s="132" t="s">
        <v>972</v>
      </c>
      <c r="F1272" s="271"/>
      <c r="G1272" s="129"/>
      <c r="H1272" s="129"/>
      <c r="I1272" s="129"/>
      <c r="J1272" s="129"/>
      <c r="K1272" s="129"/>
      <c r="L1272" s="129"/>
      <c r="M1272" s="129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</row>
    <row r="1273" hidden="1">
      <c r="A1273" s="128" t="s">
        <v>1072</v>
      </c>
      <c r="B1273" s="147">
        <v>300.0</v>
      </c>
      <c r="C1273" s="147">
        <v>1200.0</v>
      </c>
      <c r="D1273" s="132">
        <f t="shared" si="143"/>
        <v>900</v>
      </c>
      <c r="E1273" s="132" t="s">
        <v>972</v>
      </c>
      <c r="F1273" s="271"/>
      <c r="G1273" s="129"/>
      <c r="H1273" s="129"/>
      <c r="I1273" s="129"/>
      <c r="J1273" s="129"/>
      <c r="K1273" s="129"/>
      <c r="L1273" s="129"/>
      <c r="M1273" s="129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</row>
    <row r="1274" hidden="1">
      <c r="A1274" s="150" t="s">
        <v>1073</v>
      </c>
      <c r="B1274" s="147">
        <v>1550.0</v>
      </c>
      <c r="C1274" s="147">
        <v>1776.0</v>
      </c>
      <c r="D1274" s="132">
        <f t="shared" si="143"/>
        <v>226</v>
      </c>
      <c r="E1274" s="132" t="s">
        <v>972</v>
      </c>
      <c r="F1274" s="271"/>
      <c r="G1274" s="129"/>
      <c r="H1274" s="129"/>
      <c r="I1274" s="129"/>
      <c r="J1274" s="129"/>
      <c r="K1274" s="129"/>
      <c r="L1274" s="129"/>
      <c r="M1274" s="129"/>
      <c r="N1274" s="129"/>
      <c r="O1274" s="129"/>
      <c r="P1274" s="129"/>
      <c r="Q1274" s="129"/>
      <c r="R1274" s="129"/>
      <c r="S1274" s="129"/>
      <c r="T1274" s="129"/>
      <c r="U1274" s="129"/>
      <c r="V1274" s="129"/>
      <c r="W1274" s="129"/>
      <c r="X1274" s="129"/>
      <c r="Y1274" s="129"/>
      <c r="Z1274" s="129"/>
      <c r="AA1274" s="129"/>
      <c r="AB1274" s="129"/>
    </row>
    <row r="1275" hidden="1">
      <c r="A1275" s="128" t="s">
        <v>1073</v>
      </c>
      <c r="B1275" s="147">
        <v>1550.0</v>
      </c>
      <c r="C1275" s="147">
        <v>1738.0</v>
      </c>
      <c r="D1275" s="132">
        <f t="shared" si="143"/>
        <v>188</v>
      </c>
      <c r="E1275" s="132" t="s">
        <v>972</v>
      </c>
      <c r="F1275" s="271"/>
      <c r="G1275" s="129"/>
      <c r="H1275" s="129"/>
      <c r="I1275" s="129"/>
      <c r="J1275" s="129"/>
      <c r="K1275" s="129"/>
      <c r="L1275" s="129"/>
      <c r="M1275" s="129"/>
      <c r="N1275" s="129"/>
      <c r="O1275" s="129"/>
      <c r="P1275" s="129"/>
      <c r="Q1275" s="129"/>
      <c r="R1275" s="129"/>
      <c r="S1275" s="129"/>
      <c r="T1275" s="129"/>
      <c r="U1275" s="129"/>
      <c r="V1275" s="129"/>
      <c r="W1275" s="129"/>
      <c r="X1275" s="129"/>
      <c r="Y1275" s="129"/>
      <c r="Z1275" s="129"/>
      <c r="AA1275" s="129"/>
      <c r="AB1275" s="129"/>
    </row>
    <row r="1276" hidden="1">
      <c r="A1276" s="128" t="s">
        <v>1074</v>
      </c>
      <c r="B1276" s="147">
        <v>413.0</v>
      </c>
      <c r="C1276" s="147">
        <v>476.0</v>
      </c>
      <c r="D1276" s="132">
        <f t="shared" si="143"/>
        <v>63</v>
      </c>
      <c r="E1276" s="132" t="s">
        <v>972</v>
      </c>
      <c r="F1276" s="132"/>
      <c r="G1276" s="129"/>
      <c r="H1276" s="129"/>
      <c r="I1276" s="129"/>
      <c r="J1276" s="129"/>
      <c r="K1276" s="129"/>
      <c r="L1276" s="129"/>
      <c r="M1276" s="129"/>
      <c r="N1276" s="129"/>
      <c r="O1276" s="129"/>
      <c r="P1276" s="129"/>
      <c r="Q1276" s="129"/>
      <c r="R1276" s="129"/>
      <c r="S1276" s="129"/>
      <c r="T1276" s="129"/>
      <c r="U1276" s="129"/>
      <c r="V1276" s="129"/>
      <c r="W1276" s="129"/>
      <c r="X1276" s="129"/>
      <c r="Y1276" s="129"/>
      <c r="Z1276" s="129"/>
      <c r="AA1276" s="129"/>
      <c r="AB1276" s="129"/>
    </row>
    <row r="1277" hidden="1">
      <c r="A1277" s="123" t="s">
        <v>1075</v>
      </c>
      <c r="B1277" s="147">
        <v>1090.0</v>
      </c>
      <c r="C1277" s="124">
        <v>790.0</v>
      </c>
      <c r="D1277" s="125">
        <f t="shared" si="143"/>
        <v>-300</v>
      </c>
      <c r="E1277" s="126" t="s">
        <v>123</v>
      </c>
      <c r="F1277" s="124"/>
      <c r="G1277" s="123"/>
    </row>
    <row r="1278" hidden="1">
      <c r="A1278" s="128" t="s">
        <v>1076</v>
      </c>
      <c r="B1278" s="147">
        <v>590.0</v>
      </c>
      <c r="C1278" s="147">
        <v>701.0</v>
      </c>
      <c r="D1278" s="132">
        <f t="shared" si="143"/>
        <v>111</v>
      </c>
      <c r="E1278" s="132" t="s">
        <v>123</v>
      </c>
      <c r="F1278" s="132"/>
      <c r="G1278" s="129"/>
      <c r="H1278" s="129"/>
      <c r="I1278" s="129"/>
      <c r="J1278" s="129"/>
      <c r="K1278" s="129"/>
      <c r="L1278" s="129"/>
      <c r="M1278" s="129"/>
      <c r="N1278" s="129"/>
      <c r="O1278" s="129"/>
      <c r="P1278" s="129"/>
      <c r="Q1278" s="129"/>
      <c r="R1278" s="129"/>
      <c r="S1278" s="129"/>
      <c r="T1278" s="129"/>
      <c r="U1278" s="129"/>
      <c r="V1278" s="129"/>
      <c r="W1278" s="129"/>
      <c r="X1278" s="129"/>
      <c r="Y1278" s="129"/>
      <c r="Z1278" s="129"/>
      <c r="AA1278" s="129"/>
      <c r="AB1278" s="129"/>
    </row>
    <row r="1279" hidden="1">
      <c r="A1279" s="143"/>
      <c r="B1279" s="139"/>
      <c r="C1279" s="139"/>
      <c r="D1279" s="139"/>
      <c r="E1279" s="166"/>
      <c r="F1279" s="129"/>
      <c r="G1279" s="129"/>
      <c r="H1279" s="129"/>
      <c r="I1279" s="129"/>
      <c r="J1279" s="129"/>
      <c r="K1279" s="129"/>
      <c r="L1279" s="129"/>
      <c r="M1279" s="129"/>
      <c r="N1279" s="129"/>
      <c r="O1279" s="129"/>
      <c r="P1279" s="129"/>
      <c r="Q1279" s="129"/>
      <c r="R1279" s="129"/>
      <c r="S1279" s="129"/>
      <c r="T1279" s="129"/>
      <c r="U1279" s="129"/>
      <c r="V1279" s="129"/>
      <c r="W1279" s="129"/>
      <c r="X1279" s="129"/>
      <c r="Y1279" s="129"/>
      <c r="Z1279" s="129"/>
      <c r="AA1279" s="129"/>
      <c r="AB1279" s="129"/>
    </row>
    <row r="1280" hidden="1">
      <c r="A1280" s="144" t="s">
        <v>57</v>
      </c>
      <c r="B1280" s="145">
        <f t="shared" ref="B1280:D1280" si="144">SUM(B1255:B1278)</f>
        <v>34522</v>
      </c>
      <c r="C1280" s="145">
        <f t="shared" si="144"/>
        <v>8630</v>
      </c>
      <c r="D1280" s="145">
        <f t="shared" si="144"/>
        <v>-25892</v>
      </c>
      <c r="E1280" s="146">
        <f>D1280/(C1280/100)</f>
        <v>-300.023175</v>
      </c>
      <c r="F1280" s="129"/>
      <c r="G1280" s="129"/>
      <c r="H1280" s="129"/>
      <c r="I1280" s="129"/>
      <c r="J1280" s="129"/>
      <c r="K1280" s="129"/>
      <c r="L1280" s="129"/>
      <c r="M1280" s="129"/>
      <c r="N1280" s="129"/>
      <c r="O1280" s="129"/>
      <c r="P1280" s="129"/>
      <c r="Q1280" s="129"/>
      <c r="R1280" s="129"/>
      <c r="S1280" s="129"/>
      <c r="T1280" s="129"/>
      <c r="U1280" s="129"/>
      <c r="V1280" s="129"/>
      <c r="W1280" s="129"/>
      <c r="X1280" s="129"/>
      <c r="Y1280" s="129"/>
      <c r="Z1280" s="129"/>
      <c r="AA1280" s="129"/>
      <c r="AB1280" s="129"/>
    </row>
    <row r="1281" hidden="1">
      <c r="A1281" s="143"/>
      <c r="B1281" s="139"/>
      <c r="C1281" s="139"/>
      <c r="D1281" s="139"/>
      <c r="E1281" s="129"/>
      <c r="F1281" s="129"/>
      <c r="G1281" s="129"/>
      <c r="H1281" s="129"/>
      <c r="I1281" s="129"/>
      <c r="J1281" s="129"/>
      <c r="K1281" s="129"/>
      <c r="L1281" s="129"/>
      <c r="M1281" s="129"/>
      <c r="N1281" s="129"/>
      <c r="O1281" s="129"/>
      <c r="P1281" s="129"/>
      <c r="Q1281" s="129"/>
      <c r="R1281" s="129"/>
      <c r="S1281" s="129"/>
      <c r="T1281" s="129"/>
      <c r="U1281" s="129"/>
      <c r="V1281" s="129"/>
      <c r="W1281" s="129"/>
      <c r="X1281" s="129"/>
      <c r="Y1281" s="129"/>
      <c r="Z1281" s="129"/>
      <c r="AA1281" s="129"/>
      <c r="AB1281" s="129"/>
    </row>
    <row r="1282" hidden="1">
      <c r="A1282" s="383">
        <v>45870.0</v>
      </c>
      <c r="B1282" s="139"/>
      <c r="C1282" s="139"/>
      <c r="D1282" s="139"/>
      <c r="E1282" s="129"/>
      <c r="F1282" s="129"/>
      <c r="G1282" s="129"/>
      <c r="H1282" s="129"/>
      <c r="I1282" s="129"/>
      <c r="J1282" s="129"/>
      <c r="K1282" s="129"/>
      <c r="L1282" s="129"/>
      <c r="M1282" s="129"/>
      <c r="N1282" s="129"/>
      <c r="O1282" s="129"/>
      <c r="P1282" s="129"/>
      <c r="Q1282" s="129"/>
      <c r="R1282" s="129"/>
      <c r="S1282" s="129"/>
      <c r="T1282" s="129"/>
      <c r="U1282" s="129"/>
      <c r="V1282" s="129"/>
      <c r="W1282" s="129"/>
      <c r="X1282" s="129"/>
      <c r="Y1282" s="129"/>
      <c r="Z1282" s="129"/>
      <c r="AA1282" s="129"/>
      <c r="AB1282" s="129"/>
    </row>
    <row r="1283" hidden="1">
      <c r="A1283" s="150" t="s">
        <v>1077</v>
      </c>
      <c r="B1283" s="132">
        <v>1540.0</v>
      </c>
      <c r="C1283" s="147">
        <v>2590.0</v>
      </c>
      <c r="D1283" s="132">
        <f t="shared" ref="D1283:D1286" si="145">C1283-B1283</f>
        <v>1050</v>
      </c>
      <c r="E1283" s="126" t="s">
        <v>123</v>
      </c>
      <c r="F1283" s="139"/>
      <c r="G1283" s="129"/>
      <c r="H1283" s="129"/>
      <c r="I1283" s="129"/>
      <c r="J1283" s="129"/>
      <c r="K1283" s="129"/>
      <c r="L1283" s="129"/>
      <c r="M1283" s="129"/>
      <c r="N1283" s="129"/>
      <c r="O1283" s="129"/>
      <c r="P1283" s="129"/>
      <c r="Q1283" s="129"/>
      <c r="R1283" s="129"/>
      <c r="S1283" s="129"/>
      <c r="T1283" s="129"/>
      <c r="U1283" s="129"/>
      <c r="V1283" s="129"/>
      <c r="W1283" s="129"/>
      <c r="X1283" s="129"/>
      <c r="Y1283" s="129"/>
      <c r="Z1283" s="129"/>
      <c r="AA1283" s="129"/>
      <c r="AB1283" s="129"/>
    </row>
    <row r="1284" hidden="1">
      <c r="A1284" s="150" t="s">
        <v>1077</v>
      </c>
      <c r="B1284" s="132">
        <v>1540.0</v>
      </c>
      <c r="C1284" s="147">
        <v>2090.0</v>
      </c>
      <c r="D1284" s="132">
        <f t="shared" si="145"/>
        <v>550</v>
      </c>
      <c r="E1284" s="126" t="s">
        <v>123</v>
      </c>
      <c r="F1284" s="139"/>
      <c r="G1284" s="129"/>
      <c r="H1284" s="129"/>
      <c r="I1284" s="129"/>
      <c r="J1284" s="129"/>
      <c r="K1284" s="129"/>
      <c r="L1284" s="129"/>
      <c r="M1284" s="129"/>
      <c r="N1284" s="129"/>
      <c r="O1284" s="129"/>
      <c r="P1284" s="129"/>
      <c r="Q1284" s="129"/>
      <c r="R1284" s="129"/>
      <c r="S1284" s="129"/>
      <c r="T1284" s="129"/>
      <c r="U1284" s="129"/>
      <c r="V1284" s="129"/>
      <c r="W1284" s="129"/>
      <c r="X1284" s="129"/>
      <c r="Y1284" s="129"/>
      <c r="Z1284" s="129"/>
      <c r="AA1284" s="129"/>
      <c r="AB1284" s="129"/>
    </row>
    <row r="1285" hidden="1">
      <c r="A1285" s="150" t="s">
        <v>1077</v>
      </c>
      <c r="B1285" s="132">
        <v>1540.0</v>
      </c>
      <c r="C1285" s="147">
        <v>2290.0</v>
      </c>
      <c r="D1285" s="132">
        <f t="shared" si="145"/>
        <v>750</v>
      </c>
      <c r="E1285" s="126" t="s">
        <v>123</v>
      </c>
      <c r="F1285" s="139"/>
      <c r="G1285" s="129"/>
      <c r="H1285" s="129"/>
      <c r="I1285" s="129"/>
      <c r="J1285" s="129"/>
      <c r="K1285" s="129"/>
      <c r="L1285" s="129"/>
      <c r="M1285" s="129"/>
      <c r="N1285" s="129"/>
      <c r="O1285" s="129"/>
      <c r="P1285" s="129"/>
      <c r="Q1285" s="129"/>
      <c r="R1285" s="129"/>
      <c r="S1285" s="129"/>
      <c r="T1285" s="129"/>
      <c r="U1285" s="129"/>
      <c r="V1285" s="129"/>
      <c r="W1285" s="129"/>
      <c r="X1285" s="129"/>
      <c r="Y1285" s="129"/>
      <c r="Z1285" s="129"/>
      <c r="AA1285" s="129"/>
      <c r="AB1285" s="129"/>
    </row>
    <row r="1286" hidden="1">
      <c r="A1286" s="128" t="s">
        <v>1078</v>
      </c>
      <c r="B1286" s="147">
        <v>1390.0</v>
      </c>
      <c r="C1286" s="167">
        <v>1233.0</v>
      </c>
      <c r="D1286" s="132">
        <f t="shared" si="145"/>
        <v>-157</v>
      </c>
      <c r="E1286" s="132" t="s">
        <v>123</v>
      </c>
      <c r="F1286" s="139"/>
      <c r="G1286" s="150"/>
      <c r="H1286" s="129"/>
      <c r="I1286" s="129"/>
      <c r="J1286" s="129"/>
      <c r="K1286" s="129"/>
      <c r="L1286" s="129"/>
      <c r="M1286" s="129"/>
      <c r="N1286" s="129"/>
      <c r="O1286" s="129"/>
      <c r="P1286" s="129"/>
      <c r="Q1286" s="129"/>
      <c r="R1286" s="129"/>
      <c r="S1286" s="129"/>
      <c r="T1286" s="129"/>
      <c r="U1286" s="129"/>
      <c r="V1286" s="129"/>
      <c r="W1286" s="129"/>
      <c r="X1286" s="129"/>
      <c r="Y1286" s="129"/>
      <c r="Z1286" s="129"/>
      <c r="AA1286" s="129"/>
      <c r="AB1286" s="129"/>
    </row>
    <row r="1287" hidden="1">
      <c r="A1287" s="143"/>
      <c r="B1287" s="139"/>
      <c r="C1287" s="139"/>
      <c r="D1287" s="139"/>
      <c r="E1287" s="166"/>
      <c r="F1287" s="129"/>
      <c r="G1287" s="129"/>
      <c r="H1287" s="129"/>
      <c r="I1287" s="129"/>
      <c r="J1287" s="129"/>
      <c r="K1287" s="129"/>
      <c r="L1287" s="129"/>
      <c r="M1287" s="129"/>
      <c r="N1287" s="129"/>
      <c r="O1287" s="129"/>
      <c r="P1287" s="129"/>
      <c r="Q1287" s="129"/>
      <c r="R1287" s="129"/>
      <c r="S1287" s="129"/>
      <c r="T1287" s="129"/>
      <c r="U1287" s="129"/>
      <c r="V1287" s="129"/>
      <c r="W1287" s="129"/>
      <c r="X1287" s="129"/>
      <c r="Y1287" s="129"/>
      <c r="Z1287" s="129"/>
      <c r="AA1287" s="129"/>
      <c r="AB1287" s="129"/>
    </row>
    <row r="1288" hidden="1">
      <c r="A1288" s="144" t="s">
        <v>57</v>
      </c>
      <c r="B1288" s="145">
        <f t="shared" ref="B1288:D1288" si="146">SUM(B1282:B1287)</f>
        <v>6010</v>
      </c>
      <c r="C1288" s="145">
        <f t="shared" si="146"/>
        <v>8203</v>
      </c>
      <c r="D1288" s="145">
        <f t="shared" si="146"/>
        <v>2193</v>
      </c>
      <c r="E1288" s="146">
        <f>D1288/(C1288/100)</f>
        <v>26.73412166</v>
      </c>
      <c r="F1288" s="129"/>
      <c r="G1288" s="129"/>
      <c r="H1288" s="129"/>
      <c r="I1288" s="129"/>
      <c r="J1288" s="129"/>
      <c r="K1288" s="129"/>
      <c r="L1288" s="129"/>
      <c r="M1288" s="129"/>
      <c r="N1288" s="129"/>
      <c r="O1288" s="129"/>
      <c r="P1288" s="129"/>
      <c r="Q1288" s="129"/>
      <c r="R1288" s="129"/>
      <c r="S1288" s="129"/>
      <c r="T1288" s="129"/>
      <c r="U1288" s="129"/>
      <c r="V1288" s="129"/>
      <c r="W1288" s="129"/>
      <c r="X1288" s="129"/>
      <c r="Y1288" s="129"/>
      <c r="Z1288" s="129"/>
      <c r="AA1288" s="129"/>
      <c r="AB1288" s="129"/>
    </row>
    <row r="1289" hidden="1">
      <c r="A1289" s="143"/>
      <c r="B1289" s="139"/>
      <c r="C1289" s="139"/>
      <c r="D1289" s="139"/>
      <c r="E1289" s="129"/>
      <c r="F1289" s="129"/>
      <c r="G1289" s="129"/>
      <c r="H1289" s="129"/>
      <c r="I1289" s="129"/>
      <c r="J1289" s="129"/>
      <c r="K1289" s="129"/>
      <c r="L1289" s="129"/>
      <c r="M1289" s="129"/>
      <c r="N1289" s="129"/>
      <c r="O1289" s="129"/>
      <c r="P1289" s="129"/>
      <c r="Q1289" s="129"/>
      <c r="R1289" s="129"/>
      <c r="S1289" s="129"/>
      <c r="T1289" s="129"/>
      <c r="U1289" s="129"/>
      <c r="V1289" s="129"/>
      <c r="W1289" s="129"/>
      <c r="X1289" s="129"/>
      <c r="Y1289" s="129"/>
      <c r="Z1289" s="129"/>
      <c r="AA1289" s="129"/>
      <c r="AB1289" s="129"/>
    </row>
    <row r="1290" hidden="1">
      <c r="A1290" s="383">
        <v>45839.0</v>
      </c>
      <c r="B1290" s="139"/>
      <c r="C1290" s="139"/>
      <c r="D1290" s="139"/>
      <c r="E1290" s="129"/>
      <c r="F1290" s="129"/>
      <c r="G1290" s="129"/>
      <c r="H1290" s="129"/>
      <c r="I1290" s="129"/>
      <c r="J1290" s="129"/>
      <c r="K1290" s="129"/>
      <c r="L1290" s="129"/>
      <c r="M1290" s="129"/>
      <c r="N1290" s="129"/>
      <c r="O1290" s="129"/>
      <c r="P1290" s="129"/>
      <c r="Q1290" s="129"/>
      <c r="R1290" s="129"/>
      <c r="S1290" s="129"/>
      <c r="T1290" s="129"/>
      <c r="U1290" s="129"/>
      <c r="V1290" s="129"/>
      <c r="W1290" s="129"/>
      <c r="X1290" s="129"/>
      <c r="Y1290" s="129"/>
      <c r="Z1290" s="129"/>
      <c r="AA1290" s="129"/>
      <c r="AB1290" s="129"/>
    </row>
    <row r="1291" hidden="1">
      <c r="A1291" s="150" t="s">
        <v>1077</v>
      </c>
      <c r="B1291" s="132">
        <v>1540.0</v>
      </c>
      <c r="C1291" s="147">
        <v>2290.0</v>
      </c>
      <c r="D1291" s="132">
        <f t="shared" ref="D1291:D1307" si="147">C1291-B1291</f>
        <v>750</v>
      </c>
      <c r="E1291" s="126" t="s">
        <v>123</v>
      </c>
      <c r="F1291" s="139"/>
      <c r="G1291" s="129"/>
      <c r="H1291" s="129"/>
      <c r="I1291" s="129"/>
      <c r="J1291" s="129"/>
      <c r="K1291" s="129"/>
      <c r="L1291" s="129"/>
      <c r="M1291" s="129"/>
      <c r="N1291" s="129"/>
      <c r="O1291" s="129"/>
      <c r="P1291" s="129"/>
      <c r="Q1291" s="129"/>
      <c r="R1291" s="129"/>
      <c r="S1291" s="129"/>
      <c r="T1291" s="129"/>
      <c r="U1291" s="129"/>
      <c r="V1291" s="129"/>
      <c r="W1291" s="129"/>
      <c r="X1291" s="129"/>
      <c r="Y1291" s="129"/>
      <c r="Z1291" s="129"/>
      <c r="AA1291" s="129"/>
      <c r="AB1291" s="129"/>
    </row>
    <row r="1292" hidden="1">
      <c r="A1292" s="150" t="s">
        <v>1077</v>
      </c>
      <c r="B1292" s="132">
        <v>1540.0</v>
      </c>
      <c r="C1292" s="147">
        <v>2290.0</v>
      </c>
      <c r="D1292" s="132">
        <f t="shared" si="147"/>
        <v>750</v>
      </c>
      <c r="E1292" s="126" t="s">
        <v>123</v>
      </c>
      <c r="F1292" s="139"/>
      <c r="G1292" s="129"/>
      <c r="H1292" s="129"/>
      <c r="I1292" s="129"/>
      <c r="J1292" s="129"/>
      <c r="K1292" s="129"/>
      <c r="L1292" s="129"/>
      <c r="M1292" s="129"/>
      <c r="N1292" s="129"/>
      <c r="O1292" s="129"/>
      <c r="P1292" s="129"/>
      <c r="Q1292" s="129"/>
      <c r="R1292" s="129"/>
      <c r="S1292" s="129"/>
      <c r="T1292" s="129"/>
      <c r="U1292" s="129"/>
      <c r="V1292" s="129"/>
      <c r="W1292" s="129"/>
      <c r="X1292" s="129"/>
      <c r="Y1292" s="129"/>
      <c r="Z1292" s="129"/>
      <c r="AA1292" s="129"/>
      <c r="AB1292" s="129"/>
    </row>
    <row r="1293" hidden="1">
      <c r="A1293" s="128" t="s">
        <v>1079</v>
      </c>
      <c r="B1293" s="132">
        <v>990.0</v>
      </c>
      <c r="C1293" s="147">
        <v>878.0</v>
      </c>
      <c r="D1293" s="132">
        <f t="shared" si="147"/>
        <v>-112</v>
      </c>
      <c r="E1293" s="132" t="s">
        <v>123</v>
      </c>
      <c r="F1293" s="139"/>
      <c r="G1293" s="129"/>
      <c r="H1293" s="129"/>
      <c r="I1293" s="129"/>
      <c r="J1293" s="129"/>
      <c r="K1293" s="129"/>
      <c r="L1293" s="129"/>
      <c r="M1293" s="129"/>
      <c r="N1293" s="129"/>
      <c r="O1293" s="129"/>
      <c r="P1293" s="129"/>
      <c r="Q1293" s="129"/>
      <c r="R1293" s="129"/>
      <c r="S1293" s="129"/>
      <c r="T1293" s="129"/>
      <c r="U1293" s="129"/>
      <c r="V1293" s="129"/>
      <c r="W1293" s="129"/>
      <c r="X1293" s="129"/>
      <c r="Y1293" s="129"/>
      <c r="Z1293" s="129"/>
      <c r="AA1293" s="129"/>
      <c r="AB1293" s="129"/>
    </row>
    <row r="1294" hidden="1">
      <c r="A1294" s="128" t="s">
        <v>1080</v>
      </c>
      <c r="B1294" s="168">
        <v>1090.0</v>
      </c>
      <c r="C1294" s="167">
        <v>1232.0</v>
      </c>
      <c r="D1294" s="168">
        <f t="shared" si="147"/>
        <v>142</v>
      </c>
      <c r="E1294" s="132" t="s">
        <v>123</v>
      </c>
      <c r="F1294" s="139"/>
      <c r="G1294" s="150"/>
      <c r="H1294" s="129"/>
      <c r="I1294" s="129"/>
      <c r="J1294" s="129"/>
      <c r="K1294" s="129"/>
      <c r="L1294" s="129"/>
      <c r="M1294" s="129"/>
      <c r="N1294" s="129"/>
      <c r="O1294" s="129"/>
      <c r="P1294" s="129"/>
      <c r="Q1294" s="129"/>
      <c r="R1294" s="129"/>
      <c r="S1294" s="129"/>
      <c r="T1294" s="129"/>
      <c r="U1294" s="129"/>
      <c r="V1294" s="129"/>
      <c r="W1294" s="129"/>
      <c r="X1294" s="129"/>
      <c r="Y1294" s="129"/>
      <c r="Z1294" s="129"/>
      <c r="AA1294" s="129"/>
      <c r="AB1294" s="129"/>
    </row>
    <row r="1295" hidden="1">
      <c r="A1295" s="123" t="s">
        <v>388</v>
      </c>
      <c r="B1295" s="124">
        <v>1090.0</v>
      </c>
      <c r="C1295" s="124">
        <v>878.0</v>
      </c>
      <c r="D1295" s="125">
        <f t="shared" si="147"/>
        <v>-212</v>
      </c>
      <c r="E1295" s="126" t="s">
        <v>120</v>
      </c>
      <c r="F1295" s="124"/>
    </row>
    <row r="1296" hidden="1">
      <c r="A1296" s="128" t="s">
        <v>1081</v>
      </c>
      <c r="B1296" s="147">
        <v>1490.0</v>
      </c>
      <c r="C1296" s="147">
        <v>1056.0</v>
      </c>
      <c r="D1296" s="132">
        <f t="shared" si="147"/>
        <v>-434</v>
      </c>
      <c r="E1296" s="132" t="s">
        <v>123</v>
      </c>
      <c r="F1296" s="132"/>
      <c r="I1296" s="129"/>
      <c r="J1296" s="129"/>
      <c r="K1296" s="129"/>
      <c r="L1296" s="129"/>
      <c r="M1296" s="129"/>
      <c r="N1296" s="129"/>
      <c r="O1296" s="129"/>
      <c r="P1296" s="129"/>
      <c r="Q1296" s="129"/>
      <c r="R1296" s="129"/>
      <c r="S1296" s="129"/>
      <c r="T1296" s="129"/>
      <c r="U1296" s="129"/>
      <c r="V1296" s="129"/>
      <c r="W1296" s="129"/>
      <c r="X1296" s="129"/>
      <c r="Y1296" s="129"/>
      <c r="Z1296" s="129"/>
      <c r="AA1296" s="129"/>
      <c r="AB1296" s="129"/>
    </row>
    <row r="1297" hidden="1">
      <c r="A1297" s="128" t="s">
        <v>1082</v>
      </c>
      <c r="B1297" s="124">
        <v>1390.0</v>
      </c>
      <c r="C1297" s="124">
        <v>1267.0</v>
      </c>
      <c r="D1297" s="125">
        <f t="shared" si="147"/>
        <v>-123</v>
      </c>
      <c r="E1297" s="126" t="s">
        <v>123</v>
      </c>
      <c r="F1297" s="132"/>
      <c r="G1297" s="129"/>
      <c r="H1297" s="129"/>
      <c r="I1297" s="129"/>
      <c r="J1297" s="129"/>
      <c r="K1297" s="129"/>
      <c r="L1297" s="129"/>
      <c r="M1297" s="129"/>
      <c r="N1297" s="129"/>
      <c r="O1297" s="129"/>
      <c r="P1297" s="129"/>
      <c r="Q1297" s="129"/>
      <c r="R1297" s="129"/>
      <c r="S1297" s="129"/>
      <c r="T1297" s="129"/>
      <c r="U1297" s="129"/>
      <c r="V1297" s="129"/>
      <c r="W1297" s="129"/>
      <c r="X1297" s="129"/>
      <c r="Y1297" s="129"/>
      <c r="Z1297" s="129"/>
      <c r="AA1297" s="129"/>
      <c r="AB1297" s="129"/>
    </row>
    <row r="1298" hidden="1">
      <c r="A1298" s="150" t="s">
        <v>1083</v>
      </c>
      <c r="B1298" s="147">
        <v>1990.0</v>
      </c>
      <c r="C1298" s="147">
        <v>1990.0</v>
      </c>
      <c r="D1298" s="132">
        <f t="shared" si="147"/>
        <v>0</v>
      </c>
      <c r="E1298" s="126" t="s">
        <v>123</v>
      </c>
      <c r="F1298" s="139"/>
      <c r="G1298" s="129"/>
      <c r="H1298" s="129"/>
      <c r="I1298" s="129"/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</row>
    <row r="1299" hidden="1">
      <c r="A1299" s="150" t="s">
        <v>1084</v>
      </c>
      <c r="B1299" s="132">
        <v>1390.0</v>
      </c>
      <c r="C1299" s="147">
        <v>2990.0</v>
      </c>
      <c r="D1299" s="132">
        <f t="shared" si="147"/>
        <v>1600</v>
      </c>
      <c r="E1299" s="126" t="s">
        <v>123</v>
      </c>
      <c r="F1299" s="139"/>
      <c r="G1299" s="129"/>
      <c r="H1299" s="129"/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</row>
    <row r="1300" hidden="1">
      <c r="A1300" s="123" t="s">
        <v>1085</v>
      </c>
      <c r="B1300" s="147">
        <v>1390.0</v>
      </c>
      <c r="C1300" s="124">
        <v>1233.0</v>
      </c>
      <c r="D1300" s="125">
        <f t="shared" si="147"/>
        <v>-157</v>
      </c>
      <c r="E1300" s="126" t="s">
        <v>123</v>
      </c>
      <c r="F1300" s="124"/>
      <c r="G1300" s="123"/>
    </row>
    <row r="1301" hidden="1">
      <c r="A1301" s="123" t="s">
        <v>1075</v>
      </c>
      <c r="B1301" s="147">
        <v>1090.0</v>
      </c>
      <c r="C1301" s="124">
        <v>879.0</v>
      </c>
      <c r="D1301" s="125">
        <f t="shared" si="147"/>
        <v>-211</v>
      </c>
      <c r="E1301" s="126" t="s">
        <v>123</v>
      </c>
      <c r="F1301" s="124"/>
      <c r="G1301" s="123"/>
    </row>
    <row r="1302" hidden="1">
      <c r="A1302" s="150" t="s">
        <v>1077</v>
      </c>
      <c r="B1302" s="132">
        <v>1540.0</v>
      </c>
      <c r="C1302" s="147">
        <v>2040.0</v>
      </c>
      <c r="D1302" s="132">
        <f t="shared" si="147"/>
        <v>500</v>
      </c>
      <c r="E1302" s="126" t="s">
        <v>123</v>
      </c>
      <c r="F1302" s="139"/>
      <c r="G1302" s="129"/>
      <c r="H1302" s="129"/>
      <c r="I1302" s="129"/>
      <c r="J1302" s="129"/>
      <c r="K1302" s="129"/>
      <c r="L1302" s="129"/>
      <c r="M1302" s="129"/>
      <c r="N1302" s="129"/>
      <c r="O1302" s="129"/>
      <c r="P1302" s="129"/>
      <c r="Q1302" s="129"/>
      <c r="R1302" s="129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</row>
    <row r="1303" hidden="1">
      <c r="A1303" s="128" t="s">
        <v>1086</v>
      </c>
      <c r="B1303" s="124">
        <v>1190.0</v>
      </c>
      <c r="C1303" s="147">
        <v>1233.0</v>
      </c>
      <c r="D1303" s="132">
        <f t="shared" si="147"/>
        <v>43</v>
      </c>
      <c r="E1303" s="132" t="s">
        <v>123</v>
      </c>
      <c r="F1303" s="139"/>
      <c r="G1303" s="150"/>
      <c r="H1303" s="129"/>
      <c r="I1303" s="129"/>
      <c r="J1303" s="129"/>
      <c r="K1303" s="129"/>
      <c r="L1303" s="129"/>
      <c r="M1303" s="129"/>
      <c r="N1303" s="129"/>
      <c r="O1303" s="129"/>
      <c r="P1303" s="129"/>
      <c r="Q1303" s="129"/>
      <c r="R1303" s="129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</row>
    <row r="1304" hidden="1">
      <c r="A1304" s="128" t="s">
        <v>1082</v>
      </c>
      <c r="B1304" s="124">
        <v>1390.0</v>
      </c>
      <c r="C1304" s="124">
        <v>1267.0</v>
      </c>
      <c r="D1304" s="125">
        <f t="shared" si="147"/>
        <v>-123</v>
      </c>
      <c r="E1304" s="126" t="s">
        <v>123</v>
      </c>
      <c r="F1304" s="132"/>
      <c r="G1304" s="129"/>
      <c r="H1304" s="129"/>
      <c r="I1304" s="129"/>
      <c r="J1304" s="129"/>
      <c r="K1304" s="129"/>
      <c r="L1304" s="129"/>
      <c r="M1304" s="129"/>
      <c r="N1304" s="129"/>
      <c r="O1304" s="129"/>
      <c r="P1304" s="129"/>
      <c r="Q1304" s="129"/>
      <c r="R1304" s="129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</row>
    <row r="1305" hidden="1">
      <c r="A1305" s="128" t="s">
        <v>1087</v>
      </c>
      <c r="B1305" s="124">
        <v>1190.0</v>
      </c>
      <c r="C1305" s="147">
        <v>1233.0</v>
      </c>
      <c r="D1305" s="132">
        <f t="shared" si="147"/>
        <v>43</v>
      </c>
      <c r="E1305" s="132" t="s">
        <v>123</v>
      </c>
      <c r="F1305" s="139"/>
      <c r="G1305" s="150"/>
      <c r="H1305" s="129"/>
      <c r="I1305" s="129"/>
      <c r="J1305" s="129"/>
      <c r="K1305" s="129"/>
      <c r="L1305" s="129"/>
      <c r="M1305" s="129"/>
      <c r="N1305" s="129"/>
      <c r="O1305" s="129"/>
      <c r="P1305" s="129"/>
      <c r="Q1305" s="129"/>
      <c r="R1305" s="129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</row>
    <row r="1306" hidden="1">
      <c r="A1306" s="128" t="s">
        <v>466</v>
      </c>
      <c r="B1306" s="147">
        <v>790.0</v>
      </c>
      <c r="C1306" s="147">
        <v>966.0</v>
      </c>
      <c r="D1306" s="132">
        <f t="shared" si="147"/>
        <v>176</v>
      </c>
      <c r="E1306" s="132" t="s">
        <v>123</v>
      </c>
      <c r="F1306" s="139"/>
      <c r="G1306" s="129"/>
      <c r="H1306" s="129"/>
      <c r="I1306" s="129"/>
      <c r="J1306" s="129"/>
      <c r="K1306" s="129"/>
      <c r="L1306" s="129"/>
      <c r="M1306" s="129"/>
      <c r="N1306" s="129"/>
      <c r="O1306" s="129"/>
      <c r="P1306" s="129"/>
      <c r="Q1306" s="129"/>
      <c r="R1306" s="129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</row>
    <row r="1307" hidden="1">
      <c r="A1307" s="123" t="s">
        <v>1088</v>
      </c>
      <c r="B1307" s="147">
        <v>1390.0</v>
      </c>
      <c r="C1307" s="124">
        <v>1233.0</v>
      </c>
      <c r="D1307" s="125">
        <f t="shared" si="147"/>
        <v>-157</v>
      </c>
      <c r="E1307" s="126" t="s">
        <v>123</v>
      </c>
      <c r="F1307" s="124"/>
      <c r="G1307" s="123"/>
    </row>
    <row r="1308" hidden="1">
      <c r="A1308" s="143"/>
      <c r="B1308" s="139"/>
      <c r="C1308" s="139"/>
      <c r="D1308" s="139"/>
      <c r="E1308" s="139"/>
      <c r="F1308" s="139"/>
      <c r="G1308" s="129"/>
      <c r="H1308" s="129"/>
      <c r="I1308" s="129"/>
      <c r="J1308" s="129"/>
      <c r="K1308" s="129"/>
      <c r="L1308" s="129"/>
      <c r="M1308" s="129"/>
      <c r="N1308" s="129"/>
      <c r="O1308" s="129"/>
      <c r="P1308" s="129"/>
      <c r="Q1308" s="129"/>
      <c r="R1308" s="129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</row>
    <row r="1309" hidden="1">
      <c r="A1309" s="143"/>
      <c r="B1309" s="139"/>
      <c r="C1309" s="139"/>
      <c r="D1309" s="139"/>
      <c r="E1309" s="139"/>
      <c r="F1309" s="139"/>
      <c r="G1309" s="129"/>
      <c r="H1309" s="129"/>
      <c r="I1309" s="129"/>
      <c r="J1309" s="129"/>
      <c r="K1309" s="129"/>
      <c r="L1309" s="129"/>
      <c r="M1309" s="129"/>
      <c r="N1309" s="129"/>
      <c r="O1309" s="129"/>
      <c r="P1309" s="129"/>
      <c r="Q1309" s="129"/>
      <c r="R1309" s="129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</row>
    <row r="1310" hidden="1">
      <c r="A1310" s="144" t="s">
        <v>57</v>
      </c>
      <c r="B1310" s="145">
        <f t="shared" ref="B1310:D1310" si="148">SUM(B1290:B1309)</f>
        <v>22480</v>
      </c>
      <c r="C1310" s="145">
        <f t="shared" si="148"/>
        <v>24955</v>
      </c>
      <c r="D1310" s="145">
        <f t="shared" si="148"/>
        <v>2475</v>
      </c>
      <c r="E1310" s="146">
        <f>D1310/(C1310/100)</f>
        <v>9.917852134</v>
      </c>
      <c r="F1310" s="129"/>
      <c r="G1310" s="129"/>
      <c r="H1310" s="129"/>
      <c r="I1310" s="129"/>
      <c r="J1310" s="129"/>
      <c r="K1310" s="129"/>
      <c r="L1310" s="129"/>
      <c r="M1310" s="129"/>
      <c r="N1310" s="129"/>
      <c r="O1310" s="129"/>
      <c r="P1310" s="129"/>
      <c r="Q1310" s="129"/>
      <c r="R1310" s="129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</row>
    <row r="1311" hidden="1">
      <c r="A1311" s="143"/>
      <c r="B1311" s="139"/>
      <c r="C1311" s="139"/>
      <c r="D1311" s="139"/>
      <c r="E1311" s="129"/>
      <c r="F1311" s="129"/>
      <c r="G1311" s="129"/>
      <c r="H1311" s="129"/>
      <c r="I1311" s="129"/>
      <c r="J1311" s="129"/>
      <c r="K1311" s="129"/>
      <c r="L1311" s="129"/>
      <c r="M1311" s="129"/>
      <c r="N1311" s="129"/>
      <c r="O1311" s="129"/>
      <c r="P1311" s="129"/>
      <c r="Q1311" s="129"/>
      <c r="R1311" s="129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</row>
    <row r="1312" hidden="1">
      <c r="A1312" s="383">
        <v>45809.0</v>
      </c>
      <c r="B1312" s="139"/>
      <c r="C1312" s="139"/>
      <c r="D1312" s="139"/>
      <c r="E1312" s="129"/>
      <c r="F1312" s="129"/>
      <c r="G1312" s="129"/>
      <c r="H1312" s="129"/>
      <c r="I1312" s="129"/>
      <c r="J1312" s="129"/>
      <c r="K1312" s="129"/>
      <c r="L1312" s="129"/>
      <c r="M1312" s="129"/>
      <c r="N1312" s="129"/>
      <c r="O1312" s="129"/>
      <c r="P1312" s="129"/>
      <c r="Q1312" s="129"/>
      <c r="R1312" s="129"/>
      <c r="S1312" s="129"/>
      <c r="T1312" s="129"/>
      <c r="U1312" s="129"/>
      <c r="V1312" s="129"/>
      <c r="W1312" s="129"/>
      <c r="X1312" s="129"/>
      <c r="Y1312" s="129"/>
      <c r="Z1312" s="129"/>
      <c r="AA1312" s="129"/>
      <c r="AB1312" s="129"/>
    </row>
    <row r="1313" hidden="1">
      <c r="A1313" s="142" t="s">
        <v>1089</v>
      </c>
      <c r="B1313" s="147">
        <v>890.0</v>
      </c>
      <c r="C1313" s="147">
        <v>879.0</v>
      </c>
      <c r="D1313" s="132">
        <f t="shared" ref="D1313:D1319" si="149">C1313-B1313</f>
        <v>-11</v>
      </c>
      <c r="E1313" s="132" t="s">
        <v>123</v>
      </c>
      <c r="F1313" s="139"/>
      <c r="G1313" s="129"/>
      <c r="H1313" s="129"/>
      <c r="I1313" s="129"/>
      <c r="J1313" s="129"/>
      <c r="K1313" s="129"/>
      <c r="L1313" s="129"/>
      <c r="M1313" s="129"/>
      <c r="N1313" s="129"/>
      <c r="O1313" s="129"/>
      <c r="P1313" s="129"/>
      <c r="Q1313" s="129"/>
      <c r="R1313" s="129"/>
      <c r="S1313" s="129"/>
      <c r="T1313" s="129"/>
      <c r="U1313" s="129"/>
      <c r="V1313" s="129"/>
      <c r="W1313" s="129"/>
      <c r="X1313" s="129"/>
      <c r="Y1313" s="129"/>
      <c r="Z1313" s="129"/>
      <c r="AA1313" s="129"/>
      <c r="AB1313" s="129"/>
    </row>
    <row r="1314" hidden="1">
      <c r="A1314" s="128" t="s">
        <v>1090</v>
      </c>
      <c r="B1314" s="147">
        <v>1390.0</v>
      </c>
      <c r="C1314" s="147">
        <v>1322.0</v>
      </c>
      <c r="D1314" s="132">
        <f t="shared" si="149"/>
        <v>-68</v>
      </c>
      <c r="E1314" s="147" t="s">
        <v>120</v>
      </c>
      <c r="F1314" s="127"/>
      <c r="G1314" s="150"/>
      <c r="H1314" s="129"/>
      <c r="I1314" s="129"/>
      <c r="J1314" s="129"/>
      <c r="K1314" s="129"/>
      <c r="L1314" s="129"/>
      <c r="M1314" s="129"/>
      <c r="N1314" s="129"/>
      <c r="O1314" s="129"/>
      <c r="P1314" s="129"/>
      <c r="Q1314" s="129"/>
      <c r="R1314" s="129"/>
      <c r="S1314" s="129"/>
      <c r="T1314" s="129"/>
      <c r="U1314" s="129"/>
      <c r="V1314" s="129"/>
      <c r="W1314" s="129"/>
      <c r="X1314" s="129"/>
      <c r="Y1314" s="129"/>
      <c r="Z1314" s="129"/>
      <c r="AA1314" s="129"/>
      <c r="AB1314" s="129"/>
    </row>
    <row r="1315" hidden="1">
      <c r="A1315" s="150" t="s">
        <v>463</v>
      </c>
      <c r="B1315" s="124">
        <v>1190.0</v>
      </c>
      <c r="C1315" s="147">
        <v>1138.0</v>
      </c>
      <c r="D1315" s="132">
        <f t="shared" si="149"/>
        <v>-52</v>
      </c>
      <c r="E1315" s="132" t="s">
        <v>123</v>
      </c>
      <c r="F1315" s="139"/>
      <c r="G1315" s="150"/>
      <c r="H1315" s="129"/>
      <c r="I1315" s="129"/>
      <c r="J1315" s="129"/>
      <c r="K1315" s="129"/>
      <c r="L1315" s="129"/>
      <c r="M1315" s="129"/>
      <c r="N1315" s="129"/>
      <c r="O1315" s="129"/>
      <c r="P1315" s="129"/>
      <c r="Q1315" s="129"/>
      <c r="R1315" s="129"/>
      <c r="S1315" s="129"/>
      <c r="T1315" s="129"/>
      <c r="U1315" s="129"/>
      <c r="V1315" s="129"/>
      <c r="W1315" s="129"/>
      <c r="X1315" s="129"/>
      <c r="Y1315" s="129"/>
      <c r="Z1315" s="129"/>
      <c r="AA1315" s="129"/>
      <c r="AB1315" s="129"/>
    </row>
    <row r="1316" hidden="1">
      <c r="A1316" s="123" t="s">
        <v>1091</v>
      </c>
      <c r="B1316" s="147">
        <v>1690.0</v>
      </c>
      <c r="C1316" s="124">
        <v>1410.0</v>
      </c>
      <c r="D1316" s="125">
        <f t="shared" si="149"/>
        <v>-280</v>
      </c>
      <c r="E1316" s="126" t="s">
        <v>123</v>
      </c>
      <c r="F1316" s="124"/>
      <c r="G1316" s="123"/>
    </row>
    <row r="1317" hidden="1">
      <c r="A1317" s="123" t="s">
        <v>1092</v>
      </c>
      <c r="B1317" s="147">
        <v>1390.0</v>
      </c>
      <c r="C1317" s="124">
        <v>1233.0</v>
      </c>
      <c r="D1317" s="125">
        <f t="shared" si="149"/>
        <v>-157</v>
      </c>
      <c r="E1317" s="126" t="s">
        <v>123</v>
      </c>
      <c r="F1317" s="124"/>
      <c r="G1317" s="123"/>
    </row>
    <row r="1318" hidden="1">
      <c r="A1318" s="123" t="s">
        <v>1093</v>
      </c>
      <c r="B1318" s="147">
        <v>1390.0</v>
      </c>
      <c r="C1318" s="124">
        <v>1232.0</v>
      </c>
      <c r="D1318" s="125">
        <f t="shared" si="149"/>
        <v>-158</v>
      </c>
      <c r="E1318" s="126" t="s">
        <v>123</v>
      </c>
      <c r="F1318" s="124"/>
      <c r="G1318" s="123"/>
    </row>
    <row r="1319" hidden="1">
      <c r="A1319" s="150" t="s">
        <v>1094</v>
      </c>
      <c r="B1319" s="132">
        <v>1990.0</v>
      </c>
      <c r="C1319" s="147">
        <v>1890.0</v>
      </c>
      <c r="D1319" s="132">
        <f t="shared" si="149"/>
        <v>-100</v>
      </c>
      <c r="E1319" s="126" t="s">
        <v>123</v>
      </c>
      <c r="F1319" s="139"/>
      <c r="G1319" s="129"/>
      <c r="H1319" s="129"/>
      <c r="I1319" s="129"/>
      <c r="J1319" s="129"/>
      <c r="K1319" s="129"/>
      <c r="L1319" s="129"/>
      <c r="M1319" s="129"/>
      <c r="N1319" s="129"/>
      <c r="O1319" s="129"/>
      <c r="P1319" s="129"/>
      <c r="Q1319" s="129"/>
      <c r="R1319" s="129"/>
      <c r="S1319" s="129"/>
      <c r="T1319" s="129"/>
      <c r="U1319" s="129"/>
      <c r="V1319" s="129"/>
      <c r="W1319" s="129"/>
      <c r="X1319" s="129"/>
      <c r="Y1319" s="129"/>
      <c r="Z1319" s="129"/>
      <c r="AA1319" s="129"/>
      <c r="AB1319" s="129"/>
    </row>
    <row r="1320" hidden="1">
      <c r="A1320" s="143"/>
      <c r="B1320" s="139"/>
      <c r="C1320" s="139"/>
      <c r="D1320" s="139"/>
      <c r="E1320" s="139"/>
      <c r="F1320" s="139"/>
      <c r="G1320" s="129"/>
      <c r="H1320" s="129"/>
      <c r="I1320" s="129"/>
      <c r="J1320" s="129"/>
      <c r="K1320" s="129"/>
      <c r="L1320" s="129"/>
      <c r="M1320" s="129"/>
      <c r="N1320" s="129"/>
      <c r="O1320" s="129"/>
      <c r="P1320" s="129"/>
      <c r="Q1320" s="129"/>
      <c r="R1320" s="129"/>
      <c r="S1320" s="129"/>
      <c r="T1320" s="129"/>
      <c r="U1320" s="129"/>
      <c r="V1320" s="129"/>
      <c r="W1320" s="129"/>
      <c r="X1320" s="129"/>
      <c r="Y1320" s="129"/>
      <c r="Z1320" s="129"/>
      <c r="AA1320" s="129"/>
      <c r="AB1320" s="129"/>
    </row>
    <row r="1321" hidden="1">
      <c r="A1321" s="144" t="s">
        <v>57</v>
      </c>
      <c r="B1321" s="145">
        <f t="shared" ref="B1321:D1321" si="150">SUM(B1312:B1320)</f>
        <v>9930</v>
      </c>
      <c r="C1321" s="145">
        <f t="shared" si="150"/>
        <v>9104</v>
      </c>
      <c r="D1321" s="145">
        <f t="shared" si="150"/>
        <v>-826</v>
      </c>
      <c r="E1321" s="146">
        <f>D1321/(C1321/100)</f>
        <v>-9.072934974</v>
      </c>
      <c r="F1321" s="129"/>
      <c r="G1321" s="129"/>
      <c r="H1321" s="129"/>
      <c r="I1321" s="129"/>
      <c r="J1321" s="129"/>
      <c r="K1321" s="129"/>
      <c r="L1321" s="129"/>
      <c r="M1321" s="129"/>
      <c r="N1321" s="129"/>
      <c r="O1321" s="129"/>
      <c r="P1321" s="129"/>
      <c r="Q1321" s="129"/>
      <c r="R1321" s="129"/>
      <c r="S1321" s="129"/>
      <c r="T1321" s="129"/>
      <c r="U1321" s="129"/>
      <c r="V1321" s="129"/>
      <c r="W1321" s="129"/>
      <c r="X1321" s="129"/>
      <c r="Y1321" s="129"/>
      <c r="Z1321" s="129"/>
      <c r="AA1321" s="129"/>
      <c r="AB1321" s="129"/>
    </row>
    <row r="1322" hidden="1">
      <c r="A1322" s="143"/>
      <c r="B1322" s="139"/>
      <c r="C1322" s="139"/>
      <c r="D1322" s="139"/>
      <c r="E1322" s="129"/>
      <c r="F1322" s="129"/>
      <c r="G1322" s="129"/>
      <c r="H1322" s="129"/>
      <c r="I1322" s="129"/>
      <c r="J1322" s="129"/>
      <c r="K1322" s="129"/>
      <c r="L1322" s="129"/>
      <c r="M1322" s="129"/>
      <c r="N1322" s="129"/>
      <c r="O1322" s="129"/>
      <c r="P1322" s="129"/>
      <c r="Q1322" s="129"/>
      <c r="R1322" s="129"/>
      <c r="S1322" s="129"/>
      <c r="T1322" s="129"/>
      <c r="U1322" s="129"/>
      <c r="V1322" s="129"/>
      <c r="W1322" s="129"/>
      <c r="X1322" s="129"/>
      <c r="Y1322" s="129"/>
      <c r="Z1322" s="129"/>
      <c r="AA1322" s="129"/>
      <c r="AB1322" s="129"/>
    </row>
    <row r="1323" hidden="1">
      <c r="A1323" s="383">
        <v>45778.0</v>
      </c>
      <c r="B1323" s="139"/>
      <c r="C1323" s="139"/>
      <c r="D1323" s="139"/>
      <c r="E1323" s="129"/>
      <c r="F1323" s="129"/>
      <c r="G1323" s="129"/>
      <c r="H1323" s="129"/>
      <c r="I1323" s="129"/>
      <c r="J1323" s="129"/>
      <c r="K1323" s="129"/>
      <c r="L1323" s="129"/>
      <c r="M1323" s="129"/>
      <c r="N1323" s="129"/>
      <c r="O1323" s="129"/>
      <c r="P1323" s="129"/>
      <c r="Q1323" s="129"/>
      <c r="R1323" s="129"/>
      <c r="S1323" s="129"/>
      <c r="T1323" s="129"/>
      <c r="U1323" s="129"/>
      <c r="V1323" s="129"/>
      <c r="W1323" s="129"/>
      <c r="X1323" s="129"/>
      <c r="Y1323" s="129"/>
      <c r="Z1323" s="129"/>
      <c r="AA1323" s="129"/>
      <c r="AB1323" s="129"/>
    </row>
    <row r="1324" hidden="1">
      <c r="A1324" s="150" t="s">
        <v>436</v>
      </c>
      <c r="B1324" s="147">
        <v>1690.0</v>
      </c>
      <c r="C1324" s="147">
        <v>2190.0</v>
      </c>
      <c r="D1324" s="132">
        <f>C1324-B1324</f>
        <v>500</v>
      </c>
      <c r="E1324" s="126" t="s">
        <v>123</v>
      </c>
      <c r="F1324" s="139"/>
      <c r="G1324" s="129"/>
      <c r="H1324" s="129"/>
      <c r="I1324" s="129"/>
      <c r="J1324" s="129"/>
      <c r="K1324" s="129"/>
      <c r="L1324" s="129"/>
      <c r="M1324" s="129"/>
      <c r="N1324" s="129"/>
      <c r="O1324" s="129"/>
      <c r="P1324" s="129"/>
      <c r="Q1324" s="129"/>
      <c r="R1324" s="129"/>
      <c r="S1324" s="129"/>
      <c r="T1324" s="129"/>
      <c r="U1324" s="129"/>
      <c r="V1324" s="129"/>
      <c r="W1324" s="129"/>
      <c r="X1324" s="129"/>
      <c r="Y1324" s="129"/>
      <c r="Z1324" s="129"/>
      <c r="AA1324" s="129"/>
      <c r="AB1324" s="129"/>
    </row>
    <row r="1325" hidden="1">
      <c r="A1325" s="143"/>
      <c r="B1325" s="139"/>
      <c r="C1325" s="139"/>
      <c r="D1325" s="139"/>
      <c r="E1325" s="139"/>
      <c r="F1325" s="139"/>
      <c r="G1325" s="129"/>
      <c r="H1325" s="129"/>
      <c r="I1325" s="129"/>
      <c r="J1325" s="129"/>
      <c r="K1325" s="129"/>
      <c r="L1325" s="129"/>
      <c r="M1325" s="129"/>
      <c r="N1325" s="129"/>
      <c r="O1325" s="129"/>
      <c r="P1325" s="129"/>
      <c r="Q1325" s="129"/>
      <c r="R1325" s="129"/>
      <c r="S1325" s="129"/>
      <c r="T1325" s="129"/>
      <c r="U1325" s="129"/>
      <c r="V1325" s="129"/>
      <c r="W1325" s="129"/>
      <c r="X1325" s="129"/>
      <c r="Y1325" s="129"/>
      <c r="Z1325" s="129"/>
      <c r="AA1325" s="129"/>
      <c r="AB1325" s="129"/>
    </row>
    <row r="1326" hidden="1">
      <c r="A1326" s="144" t="s">
        <v>57</v>
      </c>
      <c r="B1326" s="145">
        <f t="shared" ref="B1326:D1326" si="151">SUM(B1323:B1325)</f>
        <v>1690</v>
      </c>
      <c r="C1326" s="145">
        <f t="shared" si="151"/>
        <v>2190</v>
      </c>
      <c r="D1326" s="145">
        <f t="shared" si="151"/>
        <v>500</v>
      </c>
      <c r="E1326" s="146">
        <f>D1326/(C1326/100)</f>
        <v>22.83105023</v>
      </c>
      <c r="F1326" s="129"/>
      <c r="G1326" s="129"/>
      <c r="H1326" s="129"/>
      <c r="I1326" s="129"/>
      <c r="J1326" s="129"/>
      <c r="K1326" s="129"/>
      <c r="L1326" s="129"/>
      <c r="M1326" s="129"/>
      <c r="N1326" s="129"/>
      <c r="O1326" s="129"/>
      <c r="P1326" s="129"/>
      <c r="Q1326" s="129"/>
      <c r="R1326" s="129"/>
      <c r="S1326" s="129"/>
      <c r="T1326" s="129"/>
      <c r="U1326" s="129"/>
      <c r="V1326" s="129"/>
      <c r="W1326" s="129"/>
      <c r="X1326" s="129"/>
      <c r="Y1326" s="129"/>
      <c r="Z1326" s="129"/>
      <c r="AA1326" s="129"/>
      <c r="AB1326" s="129"/>
    </row>
    <row r="1327" hidden="1">
      <c r="A1327" s="143"/>
      <c r="B1327" s="139"/>
      <c r="C1327" s="139"/>
      <c r="D1327" s="139"/>
      <c r="E1327" s="129"/>
      <c r="F1327" s="129"/>
      <c r="G1327" s="129"/>
      <c r="H1327" s="129"/>
      <c r="I1327" s="129"/>
      <c r="J1327" s="129"/>
      <c r="K1327" s="129"/>
      <c r="L1327" s="129"/>
      <c r="M1327" s="129"/>
      <c r="N1327" s="129"/>
      <c r="O1327" s="129"/>
      <c r="P1327" s="129"/>
      <c r="Q1327" s="129"/>
      <c r="R1327" s="129"/>
      <c r="S1327" s="129"/>
      <c r="T1327" s="129"/>
      <c r="U1327" s="129"/>
      <c r="V1327" s="129"/>
      <c r="W1327" s="129"/>
      <c r="X1327" s="129"/>
      <c r="Y1327" s="129"/>
      <c r="Z1327" s="129"/>
      <c r="AA1327" s="129"/>
      <c r="AB1327" s="129"/>
    </row>
    <row r="1328" hidden="1">
      <c r="A1328" s="383">
        <v>45748.0</v>
      </c>
      <c r="B1328" s="139"/>
      <c r="C1328" s="139"/>
      <c r="D1328" s="139"/>
      <c r="E1328" s="129"/>
      <c r="F1328" s="129"/>
      <c r="G1328" s="129"/>
      <c r="H1328" s="129"/>
      <c r="I1328" s="129"/>
      <c r="J1328" s="129"/>
      <c r="K1328" s="129"/>
      <c r="L1328" s="129"/>
      <c r="M1328" s="129"/>
      <c r="N1328" s="129"/>
      <c r="O1328" s="129"/>
      <c r="P1328" s="129"/>
      <c r="Q1328" s="129"/>
      <c r="R1328" s="129"/>
      <c r="S1328" s="129"/>
      <c r="T1328" s="129"/>
      <c r="U1328" s="129"/>
      <c r="V1328" s="129"/>
      <c r="W1328" s="129"/>
      <c r="X1328" s="129"/>
      <c r="Y1328" s="129"/>
      <c r="Z1328" s="129"/>
      <c r="AA1328" s="129"/>
      <c r="AB1328" s="129"/>
    </row>
    <row r="1329" hidden="1">
      <c r="A1329" s="150" t="s">
        <v>1094</v>
      </c>
      <c r="B1329" s="132">
        <v>1990.0</v>
      </c>
      <c r="C1329" s="147">
        <v>1690.0</v>
      </c>
      <c r="D1329" s="132">
        <f>C1329-B1329</f>
        <v>-300</v>
      </c>
      <c r="E1329" s="126" t="s">
        <v>123</v>
      </c>
      <c r="F1329" s="139"/>
      <c r="G1329" s="129"/>
      <c r="H1329" s="129"/>
      <c r="I1329" s="129"/>
      <c r="J1329" s="129"/>
      <c r="K1329" s="129"/>
      <c r="L1329" s="129"/>
      <c r="M1329" s="129"/>
      <c r="N1329" s="129"/>
      <c r="O1329" s="129"/>
      <c r="P1329" s="129"/>
      <c r="Q1329" s="129"/>
      <c r="R1329" s="129"/>
      <c r="S1329" s="129"/>
      <c r="T1329" s="129"/>
      <c r="U1329" s="129"/>
      <c r="V1329" s="129"/>
      <c r="W1329" s="129"/>
      <c r="X1329" s="129"/>
      <c r="Y1329" s="129"/>
      <c r="Z1329" s="129"/>
      <c r="AA1329" s="129"/>
      <c r="AB1329" s="129"/>
    </row>
    <row r="1330" hidden="1">
      <c r="A1330" s="143"/>
      <c r="B1330" s="139"/>
      <c r="C1330" s="139"/>
      <c r="D1330" s="139"/>
      <c r="E1330" s="166"/>
      <c r="F1330" s="129"/>
      <c r="G1330" s="129"/>
      <c r="H1330" s="129"/>
      <c r="I1330" s="129"/>
      <c r="J1330" s="129"/>
      <c r="K1330" s="129"/>
      <c r="L1330" s="129"/>
      <c r="M1330" s="129"/>
      <c r="N1330" s="129"/>
      <c r="O1330" s="129"/>
      <c r="P1330" s="129"/>
      <c r="Q1330" s="129"/>
      <c r="R1330" s="129"/>
      <c r="S1330" s="129"/>
      <c r="T1330" s="129"/>
      <c r="U1330" s="129"/>
      <c r="V1330" s="129"/>
      <c r="W1330" s="129"/>
      <c r="X1330" s="129"/>
      <c r="Y1330" s="129"/>
      <c r="Z1330" s="129"/>
      <c r="AA1330" s="129"/>
      <c r="AB1330" s="129"/>
    </row>
    <row r="1331" hidden="1">
      <c r="A1331" s="144" t="s">
        <v>57</v>
      </c>
      <c r="B1331" s="145">
        <f t="shared" ref="B1331:D1331" si="152">SUM(B1328:B1330)</f>
        <v>1990</v>
      </c>
      <c r="C1331" s="145">
        <f t="shared" si="152"/>
        <v>1690</v>
      </c>
      <c r="D1331" s="145">
        <f t="shared" si="152"/>
        <v>-300</v>
      </c>
      <c r="E1331" s="146">
        <f>D1331/(C1331/100)</f>
        <v>-17.75147929</v>
      </c>
      <c r="F1331" s="129"/>
      <c r="G1331" s="129"/>
      <c r="H1331" s="129"/>
      <c r="I1331" s="129"/>
      <c r="J1331" s="129"/>
      <c r="K1331" s="129"/>
      <c r="L1331" s="129"/>
      <c r="M1331" s="129"/>
      <c r="N1331" s="129"/>
      <c r="O1331" s="129"/>
      <c r="P1331" s="129"/>
      <c r="Q1331" s="129"/>
      <c r="R1331" s="129"/>
      <c r="S1331" s="129"/>
      <c r="T1331" s="129"/>
      <c r="U1331" s="129"/>
      <c r="V1331" s="129"/>
      <c r="W1331" s="129"/>
      <c r="X1331" s="129"/>
      <c r="Y1331" s="129"/>
      <c r="Z1331" s="129"/>
      <c r="AA1331" s="129"/>
      <c r="AB1331" s="129"/>
    </row>
    <row r="1332" hidden="1">
      <c r="A1332" s="143"/>
      <c r="B1332" s="139"/>
      <c r="C1332" s="139"/>
      <c r="D1332" s="139"/>
      <c r="E1332" s="129"/>
      <c r="F1332" s="129"/>
      <c r="G1332" s="129"/>
      <c r="H1332" s="129"/>
      <c r="I1332" s="129"/>
      <c r="J1332" s="129"/>
      <c r="K1332" s="129"/>
      <c r="L1332" s="129"/>
      <c r="M1332" s="129"/>
      <c r="N1332" s="129"/>
      <c r="O1332" s="129"/>
      <c r="P1332" s="129"/>
      <c r="Q1332" s="129"/>
      <c r="R1332" s="129"/>
      <c r="S1332" s="129"/>
      <c r="T1332" s="129"/>
      <c r="U1332" s="129"/>
      <c r="V1332" s="129"/>
      <c r="W1332" s="129"/>
      <c r="X1332" s="129"/>
      <c r="Y1332" s="129"/>
      <c r="Z1332" s="129"/>
      <c r="AA1332" s="129"/>
      <c r="AB1332" s="129"/>
    </row>
    <row r="1333" hidden="1">
      <c r="A1333" s="383">
        <v>45717.0</v>
      </c>
      <c r="B1333" s="139"/>
      <c r="C1333" s="139"/>
      <c r="D1333" s="139"/>
      <c r="E1333" s="129"/>
      <c r="F1333" s="129"/>
      <c r="G1333" s="129"/>
      <c r="H1333" s="129"/>
      <c r="I1333" s="129"/>
      <c r="J1333" s="129"/>
      <c r="K1333" s="129"/>
      <c r="L1333" s="129"/>
      <c r="M1333" s="129"/>
      <c r="N1333" s="129"/>
      <c r="O1333" s="129"/>
      <c r="P1333" s="129"/>
      <c r="Q1333" s="129"/>
      <c r="R1333" s="129"/>
      <c r="S1333" s="129"/>
      <c r="T1333" s="129"/>
      <c r="U1333" s="129"/>
      <c r="V1333" s="129"/>
      <c r="W1333" s="129"/>
      <c r="X1333" s="129"/>
      <c r="Y1333" s="129"/>
      <c r="Z1333" s="129"/>
      <c r="AA1333" s="129"/>
      <c r="AB1333" s="129"/>
    </row>
    <row r="1334" hidden="1">
      <c r="A1334" s="150" t="s">
        <v>1095</v>
      </c>
      <c r="B1334" s="147">
        <v>2990.0</v>
      </c>
      <c r="C1334" s="147">
        <v>2590.0</v>
      </c>
      <c r="D1334" s="132">
        <f>C1334-B1334</f>
        <v>-400</v>
      </c>
      <c r="E1334" s="132" t="s">
        <v>123</v>
      </c>
      <c r="F1334" s="139"/>
      <c r="G1334" s="129"/>
      <c r="H1334" s="129"/>
      <c r="I1334" s="129"/>
      <c r="J1334" s="129"/>
      <c r="K1334" s="129"/>
      <c r="L1334" s="129"/>
      <c r="M1334" s="129"/>
      <c r="N1334" s="129"/>
      <c r="O1334" s="129"/>
      <c r="P1334" s="129"/>
      <c r="Q1334" s="129"/>
      <c r="R1334" s="129"/>
      <c r="S1334" s="129"/>
      <c r="T1334" s="129"/>
      <c r="U1334" s="129"/>
      <c r="V1334" s="129"/>
      <c r="W1334" s="129"/>
      <c r="X1334" s="129"/>
      <c r="Y1334" s="129"/>
      <c r="Z1334" s="129"/>
      <c r="AA1334" s="129"/>
      <c r="AB1334" s="129"/>
    </row>
    <row r="1335" hidden="1">
      <c r="A1335" s="143"/>
      <c r="B1335" s="139"/>
      <c r="C1335" s="139"/>
      <c r="D1335" s="139"/>
      <c r="E1335" s="139"/>
      <c r="F1335" s="139"/>
      <c r="G1335" s="129"/>
      <c r="H1335" s="129"/>
      <c r="I1335" s="129"/>
      <c r="J1335" s="129"/>
      <c r="K1335" s="129"/>
      <c r="L1335" s="129"/>
      <c r="M1335" s="129"/>
      <c r="N1335" s="129"/>
      <c r="O1335" s="129"/>
      <c r="P1335" s="129"/>
      <c r="Q1335" s="129"/>
      <c r="R1335" s="129"/>
      <c r="S1335" s="129"/>
      <c r="T1335" s="129"/>
      <c r="U1335" s="129"/>
      <c r="V1335" s="129"/>
      <c r="W1335" s="129"/>
      <c r="X1335" s="129"/>
      <c r="Y1335" s="129"/>
      <c r="Z1335" s="129"/>
      <c r="AA1335" s="129"/>
      <c r="AB1335" s="129"/>
    </row>
    <row r="1336" hidden="1">
      <c r="A1336" s="144" t="s">
        <v>57</v>
      </c>
      <c r="B1336" s="145">
        <f t="shared" ref="B1336:D1336" si="153">SUM(B1333:B1335)</f>
        <v>2990</v>
      </c>
      <c r="C1336" s="145">
        <f t="shared" si="153"/>
        <v>2590</v>
      </c>
      <c r="D1336" s="145">
        <f t="shared" si="153"/>
        <v>-400</v>
      </c>
      <c r="E1336" s="146">
        <f>D1336/(C1336/100)</f>
        <v>-15.44401544</v>
      </c>
      <c r="F1336" s="129"/>
      <c r="G1336" s="129"/>
      <c r="H1336" s="129"/>
      <c r="I1336" s="129"/>
      <c r="J1336" s="129"/>
      <c r="K1336" s="129"/>
      <c r="L1336" s="129"/>
      <c r="M1336" s="129"/>
      <c r="N1336" s="129"/>
      <c r="O1336" s="129"/>
      <c r="P1336" s="129"/>
      <c r="Q1336" s="129"/>
      <c r="R1336" s="129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</row>
    <row r="1337" hidden="1">
      <c r="A1337" s="143"/>
      <c r="B1337" s="139"/>
      <c r="C1337" s="139"/>
      <c r="D1337" s="139"/>
      <c r="E1337" s="129"/>
      <c r="F1337" s="129"/>
      <c r="G1337" s="129"/>
      <c r="H1337" s="129"/>
      <c r="I1337" s="129"/>
      <c r="J1337" s="129"/>
      <c r="K1337" s="129"/>
      <c r="L1337" s="129"/>
      <c r="M1337" s="129"/>
      <c r="N1337" s="129"/>
      <c r="O1337" s="129"/>
      <c r="P1337" s="129"/>
      <c r="Q1337" s="129"/>
      <c r="R1337" s="129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</row>
    <row r="1338" hidden="1">
      <c r="A1338" s="383">
        <v>45689.0</v>
      </c>
      <c r="B1338" s="139"/>
      <c r="C1338" s="139"/>
      <c r="D1338" s="139"/>
      <c r="E1338" s="129"/>
      <c r="F1338" s="129"/>
      <c r="G1338" s="129"/>
      <c r="H1338" s="129"/>
      <c r="I1338" s="129"/>
      <c r="J1338" s="129"/>
      <c r="K1338" s="129"/>
      <c r="L1338" s="129"/>
      <c r="M1338" s="129"/>
      <c r="N1338" s="129"/>
      <c r="O1338" s="129"/>
      <c r="P1338" s="129"/>
      <c r="Q1338" s="129"/>
      <c r="R1338" s="129"/>
      <c r="S1338" s="129"/>
      <c r="T1338" s="129"/>
      <c r="U1338" s="129"/>
      <c r="V1338" s="129"/>
      <c r="W1338" s="129"/>
      <c r="X1338" s="129"/>
      <c r="Y1338" s="129"/>
      <c r="Z1338" s="129"/>
      <c r="AA1338" s="129"/>
      <c r="AB1338" s="129"/>
    </row>
    <row r="1339" hidden="1">
      <c r="A1339" s="150" t="s">
        <v>506</v>
      </c>
      <c r="B1339" s="147">
        <v>1490.0</v>
      </c>
      <c r="C1339" s="147">
        <v>6000.0</v>
      </c>
      <c r="D1339" s="132">
        <f t="shared" ref="D1339:D1342" si="154">C1339-B1339</f>
        <v>4510</v>
      </c>
      <c r="E1339" s="126" t="s">
        <v>123</v>
      </c>
      <c r="F1339" s="139"/>
      <c r="G1339" s="150"/>
      <c r="H1339" s="129"/>
      <c r="I1339" s="129"/>
      <c r="J1339" s="129"/>
      <c r="K1339" s="129"/>
      <c r="L1339" s="129"/>
      <c r="M1339" s="129"/>
      <c r="N1339" s="129"/>
      <c r="O1339" s="129"/>
      <c r="P1339" s="129"/>
      <c r="Q1339" s="129"/>
      <c r="R1339" s="129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</row>
    <row r="1340" hidden="1">
      <c r="A1340" s="128" t="s">
        <v>1096</v>
      </c>
      <c r="B1340" s="147">
        <v>1390.0</v>
      </c>
      <c r="C1340" s="147">
        <v>0.0</v>
      </c>
      <c r="D1340" s="132">
        <f t="shared" si="154"/>
        <v>-1390</v>
      </c>
      <c r="E1340" s="126" t="s">
        <v>123</v>
      </c>
      <c r="F1340" s="139"/>
      <c r="I1340" s="129"/>
      <c r="L1340" s="129"/>
      <c r="M1340" s="129"/>
      <c r="N1340" s="129"/>
      <c r="O1340" s="129"/>
      <c r="P1340" s="129"/>
      <c r="Q1340" s="129"/>
      <c r="R1340" s="129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</row>
    <row r="1341" hidden="1">
      <c r="A1341" s="150" t="s">
        <v>1097</v>
      </c>
      <c r="B1341" s="132">
        <v>990.0</v>
      </c>
      <c r="C1341" s="147">
        <v>0.0</v>
      </c>
      <c r="D1341" s="132">
        <f t="shared" si="154"/>
        <v>-990</v>
      </c>
      <c r="E1341" s="392" t="s">
        <v>123</v>
      </c>
      <c r="F1341" s="139"/>
      <c r="G1341" s="129"/>
      <c r="H1341" s="129"/>
      <c r="I1341" s="129"/>
      <c r="J1341" s="129"/>
      <c r="K1341" s="129"/>
      <c r="L1341" s="129"/>
      <c r="M1341" s="129"/>
      <c r="N1341" s="129"/>
      <c r="O1341" s="129"/>
      <c r="P1341" s="129"/>
      <c r="Q1341" s="129"/>
      <c r="R1341" s="129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</row>
    <row r="1342" hidden="1">
      <c r="A1342" s="123" t="s">
        <v>494</v>
      </c>
      <c r="B1342" s="147">
        <v>1290.0</v>
      </c>
      <c r="C1342" s="147">
        <v>0.0</v>
      </c>
      <c r="D1342" s="125">
        <f t="shared" si="154"/>
        <v>-1290</v>
      </c>
      <c r="E1342" s="132" t="s">
        <v>123</v>
      </c>
    </row>
    <row r="1343" hidden="1">
      <c r="A1343" s="143"/>
      <c r="B1343" s="139"/>
      <c r="C1343" s="139"/>
      <c r="D1343" s="139"/>
      <c r="E1343" s="139"/>
      <c r="F1343" s="139"/>
      <c r="G1343" s="129"/>
      <c r="H1343" s="129"/>
      <c r="I1343" s="129"/>
      <c r="J1343" s="129"/>
      <c r="K1343" s="129"/>
      <c r="L1343" s="129"/>
      <c r="M1343" s="129"/>
      <c r="N1343" s="129"/>
      <c r="O1343" s="129"/>
      <c r="P1343" s="129"/>
      <c r="Q1343" s="129"/>
      <c r="R1343" s="129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</row>
    <row r="1344" hidden="1">
      <c r="A1344" s="144" t="s">
        <v>57</v>
      </c>
      <c r="B1344" s="145">
        <f t="shared" ref="B1344:D1344" si="155">SUM(B1338:B1343)</f>
        <v>5160</v>
      </c>
      <c r="C1344" s="145">
        <f t="shared" si="155"/>
        <v>6000</v>
      </c>
      <c r="D1344" s="145">
        <f t="shared" si="155"/>
        <v>840</v>
      </c>
      <c r="E1344" s="395">
        <f>D1344/(C1344/100)</f>
        <v>14</v>
      </c>
      <c r="F1344" s="129"/>
      <c r="G1344" s="129"/>
      <c r="H1344" s="129"/>
      <c r="I1344" s="129"/>
      <c r="J1344" s="129"/>
      <c r="K1344" s="129"/>
      <c r="L1344" s="129"/>
      <c r="M1344" s="129"/>
      <c r="N1344" s="129"/>
      <c r="O1344" s="129"/>
      <c r="P1344" s="129"/>
      <c r="Q1344" s="129"/>
      <c r="R1344" s="129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</row>
    <row r="1345" hidden="1">
      <c r="A1345" s="143"/>
      <c r="B1345" s="139"/>
      <c r="C1345" s="139"/>
      <c r="D1345" s="139"/>
      <c r="E1345" s="129"/>
      <c r="F1345" s="129"/>
      <c r="G1345" s="129"/>
      <c r="H1345" s="129"/>
      <c r="I1345" s="129"/>
      <c r="J1345" s="129"/>
      <c r="K1345" s="129"/>
      <c r="L1345" s="129"/>
      <c r="M1345" s="129"/>
      <c r="N1345" s="129"/>
      <c r="O1345" s="129"/>
      <c r="P1345" s="129"/>
      <c r="Q1345" s="129"/>
      <c r="R1345" s="129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</row>
    <row r="1346" hidden="1">
      <c r="A1346" s="383">
        <v>45658.0</v>
      </c>
      <c r="B1346" s="139"/>
      <c r="C1346" s="139"/>
      <c r="D1346" s="139"/>
      <c r="E1346" s="129"/>
      <c r="F1346" s="129"/>
      <c r="G1346" s="129"/>
      <c r="H1346" s="129"/>
      <c r="I1346" s="129"/>
      <c r="J1346" s="129"/>
      <c r="K1346" s="129"/>
      <c r="L1346" s="129"/>
      <c r="M1346" s="129"/>
      <c r="N1346" s="129"/>
      <c r="O1346" s="129"/>
      <c r="P1346" s="129"/>
      <c r="Q1346" s="129"/>
      <c r="R1346" s="129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</row>
    <row r="1347" hidden="1">
      <c r="A1347" s="123" t="s">
        <v>1098</v>
      </c>
      <c r="B1347" s="147">
        <v>3490.0</v>
      </c>
      <c r="C1347" s="124">
        <v>3190.0</v>
      </c>
      <c r="D1347" s="125">
        <f>C1347-B1347</f>
        <v>-300</v>
      </c>
      <c r="E1347" s="126" t="s">
        <v>123</v>
      </c>
      <c r="F1347" s="124"/>
    </row>
    <row r="1348" hidden="1">
      <c r="A1348" s="143"/>
      <c r="B1348" s="139"/>
      <c r="C1348" s="139"/>
      <c r="D1348" s="139"/>
      <c r="E1348" s="139"/>
      <c r="F1348" s="139"/>
      <c r="G1348" s="129"/>
      <c r="H1348" s="129"/>
      <c r="I1348" s="129"/>
      <c r="J1348" s="129"/>
      <c r="K1348" s="129"/>
      <c r="L1348" s="129"/>
      <c r="M1348" s="129"/>
      <c r="N1348" s="129"/>
      <c r="O1348" s="129"/>
      <c r="P1348" s="129"/>
      <c r="Q1348" s="129"/>
      <c r="R1348" s="129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</row>
    <row r="1349" hidden="1">
      <c r="A1349" s="144" t="s">
        <v>57</v>
      </c>
      <c r="B1349" s="145">
        <f t="shared" ref="B1349:D1349" si="156">SUM(B1346:B1348)</f>
        <v>3490</v>
      </c>
      <c r="C1349" s="145">
        <f t="shared" si="156"/>
        <v>3190</v>
      </c>
      <c r="D1349" s="145">
        <f t="shared" si="156"/>
        <v>-300</v>
      </c>
      <c r="E1349" s="395">
        <f t="shared" ref="E1349:E1350" si="157">D1349/(C1349/100)</f>
        <v>-9.404388715</v>
      </c>
      <c r="F1349" s="129"/>
      <c r="G1349" s="129"/>
      <c r="H1349" s="129"/>
      <c r="I1349" s="129"/>
      <c r="J1349" s="129"/>
      <c r="K1349" s="129"/>
      <c r="L1349" s="129"/>
      <c r="M1349" s="129"/>
      <c r="N1349" s="129"/>
      <c r="O1349" s="129"/>
      <c r="P1349" s="129"/>
      <c r="Q1349" s="129"/>
      <c r="R1349" s="129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</row>
    <row r="1350">
      <c r="A1350" s="215" t="s">
        <v>1099</v>
      </c>
      <c r="B1350" s="204">
        <f>SUM(B1178,B1253,B1280,B1288,B1310,B1321,B1326,B1331,B1336,B1344,B1349)</f>
        <v>240849</v>
      </c>
      <c r="C1350" s="204">
        <f>SUM(C1131,C1178,C1253,C1280,C1288,C1310,C1321,C1326,C1331,C1336,C1344,C1349)</f>
        <v>396594</v>
      </c>
      <c r="D1350" s="204">
        <f>SUM(D1178,D1253,D1280,D1288,D1310,D1321,D1326,D1331,D1336,D1344,D1349)</f>
        <v>-6538</v>
      </c>
      <c r="E1350" s="396">
        <f t="shared" si="157"/>
        <v>-1.648537295</v>
      </c>
      <c r="F1350" s="217"/>
      <c r="G1350" s="217"/>
      <c r="H1350" s="217"/>
      <c r="I1350" s="217"/>
      <c r="J1350" s="217"/>
      <c r="K1350" s="217"/>
      <c r="L1350" s="217"/>
      <c r="M1350" s="217"/>
      <c r="N1350" s="217"/>
      <c r="O1350" s="217"/>
      <c r="P1350" s="217"/>
      <c r="Q1350" s="217"/>
      <c r="R1350" s="217"/>
      <c r="S1350" s="217"/>
      <c r="T1350" s="217"/>
      <c r="U1350" s="217"/>
      <c r="V1350" s="217"/>
      <c r="W1350" s="217"/>
      <c r="X1350" s="217"/>
      <c r="Y1350" s="217"/>
      <c r="Z1350" s="217"/>
      <c r="AA1350" s="217"/>
      <c r="AB1350" s="217"/>
    </row>
    <row r="1351">
      <c r="A1351" s="205"/>
      <c r="B1351" s="139"/>
      <c r="C1351" s="139"/>
      <c r="D1351" s="139"/>
      <c r="E1351" s="129"/>
      <c r="F1351" s="129"/>
      <c r="G1351" s="129"/>
      <c r="H1351" s="129"/>
      <c r="I1351" s="129"/>
      <c r="J1351" s="129"/>
      <c r="K1351" s="129"/>
      <c r="L1351" s="129"/>
      <c r="M1351" s="129"/>
      <c r="N1351" s="129"/>
      <c r="O1351" s="129"/>
      <c r="P1351" s="129"/>
      <c r="Q1351" s="129"/>
      <c r="R1351" s="129"/>
      <c r="S1351" s="129"/>
      <c r="T1351" s="129"/>
      <c r="U1351" s="129"/>
      <c r="V1351" s="129"/>
      <c r="W1351" s="129"/>
      <c r="X1351" s="129"/>
      <c r="Y1351" s="129"/>
      <c r="Z1351" s="129"/>
      <c r="AA1351" s="129"/>
      <c r="AB1351" s="129"/>
    </row>
    <row r="1352">
      <c r="A1352" s="205" t="s">
        <v>1100</v>
      </c>
      <c r="B1352" s="139"/>
      <c r="C1352" s="139"/>
      <c r="D1352" s="139"/>
      <c r="E1352" s="129"/>
      <c r="F1352" s="129"/>
      <c r="G1352" s="129"/>
      <c r="H1352" s="129"/>
      <c r="I1352" s="129"/>
      <c r="J1352" s="129"/>
      <c r="K1352" s="129"/>
      <c r="L1352" s="129"/>
      <c r="M1352" s="129"/>
      <c r="N1352" s="129"/>
      <c r="O1352" s="129"/>
      <c r="P1352" s="129"/>
      <c r="Q1352" s="129"/>
      <c r="R1352" s="129"/>
      <c r="S1352" s="129"/>
      <c r="T1352" s="129"/>
      <c r="U1352" s="129"/>
      <c r="V1352" s="129"/>
      <c r="W1352" s="129"/>
      <c r="X1352" s="129"/>
      <c r="Y1352" s="129"/>
      <c r="Z1352" s="129"/>
      <c r="AA1352" s="129"/>
      <c r="AB1352" s="129"/>
    </row>
    <row r="1353" hidden="1">
      <c r="A1353" s="397">
        <v>45627.0</v>
      </c>
      <c r="B1353" s="139"/>
      <c r="C1353" s="139"/>
      <c r="D1353" s="139"/>
      <c r="E1353" s="129"/>
      <c r="F1353" s="129"/>
      <c r="G1353" s="129"/>
      <c r="H1353" s="129"/>
      <c r="I1353" s="129"/>
      <c r="J1353" s="129"/>
      <c r="K1353" s="129"/>
      <c r="L1353" s="129"/>
      <c r="M1353" s="129"/>
      <c r="N1353" s="129"/>
      <c r="O1353" s="129"/>
      <c r="P1353" s="129"/>
      <c r="Q1353" s="129"/>
      <c r="R1353" s="129"/>
      <c r="S1353" s="129"/>
      <c r="T1353" s="129"/>
      <c r="U1353" s="129"/>
      <c r="V1353" s="129"/>
      <c r="W1353" s="129"/>
      <c r="X1353" s="129"/>
      <c r="Y1353" s="129"/>
      <c r="Z1353" s="129"/>
      <c r="AA1353" s="129"/>
      <c r="AB1353" s="129"/>
    </row>
    <row r="1354" hidden="1">
      <c r="A1354" s="128" t="s">
        <v>506</v>
      </c>
      <c r="B1354" s="147">
        <v>1490.0</v>
      </c>
      <c r="C1354" s="147">
        <v>2310.0</v>
      </c>
      <c r="D1354" s="132">
        <f>C1354-B1354</f>
        <v>820</v>
      </c>
      <c r="E1354" s="126" t="s">
        <v>123</v>
      </c>
      <c r="F1354" s="124"/>
    </row>
    <row r="1355" hidden="1">
      <c r="A1355" s="143"/>
      <c r="B1355" s="139"/>
      <c r="C1355" s="139"/>
      <c r="D1355" s="139"/>
      <c r="E1355" s="129"/>
      <c r="F1355" s="129"/>
      <c r="G1355" s="129"/>
      <c r="H1355" s="129"/>
      <c r="I1355" s="129"/>
      <c r="J1355" s="129"/>
      <c r="K1355" s="129"/>
      <c r="L1355" s="129"/>
      <c r="M1355" s="129"/>
      <c r="N1355" s="129"/>
      <c r="O1355" s="129"/>
      <c r="P1355" s="129"/>
      <c r="Q1355" s="129"/>
      <c r="R1355" s="129"/>
      <c r="S1355" s="129"/>
      <c r="T1355" s="129"/>
      <c r="U1355" s="129"/>
      <c r="V1355" s="129"/>
      <c r="W1355" s="129"/>
      <c r="X1355" s="129"/>
      <c r="Y1355" s="129"/>
      <c r="Z1355" s="129"/>
      <c r="AA1355" s="129"/>
      <c r="AB1355" s="129"/>
    </row>
    <row r="1356" hidden="1">
      <c r="A1356" s="144" t="s">
        <v>57</v>
      </c>
      <c r="B1356" s="145">
        <f t="shared" ref="B1356:D1356" si="158">SUM(B1353:B1355)</f>
        <v>1490</v>
      </c>
      <c r="C1356" s="145">
        <f t="shared" si="158"/>
        <v>2310</v>
      </c>
      <c r="D1356" s="145">
        <f t="shared" si="158"/>
        <v>820</v>
      </c>
      <c r="E1356" s="146">
        <f>D1356/(C1356/100)</f>
        <v>35.4978355</v>
      </c>
      <c r="F1356" s="129"/>
      <c r="G1356" s="129"/>
      <c r="H1356" s="129"/>
      <c r="I1356" s="129"/>
      <c r="J1356" s="129"/>
      <c r="K1356" s="129"/>
      <c r="L1356" s="129"/>
      <c r="M1356" s="129"/>
      <c r="N1356" s="129"/>
      <c r="O1356" s="129"/>
      <c r="P1356" s="129"/>
      <c r="Q1356" s="129"/>
      <c r="R1356" s="129"/>
      <c r="S1356" s="129"/>
      <c r="T1356" s="129"/>
      <c r="U1356" s="129"/>
      <c r="V1356" s="129"/>
      <c r="W1356" s="129"/>
      <c r="X1356" s="129"/>
      <c r="Y1356" s="129"/>
      <c r="Z1356" s="129"/>
      <c r="AA1356" s="129"/>
      <c r="AB1356" s="129"/>
    </row>
    <row r="1357" hidden="1">
      <c r="A1357" s="143"/>
      <c r="B1357" s="139"/>
      <c r="C1357" s="139"/>
      <c r="D1357" s="139"/>
      <c r="E1357" s="139"/>
      <c r="F1357" s="139"/>
      <c r="G1357" s="129"/>
      <c r="H1357" s="129"/>
      <c r="I1357" s="129"/>
      <c r="J1357" s="129"/>
      <c r="K1357" s="129"/>
      <c r="L1357" s="129"/>
      <c r="M1357" s="129"/>
      <c r="N1357" s="129"/>
      <c r="O1357" s="129"/>
      <c r="P1357" s="129"/>
      <c r="Q1357" s="129"/>
      <c r="R1357" s="129"/>
      <c r="S1357" s="129"/>
      <c r="T1357" s="129"/>
      <c r="U1357" s="129"/>
      <c r="V1357" s="129"/>
      <c r="W1357" s="129"/>
      <c r="X1357" s="129"/>
      <c r="Y1357" s="129"/>
      <c r="Z1357" s="129"/>
      <c r="AA1357" s="129"/>
      <c r="AB1357" s="129"/>
    </row>
    <row r="1358" hidden="1">
      <c r="A1358" s="397">
        <v>45597.0</v>
      </c>
      <c r="B1358" s="139"/>
      <c r="C1358" s="139"/>
      <c r="D1358" s="139"/>
      <c r="E1358" s="129"/>
      <c r="F1358" s="129"/>
      <c r="G1358" s="129"/>
      <c r="H1358" s="129"/>
      <c r="I1358" s="129"/>
      <c r="J1358" s="129"/>
      <c r="K1358" s="129"/>
      <c r="L1358" s="129"/>
      <c r="M1358" s="129"/>
      <c r="N1358" s="129"/>
      <c r="O1358" s="129"/>
      <c r="P1358" s="129"/>
      <c r="Q1358" s="129"/>
      <c r="R1358" s="129"/>
      <c r="S1358" s="129"/>
      <c r="T1358" s="129"/>
      <c r="U1358" s="129"/>
      <c r="V1358" s="129"/>
      <c r="W1358" s="129"/>
      <c r="X1358" s="129"/>
      <c r="Y1358" s="129"/>
      <c r="Z1358" s="129"/>
      <c r="AA1358" s="129"/>
      <c r="AB1358" s="129"/>
    </row>
    <row r="1359" hidden="1">
      <c r="A1359" s="143"/>
      <c r="B1359" s="132"/>
      <c r="C1359" s="132"/>
      <c r="D1359" s="132"/>
      <c r="E1359" s="132"/>
      <c r="F1359" s="139"/>
      <c r="G1359" s="129"/>
      <c r="H1359" s="129"/>
      <c r="I1359" s="129"/>
      <c r="J1359" s="129"/>
      <c r="K1359" s="129"/>
      <c r="L1359" s="129"/>
      <c r="M1359" s="129"/>
      <c r="N1359" s="129"/>
      <c r="O1359" s="129"/>
      <c r="P1359" s="129"/>
      <c r="Q1359" s="129"/>
      <c r="R1359" s="129"/>
      <c r="S1359" s="129"/>
      <c r="T1359" s="129"/>
      <c r="U1359" s="129"/>
      <c r="V1359" s="129"/>
      <c r="W1359" s="129"/>
      <c r="X1359" s="129"/>
      <c r="Y1359" s="129"/>
      <c r="Z1359" s="129"/>
      <c r="AA1359" s="129"/>
      <c r="AB1359" s="129"/>
    </row>
    <row r="1360" hidden="1">
      <c r="A1360" s="150" t="s">
        <v>1083</v>
      </c>
      <c r="B1360" s="147">
        <v>1990.0</v>
      </c>
      <c r="C1360" s="147">
        <v>3200.0</v>
      </c>
      <c r="D1360" s="132">
        <f t="shared" ref="D1360:D1362" si="159">C1360-B1360</f>
        <v>1210</v>
      </c>
      <c r="E1360" s="126" t="s">
        <v>123</v>
      </c>
      <c r="F1360" s="139"/>
      <c r="G1360" s="129"/>
      <c r="H1360" s="129"/>
      <c r="I1360" s="129"/>
      <c r="J1360" s="129"/>
      <c r="K1360" s="129"/>
      <c r="L1360" s="129"/>
      <c r="M1360" s="129"/>
      <c r="N1360" s="129"/>
      <c r="O1360" s="129"/>
      <c r="P1360" s="129"/>
      <c r="Q1360" s="129"/>
      <c r="R1360" s="129"/>
      <c r="S1360" s="129"/>
      <c r="T1360" s="129"/>
      <c r="U1360" s="129"/>
      <c r="V1360" s="129"/>
      <c r="W1360" s="129"/>
      <c r="X1360" s="129"/>
      <c r="Y1360" s="129"/>
      <c r="Z1360" s="129"/>
      <c r="AA1360" s="129"/>
      <c r="AB1360" s="129"/>
    </row>
    <row r="1361" hidden="1">
      <c r="A1361" s="150" t="s">
        <v>436</v>
      </c>
      <c r="B1361" s="147">
        <v>1690.0</v>
      </c>
      <c r="C1361" s="147">
        <v>4000.0</v>
      </c>
      <c r="D1361" s="132">
        <f t="shared" si="159"/>
        <v>2310</v>
      </c>
      <c r="E1361" s="126" t="s">
        <v>123</v>
      </c>
      <c r="F1361" s="139"/>
      <c r="G1361" s="129"/>
      <c r="H1361" s="129"/>
      <c r="I1361" s="129"/>
      <c r="J1361" s="129"/>
      <c r="K1361" s="129"/>
      <c r="L1361" s="129"/>
      <c r="M1361" s="129"/>
      <c r="N1361" s="129"/>
      <c r="O1361" s="129"/>
      <c r="P1361" s="129"/>
      <c r="Q1361" s="129"/>
      <c r="R1361" s="129"/>
      <c r="S1361" s="129"/>
      <c r="T1361" s="129"/>
      <c r="U1361" s="129"/>
      <c r="V1361" s="129"/>
      <c r="W1361" s="129"/>
      <c r="X1361" s="129"/>
      <c r="Y1361" s="129"/>
      <c r="Z1361" s="129"/>
      <c r="AA1361" s="129"/>
      <c r="AB1361" s="129"/>
    </row>
    <row r="1362" hidden="1">
      <c r="A1362" s="128" t="s">
        <v>506</v>
      </c>
      <c r="B1362" s="147">
        <v>1490.0</v>
      </c>
      <c r="C1362" s="147">
        <v>0.0</v>
      </c>
      <c r="D1362" s="132">
        <f t="shared" si="159"/>
        <v>-1490</v>
      </c>
      <c r="E1362" s="126" t="s">
        <v>123</v>
      </c>
      <c r="F1362" s="124"/>
    </row>
    <row r="1363" hidden="1">
      <c r="A1363" s="143"/>
      <c r="B1363" s="139"/>
      <c r="C1363" s="139"/>
      <c r="D1363" s="139"/>
      <c r="E1363" s="166"/>
      <c r="F1363" s="129"/>
      <c r="G1363" s="129"/>
      <c r="H1363" s="129"/>
      <c r="I1363" s="129"/>
      <c r="J1363" s="129"/>
      <c r="K1363" s="129"/>
      <c r="L1363" s="129"/>
      <c r="M1363" s="129"/>
      <c r="N1363" s="129"/>
      <c r="O1363" s="129"/>
      <c r="P1363" s="129"/>
      <c r="Q1363" s="129"/>
      <c r="R1363" s="129"/>
      <c r="S1363" s="129"/>
      <c r="T1363" s="129"/>
      <c r="U1363" s="129"/>
      <c r="V1363" s="129"/>
      <c r="W1363" s="129"/>
      <c r="X1363" s="129"/>
      <c r="Y1363" s="129"/>
      <c r="Z1363" s="129"/>
      <c r="AA1363" s="129"/>
      <c r="AB1363" s="129"/>
    </row>
    <row r="1364" hidden="1">
      <c r="A1364" s="144" t="s">
        <v>57</v>
      </c>
      <c r="B1364" s="145">
        <f t="shared" ref="B1364:D1364" si="160">SUM(B1360:B1362)</f>
        <v>5170</v>
      </c>
      <c r="C1364" s="145">
        <f t="shared" si="160"/>
        <v>7200</v>
      </c>
      <c r="D1364" s="145">
        <f t="shared" si="160"/>
        <v>2030</v>
      </c>
      <c r="E1364" s="146">
        <f>D1364/(C1364/100)</f>
        <v>28.19444444</v>
      </c>
      <c r="F1364" s="129"/>
      <c r="G1364" s="129"/>
      <c r="H1364" s="129"/>
      <c r="I1364" s="129"/>
      <c r="J1364" s="129"/>
      <c r="K1364" s="129"/>
      <c r="L1364" s="129"/>
      <c r="M1364" s="129"/>
      <c r="N1364" s="129"/>
      <c r="O1364" s="129"/>
      <c r="P1364" s="129"/>
      <c r="Q1364" s="129"/>
      <c r="R1364" s="129"/>
      <c r="S1364" s="129"/>
      <c r="T1364" s="129"/>
      <c r="U1364" s="129"/>
      <c r="V1364" s="129"/>
      <c r="W1364" s="129"/>
      <c r="X1364" s="129"/>
      <c r="Y1364" s="129"/>
      <c r="Z1364" s="129"/>
      <c r="AA1364" s="129"/>
      <c r="AB1364" s="129"/>
    </row>
    <row r="1365" hidden="1">
      <c r="A1365" s="143"/>
      <c r="B1365" s="139"/>
      <c r="C1365" s="139"/>
      <c r="D1365" s="139"/>
      <c r="E1365" s="139"/>
      <c r="F1365" s="139"/>
      <c r="G1365" s="129"/>
      <c r="H1365" s="129"/>
      <c r="I1365" s="129"/>
      <c r="J1365" s="129"/>
      <c r="K1365" s="129"/>
      <c r="L1365" s="129"/>
      <c r="M1365" s="129"/>
      <c r="N1365" s="129"/>
      <c r="O1365" s="129"/>
      <c r="P1365" s="129"/>
      <c r="Q1365" s="129"/>
      <c r="R1365" s="129"/>
      <c r="S1365" s="129"/>
      <c r="T1365" s="129"/>
      <c r="U1365" s="129"/>
      <c r="V1365" s="129"/>
      <c r="W1365" s="129"/>
      <c r="X1365" s="129"/>
      <c r="Y1365" s="129"/>
      <c r="Z1365" s="129"/>
      <c r="AA1365" s="129"/>
      <c r="AB1365" s="129"/>
    </row>
    <row r="1366" hidden="1">
      <c r="A1366" s="397">
        <v>45566.0</v>
      </c>
      <c r="B1366" s="139"/>
      <c r="C1366" s="139"/>
      <c r="D1366" s="139"/>
      <c r="E1366" s="129"/>
      <c r="F1366" s="129"/>
      <c r="G1366" s="129"/>
      <c r="H1366" s="129"/>
      <c r="I1366" s="129"/>
      <c r="J1366" s="129"/>
      <c r="K1366" s="129"/>
      <c r="L1366" s="129"/>
      <c r="M1366" s="129"/>
      <c r="N1366" s="129"/>
      <c r="O1366" s="129"/>
      <c r="P1366" s="129"/>
      <c r="Q1366" s="129"/>
      <c r="R1366" s="129"/>
      <c r="S1366" s="129"/>
      <c r="T1366" s="129"/>
      <c r="U1366" s="129"/>
      <c r="V1366" s="129"/>
      <c r="W1366" s="129"/>
      <c r="X1366" s="129"/>
      <c r="Y1366" s="129"/>
      <c r="Z1366" s="129"/>
      <c r="AA1366" s="129"/>
      <c r="AB1366" s="129"/>
    </row>
    <row r="1367" hidden="1">
      <c r="A1367" s="143"/>
      <c r="B1367" s="132"/>
      <c r="C1367" s="132"/>
      <c r="D1367" s="132"/>
      <c r="E1367" s="132"/>
      <c r="F1367" s="139"/>
      <c r="G1367" s="129"/>
      <c r="H1367" s="129"/>
      <c r="I1367" s="129"/>
      <c r="J1367" s="129"/>
      <c r="K1367" s="129"/>
      <c r="L1367" s="129"/>
      <c r="M1367" s="129"/>
      <c r="N1367" s="129"/>
      <c r="O1367" s="129"/>
      <c r="P1367" s="129"/>
      <c r="Q1367" s="129"/>
      <c r="R1367" s="129"/>
      <c r="S1367" s="129"/>
      <c r="T1367" s="129"/>
      <c r="U1367" s="129"/>
      <c r="V1367" s="129"/>
      <c r="W1367" s="129"/>
      <c r="X1367" s="129"/>
      <c r="Y1367" s="129"/>
      <c r="Z1367" s="129"/>
      <c r="AA1367" s="129"/>
      <c r="AB1367" s="129"/>
    </row>
    <row r="1368" hidden="1">
      <c r="A1368" s="128" t="s">
        <v>1101</v>
      </c>
      <c r="B1368" s="147">
        <v>1290.0</v>
      </c>
      <c r="C1368" s="147">
        <v>22000.0</v>
      </c>
      <c r="D1368" s="392">
        <f t="shared" ref="D1368:D1393" si="161">C1368-B1368</f>
        <v>20710</v>
      </c>
      <c r="E1368" s="392" t="s">
        <v>123</v>
      </c>
      <c r="F1368" s="139"/>
      <c r="G1368" s="150"/>
      <c r="H1368" s="129"/>
      <c r="I1368" s="129"/>
      <c r="J1368" s="129"/>
      <c r="K1368" s="129"/>
      <c r="L1368" s="129"/>
      <c r="M1368" s="129"/>
      <c r="N1368" s="129"/>
      <c r="O1368" s="129"/>
      <c r="P1368" s="129"/>
      <c r="Q1368" s="129"/>
      <c r="R1368" s="129"/>
      <c r="S1368" s="129"/>
      <c r="T1368" s="129"/>
      <c r="U1368" s="129"/>
      <c r="V1368" s="129"/>
      <c r="W1368" s="129"/>
      <c r="X1368" s="129"/>
      <c r="Y1368" s="129"/>
      <c r="Z1368" s="129"/>
      <c r="AA1368" s="129"/>
      <c r="AB1368" s="129"/>
    </row>
    <row r="1369" hidden="1">
      <c r="A1369" s="128" t="s">
        <v>1102</v>
      </c>
      <c r="B1369" s="147">
        <v>1290.0</v>
      </c>
      <c r="C1369" s="147">
        <v>0.0</v>
      </c>
      <c r="D1369" s="392">
        <f t="shared" si="161"/>
        <v>-1290</v>
      </c>
      <c r="E1369" s="392" t="s">
        <v>123</v>
      </c>
      <c r="F1369" s="127"/>
      <c r="G1369" s="150"/>
      <c r="H1369" s="129"/>
      <c r="I1369" s="129"/>
      <c r="J1369" s="129"/>
      <c r="K1369" s="129"/>
      <c r="L1369" s="129"/>
      <c r="M1369" s="129"/>
      <c r="N1369" s="129"/>
      <c r="O1369" s="129"/>
      <c r="P1369" s="129"/>
      <c r="Q1369" s="129"/>
      <c r="R1369" s="129"/>
      <c r="S1369" s="129"/>
      <c r="T1369" s="129"/>
      <c r="U1369" s="129"/>
      <c r="V1369" s="129"/>
      <c r="W1369" s="129"/>
      <c r="X1369" s="129"/>
      <c r="Y1369" s="129"/>
      <c r="Z1369" s="129"/>
      <c r="AA1369" s="129"/>
      <c r="AB1369" s="129"/>
    </row>
    <row r="1370" hidden="1">
      <c r="A1370" s="128" t="s">
        <v>1103</v>
      </c>
      <c r="B1370" s="147">
        <v>1390.0</v>
      </c>
      <c r="C1370" s="147">
        <v>0.0</v>
      </c>
      <c r="D1370" s="392">
        <f t="shared" si="161"/>
        <v>-1390</v>
      </c>
      <c r="E1370" s="392" t="s">
        <v>123</v>
      </c>
      <c r="F1370" s="139"/>
      <c r="G1370" s="150"/>
      <c r="H1370" s="129"/>
      <c r="I1370" s="129"/>
      <c r="J1370" s="129"/>
      <c r="K1370" s="129"/>
      <c r="L1370" s="129"/>
      <c r="M1370" s="129"/>
      <c r="N1370" s="129"/>
      <c r="O1370" s="129"/>
      <c r="P1370" s="129"/>
      <c r="Q1370" s="129"/>
      <c r="R1370" s="129"/>
      <c r="S1370" s="129"/>
      <c r="T1370" s="129"/>
      <c r="U1370" s="129"/>
      <c r="V1370" s="129"/>
      <c r="W1370" s="129"/>
      <c r="X1370" s="129"/>
      <c r="Y1370" s="129"/>
      <c r="Z1370" s="129"/>
      <c r="AA1370" s="129"/>
      <c r="AB1370" s="129"/>
    </row>
    <row r="1371" hidden="1">
      <c r="A1371" s="338" t="s">
        <v>1104</v>
      </c>
      <c r="B1371" s="392">
        <v>790.0</v>
      </c>
      <c r="C1371" s="147">
        <v>0.0</v>
      </c>
      <c r="D1371" s="392">
        <f t="shared" si="161"/>
        <v>-790</v>
      </c>
      <c r="E1371" s="392" t="s">
        <v>123</v>
      </c>
      <c r="F1371" s="139"/>
      <c r="G1371" s="129"/>
      <c r="H1371" s="129"/>
      <c r="I1371" s="129"/>
      <c r="J1371" s="129"/>
      <c r="K1371" s="129"/>
      <c r="L1371" s="129"/>
      <c r="M1371" s="129"/>
      <c r="N1371" s="129"/>
      <c r="O1371" s="129"/>
      <c r="P1371" s="129"/>
      <c r="Q1371" s="129"/>
      <c r="R1371" s="129"/>
      <c r="S1371" s="129"/>
      <c r="T1371" s="129"/>
      <c r="U1371" s="129"/>
      <c r="V1371" s="129"/>
      <c r="W1371" s="129"/>
      <c r="X1371" s="129"/>
      <c r="Y1371" s="129"/>
      <c r="Z1371" s="129"/>
      <c r="AA1371" s="129"/>
      <c r="AB1371" s="129"/>
    </row>
    <row r="1372" hidden="1">
      <c r="A1372" s="128" t="s">
        <v>1105</v>
      </c>
      <c r="B1372" s="147">
        <v>1090.0</v>
      </c>
      <c r="C1372" s="147">
        <v>0.0</v>
      </c>
      <c r="D1372" s="392">
        <f t="shared" si="161"/>
        <v>-1090</v>
      </c>
      <c r="E1372" s="392" t="s">
        <v>123</v>
      </c>
      <c r="F1372" s="127"/>
      <c r="G1372" s="150"/>
      <c r="H1372" s="129"/>
      <c r="I1372" s="129"/>
      <c r="J1372" s="129"/>
      <c r="K1372" s="129"/>
      <c r="L1372" s="129"/>
      <c r="M1372" s="129"/>
      <c r="N1372" s="129"/>
      <c r="O1372" s="129"/>
      <c r="P1372" s="129"/>
      <c r="Q1372" s="129"/>
      <c r="R1372" s="129"/>
      <c r="S1372" s="129"/>
      <c r="T1372" s="129"/>
      <c r="U1372" s="129"/>
      <c r="V1372" s="129"/>
      <c r="W1372" s="129"/>
      <c r="X1372" s="129"/>
      <c r="Y1372" s="129"/>
      <c r="Z1372" s="129"/>
      <c r="AA1372" s="129"/>
      <c r="AB1372" s="129"/>
    </row>
    <row r="1373" hidden="1">
      <c r="A1373" s="128" t="s">
        <v>1106</v>
      </c>
      <c r="B1373" s="147">
        <v>1090.0</v>
      </c>
      <c r="C1373" s="147">
        <v>0.0</v>
      </c>
      <c r="D1373" s="392">
        <f t="shared" si="161"/>
        <v>-1090</v>
      </c>
      <c r="E1373" s="392" t="s">
        <v>123</v>
      </c>
      <c r="F1373" s="127"/>
      <c r="G1373" s="150"/>
      <c r="H1373" s="129"/>
      <c r="I1373" s="129"/>
      <c r="J1373" s="129"/>
      <c r="K1373" s="129"/>
      <c r="L1373" s="129"/>
      <c r="M1373" s="129"/>
      <c r="N1373" s="129"/>
      <c r="O1373" s="129"/>
      <c r="P1373" s="129"/>
      <c r="Q1373" s="129"/>
      <c r="R1373" s="129"/>
      <c r="S1373" s="129"/>
      <c r="T1373" s="129"/>
      <c r="U1373" s="129"/>
      <c r="V1373" s="129"/>
      <c r="W1373" s="129"/>
      <c r="X1373" s="129"/>
      <c r="Y1373" s="129"/>
      <c r="Z1373" s="129"/>
      <c r="AA1373" s="129"/>
      <c r="AB1373" s="129"/>
    </row>
    <row r="1374" hidden="1">
      <c r="A1374" s="391" t="s">
        <v>1107</v>
      </c>
      <c r="B1374" s="392">
        <v>1090.0</v>
      </c>
      <c r="C1374" s="147">
        <v>0.0</v>
      </c>
      <c r="D1374" s="392">
        <f t="shared" si="161"/>
        <v>-1090</v>
      </c>
      <c r="E1374" s="392" t="s">
        <v>123</v>
      </c>
      <c r="F1374" s="132"/>
      <c r="G1374" s="150"/>
      <c r="H1374" s="129"/>
      <c r="I1374" s="129"/>
      <c r="J1374" s="129"/>
      <c r="K1374" s="129"/>
      <c r="L1374" s="129"/>
      <c r="M1374" s="129"/>
      <c r="N1374" s="129"/>
      <c r="O1374" s="129"/>
      <c r="P1374" s="129"/>
      <c r="Q1374" s="129"/>
      <c r="R1374" s="129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</row>
    <row r="1375" hidden="1">
      <c r="A1375" s="128" t="s">
        <v>1108</v>
      </c>
      <c r="B1375" s="147">
        <v>1090.0</v>
      </c>
      <c r="C1375" s="147">
        <v>0.0</v>
      </c>
      <c r="D1375" s="392">
        <f t="shared" si="161"/>
        <v>-1090</v>
      </c>
      <c r="E1375" s="392" t="s">
        <v>123</v>
      </c>
      <c r="F1375" s="139"/>
      <c r="G1375" s="150"/>
      <c r="H1375" s="129"/>
      <c r="I1375" s="129"/>
      <c r="J1375" s="129"/>
      <c r="K1375" s="129"/>
      <c r="L1375" s="129"/>
      <c r="M1375" s="129"/>
      <c r="N1375" s="129"/>
      <c r="O1375" s="129"/>
      <c r="P1375" s="129"/>
      <c r="Q1375" s="129"/>
      <c r="R1375" s="129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</row>
    <row r="1376" hidden="1">
      <c r="A1376" s="390" t="s">
        <v>1109</v>
      </c>
      <c r="B1376" s="393">
        <v>1190.0</v>
      </c>
      <c r="C1376" s="147">
        <v>0.0</v>
      </c>
      <c r="D1376" s="392">
        <f t="shared" si="161"/>
        <v>-1190</v>
      </c>
      <c r="E1376" s="392" t="s">
        <v>123</v>
      </c>
      <c r="F1376" s="139"/>
      <c r="G1376" s="150"/>
      <c r="H1376" s="129"/>
      <c r="I1376" s="129"/>
      <c r="J1376" s="129"/>
      <c r="K1376" s="129"/>
      <c r="L1376" s="129"/>
      <c r="M1376" s="129"/>
      <c r="N1376" s="129"/>
      <c r="O1376" s="129"/>
      <c r="P1376" s="129"/>
      <c r="Q1376" s="129"/>
      <c r="R1376" s="129"/>
      <c r="S1376" s="129"/>
      <c r="T1376" s="129"/>
      <c r="U1376" s="129"/>
      <c r="V1376" s="129"/>
      <c r="W1376" s="129"/>
      <c r="X1376" s="129"/>
      <c r="Y1376" s="129"/>
      <c r="Z1376" s="129"/>
      <c r="AA1376" s="129"/>
      <c r="AB1376" s="129"/>
    </row>
    <row r="1377" hidden="1">
      <c r="A1377" s="128" t="s">
        <v>1110</v>
      </c>
      <c r="B1377" s="124">
        <v>990.0</v>
      </c>
      <c r="C1377" s="147">
        <v>0.0</v>
      </c>
      <c r="D1377" s="125">
        <f t="shared" si="161"/>
        <v>-990</v>
      </c>
      <c r="E1377" s="126" t="s">
        <v>123</v>
      </c>
      <c r="F1377" s="132"/>
      <c r="G1377" s="129"/>
      <c r="H1377" s="129"/>
      <c r="I1377" s="129"/>
      <c r="J1377" s="129"/>
      <c r="K1377" s="129"/>
      <c r="L1377" s="129"/>
      <c r="M1377" s="129"/>
      <c r="N1377" s="129"/>
      <c r="O1377" s="129"/>
      <c r="P1377" s="129"/>
      <c r="Q1377" s="129"/>
      <c r="R1377" s="129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</row>
    <row r="1378" hidden="1">
      <c r="A1378" s="391" t="s">
        <v>1111</v>
      </c>
      <c r="B1378" s="392">
        <v>990.0</v>
      </c>
      <c r="C1378" s="147">
        <v>0.0</v>
      </c>
      <c r="D1378" s="392">
        <f t="shared" si="161"/>
        <v>-990</v>
      </c>
      <c r="E1378" s="392" t="s">
        <v>123</v>
      </c>
      <c r="F1378" s="139"/>
      <c r="G1378" s="150"/>
      <c r="H1378" s="129"/>
      <c r="I1378" s="129"/>
      <c r="J1378" s="129"/>
      <c r="K1378" s="129"/>
      <c r="L1378" s="129"/>
      <c r="M1378" s="129"/>
      <c r="N1378" s="129"/>
      <c r="O1378" s="129"/>
      <c r="P1378" s="129"/>
      <c r="Q1378" s="129"/>
      <c r="R1378" s="129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</row>
    <row r="1379" hidden="1">
      <c r="A1379" s="391" t="s">
        <v>1112</v>
      </c>
      <c r="B1379" s="392">
        <v>990.0</v>
      </c>
      <c r="C1379" s="147">
        <v>0.0</v>
      </c>
      <c r="D1379" s="392">
        <f t="shared" si="161"/>
        <v>-990</v>
      </c>
      <c r="E1379" s="392" t="s">
        <v>123</v>
      </c>
      <c r="F1379" s="139"/>
      <c r="G1379" s="150"/>
      <c r="H1379" s="129"/>
      <c r="I1379" s="129"/>
      <c r="J1379" s="129"/>
      <c r="K1379" s="129"/>
      <c r="L1379" s="129"/>
      <c r="M1379" s="129"/>
      <c r="N1379" s="129"/>
      <c r="O1379" s="129"/>
      <c r="P1379" s="129"/>
      <c r="Q1379" s="129"/>
      <c r="R1379" s="129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</row>
    <row r="1380" hidden="1">
      <c r="A1380" s="391" t="s">
        <v>1112</v>
      </c>
      <c r="B1380" s="392">
        <v>990.0</v>
      </c>
      <c r="C1380" s="147">
        <v>0.0</v>
      </c>
      <c r="D1380" s="392">
        <f t="shared" si="161"/>
        <v>-990</v>
      </c>
      <c r="E1380" s="392" t="s">
        <v>123</v>
      </c>
      <c r="F1380" s="147"/>
      <c r="G1380" s="129"/>
      <c r="H1380" s="129"/>
      <c r="I1380" s="129"/>
      <c r="J1380" s="129"/>
      <c r="K1380" s="129"/>
      <c r="L1380" s="129"/>
      <c r="M1380" s="129"/>
      <c r="N1380" s="129"/>
      <c r="O1380" s="129"/>
      <c r="P1380" s="129"/>
      <c r="Q1380" s="129"/>
      <c r="R1380" s="129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</row>
    <row r="1381" hidden="1">
      <c r="A1381" s="128" t="s">
        <v>1113</v>
      </c>
      <c r="B1381" s="147">
        <v>1190.0</v>
      </c>
      <c r="C1381" s="147">
        <v>0.0</v>
      </c>
      <c r="D1381" s="392">
        <f t="shared" si="161"/>
        <v>-1190</v>
      </c>
      <c r="E1381" s="392" t="s">
        <v>123</v>
      </c>
      <c r="F1381" s="127"/>
      <c r="G1381" s="150"/>
      <c r="H1381" s="129"/>
      <c r="I1381" s="129"/>
      <c r="J1381" s="129"/>
      <c r="K1381" s="129"/>
      <c r="L1381" s="129"/>
      <c r="M1381" s="129"/>
      <c r="N1381" s="129"/>
      <c r="O1381" s="129"/>
      <c r="P1381" s="129"/>
      <c r="Q1381" s="129"/>
      <c r="R1381" s="129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</row>
    <row r="1382" hidden="1">
      <c r="A1382" s="128" t="s">
        <v>1114</v>
      </c>
      <c r="B1382" s="392">
        <v>790.0</v>
      </c>
      <c r="C1382" s="147">
        <v>0.0</v>
      </c>
      <c r="D1382" s="132">
        <f t="shared" si="161"/>
        <v>-790</v>
      </c>
      <c r="E1382" s="132" t="s">
        <v>123</v>
      </c>
      <c r="F1382" s="139"/>
      <c r="G1382" s="150"/>
      <c r="H1382" s="129"/>
      <c r="I1382" s="129"/>
      <c r="J1382" s="129"/>
      <c r="K1382" s="129"/>
      <c r="L1382" s="129"/>
      <c r="M1382" s="129"/>
      <c r="N1382" s="129"/>
      <c r="O1382" s="129"/>
      <c r="P1382" s="129"/>
      <c r="Q1382" s="129"/>
      <c r="R1382" s="129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</row>
    <row r="1383" hidden="1">
      <c r="A1383" s="128" t="s">
        <v>1115</v>
      </c>
      <c r="B1383" s="392">
        <v>790.0</v>
      </c>
      <c r="C1383" s="147">
        <v>0.0</v>
      </c>
      <c r="D1383" s="132">
        <f t="shared" si="161"/>
        <v>-790</v>
      </c>
      <c r="E1383" s="132" t="s">
        <v>123</v>
      </c>
      <c r="F1383" s="139"/>
      <c r="G1383" s="150"/>
      <c r="H1383" s="129"/>
      <c r="I1383" s="129"/>
      <c r="J1383" s="129"/>
      <c r="K1383" s="129"/>
      <c r="L1383" s="129"/>
      <c r="M1383" s="129"/>
      <c r="N1383" s="129"/>
      <c r="O1383" s="129"/>
      <c r="P1383" s="129"/>
      <c r="Q1383" s="129"/>
      <c r="R1383" s="129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</row>
    <row r="1384" hidden="1">
      <c r="A1384" s="391" t="s">
        <v>1116</v>
      </c>
      <c r="B1384" s="392">
        <v>1290.0</v>
      </c>
      <c r="C1384" s="147">
        <v>0.0</v>
      </c>
      <c r="D1384" s="392">
        <f t="shared" si="161"/>
        <v>-1290</v>
      </c>
      <c r="E1384" s="392" t="s">
        <v>123</v>
      </c>
      <c r="F1384" s="127"/>
      <c r="G1384" s="129"/>
      <c r="H1384" s="129"/>
      <c r="I1384" s="129"/>
      <c r="J1384" s="129"/>
      <c r="K1384" s="129"/>
      <c r="L1384" s="129"/>
      <c r="M1384" s="129"/>
      <c r="N1384" s="129"/>
      <c r="O1384" s="129"/>
      <c r="P1384" s="129"/>
      <c r="Q1384" s="129"/>
      <c r="R1384" s="129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</row>
    <row r="1385" hidden="1">
      <c r="A1385" s="128" t="s">
        <v>1117</v>
      </c>
      <c r="B1385" s="393">
        <v>690.0</v>
      </c>
      <c r="C1385" s="147">
        <v>0.0</v>
      </c>
      <c r="D1385" s="132">
        <f t="shared" si="161"/>
        <v>-690</v>
      </c>
      <c r="E1385" s="132" t="s">
        <v>123</v>
      </c>
      <c r="F1385" s="139"/>
      <c r="G1385" s="150"/>
      <c r="H1385" s="129"/>
      <c r="I1385" s="129"/>
      <c r="J1385" s="129"/>
      <c r="K1385" s="129"/>
      <c r="L1385" s="129"/>
      <c r="M1385" s="129"/>
      <c r="N1385" s="129"/>
      <c r="O1385" s="129"/>
      <c r="P1385" s="129"/>
      <c r="Q1385" s="129"/>
      <c r="R1385" s="129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</row>
    <row r="1386" hidden="1">
      <c r="A1386" s="123" t="s">
        <v>1118</v>
      </c>
      <c r="B1386" s="393">
        <v>690.0</v>
      </c>
      <c r="C1386" s="147">
        <v>0.0</v>
      </c>
      <c r="D1386" s="125">
        <f t="shared" si="161"/>
        <v>-690</v>
      </c>
      <c r="E1386" s="126" t="s">
        <v>123</v>
      </c>
      <c r="F1386" s="124"/>
      <c r="G1386" s="123"/>
    </row>
    <row r="1387" hidden="1">
      <c r="A1387" s="338" t="s">
        <v>1119</v>
      </c>
      <c r="B1387" s="392">
        <v>790.0</v>
      </c>
      <c r="C1387" s="147">
        <v>0.0</v>
      </c>
      <c r="D1387" s="392">
        <f t="shared" si="161"/>
        <v>-790</v>
      </c>
      <c r="E1387" s="392" t="s">
        <v>123</v>
      </c>
      <c r="F1387" s="139"/>
      <c r="G1387" s="129"/>
      <c r="H1387" s="129"/>
      <c r="I1387" s="129"/>
      <c r="J1387" s="129"/>
      <c r="K1387" s="129"/>
      <c r="L1387" s="129"/>
      <c r="M1387" s="129"/>
      <c r="N1387" s="129"/>
      <c r="O1387" s="129"/>
      <c r="P1387" s="129"/>
      <c r="Q1387" s="129"/>
      <c r="R1387" s="129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</row>
    <row r="1388" hidden="1">
      <c r="A1388" s="390" t="s">
        <v>1120</v>
      </c>
      <c r="B1388" s="392">
        <v>790.0</v>
      </c>
      <c r="C1388" s="147">
        <v>0.0</v>
      </c>
      <c r="D1388" s="392">
        <f t="shared" si="161"/>
        <v>-790</v>
      </c>
      <c r="E1388" s="392" t="s">
        <v>123</v>
      </c>
      <c r="F1388" s="127"/>
      <c r="G1388" s="129"/>
      <c r="H1388" s="129"/>
      <c r="I1388" s="129"/>
      <c r="J1388" s="129"/>
      <c r="K1388" s="129"/>
      <c r="L1388" s="129"/>
      <c r="M1388" s="129"/>
      <c r="N1388" s="129"/>
      <c r="O1388" s="129"/>
      <c r="P1388" s="129"/>
      <c r="Q1388" s="129"/>
      <c r="R1388" s="129"/>
      <c r="S1388" s="129"/>
      <c r="T1388" s="129"/>
      <c r="U1388" s="129"/>
      <c r="V1388" s="129"/>
      <c r="W1388" s="129"/>
      <c r="X1388" s="129"/>
      <c r="Y1388" s="129"/>
      <c r="Z1388" s="129"/>
      <c r="AA1388" s="129"/>
      <c r="AB1388" s="129"/>
    </row>
    <row r="1389" hidden="1">
      <c r="A1389" s="128" t="s">
        <v>1121</v>
      </c>
      <c r="B1389" s="147">
        <v>990.0</v>
      </c>
      <c r="C1389" s="147">
        <v>0.0</v>
      </c>
      <c r="D1389" s="392">
        <f t="shared" si="161"/>
        <v>-990</v>
      </c>
      <c r="E1389" s="392" t="s">
        <v>123</v>
      </c>
      <c r="F1389" s="139"/>
      <c r="G1389" s="150"/>
      <c r="H1389" s="129"/>
      <c r="I1389" s="129"/>
      <c r="J1389" s="129"/>
      <c r="K1389" s="129"/>
      <c r="L1389" s="129"/>
      <c r="M1389" s="129"/>
      <c r="N1389" s="129"/>
      <c r="O1389" s="129"/>
      <c r="P1389" s="129"/>
      <c r="Q1389" s="129"/>
      <c r="R1389" s="129"/>
      <c r="S1389" s="129"/>
      <c r="T1389" s="129"/>
      <c r="U1389" s="129"/>
      <c r="V1389" s="129"/>
      <c r="W1389" s="129"/>
      <c r="X1389" s="129"/>
      <c r="Y1389" s="129"/>
      <c r="Z1389" s="129"/>
      <c r="AA1389" s="129"/>
      <c r="AB1389" s="129"/>
    </row>
    <row r="1390" hidden="1">
      <c r="A1390" s="398" t="s">
        <v>1122</v>
      </c>
      <c r="B1390" s="392">
        <v>990.0</v>
      </c>
      <c r="C1390" s="147">
        <v>0.0</v>
      </c>
      <c r="D1390" s="392">
        <f t="shared" si="161"/>
        <v>-990</v>
      </c>
      <c r="E1390" s="392" t="s">
        <v>123</v>
      </c>
      <c r="F1390" s="139"/>
      <c r="G1390" s="150"/>
      <c r="H1390" s="129"/>
      <c r="I1390" s="129"/>
      <c r="J1390" s="129"/>
      <c r="K1390" s="129"/>
      <c r="L1390" s="129"/>
      <c r="M1390" s="129"/>
      <c r="N1390" s="129"/>
      <c r="O1390" s="129"/>
      <c r="P1390" s="129"/>
      <c r="Q1390" s="129"/>
      <c r="R1390" s="129"/>
      <c r="S1390" s="129"/>
      <c r="T1390" s="129"/>
      <c r="U1390" s="129"/>
      <c r="V1390" s="129"/>
      <c r="W1390" s="129"/>
      <c r="X1390" s="129"/>
      <c r="Y1390" s="129"/>
      <c r="Z1390" s="129"/>
      <c r="AA1390" s="129"/>
      <c r="AB1390" s="129"/>
    </row>
    <row r="1391" hidden="1">
      <c r="A1391" s="391" t="s">
        <v>1123</v>
      </c>
      <c r="B1391" s="392">
        <v>990.0</v>
      </c>
      <c r="C1391" s="147">
        <v>0.0</v>
      </c>
      <c r="D1391" s="392">
        <f t="shared" si="161"/>
        <v>-990</v>
      </c>
      <c r="E1391" s="392" t="s">
        <v>123</v>
      </c>
      <c r="F1391" s="147"/>
      <c r="G1391" s="123"/>
    </row>
    <row r="1392" hidden="1">
      <c r="A1392" s="390" t="s">
        <v>1124</v>
      </c>
      <c r="B1392" s="399">
        <v>590.0</v>
      </c>
      <c r="C1392" s="147">
        <v>0.0</v>
      </c>
      <c r="D1392" s="392">
        <f t="shared" si="161"/>
        <v>-590</v>
      </c>
      <c r="E1392" s="392" t="s">
        <v>123</v>
      </c>
      <c r="F1392" s="127"/>
      <c r="G1392" s="129"/>
      <c r="H1392" s="129"/>
      <c r="I1392" s="129"/>
      <c r="J1392" s="129"/>
      <c r="K1392" s="129"/>
      <c r="L1392" s="129"/>
      <c r="M1392" s="129"/>
      <c r="N1392" s="129"/>
      <c r="O1392" s="129"/>
      <c r="P1392" s="129"/>
      <c r="Q1392" s="129"/>
      <c r="R1392" s="129"/>
      <c r="S1392" s="129"/>
      <c r="T1392" s="129"/>
      <c r="U1392" s="129"/>
      <c r="V1392" s="129"/>
      <c r="W1392" s="129"/>
      <c r="X1392" s="129"/>
      <c r="Y1392" s="129"/>
      <c r="Z1392" s="129"/>
      <c r="AA1392" s="129"/>
      <c r="AB1392" s="129"/>
    </row>
    <row r="1393" hidden="1">
      <c r="A1393" s="143" t="s">
        <v>1083</v>
      </c>
      <c r="B1393" s="132">
        <v>1290.0</v>
      </c>
      <c r="C1393" s="147">
        <v>3090.0</v>
      </c>
      <c r="D1393" s="132">
        <f t="shared" si="161"/>
        <v>1800</v>
      </c>
      <c r="E1393" s="392" t="s">
        <v>123</v>
      </c>
      <c r="F1393" s="139"/>
      <c r="G1393" s="129"/>
      <c r="H1393" s="129"/>
      <c r="I1393" s="129"/>
      <c r="J1393" s="129"/>
      <c r="K1393" s="129"/>
      <c r="L1393" s="129"/>
      <c r="M1393" s="129"/>
      <c r="N1393" s="129"/>
      <c r="O1393" s="129"/>
      <c r="P1393" s="129"/>
      <c r="Q1393" s="129"/>
      <c r="R1393" s="129"/>
      <c r="S1393" s="129"/>
      <c r="T1393" s="129"/>
      <c r="U1393" s="129"/>
      <c r="V1393" s="129"/>
      <c r="W1393" s="129"/>
      <c r="X1393" s="129"/>
      <c r="Y1393" s="129"/>
      <c r="Z1393" s="129"/>
      <c r="AA1393" s="129"/>
      <c r="AB1393" s="129"/>
    </row>
    <row r="1394" hidden="1">
      <c r="A1394" s="143"/>
      <c r="B1394" s="139"/>
      <c r="C1394" s="139"/>
      <c r="D1394" s="139"/>
      <c r="E1394" s="139"/>
      <c r="F1394" s="139"/>
      <c r="G1394" s="129"/>
      <c r="H1394" s="129"/>
      <c r="I1394" s="129"/>
      <c r="J1394" s="129"/>
      <c r="K1394" s="129"/>
      <c r="L1394" s="129"/>
      <c r="M1394" s="129"/>
      <c r="N1394" s="129"/>
      <c r="O1394" s="129"/>
      <c r="P1394" s="129"/>
      <c r="Q1394" s="129"/>
      <c r="R1394" s="129"/>
      <c r="S1394" s="129"/>
      <c r="T1394" s="129"/>
      <c r="U1394" s="129"/>
      <c r="V1394" s="129"/>
      <c r="W1394" s="129"/>
      <c r="X1394" s="129"/>
      <c r="Y1394" s="129"/>
      <c r="Z1394" s="129"/>
      <c r="AA1394" s="129"/>
      <c r="AB1394" s="129"/>
    </row>
    <row r="1395" hidden="1">
      <c r="A1395" s="144" t="s">
        <v>57</v>
      </c>
      <c r="B1395" s="145">
        <f t="shared" ref="B1395:D1395" si="162">SUM(B1366:B1394)</f>
        <v>26140</v>
      </c>
      <c r="C1395" s="145">
        <f t="shared" si="162"/>
        <v>25090</v>
      </c>
      <c r="D1395" s="145">
        <f t="shared" si="162"/>
        <v>-1050</v>
      </c>
      <c r="E1395" s="146">
        <f>D1395/(C1395/100)</f>
        <v>-4.184934237</v>
      </c>
      <c r="F1395" s="129"/>
      <c r="G1395" s="129"/>
      <c r="H1395" s="129"/>
      <c r="I1395" s="129"/>
      <c r="J1395" s="129"/>
      <c r="K1395" s="129"/>
      <c r="L1395" s="129"/>
      <c r="M1395" s="129"/>
      <c r="N1395" s="129"/>
      <c r="O1395" s="129"/>
      <c r="P1395" s="129"/>
      <c r="Q1395" s="129"/>
      <c r="R1395" s="129"/>
      <c r="S1395" s="129"/>
      <c r="T1395" s="129"/>
      <c r="U1395" s="129"/>
      <c r="V1395" s="129"/>
      <c r="W1395" s="129"/>
      <c r="X1395" s="129"/>
      <c r="Y1395" s="129"/>
      <c r="Z1395" s="129"/>
      <c r="AA1395" s="129"/>
      <c r="AB1395" s="129"/>
    </row>
    <row r="1396" hidden="1">
      <c r="A1396" s="143"/>
      <c r="B1396" s="139"/>
      <c r="C1396" s="139"/>
      <c r="D1396" s="139"/>
      <c r="E1396" s="129"/>
      <c r="F1396" s="129"/>
      <c r="G1396" s="129"/>
      <c r="H1396" s="129"/>
      <c r="I1396" s="129"/>
      <c r="J1396" s="129"/>
      <c r="K1396" s="129"/>
      <c r="L1396" s="129"/>
      <c r="M1396" s="129"/>
      <c r="N1396" s="129"/>
      <c r="O1396" s="129"/>
      <c r="P1396" s="129"/>
      <c r="Q1396" s="129"/>
      <c r="R1396" s="129"/>
      <c r="S1396" s="129"/>
      <c r="T1396" s="129"/>
      <c r="U1396" s="129"/>
      <c r="V1396" s="129"/>
      <c r="W1396" s="129"/>
      <c r="X1396" s="129"/>
      <c r="Y1396" s="129"/>
      <c r="Z1396" s="129"/>
      <c r="AA1396" s="129"/>
      <c r="AB1396" s="129"/>
    </row>
    <row r="1397" hidden="1">
      <c r="A1397" s="397">
        <v>45536.0</v>
      </c>
      <c r="B1397" s="139"/>
      <c r="C1397" s="139"/>
      <c r="D1397" s="139"/>
      <c r="E1397" s="129"/>
      <c r="F1397" s="129"/>
      <c r="G1397" s="129"/>
      <c r="H1397" s="129"/>
      <c r="I1397" s="129"/>
      <c r="J1397" s="129"/>
      <c r="K1397" s="129"/>
      <c r="L1397" s="129"/>
      <c r="M1397" s="129"/>
      <c r="N1397" s="129"/>
      <c r="O1397" s="129"/>
      <c r="P1397" s="129"/>
      <c r="Q1397" s="129"/>
      <c r="R1397" s="129"/>
      <c r="S1397" s="129"/>
      <c r="T1397" s="129"/>
      <c r="U1397" s="129"/>
      <c r="V1397" s="129"/>
      <c r="W1397" s="129"/>
      <c r="X1397" s="129"/>
      <c r="Y1397" s="129"/>
      <c r="Z1397" s="129"/>
      <c r="AA1397" s="129"/>
      <c r="AB1397" s="129"/>
    </row>
    <row r="1398" hidden="1">
      <c r="A1398" s="143" t="s">
        <v>1083</v>
      </c>
      <c r="B1398" s="132">
        <v>1290.0</v>
      </c>
      <c r="C1398" s="147">
        <v>2590.0</v>
      </c>
      <c r="D1398" s="132">
        <f t="shared" ref="D1398:D1400" si="163">C1398-B1398</f>
        <v>1300</v>
      </c>
      <c r="E1398" s="139"/>
      <c r="F1398" s="139"/>
      <c r="G1398" s="129"/>
      <c r="H1398" s="129"/>
      <c r="I1398" s="129"/>
      <c r="J1398" s="129"/>
      <c r="K1398" s="129"/>
      <c r="L1398" s="129"/>
      <c r="M1398" s="129"/>
      <c r="N1398" s="129"/>
      <c r="O1398" s="129"/>
      <c r="P1398" s="129"/>
      <c r="Q1398" s="129"/>
      <c r="R1398" s="129"/>
      <c r="S1398" s="129"/>
      <c r="T1398" s="129"/>
      <c r="U1398" s="129"/>
      <c r="V1398" s="129"/>
      <c r="W1398" s="129"/>
      <c r="X1398" s="129"/>
      <c r="Y1398" s="129"/>
      <c r="Z1398" s="129"/>
      <c r="AA1398" s="129"/>
      <c r="AB1398" s="129"/>
    </row>
    <row r="1399" hidden="1">
      <c r="A1399" s="143" t="s">
        <v>1083</v>
      </c>
      <c r="B1399" s="132">
        <v>1290.0</v>
      </c>
      <c r="C1399" s="147">
        <v>2590.0</v>
      </c>
      <c r="D1399" s="132">
        <f t="shared" si="163"/>
        <v>1300</v>
      </c>
      <c r="E1399" s="139"/>
      <c r="F1399" s="139"/>
      <c r="G1399" s="129"/>
      <c r="H1399" s="129"/>
      <c r="I1399" s="129"/>
      <c r="J1399" s="129"/>
      <c r="K1399" s="129"/>
      <c r="L1399" s="129"/>
      <c r="M1399" s="129"/>
      <c r="N1399" s="129"/>
      <c r="O1399" s="129"/>
      <c r="P1399" s="129"/>
      <c r="Q1399" s="129"/>
      <c r="R1399" s="129"/>
      <c r="S1399" s="129"/>
      <c r="T1399" s="129"/>
      <c r="U1399" s="129"/>
      <c r="V1399" s="129"/>
      <c r="W1399" s="129"/>
      <c r="X1399" s="129"/>
      <c r="Y1399" s="129"/>
      <c r="Z1399" s="129"/>
      <c r="AA1399" s="129"/>
      <c r="AB1399" s="129"/>
    </row>
    <row r="1400" hidden="1">
      <c r="A1400" s="143" t="s">
        <v>1083</v>
      </c>
      <c r="B1400" s="132">
        <v>1290.0</v>
      </c>
      <c r="C1400" s="147">
        <v>2590.0</v>
      </c>
      <c r="D1400" s="132">
        <f t="shared" si="163"/>
        <v>1300</v>
      </c>
      <c r="E1400" s="139"/>
      <c r="F1400" s="139"/>
      <c r="G1400" s="129"/>
      <c r="H1400" s="129"/>
      <c r="I1400" s="129"/>
      <c r="J1400" s="129"/>
      <c r="K1400" s="129"/>
      <c r="L1400" s="129"/>
      <c r="M1400" s="129"/>
      <c r="N1400" s="129"/>
      <c r="O1400" s="129"/>
      <c r="P1400" s="129"/>
      <c r="Q1400" s="129"/>
      <c r="R1400" s="129"/>
      <c r="S1400" s="129"/>
      <c r="T1400" s="129"/>
      <c r="U1400" s="129"/>
      <c r="V1400" s="129"/>
      <c r="W1400" s="129"/>
      <c r="X1400" s="129"/>
      <c r="Y1400" s="129"/>
      <c r="Z1400" s="129"/>
      <c r="AA1400" s="129"/>
      <c r="AB1400" s="129"/>
    </row>
    <row r="1401" hidden="1">
      <c r="A1401" s="143"/>
      <c r="B1401" s="139"/>
      <c r="C1401" s="139"/>
      <c r="D1401" s="139"/>
      <c r="E1401" s="166"/>
      <c r="F1401" s="129"/>
      <c r="G1401" s="129"/>
      <c r="H1401" s="129"/>
      <c r="I1401" s="129"/>
      <c r="J1401" s="129"/>
      <c r="K1401" s="129"/>
      <c r="L1401" s="129"/>
      <c r="M1401" s="129"/>
      <c r="N1401" s="129"/>
      <c r="O1401" s="129"/>
      <c r="P1401" s="129"/>
      <c r="Q1401" s="129"/>
      <c r="R1401" s="129"/>
      <c r="S1401" s="129"/>
      <c r="T1401" s="129"/>
      <c r="U1401" s="129"/>
      <c r="V1401" s="129"/>
      <c r="W1401" s="129"/>
      <c r="X1401" s="129"/>
      <c r="Y1401" s="129"/>
      <c r="Z1401" s="129"/>
      <c r="AA1401" s="129"/>
      <c r="AB1401" s="129"/>
    </row>
    <row r="1402" hidden="1">
      <c r="A1402" s="144" t="s">
        <v>57</v>
      </c>
      <c r="B1402" s="145">
        <f t="shared" ref="B1402:D1402" si="164">SUM(B1397:B1400)</f>
        <v>3870</v>
      </c>
      <c r="C1402" s="145">
        <f t="shared" si="164"/>
        <v>7770</v>
      </c>
      <c r="D1402" s="145">
        <f t="shared" si="164"/>
        <v>3900</v>
      </c>
      <c r="E1402" s="146">
        <f>D1402/(C1402/100)</f>
        <v>50.19305019</v>
      </c>
      <c r="F1402" s="129"/>
      <c r="G1402" s="129"/>
      <c r="H1402" s="129"/>
      <c r="I1402" s="129"/>
      <c r="J1402" s="129"/>
      <c r="K1402" s="129"/>
      <c r="L1402" s="129"/>
      <c r="M1402" s="129"/>
      <c r="N1402" s="129"/>
      <c r="O1402" s="129"/>
      <c r="P1402" s="129"/>
      <c r="Q1402" s="129"/>
      <c r="R1402" s="129"/>
      <c r="S1402" s="129"/>
      <c r="T1402" s="129"/>
      <c r="U1402" s="129"/>
      <c r="V1402" s="129"/>
      <c r="W1402" s="129"/>
      <c r="X1402" s="129"/>
      <c r="Y1402" s="129"/>
      <c r="Z1402" s="129"/>
      <c r="AA1402" s="129"/>
      <c r="AB1402" s="129"/>
    </row>
    <row r="1403" hidden="1">
      <c r="A1403" s="143"/>
      <c r="B1403" s="139"/>
      <c r="C1403" s="139"/>
      <c r="D1403" s="139"/>
      <c r="E1403" s="129"/>
      <c r="F1403" s="129"/>
      <c r="G1403" s="129"/>
      <c r="H1403" s="129"/>
      <c r="I1403" s="129"/>
      <c r="J1403" s="129"/>
      <c r="K1403" s="129"/>
      <c r="L1403" s="129"/>
      <c r="M1403" s="129"/>
      <c r="N1403" s="129"/>
      <c r="O1403" s="129"/>
      <c r="P1403" s="129"/>
      <c r="Q1403" s="129"/>
      <c r="R1403" s="129"/>
      <c r="S1403" s="129"/>
      <c r="T1403" s="129"/>
      <c r="U1403" s="129"/>
      <c r="V1403" s="129"/>
      <c r="W1403" s="129"/>
      <c r="X1403" s="129"/>
      <c r="Y1403" s="129"/>
      <c r="Z1403" s="129"/>
      <c r="AA1403" s="129"/>
      <c r="AB1403" s="129"/>
    </row>
    <row r="1404" hidden="1">
      <c r="A1404" s="397">
        <v>45505.0</v>
      </c>
      <c r="B1404" s="139"/>
      <c r="C1404" s="139"/>
      <c r="D1404" s="139"/>
      <c r="E1404" s="129"/>
      <c r="F1404" s="129"/>
      <c r="G1404" s="129"/>
      <c r="H1404" s="129"/>
      <c r="I1404" s="129"/>
      <c r="J1404" s="129"/>
      <c r="K1404" s="129"/>
      <c r="L1404" s="129"/>
      <c r="M1404" s="129"/>
      <c r="N1404" s="129"/>
      <c r="O1404" s="129"/>
      <c r="P1404" s="129"/>
      <c r="Q1404" s="129"/>
      <c r="R1404" s="129"/>
      <c r="S1404" s="129"/>
      <c r="T1404" s="129"/>
      <c r="U1404" s="129"/>
      <c r="V1404" s="129"/>
      <c r="W1404" s="129"/>
      <c r="X1404" s="129"/>
      <c r="Y1404" s="129"/>
      <c r="Z1404" s="129"/>
      <c r="AA1404" s="129"/>
      <c r="AB1404" s="129"/>
    </row>
    <row r="1405" hidden="1">
      <c r="A1405" s="128" t="s">
        <v>1083</v>
      </c>
      <c r="B1405" s="147">
        <v>1290.0</v>
      </c>
      <c r="C1405" s="147">
        <v>2600.0</v>
      </c>
      <c r="D1405" s="132">
        <f>C1405-B1405</f>
        <v>1310</v>
      </c>
      <c r="E1405" s="132"/>
      <c r="F1405" s="139"/>
      <c r="G1405" s="129"/>
      <c r="H1405" s="129"/>
      <c r="I1405" s="129"/>
      <c r="J1405" s="129"/>
      <c r="K1405" s="129"/>
      <c r="L1405" s="129"/>
      <c r="M1405" s="129"/>
      <c r="N1405" s="129"/>
      <c r="O1405" s="129"/>
      <c r="P1405" s="129"/>
      <c r="Q1405" s="129"/>
      <c r="R1405" s="129"/>
      <c r="S1405" s="129"/>
      <c r="T1405" s="129"/>
      <c r="U1405" s="129"/>
      <c r="V1405" s="129"/>
      <c r="W1405" s="129"/>
      <c r="X1405" s="129"/>
      <c r="Y1405" s="129"/>
      <c r="Z1405" s="129"/>
      <c r="AA1405" s="129"/>
      <c r="AB1405" s="129"/>
    </row>
    <row r="1406" hidden="1">
      <c r="A1406" s="143"/>
      <c r="B1406" s="139"/>
      <c r="C1406" s="139"/>
      <c r="D1406" s="139"/>
      <c r="E1406" s="166"/>
      <c r="F1406" s="129"/>
      <c r="G1406" s="129"/>
      <c r="H1406" s="129"/>
      <c r="I1406" s="129"/>
      <c r="J1406" s="129"/>
      <c r="K1406" s="129"/>
      <c r="L1406" s="129"/>
      <c r="M1406" s="129"/>
      <c r="N1406" s="129"/>
      <c r="O1406" s="129"/>
      <c r="P1406" s="129"/>
      <c r="Q1406" s="129"/>
      <c r="R1406" s="129"/>
      <c r="S1406" s="129"/>
      <c r="T1406" s="129"/>
      <c r="U1406" s="129"/>
      <c r="V1406" s="129"/>
      <c r="W1406" s="129"/>
      <c r="X1406" s="129"/>
      <c r="Y1406" s="129"/>
      <c r="Z1406" s="129"/>
      <c r="AA1406" s="129"/>
      <c r="AB1406" s="129"/>
    </row>
    <row r="1407" hidden="1">
      <c r="A1407" s="144" t="s">
        <v>57</v>
      </c>
      <c r="B1407" s="145">
        <f t="shared" ref="B1407:D1407" si="165">SUM(B1404:B1406)</f>
        <v>1290</v>
      </c>
      <c r="C1407" s="145">
        <f t="shared" si="165"/>
        <v>2600</v>
      </c>
      <c r="D1407" s="145">
        <f t="shared" si="165"/>
        <v>1310</v>
      </c>
      <c r="E1407" s="146">
        <f>D1407/(C1407/100)</f>
        <v>50.38461538</v>
      </c>
      <c r="F1407" s="129"/>
      <c r="G1407" s="129"/>
      <c r="H1407" s="129"/>
      <c r="I1407" s="129"/>
      <c r="J1407" s="129"/>
      <c r="K1407" s="129"/>
      <c r="L1407" s="129"/>
      <c r="M1407" s="129"/>
      <c r="N1407" s="129"/>
      <c r="O1407" s="129"/>
      <c r="P1407" s="129"/>
      <c r="Q1407" s="129"/>
      <c r="R1407" s="129"/>
      <c r="S1407" s="129"/>
      <c r="T1407" s="129"/>
      <c r="U1407" s="129"/>
      <c r="V1407" s="129"/>
      <c r="W1407" s="129"/>
      <c r="X1407" s="129"/>
      <c r="Y1407" s="129"/>
      <c r="Z1407" s="129"/>
      <c r="AA1407" s="129"/>
      <c r="AB1407" s="129"/>
    </row>
    <row r="1408" hidden="1">
      <c r="A1408" s="143"/>
      <c r="B1408" s="139"/>
      <c r="C1408" s="139"/>
      <c r="D1408" s="139"/>
      <c r="E1408" s="129"/>
      <c r="F1408" s="129"/>
      <c r="G1408" s="129"/>
      <c r="H1408" s="129"/>
      <c r="I1408" s="129"/>
      <c r="J1408" s="129"/>
      <c r="K1408" s="129"/>
      <c r="L1408" s="129"/>
      <c r="M1408" s="129"/>
      <c r="N1408" s="129"/>
      <c r="O1408" s="129"/>
      <c r="P1408" s="129"/>
      <c r="Q1408" s="129"/>
      <c r="R1408" s="129"/>
      <c r="S1408" s="129"/>
      <c r="T1408" s="129"/>
      <c r="U1408" s="129"/>
      <c r="V1408" s="129"/>
      <c r="W1408" s="129"/>
      <c r="X1408" s="129"/>
      <c r="Y1408" s="129"/>
      <c r="Z1408" s="129"/>
      <c r="AA1408" s="129"/>
      <c r="AB1408" s="129"/>
    </row>
    <row r="1409" hidden="1">
      <c r="A1409" s="397">
        <v>45474.0</v>
      </c>
      <c r="B1409" s="139"/>
      <c r="C1409" s="139"/>
      <c r="D1409" s="139"/>
      <c r="E1409" s="129"/>
      <c r="F1409" s="129"/>
      <c r="G1409" s="129"/>
      <c r="H1409" s="129"/>
      <c r="I1409" s="129"/>
      <c r="J1409" s="129"/>
      <c r="K1409" s="129"/>
      <c r="L1409" s="129"/>
      <c r="M1409" s="129"/>
      <c r="N1409" s="129"/>
      <c r="O1409" s="129"/>
      <c r="P1409" s="129"/>
      <c r="Q1409" s="129"/>
      <c r="R1409" s="129"/>
      <c r="S1409" s="129"/>
      <c r="T1409" s="129"/>
      <c r="U1409" s="129"/>
      <c r="V1409" s="129"/>
      <c r="W1409" s="129"/>
      <c r="X1409" s="129"/>
      <c r="Y1409" s="129"/>
      <c r="Z1409" s="129"/>
      <c r="AA1409" s="129"/>
      <c r="AB1409" s="129"/>
    </row>
    <row r="1410" hidden="1">
      <c r="A1410" s="143"/>
      <c r="B1410" s="132"/>
      <c r="C1410" s="132"/>
      <c r="D1410" s="132"/>
      <c r="E1410" s="132"/>
      <c r="F1410" s="139"/>
      <c r="G1410" s="129"/>
      <c r="H1410" s="129"/>
      <c r="I1410" s="129"/>
      <c r="J1410" s="129"/>
      <c r="K1410" s="129"/>
      <c r="L1410" s="129"/>
      <c r="M1410" s="129"/>
      <c r="N1410" s="129"/>
      <c r="O1410" s="129"/>
      <c r="P1410" s="129"/>
      <c r="Q1410" s="129"/>
      <c r="R1410" s="129"/>
      <c r="S1410" s="129"/>
      <c r="T1410" s="129"/>
      <c r="U1410" s="129"/>
      <c r="V1410" s="129"/>
      <c r="W1410" s="129"/>
      <c r="X1410" s="129"/>
      <c r="Y1410" s="129"/>
      <c r="Z1410" s="129"/>
      <c r="AA1410" s="129"/>
      <c r="AB1410" s="129"/>
    </row>
    <row r="1411" hidden="1">
      <c r="A1411" s="143"/>
      <c r="B1411" s="139"/>
      <c r="C1411" s="139"/>
      <c r="D1411" s="139"/>
      <c r="E1411" s="139"/>
      <c r="F1411" s="139"/>
      <c r="G1411" s="129"/>
      <c r="H1411" s="129"/>
      <c r="I1411" s="129"/>
      <c r="J1411" s="129"/>
      <c r="K1411" s="129"/>
      <c r="L1411" s="129"/>
      <c r="M1411" s="129"/>
      <c r="N1411" s="129"/>
      <c r="O1411" s="129"/>
      <c r="P1411" s="129"/>
      <c r="Q1411" s="129"/>
      <c r="R1411" s="129"/>
      <c r="S1411" s="129"/>
      <c r="T1411" s="129"/>
      <c r="U1411" s="129"/>
      <c r="V1411" s="129"/>
      <c r="W1411" s="129"/>
      <c r="X1411" s="129"/>
      <c r="Y1411" s="129"/>
      <c r="Z1411" s="129"/>
      <c r="AA1411" s="129"/>
      <c r="AB1411" s="129"/>
    </row>
    <row r="1412" hidden="1">
      <c r="A1412" s="144" t="s">
        <v>57</v>
      </c>
      <c r="B1412" s="145">
        <f t="shared" ref="B1412:D1412" si="166">SUM(B1409:B1411)</f>
        <v>0</v>
      </c>
      <c r="C1412" s="145">
        <f t="shared" si="166"/>
        <v>0</v>
      </c>
      <c r="D1412" s="145">
        <f t="shared" si="166"/>
        <v>0</v>
      </c>
      <c r="E1412" s="146" t="str">
        <f>D1412/(C1412/100)</f>
        <v>#DIV/0!</v>
      </c>
      <c r="F1412" s="129"/>
      <c r="G1412" s="129"/>
      <c r="H1412" s="129"/>
      <c r="I1412" s="129"/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</row>
    <row r="1413" hidden="1">
      <c r="A1413" s="143"/>
      <c r="B1413" s="139"/>
      <c r="C1413" s="139"/>
      <c r="D1413" s="139"/>
      <c r="E1413" s="129"/>
      <c r="F1413" s="129"/>
      <c r="G1413" s="129"/>
      <c r="H1413" s="129"/>
      <c r="I1413" s="129"/>
      <c r="J1413" s="129"/>
      <c r="K1413" s="129"/>
      <c r="L1413" s="129"/>
      <c r="M1413" s="129"/>
      <c r="N1413" s="129"/>
      <c r="O1413" s="129"/>
      <c r="P1413" s="129"/>
      <c r="Q1413" s="129"/>
      <c r="R1413" s="129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</row>
    <row r="1414" hidden="1">
      <c r="A1414" s="397">
        <v>45444.0</v>
      </c>
      <c r="B1414" s="139"/>
      <c r="C1414" s="139"/>
      <c r="D1414" s="139"/>
      <c r="E1414" s="129"/>
      <c r="F1414" s="129"/>
      <c r="G1414" s="129"/>
      <c r="H1414" s="129"/>
      <c r="I1414" s="129"/>
      <c r="J1414" s="129"/>
      <c r="K1414" s="129"/>
      <c r="L1414" s="129"/>
      <c r="M1414" s="129"/>
      <c r="N1414" s="129"/>
      <c r="O1414" s="129"/>
      <c r="P1414" s="129"/>
      <c r="Q1414" s="129"/>
      <c r="R1414" s="129"/>
      <c r="S1414" s="129"/>
      <c r="T1414" s="129"/>
      <c r="U1414" s="129"/>
      <c r="V1414" s="129"/>
      <c r="W1414" s="129"/>
      <c r="X1414" s="129"/>
      <c r="Y1414" s="129"/>
      <c r="Z1414" s="129"/>
      <c r="AA1414" s="129"/>
      <c r="AB1414" s="129"/>
    </row>
    <row r="1415" hidden="1">
      <c r="A1415" s="143"/>
      <c r="B1415" s="132"/>
      <c r="C1415" s="132"/>
      <c r="D1415" s="132"/>
      <c r="E1415" s="132"/>
      <c r="F1415" s="139"/>
      <c r="G1415" s="129"/>
      <c r="H1415" s="129"/>
      <c r="I1415" s="129"/>
      <c r="J1415" s="129"/>
      <c r="K1415" s="129"/>
      <c r="L1415" s="129"/>
      <c r="M1415" s="129"/>
      <c r="N1415" s="129"/>
      <c r="O1415" s="129"/>
      <c r="P1415" s="129"/>
      <c r="Q1415" s="129"/>
      <c r="R1415" s="129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</row>
    <row r="1416" hidden="1">
      <c r="A1416" s="143"/>
      <c r="B1416" s="139"/>
      <c r="C1416" s="139"/>
      <c r="D1416" s="139"/>
      <c r="E1416" s="139"/>
      <c r="F1416" s="139"/>
      <c r="G1416" s="129"/>
      <c r="H1416" s="129"/>
      <c r="I1416" s="129"/>
      <c r="J1416" s="129"/>
      <c r="K1416" s="129"/>
      <c r="L1416" s="129"/>
      <c r="M1416" s="129"/>
      <c r="N1416" s="129"/>
      <c r="O1416" s="129"/>
      <c r="P1416" s="129"/>
      <c r="Q1416" s="129"/>
      <c r="R1416" s="129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</row>
    <row r="1417" hidden="1">
      <c r="A1417" s="144" t="s">
        <v>57</v>
      </c>
      <c r="B1417" s="145">
        <f t="shared" ref="B1417:D1417" si="167">SUM(B1414:B1416)</f>
        <v>0</v>
      </c>
      <c r="C1417" s="145">
        <f t="shared" si="167"/>
        <v>0</v>
      </c>
      <c r="D1417" s="145">
        <f t="shared" si="167"/>
        <v>0</v>
      </c>
      <c r="E1417" s="146" t="str">
        <f>D1417/(C1417/100)</f>
        <v>#DIV/0!</v>
      </c>
      <c r="F1417" s="129"/>
      <c r="G1417" s="129"/>
      <c r="H1417" s="129"/>
      <c r="I1417" s="129"/>
      <c r="J1417" s="129"/>
      <c r="K1417" s="129"/>
      <c r="L1417" s="129"/>
      <c r="M1417" s="129"/>
      <c r="N1417" s="129"/>
      <c r="O1417" s="129"/>
      <c r="P1417" s="129"/>
      <c r="Q1417" s="129"/>
      <c r="R1417" s="129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</row>
    <row r="1418" hidden="1">
      <c r="A1418" s="143"/>
      <c r="B1418" s="139"/>
      <c r="C1418" s="139"/>
      <c r="D1418" s="139"/>
      <c r="E1418" s="129"/>
      <c r="F1418" s="129"/>
      <c r="G1418" s="129"/>
      <c r="H1418" s="129"/>
      <c r="I1418" s="129"/>
      <c r="J1418" s="129"/>
      <c r="K1418" s="129"/>
      <c r="L1418" s="129"/>
      <c r="M1418" s="129"/>
      <c r="N1418" s="129"/>
      <c r="O1418" s="129"/>
      <c r="P1418" s="129"/>
      <c r="Q1418" s="129"/>
      <c r="R1418" s="129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</row>
    <row r="1419" hidden="1">
      <c r="A1419" s="397">
        <v>45413.0</v>
      </c>
      <c r="B1419" s="139"/>
      <c r="C1419" s="139"/>
      <c r="D1419" s="139"/>
      <c r="E1419" s="129"/>
      <c r="F1419" s="129"/>
      <c r="G1419" s="129"/>
      <c r="H1419" s="129"/>
      <c r="I1419" s="129"/>
      <c r="J1419" s="129"/>
      <c r="K1419" s="129"/>
      <c r="L1419" s="129"/>
      <c r="M1419" s="129"/>
      <c r="N1419" s="129"/>
      <c r="O1419" s="129"/>
      <c r="P1419" s="129"/>
      <c r="Q1419" s="129"/>
      <c r="R1419" s="129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</row>
    <row r="1420" hidden="1">
      <c r="A1420" s="143"/>
      <c r="B1420" s="132"/>
      <c r="C1420" s="132"/>
      <c r="D1420" s="132"/>
      <c r="E1420" s="132"/>
      <c r="F1420" s="139"/>
      <c r="G1420" s="129"/>
      <c r="H1420" s="129"/>
      <c r="I1420" s="129"/>
      <c r="J1420" s="129"/>
      <c r="K1420" s="129"/>
      <c r="L1420" s="129"/>
      <c r="M1420" s="129"/>
      <c r="N1420" s="129"/>
      <c r="O1420" s="129"/>
      <c r="P1420" s="129"/>
      <c r="Q1420" s="129"/>
      <c r="R1420" s="129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</row>
    <row r="1421" hidden="1">
      <c r="A1421" s="143"/>
      <c r="B1421" s="139"/>
      <c r="C1421" s="139"/>
      <c r="D1421" s="139"/>
      <c r="E1421" s="139"/>
      <c r="F1421" s="139"/>
      <c r="G1421" s="129"/>
      <c r="H1421" s="129"/>
      <c r="I1421" s="129"/>
      <c r="J1421" s="129"/>
      <c r="K1421" s="129"/>
      <c r="L1421" s="129"/>
      <c r="M1421" s="129"/>
      <c r="N1421" s="129"/>
      <c r="O1421" s="129"/>
      <c r="P1421" s="129"/>
      <c r="Q1421" s="129"/>
      <c r="R1421" s="129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</row>
    <row r="1422" hidden="1">
      <c r="A1422" s="144" t="s">
        <v>57</v>
      </c>
      <c r="B1422" s="145">
        <f t="shared" ref="B1422:D1422" si="168">SUM(B1419:B1421)</f>
        <v>0</v>
      </c>
      <c r="C1422" s="145">
        <f t="shared" si="168"/>
        <v>0</v>
      </c>
      <c r="D1422" s="145">
        <f t="shared" si="168"/>
        <v>0</v>
      </c>
      <c r="E1422" s="146" t="str">
        <f>D1422/(C1422/100)</f>
        <v>#DIV/0!</v>
      </c>
      <c r="F1422" s="129"/>
      <c r="G1422" s="129"/>
      <c r="H1422" s="129"/>
      <c r="I1422" s="129"/>
      <c r="J1422" s="129"/>
      <c r="K1422" s="129"/>
      <c r="L1422" s="129"/>
      <c r="M1422" s="129"/>
      <c r="N1422" s="129"/>
      <c r="O1422" s="129"/>
      <c r="P1422" s="129"/>
      <c r="Q1422" s="129"/>
      <c r="R1422" s="129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</row>
    <row r="1423" hidden="1">
      <c r="A1423" s="143"/>
      <c r="B1423" s="139"/>
      <c r="C1423" s="139"/>
      <c r="D1423" s="139"/>
      <c r="E1423" s="129"/>
      <c r="F1423" s="129"/>
      <c r="G1423" s="129"/>
      <c r="H1423" s="129"/>
      <c r="I1423" s="129"/>
      <c r="J1423" s="129"/>
      <c r="K1423" s="129"/>
      <c r="L1423" s="129"/>
      <c r="M1423" s="129"/>
      <c r="N1423" s="129"/>
      <c r="O1423" s="129"/>
      <c r="P1423" s="129"/>
      <c r="Q1423" s="129"/>
      <c r="R1423" s="129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</row>
    <row r="1424" hidden="1">
      <c r="A1424" s="397">
        <v>45383.0</v>
      </c>
      <c r="B1424" s="139"/>
      <c r="C1424" s="139"/>
      <c r="D1424" s="139"/>
      <c r="E1424" s="129"/>
      <c r="F1424" s="129"/>
      <c r="G1424" s="129"/>
      <c r="H1424" s="129"/>
      <c r="I1424" s="129"/>
      <c r="J1424" s="129"/>
      <c r="K1424" s="129"/>
      <c r="L1424" s="129"/>
      <c r="M1424" s="129"/>
      <c r="N1424" s="129"/>
      <c r="O1424" s="129"/>
      <c r="P1424" s="129"/>
      <c r="Q1424" s="129"/>
      <c r="R1424" s="129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</row>
    <row r="1425" hidden="1">
      <c r="A1425" s="143"/>
      <c r="B1425" s="132"/>
      <c r="C1425" s="132"/>
      <c r="D1425" s="132"/>
      <c r="E1425" s="132"/>
      <c r="F1425" s="139"/>
      <c r="G1425" s="129"/>
      <c r="H1425" s="129"/>
      <c r="I1425" s="129"/>
      <c r="J1425" s="129"/>
      <c r="K1425" s="129"/>
      <c r="L1425" s="129"/>
      <c r="M1425" s="129"/>
      <c r="N1425" s="129"/>
      <c r="O1425" s="129"/>
      <c r="P1425" s="129"/>
      <c r="Q1425" s="129"/>
      <c r="R1425" s="129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</row>
    <row r="1426" hidden="1">
      <c r="A1426" s="143"/>
      <c r="B1426" s="139"/>
      <c r="C1426" s="139"/>
      <c r="D1426" s="139"/>
      <c r="E1426" s="166"/>
      <c r="F1426" s="129"/>
      <c r="G1426" s="129"/>
      <c r="H1426" s="129"/>
      <c r="I1426" s="129"/>
      <c r="J1426" s="129"/>
      <c r="K1426" s="129"/>
      <c r="L1426" s="129"/>
      <c r="M1426" s="129"/>
      <c r="N1426" s="129"/>
      <c r="O1426" s="129"/>
      <c r="P1426" s="129"/>
      <c r="Q1426" s="129"/>
      <c r="R1426" s="129"/>
      <c r="S1426" s="129"/>
      <c r="T1426" s="129"/>
      <c r="U1426" s="129"/>
      <c r="V1426" s="129"/>
      <c r="W1426" s="129"/>
      <c r="X1426" s="129"/>
      <c r="Y1426" s="129"/>
      <c r="Z1426" s="129"/>
      <c r="AA1426" s="129"/>
      <c r="AB1426" s="129"/>
    </row>
    <row r="1427" hidden="1">
      <c r="A1427" s="144" t="s">
        <v>57</v>
      </c>
      <c r="B1427" s="145">
        <f t="shared" ref="B1427:D1427" si="169">SUM(B1424:B1426)</f>
        <v>0</v>
      </c>
      <c r="C1427" s="145">
        <f t="shared" si="169"/>
        <v>0</v>
      </c>
      <c r="D1427" s="145">
        <f t="shared" si="169"/>
        <v>0</v>
      </c>
      <c r="E1427" s="146" t="str">
        <f>D1427/(C1427/100)</f>
        <v>#DIV/0!</v>
      </c>
      <c r="F1427" s="129"/>
      <c r="G1427" s="129"/>
      <c r="H1427" s="129"/>
      <c r="I1427" s="129"/>
      <c r="J1427" s="129"/>
      <c r="K1427" s="129"/>
      <c r="L1427" s="129"/>
      <c r="M1427" s="129"/>
      <c r="N1427" s="129"/>
      <c r="O1427" s="129"/>
      <c r="P1427" s="129"/>
      <c r="Q1427" s="129"/>
      <c r="R1427" s="129"/>
      <c r="S1427" s="129"/>
      <c r="T1427" s="129"/>
      <c r="U1427" s="129"/>
      <c r="V1427" s="129"/>
      <c r="W1427" s="129"/>
      <c r="X1427" s="129"/>
      <c r="Y1427" s="129"/>
      <c r="Z1427" s="129"/>
      <c r="AA1427" s="129"/>
      <c r="AB1427" s="129"/>
    </row>
    <row r="1428" hidden="1">
      <c r="A1428" s="143"/>
      <c r="B1428" s="139"/>
      <c r="C1428" s="139"/>
      <c r="D1428" s="139"/>
      <c r="E1428" s="129"/>
      <c r="F1428" s="129"/>
      <c r="G1428" s="129"/>
      <c r="H1428" s="129"/>
      <c r="I1428" s="129"/>
      <c r="J1428" s="129"/>
      <c r="K1428" s="129"/>
      <c r="L1428" s="129"/>
      <c r="M1428" s="129"/>
      <c r="N1428" s="129"/>
      <c r="O1428" s="129"/>
      <c r="P1428" s="129"/>
      <c r="Q1428" s="129"/>
      <c r="R1428" s="129"/>
      <c r="S1428" s="129"/>
      <c r="T1428" s="129"/>
      <c r="U1428" s="129"/>
      <c r="V1428" s="129"/>
      <c r="W1428" s="129"/>
      <c r="X1428" s="129"/>
      <c r="Y1428" s="129"/>
      <c r="Z1428" s="129"/>
      <c r="AA1428" s="129"/>
      <c r="AB1428" s="129"/>
    </row>
    <row r="1429" hidden="1">
      <c r="A1429" s="397">
        <v>45352.0</v>
      </c>
      <c r="B1429" s="139"/>
      <c r="C1429" s="139"/>
      <c r="D1429" s="139"/>
      <c r="E1429" s="129"/>
      <c r="F1429" s="129"/>
      <c r="G1429" s="129"/>
      <c r="H1429" s="129"/>
      <c r="I1429" s="129"/>
      <c r="J1429" s="129"/>
      <c r="K1429" s="129"/>
      <c r="L1429" s="129"/>
      <c r="M1429" s="129"/>
      <c r="N1429" s="129"/>
      <c r="O1429" s="129"/>
      <c r="P1429" s="129"/>
      <c r="Q1429" s="129"/>
      <c r="R1429" s="129"/>
      <c r="S1429" s="129"/>
      <c r="T1429" s="129"/>
      <c r="U1429" s="129"/>
      <c r="V1429" s="129"/>
      <c r="W1429" s="129"/>
      <c r="X1429" s="129"/>
      <c r="Y1429" s="129"/>
      <c r="Z1429" s="129"/>
      <c r="AA1429" s="129"/>
      <c r="AB1429" s="129"/>
    </row>
    <row r="1430" hidden="1">
      <c r="A1430" s="143"/>
      <c r="B1430" s="132"/>
      <c r="C1430" s="132"/>
      <c r="D1430" s="132"/>
      <c r="E1430" s="132"/>
      <c r="F1430" s="139"/>
      <c r="G1430" s="129"/>
      <c r="H1430" s="129"/>
      <c r="I1430" s="129"/>
      <c r="J1430" s="129"/>
      <c r="K1430" s="129"/>
      <c r="L1430" s="129"/>
      <c r="M1430" s="129"/>
      <c r="N1430" s="129"/>
      <c r="O1430" s="129"/>
      <c r="P1430" s="129"/>
      <c r="Q1430" s="129"/>
      <c r="R1430" s="129"/>
      <c r="S1430" s="129"/>
      <c r="T1430" s="129"/>
      <c r="U1430" s="129"/>
      <c r="V1430" s="129"/>
      <c r="W1430" s="129"/>
      <c r="X1430" s="129"/>
      <c r="Y1430" s="129"/>
      <c r="Z1430" s="129"/>
      <c r="AA1430" s="129"/>
      <c r="AB1430" s="129"/>
    </row>
    <row r="1431" hidden="1">
      <c r="A1431" s="143"/>
      <c r="B1431" s="139"/>
      <c r="C1431" s="139"/>
      <c r="D1431" s="139"/>
      <c r="E1431" s="139"/>
      <c r="F1431" s="139"/>
      <c r="G1431" s="129"/>
      <c r="H1431" s="129"/>
      <c r="I1431" s="129"/>
      <c r="J1431" s="129"/>
      <c r="K1431" s="129"/>
      <c r="L1431" s="129"/>
      <c r="M1431" s="129"/>
      <c r="N1431" s="129"/>
      <c r="O1431" s="129"/>
      <c r="P1431" s="129"/>
      <c r="Q1431" s="129"/>
      <c r="R1431" s="129"/>
      <c r="S1431" s="129"/>
      <c r="T1431" s="129"/>
      <c r="U1431" s="129"/>
      <c r="V1431" s="129"/>
      <c r="W1431" s="129"/>
      <c r="X1431" s="129"/>
      <c r="Y1431" s="129"/>
      <c r="Z1431" s="129"/>
      <c r="AA1431" s="129"/>
      <c r="AB1431" s="129"/>
    </row>
    <row r="1432" hidden="1">
      <c r="A1432" s="144" t="s">
        <v>57</v>
      </c>
      <c r="B1432" s="145">
        <f t="shared" ref="B1432:D1432" si="170">SUM(B1429:B1431)</f>
        <v>0</v>
      </c>
      <c r="C1432" s="145">
        <f t="shared" si="170"/>
        <v>0</v>
      </c>
      <c r="D1432" s="145">
        <f t="shared" si="170"/>
        <v>0</v>
      </c>
      <c r="E1432" s="146" t="str">
        <f>D1432/(C1432/100)</f>
        <v>#DIV/0!</v>
      </c>
      <c r="F1432" s="129"/>
      <c r="G1432" s="129"/>
      <c r="H1432" s="129"/>
      <c r="I1432" s="129"/>
      <c r="J1432" s="129"/>
      <c r="K1432" s="129"/>
      <c r="L1432" s="129"/>
      <c r="M1432" s="129"/>
      <c r="N1432" s="129"/>
      <c r="O1432" s="129"/>
      <c r="P1432" s="129"/>
      <c r="Q1432" s="129"/>
      <c r="R1432" s="129"/>
      <c r="S1432" s="129"/>
      <c r="T1432" s="129"/>
      <c r="U1432" s="129"/>
      <c r="V1432" s="129"/>
      <c r="W1432" s="129"/>
      <c r="X1432" s="129"/>
      <c r="Y1432" s="129"/>
      <c r="Z1432" s="129"/>
      <c r="AA1432" s="129"/>
      <c r="AB1432" s="129"/>
    </row>
    <row r="1433" hidden="1">
      <c r="A1433" s="143"/>
      <c r="B1433" s="139"/>
      <c r="C1433" s="139"/>
      <c r="D1433" s="139"/>
      <c r="E1433" s="129"/>
      <c r="F1433" s="129"/>
      <c r="G1433" s="129"/>
      <c r="H1433" s="129"/>
      <c r="I1433" s="129"/>
      <c r="J1433" s="129"/>
      <c r="K1433" s="129"/>
      <c r="L1433" s="129"/>
      <c r="M1433" s="129"/>
      <c r="N1433" s="129"/>
      <c r="O1433" s="129"/>
      <c r="P1433" s="129"/>
      <c r="Q1433" s="129"/>
      <c r="R1433" s="129"/>
      <c r="S1433" s="129"/>
      <c r="T1433" s="129"/>
      <c r="U1433" s="129"/>
      <c r="V1433" s="129"/>
      <c r="W1433" s="129"/>
      <c r="X1433" s="129"/>
      <c r="Y1433" s="129"/>
      <c r="Z1433" s="129"/>
      <c r="AA1433" s="129"/>
      <c r="AB1433" s="129"/>
    </row>
    <row r="1434" hidden="1">
      <c r="A1434" s="397">
        <v>45323.0</v>
      </c>
      <c r="B1434" s="139"/>
      <c r="C1434" s="139"/>
      <c r="D1434" s="139"/>
      <c r="E1434" s="129"/>
      <c r="F1434" s="129"/>
      <c r="G1434" s="129"/>
      <c r="H1434" s="129"/>
      <c r="I1434" s="129"/>
      <c r="J1434" s="129"/>
      <c r="K1434" s="129"/>
      <c r="L1434" s="129"/>
      <c r="M1434" s="129"/>
      <c r="N1434" s="129"/>
      <c r="O1434" s="129"/>
      <c r="P1434" s="129"/>
      <c r="Q1434" s="129"/>
      <c r="R1434" s="129"/>
      <c r="S1434" s="129"/>
      <c r="T1434" s="129"/>
      <c r="U1434" s="129"/>
      <c r="V1434" s="129"/>
      <c r="W1434" s="129"/>
      <c r="X1434" s="129"/>
      <c r="Y1434" s="129"/>
      <c r="Z1434" s="129"/>
      <c r="AA1434" s="129"/>
      <c r="AB1434" s="129"/>
    </row>
    <row r="1435" hidden="1">
      <c r="A1435" s="123" t="s">
        <v>1125</v>
      </c>
      <c r="B1435" s="124">
        <v>1000.0</v>
      </c>
      <c r="C1435" s="124">
        <v>2750.0</v>
      </c>
      <c r="D1435" s="125">
        <f t="shared" ref="D1435:D1440" si="171">C1435-B1435</f>
        <v>1750</v>
      </c>
      <c r="E1435" s="139"/>
      <c r="F1435" s="139"/>
      <c r="G1435" s="129"/>
      <c r="H1435" s="129"/>
      <c r="I1435" s="129"/>
      <c r="J1435" s="129"/>
      <c r="K1435" s="129"/>
      <c r="L1435" s="129"/>
      <c r="M1435" s="129"/>
      <c r="N1435" s="129"/>
      <c r="O1435" s="129"/>
      <c r="P1435" s="129"/>
      <c r="Q1435" s="129"/>
      <c r="R1435" s="129"/>
      <c r="S1435" s="129"/>
      <c r="T1435" s="129"/>
      <c r="U1435" s="129"/>
      <c r="V1435" s="129"/>
      <c r="W1435" s="129"/>
      <c r="X1435" s="129"/>
      <c r="Y1435" s="129"/>
      <c r="Z1435" s="129"/>
      <c r="AA1435" s="129"/>
      <c r="AB1435" s="129"/>
    </row>
    <row r="1436" hidden="1">
      <c r="A1436" s="123" t="s">
        <v>1126</v>
      </c>
      <c r="B1436" s="124">
        <v>1000.0</v>
      </c>
      <c r="C1436" s="124">
        <v>0.0</v>
      </c>
      <c r="D1436" s="125">
        <f t="shared" si="171"/>
        <v>-1000</v>
      </c>
      <c r="E1436" s="139"/>
      <c r="F1436" s="139"/>
      <c r="G1436" s="129"/>
      <c r="H1436" s="129"/>
      <c r="I1436" s="129"/>
      <c r="J1436" s="129"/>
      <c r="K1436" s="129"/>
      <c r="L1436" s="129"/>
      <c r="M1436" s="129"/>
      <c r="N1436" s="129"/>
      <c r="O1436" s="129"/>
      <c r="P1436" s="129"/>
      <c r="Q1436" s="129"/>
      <c r="R1436" s="129"/>
      <c r="S1436" s="129"/>
      <c r="T1436" s="129"/>
      <c r="U1436" s="129"/>
      <c r="V1436" s="129"/>
      <c r="W1436" s="129"/>
      <c r="X1436" s="129"/>
      <c r="Y1436" s="129"/>
      <c r="Z1436" s="129"/>
      <c r="AA1436" s="129"/>
      <c r="AB1436" s="129"/>
    </row>
    <row r="1437" hidden="1">
      <c r="A1437" s="128" t="s">
        <v>1127</v>
      </c>
      <c r="B1437" s="123">
        <v>750.0</v>
      </c>
      <c r="C1437" s="123">
        <v>750.0</v>
      </c>
      <c r="D1437" s="149">
        <f t="shared" si="171"/>
        <v>0</v>
      </c>
      <c r="E1437" s="139"/>
      <c r="F1437" s="139"/>
      <c r="G1437" s="129"/>
      <c r="H1437" s="129"/>
      <c r="I1437" s="129"/>
      <c r="J1437" s="129"/>
      <c r="K1437" s="129"/>
      <c r="L1437" s="129"/>
      <c r="M1437" s="129"/>
      <c r="N1437" s="129"/>
      <c r="O1437" s="129"/>
      <c r="P1437" s="129"/>
      <c r="Q1437" s="129"/>
      <c r="R1437" s="129"/>
      <c r="S1437" s="129"/>
      <c r="T1437" s="129"/>
      <c r="U1437" s="129"/>
      <c r="V1437" s="129"/>
      <c r="W1437" s="129"/>
      <c r="X1437" s="129"/>
      <c r="Y1437" s="129"/>
      <c r="Z1437" s="129"/>
      <c r="AA1437" s="129"/>
      <c r="AB1437" s="129"/>
    </row>
    <row r="1438" hidden="1">
      <c r="A1438" s="123" t="s">
        <v>1128</v>
      </c>
      <c r="B1438" s="123">
        <v>750.0</v>
      </c>
      <c r="C1438" s="123">
        <v>1250.0</v>
      </c>
      <c r="D1438">
        <f t="shared" si="171"/>
        <v>500</v>
      </c>
      <c r="E1438" s="139"/>
      <c r="F1438" s="139"/>
      <c r="G1438" s="129"/>
      <c r="H1438" s="129"/>
      <c r="I1438" s="129"/>
      <c r="J1438" s="129"/>
      <c r="K1438" s="129"/>
      <c r="L1438" s="129"/>
      <c r="M1438" s="129"/>
      <c r="N1438" s="129"/>
      <c r="O1438" s="129"/>
      <c r="P1438" s="129"/>
      <c r="Q1438" s="129"/>
      <c r="R1438" s="129"/>
      <c r="S1438" s="129"/>
      <c r="T1438" s="129"/>
      <c r="U1438" s="129"/>
      <c r="V1438" s="129"/>
      <c r="W1438" s="129"/>
      <c r="X1438" s="129"/>
      <c r="Y1438" s="129"/>
      <c r="Z1438" s="129"/>
      <c r="AA1438" s="129"/>
      <c r="AB1438" s="129"/>
    </row>
    <row r="1439" hidden="1">
      <c r="A1439" s="123" t="s">
        <v>1129</v>
      </c>
      <c r="B1439" s="124">
        <v>500.0</v>
      </c>
      <c r="C1439" s="124">
        <v>0.0</v>
      </c>
      <c r="D1439" s="125">
        <f t="shared" si="171"/>
        <v>-500</v>
      </c>
      <c r="E1439" s="139"/>
      <c r="F1439" s="139"/>
      <c r="G1439" s="129"/>
      <c r="H1439" s="129"/>
      <c r="I1439" s="129"/>
      <c r="J1439" s="129"/>
      <c r="K1439" s="129"/>
      <c r="L1439" s="129"/>
      <c r="M1439" s="129"/>
      <c r="N1439" s="129"/>
      <c r="O1439" s="129"/>
      <c r="P1439" s="129"/>
      <c r="Q1439" s="129"/>
      <c r="R1439" s="129"/>
      <c r="S1439" s="129"/>
      <c r="T1439" s="129"/>
      <c r="U1439" s="129"/>
      <c r="V1439" s="129"/>
      <c r="W1439" s="129"/>
      <c r="X1439" s="129"/>
      <c r="Y1439" s="129"/>
      <c r="Z1439" s="129"/>
      <c r="AA1439" s="129"/>
      <c r="AB1439" s="129"/>
    </row>
    <row r="1440" hidden="1">
      <c r="A1440" s="128" t="s">
        <v>1130</v>
      </c>
      <c r="B1440" s="124">
        <v>500.0</v>
      </c>
      <c r="C1440" s="124">
        <v>500.0</v>
      </c>
      <c r="D1440" s="132">
        <f t="shared" si="171"/>
        <v>0</v>
      </c>
      <c r="E1440" s="139"/>
      <c r="F1440" s="139"/>
      <c r="G1440" s="129"/>
      <c r="H1440" s="129"/>
      <c r="I1440" s="129"/>
      <c r="J1440" s="129"/>
      <c r="K1440" s="129"/>
      <c r="L1440" s="129"/>
      <c r="M1440" s="129"/>
      <c r="N1440" s="129"/>
      <c r="O1440" s="129"/>
      <c r="P1440" s="129"/>
      <c r="Q1440" s="129"/>
      <c r="R1440" s="129"/>
      <c r="S1440" s="129"/>
      <c r="T1440" s="129"/>
      <c r="U1440" s="129"/>
      <c r="V1440" s="129"/>
      <c r="W1440" s="129"/>
      <c r="X1440" s="129"/>
      <c r="Y1440" s="129"/>
      <c r="Z1440" s="129"/>
      <c r="AA1440" s="129"/>
      <c r="AB1440" s="129"/>
    </row>
    <row r="1441" hidden="1">
      <c r="A1441" s="143"/>
      <c r="B1441" s="139"/>
      <c r="C1441" s="139"/>
      <c r="D1441" s="139"/>
      <c r="E1441" s="139"/>
      <c r="F1441" s="139"/>
      <c r="G1441" s="129"/>
      <c r="H1441" s="129"/>
      <c r="I1441" s="129"/>
      <c r="J1441" s="129"/>
      <c r="K1441" s="129"/>
      <c r="L1441" s="129"/>
      <c r="M1441" s="129"/>
      <c r="N1441" s="129"/>
      <c r="O1441" s="129"/>
      <c r="P1441" s="129"/>
      <c r="Q1441" s="129"/>
      <c r="R1441" s="129"/>
      <c r="S1441" s="129"/>
      <c r="T1441" s="129"/>
      <c r="U1441" s="129"/>
      <c r="V1441" s="129"/>
      <c r="W1441" s="129"/>
      <c r="X1441" s="129"/>
      <c r="Y1441" s="129"/>
      <c r="Z1441" s="129"/>
      <c r="AA1441" s="129"/>
      <c r="AB1441" s="129"/>
    </row>
    <row r="1442" hidden="1">
      <c r="A1442" s="144" t="s">
        <v>57</v>
      </c>
      <c r="B1442" s="145">
        <f t="shared" ref="B1442:D1442" si="172">SUM(B1434:B1441)</f>
        <v>4500</v>
      </c>
      <c r="C1442" s="145">
        <f t="shared" si="172"/>
        <v>5250</v>
      </c>
      <c r="D1442" s="145">
        <f t="shared" si="172"/>
        <v>750</v>
      </c>
      <c r="E1442" s="395">
        <f>D1442/(C1442/100)</f>
        <v>14.28571429</v>
      </c>
      <c r="F1442" s="129"/>
      <c r="G1442" s="129"/>
      <c r="H1442" s="129"/>
      <c r="I1442" s="129"/>
      <c r="J1442" s="129"/>
      <c r="K1442" s="129"/>
      <c r="L1442" s="129"/>
      <c r="M1442" s="129"/>
      <c r="N1442" s="129"/>
      <c r="O1442" s="129"/>
      <c r="P1442" s="129"/>
      <c r="Q1442" s="129"/>
      <c r="R1442" s="129"/>
      <c r="S1442" s="129"/>
      <c r="T1442" s="129"/>
      <c r="U1442" s="129"/>
      <c r="V1442" s="129"/>
      <c r="W1442" s="129"/>
      <c r="X1442" s="129"/>
      <c r="Y1442" s="129"/>
      <c r="Z1442" s="129"/>
      <c r="AA1442" s="129"/>
      <c r="AB1442" s="129"/>
    </row>
    <row r="1443" hidden="1">
      <c r="A1443" s="143"/>
      <c r="B1443" s="139"/>
      <c r="C1443" s="139"/>
      <c r="D1443" s="139"/>
      <c r="E1443" s="129"/>
      <c r="F1443" s="129"/>
      <c r="G1443" s="129"/>
      <c r="H1443" s="129"/>
      <c r="I1443" s="129"/>
      <c r="J1443" s="129"/>
      <c r="K1443" s="129"/>
      <c r="L1443" s="129"/>
      <c r="M1443" s="129"/>
      <c r="N1443" s="129"/>
      <c r="O1443" s="129"/>
      <c r="P1443" s="129"/>
      <c r="Q1443" s="129"/>
      <c r="R1443" s="129"/>
      <c r="S1443" s="129"/>
      <c r="T1443" s="129"/>
      <c r="U1443" s="129"/>
      <c r="V1443" s="129"/>
      <c r="W1443" s="129"/>
      <c r="X1443" s="129"/>
      <c r="Y1443" s="129"/>
      <c r="Z1443" s="129"/>
      <c r="AA1443" s="129"/>
      <c r="AB1443" s="129"/>
    </row>
    <row r="1444" hidden="1">
      <c r="A1444" s="397">
        <v>45292.0</v>
      </c>
      <c r="B1444" s="139"/>
      <c r="C1444" s="139"/>
      <c r="D1444" s="139"/>
      <c r="E1444" s="129"/>
      <c r="F1444" s="129"/>
      <c r="G1444" s="129"/>
      <c r="H1444" s="129"/>
      <c r="I1444" s="129"/>
      <c r="J1444" s="129"/>
      <c r="K1444" s="129"/>
      <c r="L1444" s="129"/>
      <c r="M1444" s="129"/>
      <c r="N1444" s="129"/>
      <c r="O1444" s="129"/>
      <c r="P1444" s="129"/>
      <c r="Q1444" s="129"/>
      <c r="R1444" s="129"/>
      <c r="S1444" s="129"/>
      <c r="T1444" s="129"/>
      <c r="U1444" s="129"/>
      <c r="V1444" s="129"/>
      <c r="W1444" s="129"/>
      <c r="X1444" s="129"/>
      <c r="Y1444" s="129"/>
      <c r="Z1444" s="129"/>
      <c r="AA1444" s="129"/>
      <c r="AB1444" s="129"/>
    </row>
    <row r="1445" hidden="1">
      <c r="A1445" s="143"/>
      <c r="B1445" s="139"/>
      <c r="C1445" s="139"/>
      <c r="D1445" s="139"/>
      <c r="E1445" s="139"/>
      <c r="F1445" s="139"/>
      <c r="G1445" s="129"/>
      <c r="H1445" s="129"/>
      <c r="I1445" s="129"/>
      <c r="J1445" s="129"/>
      <c r="K1445" s="129"/>
      <c r="L1445" s="129"/>
      <c r="M1445" s="129"/>
      <c r="N1445" s="129"/>
      <c r="O1445" s="129"/>
      <c r="P1445" s="129"/>
      <c r="Q1445" s="129"/>
      <c r="R1445" s="129"/>
      <c r="S1445" s="129"/>
      <c r="T1445" s="129"/>
      <c r="U1445" s="129"/>
      <c r="V1445" s="129"/>
      <c r="W1445" s="129"/>
      <c r="X1445" s="129"/>
      <c r="Y1445" s="129"/>
      <c r="Z1445" s="129"/>
      <c r="AA1445" s="129"/>
      <c r="AB1445" s="129"/>
    </row>
    <row r="1446" hidden="1">
      <c r="A1446" s="143"/>
      <c r="B1446" s="139"/>
      <c r="C1446" s="139"/>
      <c r="D1446" s="139"/>
      <c r="E1446" s="139"/>
      <c r="F1446" s="139"/>
      <c r="G1446" s="129"/>
      <c r="H1446" s="129"/>
      <c r="I1446" s="129"/>
      <c r="J1446" s="129"/>
      <c r="K1446" s="129"/>
      <c r="L1446" s="129"/>
      <c r="M1446" s="129"/>
      <c r="N1446" s="129"/>
      <c r="O1446" s="129"/>
      <c r="P1446" s="129"/>
      <c r="Q1446" s="129"/>
      <c r="R1446" s="129"/>
      <c r="S1446" s="129"/>
      <c r="T1446" s="129"/>
      <c r="U1446" s="129"/>
      <c r="V1446" s="129"/>
      <c r="W1446" s="129"/>
      <c r="X1446" s="129"/>
      <c r="Y1446" s="129"/>
      <c r="Z1446" s="129"/>
      <c r="AA1446" s="129"/>
      <c r="AB1446" s="129"/>
    </row>
    <row r="1447" hidden="1">
      <c r="A1447" s="144" t="s">
        <v>57</v>
      </c>
      <c r="B1447" s="145">
        <f t="shared" ref="B1447:D1447" si="173">SUM(B1444:B1446)</f>
        <v>0</v>
      </c>
      <c r="C1447" s="145">
        <f t="shared" si="173"/>
        <v>0</v>
      </c>
      <c r="D1447" s="145">
        <f t="shared" si="173"/>
        <v>0</v>
      </c>
      <c r="E1447" s="395" t="str">
        <f t="shared" ref="E1447:E1448" si="175">D1447/(C1447/100)</f>
        <v>#DIV/0!</v>
      </c>
      <c r="F1447" s="129"/>
      <c r="G1447" s="129"/>
      <c r="H1447" s="129"/>
      <c r="I1447" s="129"/>
      <c r="J1447" s="129"/>
      <c r="K1447" s="129"/>
      <c r="L1447" s="129"/>
      <c r="M1447" s="129"/>
      <c r="N1447" s="129"/>
      <c r="O1447" s="129"/>
      <c r="P1447" s="129"/>
      <c r="Q1447" s="129"/>
      <c r="R1447" s="129"/>
      <c r="S1447" s="129"/>
      <c r="T1447" s="129"/>
      <c r="U1447" s="129"/>
      <c r="V1447" s="129"/>
      <c r="W1447" s="129"/>
      <c r="X1447" s="129"/>
      <c r="Y1447" s="129"/>
      <c r="Z1447" s="129"/>
      <c r="AA1447" s="129"/>
      <c r="AB1447" s="129"/>
    </row>
    <row r="1448">
      <c r="A1448" s="215" t="s">
        <v>1131</v>
      </c>
      <c r="B1448" s="204">
        <f t="shared" ref="B1448:D1448" si="174">SUM(B1356,B1364,B1395,B1402,B1407,B1412,B1417,B1422,B1427,B1432,B1442,B1447)</f>
        <v>42460</v>
      </c>
      <c r="C1448" s="204">
        <f t="shared" si="174"/>
        <v>50220</v>
      </c>
      <c r="D1448" s="204">
        <f t="shared" si="174"/>
        <v>7760</v>
      </c>
      <c r="E1448" s="396">
        <f t="shared" si="175"/>
        <v>15.45201115</v>
      </c>
      <c r="F1448" s="217"/>
      <c r="G1448" s="217"/>
      <c r="H1448" s="217"/>
      <c r="I1448" s="217"/>
      <c r="J1448" s="217"/>
      <c r="K1448" s="217"/>
      <c r="L1448" s="217"/>
      <c r="M1448" s="217"/>
      <c r="N1448" s="217"/>
      <c r="O1448" s="217"/>
      <c r="P1448" s="217"/>
      <c r="Q1448" s="217"/>
      <c r="R1448" s="217"/>
      <c r="S1448" s="217"/>
      <c r="T1448" s="217"/>
      <c r="U1448" s="217"/>
      <c r="V1448" s="217"/>
      <c r="W1448" s="217"/>
      <c r="X1448" s="217"/>
      <c r="Y1448" s="217"/>
      <c r="Z1448" s="217"/>
      <c r="AA1448" s="217"/>
      <c r="AB1448" s="217"/>
    </row>
    <row r="1449">
      <c r="A1449" s="141"/>
      <c r="B1449" s="139"/>
      <c r="C1449" s="139"/>
      <c r="D1449" s="139"/>
      <c r="E1449" s="129"/>
      <c r="F1449" s="129"/>
      <c r="G1449" s="129"/>
      <c r="H1449" s="129"/>
      <c r="I1449" s="129"/>
      <c r="J1449" s="129"/>
      <c r="K1449" s="129"/>
      <c r="L1449" s="129"/>
      <c r="M1449" s="129"/>
      <c r="N1449" s="129"/>
      <c r="O1449" s="129"/>
      <c r="P1449" s="129"/>
      <c r="Q1449" s="129"/>
      <c r="R1449" s="129"/>
      <c r="S1449" s="129"/>
      <c r="T1449" s="129"/>
      <c r="U1449" s="129"/>
      <c r="V1449" s="129"/>
      <c r="W1449" s="129"/>
      <c r="X1449" s="129"/>
      <c r="Y1449" s="129"/>
      <c r="Z1449" s="129"/>
      <c r="AA1449" s="129"/>
      <c r="AB1449" s="129"/>
    </row>
    <row r="1450">
      <c r="A1450" s="138" t="s">
        <v>1132</v>
      </c>
      <c r="B1450" s="139"/>
      <c r="C1450" s="139"/>
      <c r="D1450" s="139"/>
      <c r="E1450" s="129"/>
      <c r="F1450" s="129"/>
      <c r="G1450" s="129"/>
      <c r="H1450" s="129"/>
      <c r="I1450" s="129"/>
      <c r="J1450" s="129"/>
      <c r="K1450" s="129"/>
      <c r="L1450" s="129"/>
      <c r="M1450" s="129"/>
      <c r="N1450" s="129"/>
      <c r="O1450" s="129"/>
      <c r="P1450" s="129"/>
      <c r="Q1450" s="129"/>
      <c r="R1450" s="129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</row>
    <row r="1451" hidden="1">
      <c r="A1451" s="141">
        <v>45261.0</v>
      </c>
      <c r="B1451" s="139"/>
      <c r="C1451" s="139"/>
      <c r="D1451" s="139"/>
      <c r="E1451" s="129"/>
      <c r="F1451" s="129"/>
      <c r="G1451" s="129"/>
      <c r="H1451" s="129"/>
      <c r="I1451" s="129"/>
      <c r="J1451" s="129"/>
      <c r="K1451" s="129"/>
      <c r="L1451" s="129"/>
      <c r="M1451" s="129"/>
      <c r="N1451" s="129"/>
      <c r="O1451" s="129"/>
      <c r="P1451" s="129"/>
      <c r="Q1451" s="129"/>
      <c r="R1451" s="129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</row>
    <row r="1452" hidden="1">
      <c r="A1452" s="128" t="s">
        <v>1029</v>
      </c>
      <c r="B1452" s="147">
        <v>890.0</v>
      </c>
      <c r="C1452" s="147">
        <v>947.0</v>
      </c>
      <c r="D1452" s="132">
        <f t="shared" ref="D1452:D1469" si="176">C1452-B1452</f>
        <v>57</v>
      </c>
      <c r="E1452" s="126" t="s">
        <v>123</v>
      </c>
      <c r="F1452" s="147"/>
      <c r="G1452" s="129"/>
      <c r="H1452" s="129"/>
      <c r="I1452" s="129"/>
      <c r="J1452" s="129"/>
      <c r="K1452" s="129"/>
      <c r="L1452" s="129"/>
      <c r="M1452" s="129"/>
      <c r="N1452" s="129"/>
      <c r="O1452" s="129"/>
      <c r="P1452" s="129"/>
      <c r="Q1452" s="129"/>
      <c r="R1452" s="129"/>
      <c r="S1452" s="129"/>
      <c r="T1452" s="129"/>
      <c r="U1452" s="129"/>
      <c r="V1452" s="129"/>
      <c r="W1452" s="129"/>
      <c r="X1452" s="129"/>
      <c r="Y1452" s="129"/>
      <c r="Z1452" s="129"/>
      <c r="AA1452" s="129"/>
      <c r="AB1452" s="129"/>
    </row>
    <row r="1453" hidden="1">
      <c r="A1453" s="128" t="s">
        <v>1133</v>
      </c>
      <c r="B1453" s="147">
        <v>1690.0</v>
      </c>
      <c r="C1453" s="147">
        <v>1200.0</v>
      </c>
      <c r="D1453" s="132">
        <f t="shared" si="176"/>
        <v>-490</v>
      </c>
      <c r="E1453" s="132" t="s">
        <v>1134</v>
      </c>
      <c r="F1453" s="139"/>
      <c r="G1453" s="129"/>
      <c r="H1453" s="129"/>
      <c r="I1453" s="129"/>
      <c r="J1453" s="129"/>
      <c r="K1453" s="129"/>
      <c r="L1453" s="129"/>
      <c r="M1453" s="129"/>
      <c r="N1453" s="129"/>
      <c r="O1453" s="129"/>
      <c r="P1453" s="129"/>
      <c r="Q1453" s="129"/>
      <c r="R1453" s="129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</row>
    <row r="1454" hidden="1">
      <c r="A1454" s="128" t="s">
        <v>1133</v>
      </c>
      <c r="B1454" s="147">
        <v>1690.0</v>
      </c>
      <c r="C1454" s="147">
        <v>1200.0</v>
      </c>
      <c r="D1454" s="132">
        <f t="shared" si="176"/>
        <v>-490</v>
      </c>
      <c r="E1454" s="132" t="s">
        <v>1134</v>
      </c>
      <c r="F1454" s="139"/>
      <c r="G1454" s="129"/>
      <c r="H1454" s="129"/>
      <c r="I1454" s="129"/>
      <c r="J1454" s="129"/>
      <c r="K1454" s="129"/>
      <c r="L1454" s="129"/>
      <c r="M1454" s="129"/>
      <c r="N1454" s="129"/>
      <c r="O1454" s="129"/>
      <c r="P1454" s="129"/>
      <c r="Q1454" s="129"/>
      <c r="R1454" s="129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</row>
    <row r="1455" hidden="1">
      <c r="A1455" s="128" t="s">
        <v>1133</v>
      </c>
      <c r="B1455" s="147">
        <v>1690.0</v>
      </c>
      <c r="C1455" s="147">
        <v>1200.0</v>
      </c>
      <c r="D1455" s="132">
        <f t="shared" si="176"/>
        <v>-490</v>
      </c>
      <c r="E1455" s="132" t="s">
        <v>1134</v>
      </c>
      <c r="F1455" s="139"/>
      <c r="G1455" s="129"/>
      <c r="H1455" s="129"/>
      <c r="I1455" s="129"/>
      <c r="J1455" s="129"/>
      <c r="K1455" s="129"/>
      <c r="L1455" s="129"/>
      <c r="M1455" s="129"/>
      <c r="N1455" s="129"/>
      <c r="O1455" s="129"/>
      <c r="P1455" s="129"/>
      <c r="Q1455" s="129"/>
      <c r="R1455" s="129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</row>
    <row r="1456" hidden="1">
      <c r="A1456" s="128" t="s">
        <v>1133</v>
      </c>
      <c r="B1456" s="147">
        <v>1690.0</v>
      </c>
      <c r="C1456" s="147">
        <v>1200.0</v>
      </c>
      <c r="D1456" s="132">
        <f t="shared" si="176"/>
        <v>-490</v>
      </c>
      <c r="E1456" s="132" t="s">
        <v>1134</v>
      </c>
      <c r="F1456" s="139"/>
      <c r="G1456" s="129"/>
      <c r="H1456" s="129"/>
      <c r="I1456" s="129"/>
      <c r="J1456" s="129"/>
      <c r="K1456" s="129"/>
      <c r="L1456" s="129"/>
      <c r="M1456" s="129"/>
      <c r="N1456" s="129"/>
      <c r="O1456" s="129"/>
      <c r="P1456" s="129"/>
      <c r="Q1456" s="129"/>
      <c r="R1456" s="129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</row>
    <row r="1457" hidden="1">
      <c r="A1457" s="128" t="s">
        <v>1135</v>
      </c>
      <c r="B1457" s="147">
        <v>1690.0</v>
      </c>
      <c r="C1457" s="147">
        <v>1200.0</v>
      </c>
      <c r="D1457" s="132">
        <f t="shared" si="176"/>
        <v>-490</v>
      </c>
      <c r="E1457" s="132" t="s">
        <v>1134</v>
      </c>
      <c r="F1457" s="132"/>
      <c r="I1457" s="129"/>
      <c r="L1457" s="129"/>
      <c r="M1457" s="129"/>
      <c r="N1457" s="129"/>
      <c r="O1457" s="129"/>
      <c r="P1457" s="129"/>
      <c r="Q1457" s="129"/>
      <c r="R1457" s="129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</row>
    <row r="1458" hidden="1">
      <c r="A1458" s="128" t="s">
        <v>1135</v>
      </c>
      <c r="B1458" s="147">
        <v>1690.0</v>
      </c>
      <c r="C1458" s="147">
        <v>1200.0</v>
      </c>
      <c r="D1458" s="132">
        <f t="shared" si="176"/>
        <v>-490</v>
      </c>
      <c r="E1458" s="132" t="s">
        <v>1134</v>
      </c>
      <c r="F1458" s="132"/>
      <c r="I1458" s="129"/>
      <c r="L1458" s="129"/>
      <c r="M1458" s="129"/>
      <c r="N1458" s="129"/>
      <c r="O1458" s="129"/>
      <c r="P1458" s="129"/>
      <c r="Q1458" s="129"/>
      <c r="R1458" s="129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</row>
    <row r="1459" hidden="1">
      <c r="A1459" s="128" t="s">
        <v>1135</v>
      </c>
      <c r="B1459" s="147">
        <v>1690.0</v>
      </c>
      <c r="C1459" s="147">
        <v>1200.0</v>
      </c>
      <c r="D1459" s="132">
        <f t="shared" si="176"/>
        <v>-490</v>
      </c>
      <c r="E1459" s="132" t="s">
        <v>1134</v>
      </c>
      <c r="F1459" s="132"/>
      <c r="I1459" s="129"/>
      <c r="L1459" s="129"/>
      <c r="M1459" s="129"/>
      <c r="N1459" s="129"/>
      <c r="O1459" s="129"/>
      <c r="P1459" s="129"/>
      <c r="Q1459" s="129"/>
      <c r="R1459" s="129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</row>
    <row r="1460" hidden="1">
      <c r="A1460" s="128" t="s">
        <v>1135</v>
      </c>
      <c r="B1460" s="147">
        <v>1690.0</v>
      </c>
      <c r="C1460" s="147">
        <v>1200.0</v>
      </c>
      <c r="D1460" s="132">
        <f t="shared" si="176"/>
        <v>-490</v>
      </c>
      <c r="E1460" s="132" t="s">
        <v>1134</v>
      </c>
      <c r="F1460" s="132"/>
      <c r="I1460" s="129"/>
      <c r="L1460" s="129"/>
      <c r="M1460" s="129"/>
      <c r="N1460" s="129"/>
      <c r="O1460" s="129"/>
      <c r="P1460" s="129"/>
      <c r="Q1460" s="129"/>
      <c r="R1460" s="129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</row>
    <row r="1461" hidden="1">
      <c r="A1461" s="128" t="s">
        <v>1135</v>
      </c>
      <c r="B1461" s="147">
        <v>1690.0</v>
      </c>
      <c r="C1461" s="147">
        <v>1200.0</v>
      </c>
      <c r="D1461" s="132">
        <f t="shared" si="176"/>
        <v>-490</v>
      </c>
      <c r="E1461" s="132" t="s">
        <v>1134</v>
      </c>
      <c r="F1461" s="132"/>
      <c r="I1461" s="129"/>
      <c r="L1461" s="129"/>
      <c r="M1461" s="129"/>
      <c r="N1461" s="129"/>
      <c r="O1461" s="129"/>
      <c r="P1461" s="129"/>
      <c r="Q1461" s="129"/>
      <c r="R1461" s="129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</row>
    <row r="1462" hidden="1">
      <c r="A1462" s="128" t="s">
        <v>1136</v>
      </c>
      <c r="B1462" s="147">
        <v>1690.0</v>
      </c>
      <c r="C1462" s="147">
        <v>1200.0</v>
      </c>
      <c r="D1462" s="132">
        <f t="shared" si="176"/>
        <v>-490</v>
      </c>
      <c r="E1462" s="132" t="s">
        <v>1134</v>
      </c>
      <c r="F1462" s="132"/>
      <c r="I1462" s="129"/>
      <c r="L1462" s="129"/>
      <c r="M1462" s="129"/>
      <c r="N1462" s="129"/>
      <c r="O1462" s="129"/>
      <c r="P1462" s="129"/>
      <c r="Q1462" s="129"/>
      <c r="R1462" s="129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</row>
    <row r="1463" hidden="1">
      <c r="A1463" s="128" t="s">
        <v>1136</v>
      </c>
      <c r="B1463" s="147">
        <v>1690.0</v>
      </c>
      <c r="C1463" s="147">
        <v>1200.0</v>
      </c>
      <c r="D1463" s="132">
        <f t="shared" si="176"/>
        <v>-490</v>
      </c>
      <c r="E1463" s="132" t="s">
        <v>1134</v>
      </c>
      <c r="F1463" s="132"/>
      <c r="I1463" s="129"/>
      <c r="L1463" s="129"/>
      <c r="M1463" s="129"/>
      <c r="N1463" s="129"/>
      <c r="O1463" s="129"/>
      <c r="P1463" s="129"/>
      <c r="Q1463" s="129"/>
      <c r="R1463" s="129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</row>
    <row r="1464" hidden="1">
      <c r="A1464" s="128" t="s">
        <v>1137</v>
      </c>
      <c r="B1464" s="147">
        <v>1690.0</v>
      </c>
      <c r="C1464" s="147">
        <v>1200.0</v>
      </c>
      <c r="D1464" s="132">
        <f t="shared" si="176"/>
        <v>-490</v>
      </c>
      <c r="E1464" s="132" t="s">
        <v>1134</v>
      </c>
      <c r="F1464" s="132"/>
      <c r="I1464" s="129"/>
      <c r="L1464" s="129"/>
      <c r="M1464" s="129"/>
      <c r="N1464" s="129"/>
      <c r="O1464" s="129"/>
      <c r="P1464" s="129"/>
      <c r="Q1464" s="129"/>
      <c r="R1464" s="129"/>
      <c r="S1464" s="129"/>
      <c r="T1464" s="129"/>
      <c r="U1464" s="129"/>
      <c r="V1464" s="129"/>
      <c r="W1464" s="129"/>
      <c r="X1464" s="129"/>
      <c r="Y1464" s="129"/>
      <c r="Z1464" s="129"/>
      <c r="AA1464" s="129"/>
      <c r="AB1464" s="129"/>
    </row>
    <row r="1465" hidden="1">
      <c r="A1465" s="128" t="s">
        <v>1137</v>
      </c>
      <c r="B1465" s="147">
        <v>1690.0</v>
      </c>
      <c r="C1465" s="147">
        <v>1200.0</v>
      </c>
      <c r="D1465" s="132">
        <f t="shared" si="176"/>
        <v>-490</v>
      </c>
      <c r="E1465" s="132" t="s">
        <v>1134</v>
      </c>
      <c r="F1465" s="132"/>
      <c r="I1465" s="129"/>
      <c r="L1465" s="129"/>
      <c r="M1465" s="129"/>
      <c r="N1465" s="129"/>
      <c r="O1465" s="129"/>
      <c r="P1465" s="129"/>
      <c r="Q1465" s="129"/>
      <c r="R1465" s="129"/>
      <c r="S1465" s="129"/>
      <c r="T1465" s="129"/>
      <c r="U1465" s="129"/>
      <c r="V1465" s="129"/>
      <c r="W1465" s="129"/>
      <c r="X1465" s="129"/>
      <c r="Y1465" s="129"/>
      <c r="Z1465" s="129"/>
      <c r="AA1465" s="129"/>
      <c r="AB1465" s="129"/>
    </row>
    <row r="1466" hidden="1">
      <c r="A1466" s="128" t="s">
        <v>1137</v>
      </c>
      <c r="B1466" s="147">
        <v>1690.0</v>
      </c>
      <c r="C1466" s="147">
        <v>1200.0</v>
      </c>
      <c r="D1466" s="132">
        <f t="shared" si="176"/>
        <v>-490</v>
      </c>
      <c r="E1466" s="132" t="s">
        <v>1134</v>
      </c>
      <c r="F1466" s="132"/>
      <c r="I1466" s="129"/>
      <c r="L1466" s="129"/>
      <c r="M1466" s="129"/>
      <c r="N1466" s="129"/>
      <c r="O1466" s="129"/>
      <c r="P1466" s="129"/>
      <c r="Q1466" s="129"/>
      <c r="R1466" s="129"/>
      <c r="S1466" s="129"/>
      <c r="T1466" s="129"/>
      <c r="U1466" s="129"/>
      <c r="V1466" s="129"/>
      <c r="W1466" s="129"/>
      <c r="X1466" s="129"/>
      <c r="Y1466" s="129"/>
      <c r="Z1466" s="129"/>
      <c r="AA1466" s="129"/>
      <c r="AB1466" s="129"/>
    </row>
    <row r="1467" hidden="1">
      <c r="A1467" s="128" t="s">
        <v>1137</v>
      </c>
      <c r="B1467" s="147">
        <v>1690.0</v>
      </c>
      <c r="C1467" s="147">
        <v>1200.0</v>
      </c>
      <c r="D1467" s="132">
        <f t="shared" si="176"/>
        <v>-490</v>
      </c>
      <c r="E1467" s="132" t="s">
        <v>1134</v>
      </c>
      <c r="F1467" s="132"/>
      <c r="I1467" s="129"/>
      <c r="L1467" s="129"/>
      <c r="M1467" s="129"/>
      <c r="N1467" s="129"/>
      <c r="O1467" s="129"/>
      <c r="P1467" s="129"/>
      <c r="Q1467" s="129"/>
      <c r="R1467" s="129"/>
      <c r="S1467" s="129"/>
      <c r="T1467" s="129"/>
      <c r="U1467" s="129"/>
      <c r="V1467" s="129"/>
      <c r="W1467" s="129"/>
      <c r="X1467" s="129"/>
      <c r="Y1467" s="129"/>
      <c r="Z1467" s="129"/>
      <c r="AA1467" s="129"/>
      <c r="AB1467" s="129"/>
    </row>
    <row r="1468" hidden="1">
      <c r="A1468" s="128" t="s">
        <v>1137</v>
      </c>
      <c r="B1468" s="147">
        <v>1690.0</v>
      </c>
      <c r="C1468" s="147">
        <v>1200.0</v>
      </c>
      <c r="D1468" s="132">
        <f t="shared" si="176"/>
        <v>-490</v>
      </c>
      <c r="E1468" s="132" t="s">
        <v>1134</v>
      </c>
      <c r="F1468" s="132"/>
      <c r="I1468" s="129"/>
      <c r="L1468" s="129"/>
      <c r="M1468" s="129"/>
      <c r="N1468" s="129"/>
      <c r="O1468" s="129"/>
      <c r="P1468" s="129"/>
      <c r="Q1468" s="129"/>
      <c r="R1468" s="129"/>
      <c r="S1468" s="129"/>
      <c r="T1468" s="129"/>
      <c r="U1468" s="129"/>
      <c r="V1468" s="129"/>
      <c r="W1468" s="129"/>
      <c r="X1468" s="129"/>
      <c r="Y1468" s="129"/>
      <c r="Z1468" s="129"/>
      <c r="AA1468" s="129"/>
      <c r="AB1468" s="129"/>
    </row>
    <row r="1469" hidden="1">
      <c r="A1469" s="128" t="s">
        <v>1133</v>
      </c>
      <c r="B1469" s="147">
        <v>1690.0</v>
      </c>
      <c r="C1469" s="147">
        <v>1990.0</v>
      </c>
      <c r="D1469" s="132">
        <f t="shared" si="176"/>
        <v>300</v>
      </c>
      <c r="E1469" s="132" t="s">
        <v>1134</v>
      </c>
      <c r="F1469" s="139"/>
      <c r="G1469" s="129"/>
      <c r="H1469" s="129"/>
      <c r="I1469" s="129"/>
      <c r="J1469" s="129"/>
      <c r="K1469" s="129"/>
      <c r="L1469" s="129"/>
      <c r="M1469" s="129"/>
      <c r="N1469" s="129"/>
      <c r="O1469" s="129"/>
      <c r="P1469" s="129"/>
      <c r="Q1469" s="129"/>
      <c r="R1469" s="129"/>
      <c r="S1469" s="129"/>
      <c r="T1469" s="129"/>
      <c r="U1469" s="129"/>
      <c r="V1469" s="129"/>
      <c r="W1469" s="129"/>
      <c r="X1469" s="129"/>
      <c r="Y1469" s="129"/>
      <c r="Z1469" s="129"/>
      <c r="AA1469" s="129"/>
      <c r="AB1469" s="129"/>
    </row>
    <row r="1470" hidden="1">
      <c r="A1470" s="143"/>
      <c r="B1470" s="139"/>
      <c r="C1470" s="139"/>
      <c r="D1470" s="139"/>
      <c r="E1470" s="129"/>
      <c r="F1470" s="129"/>
      <c r="G1470" s="129"/>
      <c r="H1470" s="129"/>
      <c r="I1470" s="129"/>
      <c r="J1470" s="129"/>
      <c r="K1470" s="129"/>
      <c r="L1470" s="129"/>
      <c r="M1470" s="129"/>
      <c r="N1470" s="129"/>
      <c r="O1470" s="129"/>
      <c r="P1470" s="129"/>
      <c r="Q1470" s="129"/>
      <c r="R1470" s="129"/>
      <c r="S1470" s="129"/>
      <c r="T1470" s="129"/>
      <c r="U1470" s="129"/>
      <c r="V1470" s="129"/>
      <c r="W1470" s="129"/>
      <c r="X1470" s="129"/>
      <c r="Y1470" s="129"/>
      <c r="Z1470" s="129"/>
      <c r="AA1470" s="129"/>
      <c r="AB1470" s="129"/>
    </row>
    <row r="1471" hidden="1">
      <c r="A1471" s="144" t="s">
        <v>57</v>
      </c>
      <c r="B1471" s="133">
        <f t="shared" ref="B1471:D1471" si="177">SUM(B1451:B1470)</f>
        <v>29620</v>
      </c>
      <c r="C1471" s="133">
        <f t="shared" si="177"/>
        <v>22137</v>
      </c>
      <c r="D1471" s="133">
        <f t="shared" si="177"/>
        <v>-7483</v>
      </c>
      <c r="E1471" s="135">
        <f>D1471/(C1471/100)</f>
        <v>-33.80313502</v>
      </c>
      <c r="F1471" s="129"/>
      <c r="G1471" s="129"/>
      <c r="H1471" s="129"/>
      <c r="I1471" s="129"/>
      <c r="J1471" s="129"/>
      <c r="K1471" s="129"/>
      <c r="L1471" s="129"/>
      <c r="M1471" s="129"/>
      <c r="N1471" s="129"/>
      <c r="O1471" s="129"/>
      <c r="P1471" s="129"/>
      <c r="Q1471" s="129"/>
      <c r="R1471" s="129"/>
      <c r="S1471" s="129"/>
      <c r="T1471" s="129"/>
      <c r="U1471" s="129"/>
      <c r="V1471" s="129"/>
      <c r="W1471" s="129"/>
      <c r="X1471" s="129"/>
      <c r="Y1471" s="129"/>
      <c r="Z1471" s="129"/>
      <c r="AA1471" s="129"/>
      <c r="AB1471" s="129"/>
    </row>
    <row r="1472" hidden="1">
      <c r="A1472" s="150"/>
      <c r="B1472" s="147"/>
      <c r="C1472" s="147"/>
      <c r="D1472" s="132"/>
      <c r="E1472" s="132"/>
      <c r="F1472" s="139"/>
      <c r="G1472" s="150"/>
      <c r="H1472" s="129"/>
      <c r="I1472" s="129"/>
      <c r="J1472" s="129"/>
      <c r="K1472" s="129"/>
      <c r="L1472" s="129"/>
      <c r="M1472" s="129"/>
      <c r="N1472" s="129"/>
      <c r="O1472" s="129"/>
      <c r="P1472" s="129"/>
      <c r="Q1472" s="129"/>
      <c r="R1472" s="129"/>
      <c r="S1472" s="129"/>
      <c r="T1472" s="129"/>
      <c r="U1472" s="129"/>
      <c r="V1472" s="129"/>
      <c r="W1472" s="129"/>
      <c r="X1472" s="129"/>
      <c r="Y1472" s="129"/>
      <c r="Z1472" s="129"/>
      <c r="AA1472" s="129"/>
      <c r="AB1472" s="129"/>
    </row>
    <row r="1473" hidden="1">
      <c r="A1473" s="141">
        <v>45231.0</v>
      </c>
      <c r="B1473" s="139"/>
      <c r="C1473" s="139"/>
      <c r="D1473" s="139"/>
      <c r="E1473" s="129"/>
      <c r="F1473" s="129"/>
      <c r="G1473" s="129"/>
      <c r="H1473" s="129"/>
      <c r="I1473" s="129"/>
      <c r="J1473" s="129"/>
      <c r="K1473" s="129"/>
      <c r="L1473" s="129"/>
      <c r="M1473" s="129"/>
      <c r="N1473" s="129"/>
      <c r="O1473" s="129"/>
      <c r="P1473" s="129"/>
      <c r="Q1473" s="129"/>
      <c r="R1473" s="129"/>
      <c r="S1473" s="129"/>
      <c r="T1473" s="129"/>
      <c r="U1473" s="129"/>
      <c r="V1473" s="129"/>
      <c r="W1473" s="129"/>
      <c r="X1473" s="129"/>
      <c r="Y1473" s="129"/>
      <c r="Z1473" s="129"/>
      <c r="AA1473" s="129"/>
      <c r="AB1473" s="129"/>
    </row>
    <row r="1474" hidden="1">
      <c r="A1474" s="128" t="s">
        <v>792</v>
      </c>
      <c r="B1474" s="147">
        <v>1290.0</v>
      </c>
      <c r="C1474" s="147">
        <v>1557.0</v>
      </c>
      <c r="D1474" s="132">
        <f t="shared" ref="D1474:D1478" si="178">C1474-B1474</f>
        <v>267</v>
      </c>
      <c r="E1474" s="147" t="s">
        <v>120</v>
      </c>
      <c r="F1474" s="139"/>
      <c r="G1474" s="129"/>
      <c r="H1474" s="129"/>
      <c r="I1474" s="129"/>
      <c r="J1474" s="129"/>
      <c r="K1474" s="129"/>
      <c r="L1474" s="129"/>
      <c r="M1474" s="129"/>
      <c r="N1474" s="129"/>
      <c r="O1474" s="129"/>
      <c r="P1474" s="129"/>
      <c r="Q1474" s="129"/>
      <c r="R1474" s="129"/>
      <c r="S1474" s="129"/>
      <c r="T1474" s="129"/>
      <c r="U1474" s="129"/>
      <c r="V1474" s="129"/>
      <c r="W1474" s="129"/>
      <c r="X1474" s="129"/>
      <c r="Y1474" s="129"/>
      <c r="Z1474" s="129"/>
      <c r="AA1474" s="129"/>
      <c r="AB1474" s="129"/>
    </row>
    <row r="1475" hidden="1">
      <c r="A1475" s="128" t="s">
        <v>1138</v>
      </c>
      <c r="B1475" s="147">
        <v>1390.0</v>
      </c>
      <c r="C1475" s="147">
        <v>1470.0</v>
      </c>
      <c r="D1475" s="132">
        <f t="shared" si="178"/>
        <v>80</v>
      </c>
      <c r="E1475" s="126" t="s">
        <v>123</v>
      </c>
      <c r="F1475" s="132"/>
      <c r="G1475" s="129"/>
      <c r="H1475" s="129"/>
      <c r="I1475" s="129"/>
      <c r="J1475" s="129"/>
      <c r="K1475" s="129"/>
      <c r="L1475" s="129"/>
      <c r="M1475" s="129"/>
      <c r="N1475" s="129"/>
      <c r="O1475" s="129"/>
      <c r="P1475" s="129"/>
      <c r="Q1475" s="129"/>
      <c r="R1475" s="129"/>
      <c r="S1475" s="129"/>
      <c r="T1475" s="129"/>
      <c r="U1475" s="129"/>
      <c r="V1475" s="129"/>
      <c r="W1475" s="129"/>
      <c r="X1475" s="129"/>
      <c r="Y1475" s="129"/>
      <c r="Z1475" s="129"/>
      <c r="AA1475" s="129"/>
      <c r="AB1475" s="129"/>
    </row>
    <row r="1476" hidden="1">
      <c r="A1476" s="128" t="s">
        <v>1139</v>
      </c>
      <c r="B1476" s="147">
        <v>2990.0</v>
      </c>
      <c r="C1476" s="147">
        <v>2861.0</v>
      </c>
      <c r="D1476" s="132">
        <f t="shared" si="178"/>
        <v>-129</v>
      </c>
      <c r="E1476" s="126" t="s">
        <v>123</v>
      </c>
      <c r="F1476" s="139"/>
      <c r="I1476" s="129"/>
      <c r="L1476" s="129"/>
      <c r="M1476" s="129"/>
      <c r="N1476" s="129"/>
      <c r="O1476" s="129"/>
      <c r="P1476" s="129"/>
      <c r="Q1476" s="129"/>
      <c r="R1476" s="129"/>
      <c r="S1476" s="129"/>
      <c r="T1476" s="129"/>
      <c r="U1476" s="129"/>
      <c r="V1476" s="129"/>
      <c r="W1476" s="129"/>
      <c r="X1476" s="129"/>
      <c r="Y1476" s="129"/>
      <c r="Z1476" s="129"/>
      <c r="AA1476" s="129"/>
      <c r="AB1476" s="129"/>
    </row>
    <row r="1477" hidden="1">
      <c r="A1477" s="128" t="s">
        <v>1139</v>
      </c>
      <c r="B1477" s="147">
        <v>2990.0</v>
      </c>
      <c r="C1477" s="147">
        <v>2874.0</v>
      </c>
      <c r="D1477" s="132">
        <f t="shared" si="178"/>
        <v>-116</v>
      </c>
      <c r="E1477" s="126" t="s">
        <v>123</v>
      </c>
      <c r="F1477" s="139"/>
      <c r="I1477" s="129"/>
      <c r="L1477" s="129"/>
      <c r="M1477" s="129"/>
      <c r="N1477" s="129"/>
      <c r="O1477" s="129"/>
      <c r="P1477" s="129"/>
      <c r="Q1477" s="129"/>
      <c r="R1477" s="129"/>
      <c r="S1477" s="129"/>
      <c r="T1477" s="129"/>
      <c r="U1477" s="129"/>
      <c r="V1477" s="129"/>
      <c r="W1477" s="129"/>
      <c r="X1477" s="129"/>
      <c r="Y1477" s="129"/>
      <c r="Z1477" s="129"/>
      <c r="AA1477" s="129"/>
      <c r="AB1477" s="129"/>
    </row>
    <row r="1478" hidden="1">
      <c r="A1478" s="128" t="s">
        <v>1077</v>
      </c>
      <c r="B1478" s="147">
        <v>1540.0</v>
      </c>
      <c r="C1478" s="147">
        <v>3195.0</v>
      </c>
      <c r="D1478" s="132">
        <f t="shared" si="178"/>
        <v>1655</v>
      </c>
      <c r="E1478" s="126" t="s">
        <v>123</v>
      </c>
      <c r="F1478" s="127"/>
      <c r="G1478" s="150"/>
      <c r="H1478" s="129"/>
      <c r="I1478" s="129"/>
      <c r="J1478" s="129"/>
      <c r="K1478" s="129"/>
      <c r="L1478" s="129"/>
      <c r="M1478" s="129"/>
      <c r="N1478" s="129"/>
      <c r="O1478" s="129"/>
      <c r="P1478" s="129"/>
      <c r="Q1478" s="129"/>
      <c r="R1478" s="129"/>
      <c r="S1478" s="129"/>
      <c r="T1478" s="129"/>
      <c r="U1478" s="129"/>
      <c r="V1478" s="129"/>
      <c r="W1478" s="129"/>
      <c r="X1478" s="129"/>
      <c r="Y1478" s="129"/>
      <c r="Z1478" s="129"/>
      <c r="AA1478" s="129"/>
      <c r="AB1478" s="129"/>
    </row>
    <row r="1479" hidden="1">
      <c r="A1479" s="144"/>
      <c r="B1479" s="134"/>
      <c r="C1479" s="134"/>
      <c r="D1479" s="134"/>
      <c r="E1479" s="135"/>
      <c r="F1479" s="129"/>
      <c r="G1479" s="129"/>
      <c r="H1479" s="129"/>
      <c r="I1479" s="129"/>
      <c r="J1479" s="129"/>
      <c r="K1479" s="129"/>
      <c r="L1479" s="129"/>
      <c r="M1479" s="129"/>
      <c r="N1479" s="129"/>
      <c r="O1479" s="129"/>
      <c r="P1479" s="129"/>
      <c r="Q1479" s="129"/>
      <c r="R1479" s="129"/>
      <c r="S1479" s="129"/>
      <c r="T1479" s="129"/>
      <c r="U1479" s="129"/>
      <c r="V1479" s="129"/>
      <c r="W1479" s="129"/>
      <c r="X1479" s="129"/>
      <c r="Y1479" s="129"/>
      <c r="Z1479" s="129"/>
      <c r="AA1479" s="129"/>
      <c r="AB1479" s="129"/>
    </row>
    <row r="1480" hidden="1">
      <c r="A1480" s="144" t="s">
        <v>57</v>
      </c>
      <c r="B1480" s="133">
        <f t="shared" ref="B1480:D1480" si="179">SUM(B1473:B1478)</f>
        <v>10200</v>
      </c>
      <c r="C1480" s="133">
        <f t="shared" si="179"/>
        <v>11957</v>
      </c>
      <c r="D1480" s="133">
        <f t="shared" si="179"/>
        <v>1757</v>
      </c>
      <c r="E1480" s="135">
        <f>D1480/(C1480/100)</f>
        <v>14.69432132</v>
      </c>
      <c r="F1480" s="129"/>
      <c r="G1480" s="129"/>
      <c r="H1480" s="129"/>
      <c r="I1480" s="129"/>
      <c r="J1480" s="129"/>
      <c r="K1480" s="129"/>
      <c r="L1480" s="129"/>
      <c r="M1480" s="129"/>
      <c r="N1480" s="129"/>
      <c r="O1480" s="129"/>
      <c r="P1480" s="129"/>
      <c r="Q1480" s="129"/>
      <c r="R1480" s="129"/>
      <c r="S1480" s="129"/>
      <c r="T1480" s="129"/>
      <c r="U1480" s="129"/>
      <c r="V1480" s="129"/>
      <c r="W1480" s="129"/>
      <c r="X1480" s="129"/>
      <c r="Y1480" s="129"/>
      <c r="Z1480" s="129"/>
      <c r="AA1480" s="129"/>
      <c r="AB1480" s="129"/>
    </row>
    <row r="1481" hidden="1">
      <c r="A1481" s="150"/>
      <c r="B1481" s="147"/>
      <c r="C1481" s="147"/>
      <c r="D1481" s="132"/>
      <c r="E1481" s="132"/>
      <c r="F1481" s="139"/>
      <c r="G1481" s="150"/>
      <c r="H1481" s="129"/>
      <c r="I1481" s="129"/>
      <c r="J1481" s="129"/>
      <c r="K1481" s="129"/>
      <c r="L1481" s="129"/>
      <c r="M1481" s="129"/>
      <c r="N1481" s="129"/>
      <c r="O1481" s="129"/>
      <c r="P1481" s="129"/>
      <c r="Q1481" s="129"/>
      <c r="R1481" s="129"/>
      <c r="S1481" s="129"/>
      <c r="T1481" s="129"/>
      <c r="U1481" s="129"/>
      <c r="V1481" s="129"/>
      <c r="W1481" s="129"/>
      <c r="X1481" s="129"/>
      <c r="Y1481" s="129"/>
      <c r="Z1481" s="129"/>
      <c r="AA1481" s="129"/>
      <c r="AB1481" s="129"/>
    </row>
    <row r="1482" hidden="1">
      <c r="A1482" s="141">
        <v>45200.0</v>
      </c>
      <c r="B1482" s="139"/>
      <c r="C1482" s="139"/>
      <c r="D1482" s="139"/>
      <c r="E1482" s="129"/>
      <c r="F1482" s="129"/>
      <c r="G1482" s="129"/>
      <c r="H1482" s="129"/>
      <c r="I1482" s="129"/>
      <c r="J1482" s="129"/>
      <c r="K1482" s="129"/>
      <c r="L1482" s="129"/>
      <c r="M1482" s="129"/>
      <c r="N1482" s="129"/>
      <c r="O1482" s="129"/>
      <c r="P1482" s="129"/>
      <c r="Q1482" s="129"/>
      <c r="R1482" s="129"/>
      <c r="S1482" s="129"/>
      <c r="T1482" s="129"/>
      <c r="U1482" s="129"/>
      <c r="V1482" s="129"/>
      <c r="W1482" s="129"/>
      <c r="X1482" s="129"/>
      <c r="Y1482" s="129"/>
      <c r="Z1482" s="129"/>
      <c r="AA1482" s="129"/>
      <c r="AB1482" s="129"/>
    </row>
    <row r="1483" hidden="1">
      <c r="A1483" s="150" t="s">
        <v>446</v>
      </c>
      <c r="B1483" s="147">
        <v>1590.0</v>
      </c>
      <c r="C1483" s="124">
        <v>1790.0</v>
      </c>
      <c r="D1483" s="132">
        <f t="shared" ref="D1483:D1515" si="180">C1483-B1483</f>
        <v>200</v>
      </c>
      <c r="E1483" s="126" t="s">
        <v>123</v>
      </c>
      <c r="F1483" s="132"/>
      <c r="I1483" s="129"/>
      <c r="J1483" s="129"/>
      <c r="K1483" s="129"/>
      <c r="L1483" s="129"/>
      <c r="M1483" s="129"/>
      <c r="N1483" s="129"/>
      <c r="O1483" s="129"/>
      <c r="P1483" s="129"/>
      <c r="Q1483" s="129"/>
      <c r="R1483" s="129"/>
      <c r="S1483" s="129"/>
      <c r="T1483" s="129"/>
      <c r="U1483" s="129"/>
      <c r="V1483" s="129"/>
      <c r="W1483" s="129"/>
      <c r="X1483" s="129"/>
      <c r="Y1483" s="129"/>
      <c r="Z1483" s="129"/>
      <c r="AA1483" s="129"/>
      <c r="AB1483" s="129"/>
    </row>
    <row r="1484" hidden="1">
      <c r="A1484" s="123" t="s">
        <v>1140</v>
      </c>
      <c r="B1484" s="147">
        <v>1390.0</v>
      </c>
      <c r="C1484" s="124">
        <v>1416.0</v>
      </c>
      <c r="D1484" s="125">
        <f t="shared" si="180"/>
        <v>26</v>
      </c>
      <c r="E1484" s="126" t="s">
        <v>123</v>
      </c>
      <c r="F1484" s="124"/>
      <c r="G1484" s="123"/>
    </row>
    <row r="1485" hidden="1">
      <c r="A1485" s="123" t="s">
        <v>1141</v>
      </c>
      <c r="B1485" s="147">
        <v>3090.0</v>
      </c>
      <c r="C1485" s="124">
        <v>3071.0</v>
      </c>
      <c r="D1485" s="125">
        <f t="shared" si="180"/>
        <v>-19</v>
      </c>
      <c r="E1485" s="126" t="s">
        <v>123</v>
      </c>
      <c r="F1485" s="124"/>
      <c r="G1485" s="123"/>
    </row>
    <row r="1486" hidden="1">
      <c r="A1486" s="128" t="s">
        <v>1133</v>
      </c>
      <c r="B1486" s="147">
        <v>1690.0</v>
      </c>
      <c r="C1486" s="147">
        <v>21000.0</v>
      </c>
      <c r="D1486" s="132">
        <f t="shared" si="180"/>
        <v>19310</v>
      </c>
      <c r="E1486" s="132" t="s">
        <v>1134</v>
      </c>
      <c r="F1486" s="139"/>
      <c r="G1486" s="129"/>
      <c r="H1486" s="129"/>
      <c r="I1486" s="129"/>
      <c r="J1486" s="129"/>
      <c r="K1486" s="129"/>
      <c r="L1486" s="129"/>
      <c r="M1486" s="129"/>
      <c r="N1486" s="129"/>
      <c r="O1486" s="129"/>
      <c r="P1486" s="129"/>
      <c r="Q1486" s="129"/>
      <c r="R1486" s="129"/>
      <c r="S1486" s="129"/>
      <c r="T1486" s="129"/>
      <c r="U1486" s="129"/>
      <c r="V1486" s="129"/>
      <c r="W1486" s="129"/>
      <c r="X1486" s="129"/>
      <c r="Y1486" s="129"/>
      <c r="Z1486" s="129"/>
      <c r="AA1486" s="129"/>
      <c r="AB1486" s="129"/>
    </row>
    <row r="1487" hidden="1">
      <c r="A1487" s="128" t="s">
        <v>1133</v>
      </c>
      <c r="B1487" s="147">
        <v>1690.0</v>
      </c>
      <c r="C1487" s="147">
        <v>0.0</v>
      </c>
      <c r="D1487" s="132">
        <f t="shared" si="180"/>
        <v>-1690</v>
      </c>
      <c r="E1487" s="132" t="s">
        <v>1134</v>
      </c>
      <c r="F1487" s="139"/>
      <c r="G1487" s="129"/>
      <c r="H1487" s="129"/>
      <c r="I1487" s="129"/>
      <c r="J1487" s="129"/>
      <c r="K1487" s="129"/>
      <c r="L1487" s="129"/>
      <c r="M1487" s="129"/>
      <c r="N1487" s="129"/>
      <c r="O1487" s="129"/>
      <c r="P1487" s="129"/>
      <c r="Q1487" s="129"/>
      <c r="R1487" s="129"/>
      <c r="S1487" s="129"/>
      <c r="T1487" s="129"/>
      <c r="U1487" s="129"/>
      <c r="V1487" s="129"/>
      <c r="W1487" s="129"/>
      <c r="X1487" s="129"/>
      <c r="Y1487" s="129"/>
      <c r="Z1487" s="129"/>
      <c r="AA1487" s="129"/>
      <c r="AB1487" s="129"/>
    </row>
    <row r="1488" hidden="1">
      <c r="A1488" s="128" t="s">
        <v>1133</v>
      </c>
      <c r="B1488" s="147">
        <v>1690.0</v>
      </c>
      <c r="C1488" s="147">
        <v>0.0</v>
      </c>
      <c r="D1488" s="132">
        <f t="shared" si="180"/>
        <v>-1690</v>
      </c>
      <c r="E1488" s="132" t="s">
        <v>1134</v>
      </c>
      <c r="F1488" s="139"/>
      <c r="G1488" s="129"/>
      <c r="H1488" s="129"/>
      <c r="I1488" s="129"/>
      <c r="J1488" s="129"/>
      <c r="K1488" s="129"/>
      <c r="L1488" s="129"/>
      <c r="M1488" s="129"/>
      <c r="N1488" s="129"/>
      <c r="O1488" s="129"/>
      <c r="P1488" s="129"/>
      <c r="Q1488" s="129"/>
      <c r="R1488" s="129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</row>
    <row r="1489" hidden="1">
      <c r="A1489" s="128" t="s">
        <v>1133</v>
      </c>
      <c r="B1489" s="147">
        <v>1690.0</v>
      </c>
      <c r="C1489" s="147">
        <v>0.0</v>
      </c>
      <c r="D1489" s="132">
        <f t="shared" si="180"/>
        <v>-1690</v>
      </c>
      <c r="E1489" s="132" t="s">
        <v>1134</v>
      </c>
      <c r="F1489" s="139"/>
      <c r="G1489" s="129"/>
      <c r="H1489" s="129"/>
      <c r="I1489" s="129"/>
      <c r="J1489" s="129"/>
      <c r="K1489" s="129"/>
      <c r="L1489" s="129"/>
      <c r="M1489" s="129"/>
      <c r="N1489" s="129"/>
      <c r="O1489" s="129"/>
      <c r="P1489" s="129"/>
      <c r="Q1489" s="129"/>
      <c r="R1489" s="129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</row>
    <row r="1490" hidden="1">
      <c r="A1490" s="128" t="s">
        <v>1133</v>
      </c>
      <c r="B1490" s="147">
        <v>1690.0</v>
      </c>
      <c r="C1490" s="147">
        <v>0.0</v>
      </c>
      <c r="D1490" s="132">
        <f t="shared" si="180"/>
        <v>-1690</v>
      </c>
      <c r="E1490" s="132" t="s">
        <v>1134</v>
      </c>
      <c r="F1490" s="139"/>
      <c r="G1490" s="129"/>
      <c r="H1490" s="129"/>
      <c r="I1490" s="129"/>
      <c r="J1490" s="129"/>
      <c r="K1490" s="129"/>
      <c r="L1490" s="129"/>
      <c r="M1490" s="129"/>
      <c r="N1490" s="129"/>
      <c r="O1490" s="129"/>
      <c r="P1490" s="129"/>
      <c r="Q1490" s="129"/>
      <c r="R1490" s="129"/>
      <c r="S1490" s="129"/>
      <c r="T1490" s="129"/>
      <c r="U1490" s="129"/>
      <c r="V1490" s="129"/>
      <c r="W1490" s="129"/>
      <c r="X1490" s="129"/>
      <c r="Y1490" s="129"/>
      <c r="Z1490" s="129"/>
      <c r="AA1490" s="129"/>
      <c r="AB1490" s="129"/>
    </row>
    <row r="1491" hidden="1">
      <c r="A1491" s="128" t="s">
        <v>1135</v>
      </c>
      <c r="B1491" s="147">
        <v>1690.0</v>
      </c>
      <c r="C1491" s="147">
        <v>0.0</v>
      </c>
      <c r="D1491" s="132">
        <f t="shared" si="180"/>
        <v>-1690</v>
      </c>
      <c r="E1491" s="132" t="s">
        <v>1134</v>
      </c>
      <c r="F1491" s="132"/>
      <c r="I1491" s="129"/>
      <c r="L1491" s="129"/>
      <c r="M1491" s="129"/>
      <c r="N1491" s="129"/>
      <c r="O1491" s="129"/>
      <c r="P1491" s="129"/>
      <c r="Q1491" s="129"/>
      <c r="R1491" s="129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</row>
    <row r="1492" hidden="1">
      <c r="A1492" s="128" t="s">
        <v>1135</v>
      </c>
      <c r="B1492" s="147">
        <v>1690.0</v>
      </c>
      <c r="C1492" s="147">
        <v>0.0</v>
      </c>
      <c r="D1492" s="132">
        <f t="shared" si="180"/>
        <v>-1690</v>
      </c>
      <c r="E1492" s="132" t="s">
        <v>1134</v>
      </c>
      <c r="F1492" s="132"/>
      <c r="I1492" s="129"/>
      <c r="L1492" s="129"/>
      <c r="M1492" s="129"/>
      <c r="N1492" s="129"/>
      <c r="O1492" s="129"/>
      <c r="P1492" s="129"/>
      <c r="Q1492" s="129"/>
      <c r="R1492" s="129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</row>
    <row r="1493" hidden="1">
      <c r="A1493" s="128" t="s">
        <v>1135</v>
      </c>
      <c r="B1493" s="147">
        <v>1690.0</v>
      </c>
      <c r="C1493" s="147">
        <v>0.0</v>
      </c>
      <c r="D1493" s="132">
        <f t="shared" si="180"/>
        <v>-1690</v>
      </c>
      <c r="E1493" s="132" t="s">
        <v>1134</v>
      </c>
      <c r="F1493" s="132"/>
      <c r="I1493" s="129"/>
      <c r="L1493" s="129"/>
      <c r="M1493" s="129"/>
      <c r="N1493" s="129"/>
      <c r="O1493" s="129"/>
      <c r="P1493" s="129"/>
      <c r="Q1493" s="129"/>
      <c r="R1493" s="129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</row>
    <row r="1494" hidden="1">
      <c r="A1494" s="128" t="s">
        <v>1135</v>
      </c>
      <c r="B1494" s="147">
        <v>1690.0</v>
      </c>
      <c r="C1494" s="147">
        <v>0.0</v>
      </c>
      <c r="D1494" s="132">
        <f t="shared" si="180"/>
        <v>-1690</v>
      </c>
      <c r="E1494" s="132" t="s">
        <v>1134</v>
      </c>
      <c r="F1494" s="132"/>
      <c r="I1494" s="129"/>
      <c r="L1494" s="129"/>
      <c r="M1494" s="129"/>
      <c r="N1494" s="129"/>
      <c r="O1494" s="129"/>
      <c r="P1494" s="129"/>
      <c r="Q1494" s="129"/>
      <c r="R1494" s="129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</row>
    <row r="1495" hidden="1">
      <c r="A1495" s="128" t="s">
        <v>1135</v>
      </c>
      <c r="B1495" s="147">
        <v>1690.0</v>
      </c>
      <c r="C1495" s="147">
        <v>0.0</v>
      </c>
      <c r="D1495" s="132">
        <f t="shared" si="180"/>
        <v>-1690</v>
      </c>
      <c r="E1495" s="132" t="s">
        <v>1134</v>
      </c>
      <c r="F1495" s="132"/>
      <c r="I1495" s="129"/>
      <c r="L1495" s="129"/>
      <c r="M1495" s="129"/>
      <c r="N1495" s="129"/>
      <c r="O1495" s="129"/>
      <c r="P1495" s="129"/>
      <c r="Q1495" s="129"/>
      <c r="R1495" s="129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</row>
    <row r="1496" hidden="1">
      <c r="A1496" s="128" t="s">
        <v>1136</v>
      </c>
      <c r="B1496" s="147">
        <v>1690.0</v>
      </c>
      <c r="C1496" s="147">
        <v>0.0</v>
      </c>
      <c r="D1496" s="132">
        <f t="shared" si="180"/>
        <v>-1690</v>
      </c>
      <c r="E1496" s="132" t="s">
        <v>1134</v>
      </c>
      <c r="F1496" s="132"/>
      <c r="I1496" s="129"/>
      <c r="L1496" s="129"/>
      <c r="M1496" s="129"/>
      <c r="N1496" s="129"/>
      <c r="O1496" s="129"/>
      <c r="P1496" s="129"/>
      <c r="Q1496" s="129"/>
      <c r="R1496" s="129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</row>
    <row r="1497" hidden="1">
      <c r="A1497" s="128" t="s">
        <v>1136</v>
      </c>
      <c r="B1497" s="147">
        <v>1690.0</v>
      </c>
      <c r="C1497" s="147">
        <v>0.0</v>
      </c>
      <c r="D1497" s="132">
        <f t="shared" si="180"/>
        <v>-1690</v>
      </c>
      <c r="E1497" s="132" t="s">
        <v>1134</v>
      </c>
      <c r="F1497" s="132"/>
      <c r="I1497" s="129"/>
      <c r="L1497" s="129"/>
      <c r="M1497" s="129"/>
      <c r="N1497" s="129"/>
      <c r="O1497" s="129"/>
      <c r="P1497" s="129"/>
      <c r="Q1497" s="129"/>
      <c r="R1497" s="129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</row>
    <row r="1498" hidden="1">
      <c r="A1498" s="128" t="s">
        <v>1136</v>
      </c>
      <c r="B1498" s="147">
        <v>1690.0</v>
      </c>
      <c r="C1498" s="147">
        <v>0.0</v>
      </c>
      <c r="D1498" s="132">
        <f t="shared" si="180"/>
        <v>-1690</v>
      </c>
      <c r="E1498" s="132" t="s">
        <v>1134</v>
      </c>
      <c r="F1498" s="132"/>
      <c r="I1498" s="129"/>
      <c r="L1498" s="129"/>
      <c r="M1498" s="129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</row>
    <row r="1499" hidden="1">
      <c r="A1499" s="128" t="s">
        <v>1136</v>
      </c>
      <c r="B1499" s="147">
        <v>1690.0</v>
      </c>
      <c r="C1499" s="147">
        <v>0.0</v>
      </c>
      <c r="D1499" s="132">
        <f t="shared" si="180"/>
        <v>-1690</v>
      </c>
      <c r="E1499" s="132" t="s">
        <v>1134</v>
      </c>
      <c r="F1499" s="132"/>
      <c r="I1499" s="129"/>
      <c r="L1499" s="129"/>
      <c r="M1499" s="129"/>
      <c r="N1499" s="129"/>
      <c r="O1499" s="129"/>
      <c r="P1499" s="129"/>
      <c r="Q1499" s="129"/>
      <c r="R1499" s="129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</row>
    <row r="1500" hidden="1">
      <c r="A1500" s="128" t="s">
        <v>1136</v>
      </c>
      <c r="B1500" s="147">
        <v>1690.0</v>
      </c>
      <c r="C1500" s="147">
        <v>0.0</v>
      </c>
      <c r="D1500" s="132">
        <f t="shared" si="180"/>
        <v>-1690</v>
      </c>
      <c r="E1500" s="132" t="s">
        <v>1134</v>
      </c>
      <c r="F1500" s="132"/>
      <c r="I1500" s="129"/>
      <c r="L1500" s="129"/>
      <c r="M1500" s="129"/>
      <c r="N1500" s="129"/>
      <c r="O1500" s="129"/>
      <c r="P1500" s="129"/>
      <c r="Q1500" s="129"/>
      <c r="R1500" s="129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</row>
    <row r="1501" hidden="1">
      <c r="A1501" s="128" t="s">
        <v>1137</v>
      </c>
      <c r="B1501" s="147">
        <v>1690.0</v>
      </c>
      <c r="C1501" s="147">
        <v>0.0</v>
      </c>
      <c r="D1501" s="132">
        <f t="shared" si="180"/>
        <v>-1690</v>
      </c>
      <c r="E1501" s="132" t="s">
        <v>1134</v>
      </c>
      <c r="F1501" s="132"/>
      <c r="I1501" s="129"/>
      <c r="L1501" s="129"/>
      <c r="M1501" s="129"/>
      <c r="N1501" s="129"/>
      <c r="O1501" s="129"/>
      <c r="P1501" s="129"/>
      <c r="Q1501" s="129"/>
      <c r="R1501" s="129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</row>
    <row r="1502" hidden="1">
      <c r="A1502" s="128" t="s">
        <v>1137</v>
      </c>
      <c r="B1502" s="147">
        <v>1690.0</v>
      </c>
      <c r="C1502" s="147">
        <v>0.0</v>
      </c>
      <c r="D1502" s="132">
        <f t="shared" si="180"/>
        <v>-1690</v>
      </c>
      <c r="E1502" s="132" t="s">
        <v>1134</v>
      </c>
      <c r="F1502" s="132"/>
      <c r="I1502" s="129"/>
      <c r="L1502" s="129"/>
      <c r="M1502" s="129"/>
      <c r="N1502" s="129"/>
      <c r="O1502" s="129"/>
      <c r="P1502" s="129"/>
      <c r="Q1502" s="129"/>
      <c r="R1502" s="129"/>
      <c r="S1502" s="129"/>
      <c r="T1502" s="129"/>
      <c r="U1502" s="129"/>
      <c r="V1502" s="129"/>
      <c r="W1502" s="129"/>
      <c r="X1502" s="129"/>
      <c r="Y1502" s="129"/>
      <c r="Z1502" s="129"/>
      <c r="AA1502" s="129"/>
      <c r="AB1502" s="129"/>
    </row>
    <row r="1503" hidden="1">
      <c r="A1503" s="128" t="s">
        <v>1137</v>
      </c>
      <c r="B1503" s="147">
        <v>1690.0</v>
      </c>
      <c r="C1503" s="147">
        <v>0.0</v>
      </c>
      <c r="D1503" s="132">
        <f t="shared" si="180"/>
        <v>-1690</v>
      </c>
      <c r="E1503" s="132" t="s">
        <v>1134</v>
      </c>
      <c r="F1503" s="132"/>
      <c r="I1503" s="129"/>
      <c r="L1503" s="129"/>
      <c r="M1503" s="129"/>
      <c r="N1503" s="129"/>
      <c r="O1503" s="129"/>
      <c r="P1503" s="129"/>
      <c r="Q1503" s="129"/>
      <c r="R1503" s="129"/>
      <c r="S1503" s="129"/>
      <c r="T1503" s="129"/>
      <c r="U1503" s="129"/>
      <c r="V1503" s="129"/>
      <c r="W1503" s="129"/>
      <c r="X1503" s="129"/>
      <c r="Y1503" s="129"/>
      <c r="Z1503" s="129"/>
      <c r="AA1503" s="129"/>
      <c r="AB1503" s="129"/>
    </row>
    <row r="1504" hidden="1">
      <c r="A1504" s="128" t="s">
        <v>1137</v>
      </c>
      <c r="B1504" s="147">
        <v>1690.0</v>
      </c>
      <c r="C1504" s="147">
        <v>0.0</v>
      </c>
      <c r="D1504" s="132">
        <f t="shared" si="180"/>
        <v>-1690</v>
      </c>
      <c r="E1504" s="132" t="s">
        <v>1134</v>
      </c>
      <c r="F1504" s="132"/>
      <c r="I1504" s="129"/>
      <c r="L1504" s="129"/>
      <c r="M1504" s="129"/>
      <c r="N1504" s="129"/>
      <c r="O1504" s="129"/>
      <c r="P1504" s="129"/>
      <c r="Q1504" s="129"/>
      <c r="R1504" s="129"/>
      <c r="S1504" s="129"/>
      <c r="T1504" s="129"/>
      <c r="U1504" s="129"/>
      <c r="V1504" s="129"/>
      <c r="W1504" s="129"/>
      <c r="X1504" s="129"/>
      <c r="Y1504" s="129"/>
      <c r="Z1504" s="129"/>
      <c r="AA1504" s="129"/>
      <c r="AB1504" s="129"/>
    </row>
    <row r="1505" hidden="1">
      <c r="A1505" s="128" t="s">
        <v>1137</v>
      </c>
      <c r="B1505" s="147">
        <v>1690.0</v>
      </c>
      <c r="C1505" s="147">
        <v>0.0</v>
      </c>
      <c r="D1505" s="132">
        <f t="shared" si="180"/>
        <v>-1690</v>
      </c>
      <c r="E1505" s="132" t="s">
        <v>1134</v>
      </c>
      <c r="F1505" s="132"/>
      <c r="I1505" s="129"/>
      <c r="L1505" s="129"/>
      <c r="M1505" s="129"/>
      <c r="N1505" s="129"/>
      <c r="O1505" s="129"/>
      <c r="P1505" s="129"/>
      <c r="Q1505" s="129"/>
      <c r="R1505" s="129"/>
      <c r="S1505" s="129"/>
      <c r="T1505" s="129"/>
      <c r="U1505" s="129"/>
      <c r="V1505" s="129"/>
      <c r="W1505" s="129"/>
      <c r="X1505" s="129"/>
      <c r="Y1505" s="129"/>
      <c r="Z1505" s="129"/>
      <c r="AA1505" s="129"/>
      <c r="AB1505" s="129"/>
    </row>
    <row r="1506" hidden="1">
      <c r="A1506" s="128" t="s">
        <v>440</v>
      </c>
      <c r="B1506" s="147">
        <v>1690.0</v>
      </c>
      <c r="C1506" s="147">
        <v>1690.0</v>
      </c>
      <c r="D1506" s="132">
        <f t="shared" si="180"/>
        <v>0</v>
      </c>
      <c r="E1506" s="126" t="s">
        <v>123</v>
      </c>
      <c r="F1506" s="124"/>
    </row>
    <row r="1507" hidden="1">
      <c r="A1507" s="128" t="s">
        <v>1136</v>
      </c>
      <c r="B1507" s="147">
        <v>1690.0</v>
      </c>
      <c r="C1507" s="147">
        <v>0.0</v>
      </c>
      <c r="D1507" s="132">
        <f t="shared" si="180"/>
        <v>-1690</v>
      </c>
      <c r="E1507" s="132" t="s">
        <v>1134</v>
      </c>
      <c r="F1507" s="132"/>
      <c r="I1507" s="129"/>
      <c r="L1507" s="129"/>
      <c r="M1507" s="129"/>
      <c r="N1507" s="129"/>
      <c r="O1507" s="129"/>
      <c r="P1507" s="129"/>
      <c r="Q1507" s="129"/>
      <c r="R1507" s="129"/>
      <c r="S1507" s="129"/>
      <c r="T1507" s="129"/>
      <c r="U1507" s="129"/>
      <c r="V1507" s="129"/>
      <c r="W1507" s="129"/>
      <c r="X1507" s="129"/>
      <c r="Y1507" s="129"/>
      <c r="Z1507" s="129"/>
      <c r="AA1507" s="129"/>
      <c r="AB1507" s="129"/>
    </row>
    <row r="1508" hidden="1">
      <c r="A1508" s="123" t="s">
        <v>1141</v>
      </c>
      <c r="B1508" s="147">
        <v>3090.0</v>
      </c>
      <c r="C1508" s="124">
        <v>3062.0</v>
      </c>
      <c r="D1508" s="125">
        <f t="shared" si="180"/>
        <v>-28</v>
      </c>
      <c r="E1508" s="126" t="s">
        <v>123</v>
      </c>
      <c r="F1508" s="124"/>
      <c r="G1508" s="123"/>
    </row>
    <row r="1509" hidden="1">
      <c r="A1509" s="142" t="s">
        <v>1142</v>
      </c>
      <c r="B1509" s="147">
        <v>1390.0</v>
      </c>
      <c r="C1509" s="124">
        <v>1658.0</v>
      </c>
      <c r="D1509" s="132">
        <f t="shared" si="180"/>
        <v>268</v>
      </c>
      <c r="E1509" s="132" t="s">
        <v>123</v>
      </c>
      <c r="F1509" s="139"/>
      <c r="G1509" s="150"/>
      <c r="H1509" s="129"/>
      <c r="I1509" s="129"/>
      <c r="J1509" s="129"/>
      <c r="K1509" s="129"/>
      <c r="L1509" s="129"/>
      <c r="M1509" s="129"/>
      <c r="N1509" s="129"/>
      <c r="O1509" s="129"/>
      <c r="P1509" s="129"/>
      <c r="Q1509" s="129"/>
      <c r="R1509" s="129"/>
      <c r="S1509" s="129"/>
      <c r="T1509" s="129"/>
      <c r="U1509" s="129"/>
      <c r="V1509" s="129"/>
      <c r="W1509" s="129"/>
      <c r="X1509" s="129"/>
      <c r="Y1509" s="129"/>
      <c r="Z1509" s="129"/>
      <c r="AA1509" s="129"/>
      <c r="AB1509" s="129"/>
    </row>
    <row r="1510" hidden="1">
      <c r="A1510" s="142" t="s">
        <v>1087</v>
      </c>
      <c r="B1510" s="124">
        <v>1190.0</v>
      </c>
      <c r="C1510" s="147">
        <v>2601.0</v>
      </c>
      <c r="D1510" s="132">
        <f t="shared" si="180"/>
        <v>1411</v>
      </c>
      <c r="E1510" s="132" t="s">
        <v>123</v>
      </c>
      <c r="F1510" s="139"/>
      <c r="G1510" s="129"/>
      <c r="H1510" s="129"/>
      <c r="I1510" s="129"/>
      <c r="J1510" s="129"/>
      <c r="K1510" s="129"/>
      <c r="L1510" s="129"/>
      <c r="M1510" s="129"/>
      <c r="N1510" s="129"/>
      <c r="O1510" s="129"/>
      <c r="P1510" s="129"/>
      <c r="Q1510" s="129"/>
      <c r="R1510" s="129"/>
      <c r="S1510" s="129"/>
      <c r="T1510" s="129"/>
      <c r="U1510" s="129"/>
      <c r="V1510" s="129"/>
      <c r="W1510" s="129"/>
      <c r="X1510" s="129"/>
      <c r="Y1510" s="129"/>
      <c r="Z1510" s="129"/>
      <c r="AA1510" s="129"/>
      <c r="AB1510" s="129"/>
    </row>
    <row r="1511" hidden="1">
      <c r="A1511" s="142" t="s">
        <v>1143</v>
      </c>
      <c r="B1511" s="124">
        <v>1190.0</v>
      </c>
      <c r="C1511" s="147">
        <v>0.0</v>
      </c>
      <c r="D1511" s="132">
        <f t="shared" si="180"/>
        <v>-1190</v>
      </c>
      <c r="E1511" s="132" t="s">
        <v>123</v>
      </c>
      <c r="F1511" s="139"/>
      <c r="G1511" s="129"/>
      <c r="H1511" s="129"/>
      <c r="I1511" s="129"/>
      <c r="J1511" s="129"/>
      <c r="K1511" s="129"/>
      <c r="L1511" s="129"/>
      <c r="M1511" s="129"/>
      <c r="N1511" s="129"/>
      <c r="O1511" s="129"/>
      <c r="P1511" s="129"/>
      <c r="Q1511" s="129"/>
      <c r="R1511" s="129"/>
      <c r="S1511" s="129"/>
      <c r="T1511" s="129"/>
      <c r="U1511" s="129"/>
      <c r="V1511" s="129"/>
      <c r="W1511" s="129"/>
      <c r="X1511" s="129"/>
      <c r="Y1511" s="129"/>
      <c r="Z1511" s="129"/>
      <c r="AA1511" s="129"/>
      <c r="AB1511" s="129"/>
    </row>
    <row r="1512" hidden="1">
      <c r="A1512" s="128" t="s">
        <v>1136</v>
      </c>
      <c r="B1512" s="147">
        <v>1690.0</v>
      </c>
      <c r="C1512" s="147">
        <v>2033.0</v>
      </c>
      <c r="D1512" s="132">
        <f t="shared" si="180"/>
        <v>343</v>
      </c>
      <c r="E1512" s="132" t="s">
        <v>1134</v>
      </c>
      <c r="F1512" s="132"/>
      <c r="I1512" s="129"/>
      <c r="L1512" s="129"/>
      <c r="M1512" s="129"/>
      <c r="N1512" s="129"/>
      <c r="O1512" s="129"/>
      <c r="P1512" s="129"/>
      <c r="Q1512" s="129"/>
      <c r="R1512" s="129"/>
      <c r="S1512" s="129"/>
      <c r="T1512" s="129"/>
      <c r="U1512" s="129"/>
      <c r="V1512" s="129"/>
      <c r="W1512" s="129"/>
      <c r="X1512" s="129"/>
      <c r="Y1512" s="129"/>
      <c r="Z1512" s="129"/>
      <c r="AA1512" s="129"/>
      <c r="AB1512" s="129"/>
    </row>
    <row r="1513" hidden="1">
      <c r="A1513" s="128" t="s">
        <v>1144</v>
      </c>
      <c r="B1513" s="147">
        <v>990.0</v>
      </c>
      <c r="C1513" s="147">
        <v>1103.0</v>
      </c>
      <c r="D1513" s="132">
        <f t="shared" si="180"/>
        <v>113</v>
      </c>
      <c r="E1513" s="132" t="s">
        <v>123</v>
      </c>
      <c r="F1513" s="139"/>
      <c r="G1513" s="129"/>
      <c r="H1513" s="129"/>
      <c r="I1513" s="129"/>
      <c r="J1513" s="129"/>
      <c r="K1513" s="129"/>
      <c r="L1513" s="129"/>
      <c r="M1513" s="129"/>
      <c r="N1513" s="129"/>
      <c r="O1513" s="129"/>
      <c r="P1513" s="129"/>
      <c r="Q1513" s="129"/>
      <c r="R1513" s="129"/>
      <c r="S1513" s="129"/>
      <c r="T1513" s="129"/>
      <c r="U1513" s="129"/>
      <c r="V1513" s="129"/>
      <c r="W1513" s="129"/>
      <c r="X1513" s="129"/>
      <c r="Y1513" s="129"/>
      <c r="Z1513" s="129"/>
      <c r="AA1513" s="129"/>
      <c r="AB1513" s="129"/>
    </row>
    <row r="1514" hidden="1">
      <c r="A1514" s="128" t="s">
        <v>1136</v>
      </c>
      <c r="B1514" s="147">
        <v>1690.0</v>
      </c>
      <c r="C1514" s="147">
        <v>2033.0</v>
      </c>
      <c r="D1514" s="132">
        <f t="shared" si="180"/>
        <v>343</v>
      </c>
      <c r="E1514" s="132" t="s">
        <v>1134</v>
      </c>
      <c r="F1514" s="132"/>
      <c r="I1514" s="129"/>
      <c r="L1514" s="129"/>
      <c r="M1514" s="129"/>
      <c r="N1514" s="129"/>
      <c r="O1514" s="129"/>
      <c r="P1514" s="129"/>
      <c r="Q1514" s="129"/>
      <c r="R1514" s="129"/>
      <c r="S1514" s="129"/>
      <c r="T1514" s="129"/>
      <c r="U1514" s="129"/>
      <c r="V1514" s="129"/>
      <c r="W1514" s="129"/>
      <c r="X1514" s="129"/>
      <c r="Y1514" s="129"/>
      <c r="Z1514" s="129"/>
      <c r="AA1514" s="129"/>
      <c r="AB1514" s="129"/>
    </row>
    <row r="1515" hidden="1">
      <c r="A1515" s="150" t="s">
        <v>446</v>
      </c>
      <c r="B1515" s="147">
        <v>1590.0</v>
      </c>
      <c r="C1515" s="124">
        <v>1740.0</v>
      </c>
      <c r="D1515" s="132">
        <f t="shared" si="180"/>
        <v>150</v>
      </c>
      <c r="E1515" s="126" t="s">
        <v>123</v>
      </c>
      <c r="F1515" s="132"/>
      <c r="I1515" s="129"/>
      <c r="J1515" s="129"/>
      <c r="K1515" s="129"/>
      <c r="L1515" s="129"/>
      <c r="M1515" s="129"/>
      <c r="N1515" s="129"/>
      <c r="O1515" s="129"/>
      <c r="P1515" s="129"/>
      <c r="Q1515" s="129"/>
      <c r="R1515" s="129"/>
      <c r="S1515" s="129"/>
      <c r="T1515" s="129"/>
      <c r="U1515" s="129"/>
      <c r="V1515" s="129"/>
      <c r="W1515" s="129"/>
      <c r="X1515" s="129"/>
      <c r="Y1515" s="129"/>
      <c r="Z1515" s="129"/>
      <c r="AA1515" s="129"/>
      <c r="AB1515" s="129"/>
    </row>
    <row r="1516" hidden="1">
      <c r="A1516" s="150"/>
      <c r="B1516" s="147"/>
      <c r="C1516" s="124"/>
      <c r="D1516" s="132"/>
      <c r="E1516" s="126"/>
      <c r="F1516" s="132"/>
      <c r="I1516" s="129"/>
      <c r="J1516" s="129"/>
      <c r="K1516" s="129"/>
      <c r="L1516" s="129"/>
      <c r="M1516" s="129"/>
      <c r="N1516" s="129"/>
      <c r="O1516" s="129"/>
      <c r="P1516" s="129"/>
      <c r="Q1516" s="129"/>
      <c r="R1516" s="129"/>
      <c r="S1516" s="129"/>
      <c r="T1516" s="129"/>
      <c r="U1516" s="129"/>
      <c r="V1516" s="129"/>
      <c r="W1516" s="129"/>
      <c r="X1516" s="129"/>
      <c r="Y1516" s="129"/>
      <c r="Z1516" s="129"/>
      <c r="AA1516" s="129"/>
      <c r="AB1516" s="129"/>
    </row>
    <row r="1517" hidden="1">
      <c r="A1517" s="144" t="s">
        <v>57</v>
      </c>
      <c r="B1517" s="133">
        <f t="shared" ref="B1517:D1517" si="181">SUM(B1482:B1516)</f>
        <v>56070</v>
      </c>
      <c r="C1517" s="133">
        <f t="shared" si="181"/>
        <v>43197</v>
      </c>
      <c r="D1517" s="133">
        <f t="shared" si="181"/>
        <v>-12873</v>
      </c>
      <c r="E1517" s="135">
        <f>D1517/(C1517/100)</f>
        <v>-29.8006806</v>
      </c>
      <c r="F1517" s="129"/>
      <c r="G1517" s="129"/>
      <c r="H1517" s="129"/>
      <c r="I1517" s="129"/>
      <c r="J1517" s="129"/>
      <c r="K1517" s="129"/>
      <c r="L1517" s="129"/>
      <c r="M1517" s="129"/>
      <c r="N1517" s="129"/>
      <c r="O1517" s="129"/>
      <c r="P1517" s="129"/>
      <c r="Q1517" s="129"/>
      <c r="R1517" s="129"/>
      <c r="S1517" s="129"/>
      <c r="T1517" s="129"/>
      <c r="U1517" s="129"/>
      <c r="V1517" s="129"/>
      <c r="W1517" s="129"/>
      <c r="X1517" s="129"/>
      <c r="Y1517" s="129"/>
      <c r="Z1517" s="129"/>
      <c r="AA1517" s="129"/>
      <c r="AB1517" s="129"/>
    </row>
    <row r="1518" hidden="1">
      <c r="A1518" s="141"/>
      <c r="B1518" s="139"/>
      <c r="C1518" s="139"/>
      <c r="D1518" s="139"/>
      <c r="E1518" s="129"/>
      <c r="F1518" s="129"/>
      <c r="G1518" s="129"/>
      <c r="H1518" s="129"/>
      <c r="I1518" s="129"/>
      <c r="J1518" s="129"/>
      <c r="K1518" s="129"/>
      <c r="L1518" s="129"/>
      <c r="M1518" s="129"/>
      <c r="N1518" s="129"/>
      <c r="O1518" s="129"/>
      <c r="P1518" s="129"/>
      <c r="Q1518" s="129"/>
      <c r="R1518" s="129"/>
      <c r="S1518" s="129"/>
      <c r="T1518" s="129"/>
      <c r="U1518" s="129"/>
      <c r="V1518" s="129"/>
      <c r="W1518" s="129"/>
      <c r="X1518" s="129"/>
      <c r="Y1518" s="129"/>
      <c r="Z1518" s="129"/>
      <c r="AA1518" s="129"/>
      <c r="AB1518" s="129"/>
    </row>
    <row r="1519" hidden="1">
      <c r="A1519" s="141">
        <v>45170.0</v>
      </c>
      <c r="B1519" s="139"/>
      <c r="C1519" s="139"/>
      <c r="D1519" s="139"/>
      <c r="E1519" s="129"/>
      <c r="F1519" s="129"/>
      <c r="G1519" s="129"/>
      <c r="H1519" s="129"/>
      <c r="I1519" s="129"/>
      <c r="J1519" s="129"/>
      <c r="K1519" s="129"/>
      <c r="L1519" s="129"/>
      <c r="M1519" s="129"/>
      <c r="N1519" s="129"/>
      <c r="O1519" s="129"/>
      <c r="P1519" s="129"/>
      <c r="Q1519" s="129"/>
      <c r="R1519" s="129"/>
      <c r="S1519" s="129"/>
      <c r="T1519" s="129"/>
      <c r="U1519" s="129"/>
      <c r="V1519" s="129"/>
      <c r="W1519" s="129"/>
      <c r="X1519" s="129"/>
      <c r="Y1519" s="129"/>
      <c r="Z1519" s="129"/>
      <c r="AA1519" s="129"/>
      <c r="AB1519" s="129"/>
    </row>
    <row r="1520" hidden="1">
      <c r="A1520" s="144"/>
      <c r="B1520" s="145"/>
      <c r="C1520" s="145"/>
      <c r="D1520" s="145"/>
      <c r="E1520" s="135"/>
      <c r="F1520" s="129"/>
      <c r="G1520" s="129"/>
      <c r="H1520" s="129"/>
      <c r="I1520" s="129"/>
      <c r="J1520" s="129"/>
      <c r="K1520" s="129"/>
      <c r="L1520" s="129"/>
      <c r="M1520" s="129"/>
      <c r="N1520" s="129"/>
      <c r="O1520" s="129"/>
      <c r="P1520" s="129"/>
      <c r="Q1520" s="129"/>
      <c r="R1520" s="129"/>
      <c r="S1520" s="129"/>
      <c r="T1520" s="129"/>
      <c r="U1520" s="129"/>
      <c r="V1520" s="129"/>
      <c r="W1520" s="129"/>
      <c r="X1520" s="129"/>
      <c r="Y1520" s="129"/>
      <c r="Z1520" s="129"/>
      <c r="AA1520" s="129"/>
      <c r="AB1520" s="129"/>
    </row>
    <row r="1521" hidden="1">
      <c r="A1521" s="150" t="s">
        <v>1094</v>
      </c>
      <c r="B1521" s="132">
        <v>1990.0</v>
      </c>
      <c r="C1521" s="147">
        <v>3190.0</v>
      </c>
      <c r="D1521" s="132">
        <f>C1521-B1521</f>
        <v>1200</v>
      </c>
      <c r="E1521" s="139"/>
      <c r="F1521" s="139"/>
      <c r="G1521" s="150"/>
      <c r="H1521" s="129"/>
      <c r="I1521" s="129"/>
      <c r="J1521" s="129"/>
      <c r="K1521" s="129"/>
      <c r="L1521" s="129"/>
      <c r="M1521" s="129"/>
      <c r="N1521" s="129"/>
      <c r="O1521" s="129"/>
      <c r="P1521" s="129"/>
      <c r="Q1521" s="129"/>
      <c r="R1521" s="129"/>
      <c r="S1521" s="129"/>
      <c r="T1521" s="129"/>
      <c r="U1521" s="129"/>
      <c r="V1521" s="129"/>
      <c r="W1521" s="129"/>
      <c r="X1521" s="129"/>
      <c r="Y1521" s="129"/>
      <c r="Z1521" s="129"/>
      <c r="AA1521" s="129"/>
      <c r="AB1521" s="129"/>
    </row>
    <row r="1522" hidden="1">
      <c r="A1522" s="144"/>
      <c r="B1522" s="134"/>
      <c r="C1522" s="134"/>
      <c r="D1522" s="134"/>
      <c r="E1522" s="135"/>
      <c r="F1522" s="129"/>
      <c r="G1522" s="129"/>
      <c r="H1522" s="129"/>
      <c r="I1522" s="129"/>
      <c r="J1522" s="129"/>
      <c r="K1522" s="129"/>
      <c r="L1522" s="129"/>
      <c r="M1522" s="129"/>
      <c r="N1522" s="129"/>
      <c r="O1522" s="129"/>
      <c r="P1522" s="129"/>
      <c r="Q1522" s="129"/>
      <c r="R1522" s="129"/>
      <c r="S1522" s="129"/>
      <c r="T1522" s="129"/>
      <c r="U1522" s="129"/>
      <c r="V1522" s="129"/>
      <c r="W1522" s="129"/>
      <c r="X1522" s="129"/>
      <c r="Y1522" s="129"/>
      <c r="Z1522" s="129"/>
      <c r="AA1522" s="129"/>
      <c r="AB1522" s="129"/>
    </row>
    <row r="1523" hidden="1">
      <c r="A1523" s="144" t="s">
        <v>57</v>
      </c>
      <c r="B1523" s="133">
        <f t="shared" ref="B1523:D1523" si="182">SUM(B1519:B1521)</f>
        <v>1990</v>
      </c>
      <c r="C1523" s="133">
        <f t="shared" si="182"/>
        <v>3190</v>
      </c>
      <c r="D1523" s="133">
        <f t="shared" si="182"/>
        <v>1200</v>
      </c>
      <c r="E1523" s="135">
        <f>D1523/(C1523/100)</f>
        <v>37.61755486</v>
      </c>
      <c r="F1523" s="129"/>
      <c r="G1523" s="129"/>
      <c r="H1523" s="129"/>
      <c r="I1523" s="129"/>
      <c r="J1523" s="129"/>
      <c r="K1523" s="129"/>
      <c r="L1523" s="129"/>
      <c r="M1523" s="129"/>
      <c r="N1523" s="129"/>
      <c r="O1523" s="129"/>
      <c r="P1523" s="129"/>
      <c r="Q1523" s="129"/>
      <c r="R1523" s="129"/>
      <c r="S1523" s="129"/>
      <c r="T1523" s="129"/>
      <c r="U1523" s="129"/>
      <c r="V1523" s="129"/>
      <c r="W1523" s="129"/>
      <c r="X1523" s="129"/>
      <c r="Y1523" s="129"/>
      <c r="Z1523" s="129"/>
      <c r="AA1523" s="129"/>
      <c r="AB1523" s="129"/>
    </row>
    <row r="1524" hidden="1">
      <c r="A1524" s="154"/>
      <c r="B1524" s="124"/>
      <c r="C1524" s="124"/>
      <c r="D1524" s="124"/>
    </row>
    <row r="1525" hidden="1">
      <c r="A1525" s="154">
        <v>45139.0</v>
      </c>
      <c r="B1525" s="124"/>
      <c r="C1525" s="124"/>
      <c r="D1525" s="124"/>
    </row>
    <row r="1526" hidden="1">
      <c r="A1526" s="150" t="s">
        <v>1136</v>
      </c>
      <c r="B1526" s="147">
        <v>1590.0</v>
      </c>
      <c r="C1526" s="132">
        <v>2490.0</v>
      </c>
      <c r="D1526" s="132">
        <f t="shared" ref="D1526:D1528" si="183">C1526-B1526</f>
        <v>900</v>
      </c>
      <c r="E1526" s="132" t="s">
        <v>1134</v>
      </c>
      <c r="F1526" s="139"/>
      <c r="G1526" s="129"/>
      <c r="H1526" s="129"/>
      <c r="I1526" s="129"/>
      <c r="J1526" s="129"/>
      <c r="K1526" s="129"/>
      <c r="L1526" s="129"/>
      <c r="M1526" s="129"/>
      <c r="N1526" s="129"/>
      <c r="O1526" s="129"/>
      <c r="P1526" s="129"/>
      <c r="Q1526" s="129"/>
      <c r="R1526" s="129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</row>
    <row r="1527" hidden="1">
      <c r="A1527" s="128" t="s">
        <v>1137</v>
      </c>
      <c r="B1527" s="147">
        <v>1590.0</v>
      </c>
      <c r="C1527" s="124">
        <v>2490.0</v>
      </c>
      <c r="D1527" s="125">
        <f t="shared" si="183"/>
        <v>900</v>
      </c>
      <c r="E1527" s="126" t="s">
        <v>1134</v>
      </c>
      <c r="F1527" s="124"/>
    </row>
    <row r="1528" hidden="1">
      <c r="A1528" s="150" t="s">
        <v>1083</v>
      </c>
      <c r="B1528" s="147">
        <v>1290.0</v>
      </c>
      <c r="C1528" s="147">
        <v>2650.0</v>
      </c>
      <c r="D1528" s="132">
        <f t="shared" si="183"/>
        <v>1360</v>
      </c>
      <c r="E1528" s="126" t="s">
        <v>123</v>
      </c>
      <c r="F1528" s="139"/>
      <c r="G1528" s="129"/>
      <c r="H1528" s="129"/>
      <c r="I1528" s="129"/>
      <c r="J1528" s="129"/>
      <c r="K1528" s="129"/>
      <c r="L1528" s="129"/>
      <c r="M1528" s="129"/>
      <c r="N1528" s="129"/>
      <c r="O1528" s="129"/>
      <c r="P1528" s="129"/>
      <c r="Q1528" s="129"/>
      <c r="R1528" s="129"/>
      <c r="S1528" s="129"/>
      <c r="T1528" s="129"/>
      <c r="U1528" s="129"/>
      <c r="V1528" s="129"/>
      <c r="W1528" s="129"/>
      <c r="X1528" s="129"/>
      <c r="Y1528" s="129"/>
      <c r="Z1528" s="129"/>
      <c r="AA1528" s="129"/>
      <c r="AB1528" s="129"/>
    </row>
    <row r="1529" hidden="1">
      <c r="A1529" s="122"/>
      <c r="B1529" s="134"/>
      <c r="C1529" s="134"/>
      <c r="D1529" s="134"/>
      <c r="E1529" s="135"/>
    </row>
    <row r="1530" hidden="1">
      <c r="A1530" s="122" t="s">
        <v>57</v>
      </c>
      <c r="B1530" s="133">
        <f t="shared" ref="B1530:D1530" si="184">SUM(B1525:B1529)</f>
        <v>4470</v>
      </c>
      <c r="C1530" s="133">
        <f t="shared" si="184"/>
        <v>7630</v>
      </c>
      <c r="D1530" s="133">
        <f t="shared" si="184"/>
        <v>3160</v>
      </c>
      <c r="E1530" s="135">
        <f>D1530/(C1530/100)</f>
        <v>41.41546527</v>
      </c>
    </row>
    <row r="1531" hidden="1">
      <c r="A1531" s="154"/>
      <c r="B1531" s="124"/>
      <c r="C1531" s="124"/>
      <c r="D1531" s="124"/>
    </row>
    <row r="1532" hidden="1">
      <c r="A1532" s="154">
        <v>45108.0</v>
      </c>
      <c r="B1532" s="124"/>
      <c r="C1532" s="124"/>
      <c r="D1532" s="124"/>
    </row>
    <row r="1533" hidden="1">
      <c r="A1533" s="150" t="s">
        <v>1136</v>
      </c>
      <c r="B1533" s="147">
        <v>1590.0</v>
      </c>
      <c r="C1533" s="147">
        <v>2590.0</v>
      </c>
      <c r="D1533" s="132">
        <f t="shared" ref="D1533:D1562" si="185">C1533-B1533</f>
        <v>1000</v>
      </c>
      <c r="E1533" s="132" t="s">
        <v>1134</v>
      </c>
      <c r="F1533" s="139"/>
      <c r="G1533" s="129"/>
      <c r="H1533" s="129"/>
      <c r="I1533" s="129"/>
      <c r="J1533" s="129"/>
      <c r="K1533" s="129"/>
      <c r="L1533" s="129"/>
      <c r="M1533" s="129"/>
      <c r="N1533" s="129"/>
      <c r="O1533" s="129"/>
      <c r="P1533" s="129"/>
      <c r="Q1533" s="129"/>
      <c r="R1533" s="129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</row>
    <row r="1534" hidden="1">
      <c r="A1534" s="150" t="s">
        <v>1136</v>
      </c>
      <c r="B1534" s="132">
        <v>1590.0</v>
      </c>
      <c r="C1534" s="132">
        <v>2490.0</v>
      </c>
      <c r="D1534" s="132">
        <f t="shared" si="185"/>
        <v>900</v>
      </c>
      <c r="E1534" s="132" t="s">
        <v>1134</v>
      </c>
      <c r="F1534" s="139"/>
      <c r="G1534" s="129"/>
      <c r="H1534" s="129"/>
      <c r="I1534" s="129"/>
      <c r="J1534" s="129"/>
      <c r="K1534" s="129"/>
      <c r="L1534" s="129"/>
      <c r="M1534" s="129"/>
      <c r="N1534" s="129"/>
      <c r="O1534" s="129"/>
      <c r="P1534" s="129"/>
      <c r="Q1534" s="129"/>
      <c r="R1534" s="129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</row>
    <row r="1535" hidden="1">
      <c r="A1535" s="150" t="s">
        <v>1136</v>
      </c>
      <c r="B1535" s="132">
        <v>1590.0</v>
      </c>
      <c r="C1535" s="132">
        <v>2490.0</v>
      </c>
      <c r="D1535" s="132">
        <f t="shared" si="185"/>
        <v>900</v>
      </c>
      <c r="E1535" s="132" t="s">
        <v>1134</v>
      </c>
      <c r="F1535" s="139"/>
      <c r="G1535" s="129"/>
      <c r="H1535" s="129"/>
      <c r="I1535" s="129"/>
      <c r="J1535" s="129"/>
      <c r="K1535" s="129"/>
      <c r="L1535" s="129"/>
      <c r="M1535" s="129"/>
      <c r="N1535" s="129"/>
      <c r="O1535" s="129"/>
      <c r="P1535" s="129"/>
      <c r="Q1535" s="129"/>
      <c r="R1535" s="129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</row>
    <row r="1536" hidden="1">
      <c r="A1536" s="128" t="s">
        <v>1137</v>
      </c>
      <c r="B1536" s="147">
        <v>1590.0</v>
      </c>
      <c r="C1536" s="124">
        <v>2491.0</v>
      </c>
      <c r="D1536" s="125">
        <f t="shared" si="185"/>
        <v>901</v>
      </c>
      <c r="E1536" s="126" t="s">
        <v>1134</v>
      </c>
      <c r="F1536" s="124"/>
    </row>
    <row r="1537" hidden="1">
      <c r="A1537" s="123" t="s">
        <v>1145</v>
      </c>
      <c r="B1537" s="124">
        <v>16900.0</v>
      </c>
      <c r="C1537" s="124">
        <v>12900.0</v>
      </c>
      <c r="D1537" s="125">
        <f t="shared" si="185"/>
        <v>-4000</v>
      </c>
      <c r="E1537" s="126"/>
      <c r="F1537" s="124"/>
    </row>
    <row r="1538" hidden="1">
      <c r="A1538" s="128" t="s">
        <v>1146</v>
      </c>
      <c r="B1538" s="132">
        <v>4990.0</v>
      </c>
      <c r="C1538" s="147">
        <v>2990.0</v>
      </c>
      <c r="D1538" s="132">
        <f t="shared" si="185"/>
        <v>-2000</v>
      </c>
      <c r="E1538" s="126"/>
      <c r="F1538" s="124"/>
    </row>
    <row r="1539" hidden="1">
      <c r="A1539" s="128" t="s">
        <v>1135</v>
      </c>
      <c r="B1539" s="124">
        <v>1590.0</v>
      </c>
      <c r="C1539" s="124">
        <v>2490.0</v>
      </c>
      <c r="D1539" s="125">
        <f t="shared" si="185"/>
        <v>900</v>
      </c>
      <c r="E1539" s="126" t="s">
        <v>1134</v>
      </c>
      <c r="F1539" s="124"/>
    </row>
    <row r="1540" hidden="1">
      <c r="A1540" s="123" t="s">
        <v>1133</v>
      </c>
      <c r="B1540" s="124">
        <v>1590.0</v>
      </c>
      <c r="C1540" s="124">
        <v>2491.0</v>
      </c>
      <c r="D1540" s="125">
        <f t="shared" si="185"/>
        <v>901</v>
      </c>
      <c r="E1540" s="126" t="s">
        <v>1134</v>
      </c>
      <c r="F1540" s="124"/>
    </row>
    <row r="1541" hidden="1">
      <c r="A1541" s="123" t="s">
        <v>1133</v>
      </c>
      <c r="B1541" s="124">
        <v>1590.0</v>
      </c>
      <c r="C1541" s="124">
        <v>2490.0</v>
      </c>
      <c r="D1541" s="125">
        <f t="shared" si="185"/>
        <v>900</v>
      </c>
      <c r="E1541" s="126" t="s">
        <v>1134</v>
      </c>
      <c r="F1541" s="124"/>
    </row>
    <row r="1542" hidden="1">
      <c r="A1542" s="128" t="s">
        <v>1135</v>
      </c>
      <c r="B1542" s="124">
        <v>1590.0</v>
      </c>
      <c r="C1542" s="124">
        <v>2491.0</v>
      </c>
      <c r="D1542" s="125">
        <f t="shared" si="185"/>
        <v>901</v>
      </c>
      <c r="E1542" s="126" t="s">
        <v>1134</v>
      </c>
      <c r="F1542" s="124"/>
    </row>
    <row r="1543" hidden="1">
      <c r="A1543" s="128" t="s">
        <v>1135</v>
      </c>
      <c r="B1543" s="124">
        <v>1590.0</v>
      </c>
      <c r="C1543" s="124">
        <v>2590.0</v>
      </c>
      <c r="D1543" s="125">
        <f t="shared" si="185"/>
        <v>1000</v>
      </c>
      <c r="E1543" s="126" t="s">
        <v>1134</v>
      </c>
      <c r="F1543" s="124"/>
    </row>
    <row r="1544" hidden="1">
      <c r="A1544" s="128" t="s">
        <v>1077</v>
      </c>
      <c r="B1544" s="147">
        <v>1490.0</v>
      </c>
      <c r="C1544" s="147">
        <v>3190.0</v>
      </c>
      <c r="D1544" s="132">
        <f t="shared" si="185"/>
        <v>1700</v>
      </c>
      <c r="E1544" s="126" t="s">
        <v>123</v>
      </c>
      <c r="F1544" s="127"/>
      <c r="G1544" s="150"/>
      <c r="H1544" s="129"/>
      <c r="I1544" s="129"/>
      <c r="J1544" s="129"/>
      <c r="K1544" s="129"/>
      <c r="L1544" s="129"/>
      <c r="M1544" s="129"/>
      <c r="N1544" s="129"/>
      <c r="O1544" s="129"/>
      <c r="P1544" s="129"/>
      <c r="Q1544" s="129"/>
      <c r="R1544" s="129"/>
      <c r="S1544" s="129"/>
      <c r="T1544" s="129"/>
      <c r="U1544" s="129"/>
      <c r="V1544" s="129"/>
      <c r="W1544" s="129"/>
      <c r="X1544" s="129"/>
      <c r="Y1544" s="129"/>
      <c r="Z1544" s="129"/>
      <c r="AA1544" s="129"/>
      <c r="AB1544" s="129"/>
    </row>
    <row r="1545" hidden="1">
      <c r="A1545" s="128" t="s">
        <v>1147</v>
      </c>
      <c r="B1545" s="147">
        <v>1290.0</v>
      </c>
      <c r="C1545" s="147">
        <v>1806.0</v>
      </c>
      <c r="D1545" s="132">
        <f t="shared" si="185"/>
        <v>516</v>
      </c>
      <c r="E1545" s="132" t="s">
        <v>123</v>
      </c>
      <c r="F1545" s="139"/>
      <c r="G1545" s="150"/>
      <c r="H1545" s="129"/>
      <c r="I1545" s="129"/>
      <c r="J1545" s="129"/>
      <c r="K1545" s="129"/>
      <c r="L1545" s="129"/>
      <c r="M1545" s="129"/>
      <c r="N1545" s="129"/>
      <c r="O1545" s="129"/>
      <c r="P1545" s="129"/>
      <c r="Q1545" s="129"/>
      <c r="R1545" s="129"/>
      <c r="S1545" s="129"/>
      <c r="T1545" s="129"/>
      <c r="U1545" s="129"/>
      <c r="V1545" s="129"/>
      <c r="W1545" s="129"/>
      <c r="X1545" s="129"/>
      <c r="Y1545" s="129"/>
      <c r="Z1545" s="129"/>
      <c r="AA1545" s="129"/>
      <c r="AB1545" s="129"/>
    </row>
    <row r="1546" hidden="1">
      <c r="A1546" s="128" t="s">
        <v>1137</v>
      </c>
      <c r="B1546" s="147">
        <v>1590.0</v>
      </c>
      <c r="C1546" s="124">
        <v>2503.0</v>
      </c>
      <c r="D1546" s="125">
        <f t="shared" si="185"/>
        <v>913</v>
      </c>
      <c r="E1546" s="126" t="s">
        <v>1134</v>
      </c>
      <c r="F1546" s="124"/>
    </row>
    <row r="1547" hidden="1">
      <c r="A1547" s="150" t="s">
        <v>1148</v>
      </c>
      <c r="B1547" s="147">
        <v>1490.0</v>
      </c>
      <c r="C1547" s="124">
        <v>1560.0</v>
      </c>
      <c r="D1547" s="132">
        <f t="shared" si="185"/>
        <v>70</v>
      </c>
      <c r="E1547" s="126" t="s">
        <v>123</v>
      </c>
      <c r="F1547" s="132"/>
      <c r="G1547" s="129"/>
      <c r="H1547" s="129"/>
      <c r="I1547" s="129"/>
      <c r="J1547" s="129"/>
      <c r="K1547" s="129"/>
      <c r="L1547" s="129"/>
      <c r="M1547" s="129"/>
      <c r="N1547" s="129"/>
      <c r="O1547" s="129"/>
      <c r="P1547" s="129"/>
      <c r="Q1547" s="129"/>
      <c r="R1547" s="129"/>
      <c r="S1547" s="129"/>
      <c r="T1547" s="129"/>
      <c r="U1547" s="129"/>
      <c r="V1547" s="129"/>
      <c r="W1547" s="129"/>
      <c r="X1547" s="129"/>
      <c r="Y1547" s="129"/>
      <c r="Z1547" s="129"/>
      <c r="AA1547" s="129"/>
      <c r="AB1547" s="129"/>
    </row>
    <row r="1548" hidden="1">
      <c r="A1548" s="128" t="s">
        <v>1133</v>
      </c>
      <c r="B1548" s="147">
        <v>1590.0</v>
      </c>
      <c r="C1548" s="124">
        <v>2491.0</v>
      </c>
      <c r="D1548" s="125">
        <f t="shared" si="185"/>
        <v>901</v>
      </c>
      <c r="E1548" s="126" t="s">
        <v>1134</v>
      </c>
      <c r="F1548" s="124"/>
    </row>
    <row r="1549" hidden="1">
      <c r="A1549" s="128" t="s">
        <v>1137</v>
      </c>
      <c r="B1549" s="147">
        <v>1590.0</v>
      </c>
      <c r="C1549" s="124">
        <v>2499.0</v>
      </c>
      <c r="D1549" s="125">
        <f t="shared" si="185"/>
        <v>909</v>
      </c>
      <c r="E1549" s="126" t="s">
        <v>1134</v>
      </c>
      <c r="F1549" s="124"/>
    </row>
    <row r="1550" hidden="1">
      <c r="A1550" s="123" t="s">
        <v>1133</v>
      </c>
      <c r="B1550" s="124">
        <v>1590.0</v>
      </c>
      <c r="C1550" s="124">
        <v>2491.0</v>
      </c>
      <c r="D1550" s="125">
        <f t="shared" si="185"/>
        <v>901</v>
      </c>
      <c r="E1550" s="132" t="s">
        <v>1134</v>
      </c>
      <c r="F1550" s="124"/>
    </row>
    <row r="1551" hidden="1">
      <c r="A1551" s="150" t="s">
        <v>1137</v>
      </c>
      <c r="B1551" s="147">
        <v>1590.0</v>
      </c>
      <c r="C1551" s="147">
        <v>2489.0</v>
      </c>
      <c r="D1551" s="132">
        <f t="shared" si="185"/>
        <v>899</v>
      </c>
      <c r="E1551" s="132" t="s">
        <v>1134</v>
      </c>
      <c r="F1551" s="139"/>
      <c r="G1551" s="129"/>
      <c r="H1551" s="129"/>
      <c r="I1551" s="129"/>
      <c r="J1551" s="129"/>
      <c r="K1551" s="129"/>
      <c r="L1551" s="129"/>
      <c r="M1551" s="129"/>
      <c r="N1551" s="129"/>
      <c r="O1551" s="129"/>
      <c r="P1551" s="129"/>
      <c r="Q1551" s="129"/>
      <c r="R1551" s="129"/>
      <c r="S1551" s="129"/>
      <c r="T1551" s="129"/>
      <c r="U1551" s="129"/>
      <c r="V1551" s="129"/>
      <c r="W1551" s="129"/>
      <c r="X1551" s="129"/>
      <c r="Y1551" s="129"/>
      <c r="Z1551" s="129"/>
      <c r="AA1551" s="129"/>
      <c r="AB1551" s="129"/>
    </row>
    <row r="1552" hidden="1">
      <c r="A1552" s="128" t="s">
        <v>1135</v>
      </c>
      <c r="B1552" s="124">
        <v>1590.0</v>
      </c>
      <c r="C1552" s="124">
        <v>2491.0</v>
      </c>
      <c r="D1552" s="125">
        <f t="shared" si="185"/>
        <v>901</v>
      </c>
      <c r="E1552" s="126" t="s">
        <v>1134</v>
      </c>
      <c r="F1552" s="124"/>
    </row>
    <row r="1553" hidden="1">
      <c r="A1553" s="128" t="s">
        <v>1149</v>
      </c>
      <c r="B1553" s="147">
        <v>1690.0</v>
      </c>
      <c r="C1553" s="147">
        <v>4950.0</v>
      </c>
      <c r="D1553" s="132">
        <f t="shared" si="185"/>
        <v>3260</v>
      </c>
      <c r="E1553" s="126" t="s">
        <v>123</v>
      </c>
      <c r="F1553" s="127"/>
      <c r="G1553" s="150"/>
      <c r="H1553" s="129"/>
      <c r="I1553" s="129"/>
      <c r="J1553" s="129"/>
      <c r="K1553" s="129"/>
      <c r="L1553" s="129"/>
      <c r="M1553" s="129"/>
      <c r="N1553" s="129"/>
      <c r="O1553" s="129"/>
      <c r="P1553" s="129"/>
      <c r="Q1553" s="129"/>
      <c r="R1553" s="129"/>
      <c r="S1553" s="129"/>
      <c r="T1553" s="129"/>
      <c r="U1553" s="129"/>
      <c r="V1553" s="129"/>
      <c r="W1553" s="129"/>
      <c r="X1553" s="129"/>
      <c r="Y1553" s="129"/>
      <c r="Z1553" s="129"/>
      <c r="AA1553" s="129"/>
      <c r="AB1553" s="129"/>
    </row>
    <row r="1554" hidden="1">
      <c r="A1554" s="123" t="s">
        <v>443</v>
      </c>
      <c r="B1554" s="147">
        <v>1390.0</v>
      </c>
      <c r="C1554" s="147"/>
      <c r="D1554" s="125">
        <f t="shared" si="185"/>
        <v>-1390</v>
      </c>
      <c r="E1554" s="126" t="s">
        <v>123</v>
      </c>
      <c r="F1554" s="124"/>
      <c r="G1554" s="123"/>
    </row>
    <row r="1555" hidden="1">
      <c r="A1555" s="128" t="s">
        <v>1077</v>
      </c>
      <c r="B1555" s="147">
        <v>1490.0</v>
      </c>
      <c r="C1555" s="147">
        <v>5240.0</v>
      </c>
      <c r="D1555" s="132">
        <f t="shared" si="185"/>
        <v>3750</v>
      </c>
      <c r="E1555" s="126" t="s">
        <v>123</v>
      </c>
      <c r="F1555" s="127"/>
      <c r="G1555" s="150"/>
      <c r="H1555" s="129"/>
      <c r="I1555" s="129"/>
      <c r="J1555" s="129"/>
      <c r="K1555" s="129"/>
      <c r="L1555" s="129"/>
      <c r="M1555" s="129"/>
      <c r="N1555" s="129"/>
      <c r="O1555" s="129"/>
      <c r="P1555" s="129"/>
      <c r="Q1555" s="129"/>
      <c r="R1555" s="129"/>
      <c r="S1555" s="129"/>
      <c r="T1555" s="129"/>
      <c r="U1555" s="129"/>
      <c r="V1555" s="129"/>
      <c r="W1555" s="129"/>
      <c r="X1555" s="129"/>
      <c r="Y1555" s="129"/>
      <c r="Z1555" s="129"/>
      <c r="AA1555" s="129"/>
      <c r="AB1555" s="129"/>
    </row>
    <row r="1556" hidden="1">
      <c r="A1556" s="150" t="s">
        <v>1083</v>
      </c>
      <c r="B1556" s="147">
        <v>1290.0</v>
      </c>
      <c r="C1556" s="147"/>
      <c r="D1556" s="132">
        <f t="shared" si="185"/>
        <v>-1290</v>
      </c>
      <c r="E1556" s="126" t="s">
        <v>123</v>
      </c>
      <c r="F1556" s="139"/>
      <c r="G1556" s="129"/>
      <c r="H1556" s="129"/>
      <c r="I1556" s="129"/>
      <c r="J1556" s="129"/>
      <c r="K1556" s="129"/>
      <c r="L1556" s="129"/>
      <c r="M1556" s="129"/>
      <c r="N1556" s="129"/>
      <c r="O1556" s="129"/>
      <c r="P1556" s="129"/>
      <c r="Q1556" s="129"/>
      <c r="R1556" s="129"/>
      <c r="S1556" s="129"/>
      <c r="T1556" s="129"/>
      <c r="U1556" s="129"/>
      <c r="V1556" s="129"/>
      <c r="W1556" s="129"/>
      <c r="X1556" s="129"/>
      <c r="Y1556" s="129"/>
      <c r="Z1556" s="129"/>
      <c r="AA1556" s="129"/>
      <c r="AB1556" s="129"/>
    </row>
    <row r="1557" hidden="1">
      <c r="A1557" s="128" t="s">
        <v>1136</v>
      </c>
      <c r="B1557" s="124">
        <v>1540.0</v>
      </c>
      <c r="C1557" s="124">
        <v>2500.0</v>
      </c>
      <c r="D1557" s="125">
        <f t="shared" si="185"/>
        <v>960</v>
      </c>
      <c r="E1557" s="126" t="s">
        <v>1134</v>
      </c>
      <c r="F1557" s="124"/>
    </row>
    <row r="1558" hidden="1">
      <c r="A1558" s="123" t="s">
        <v>1133</v>
      </c>
      <c r="B1558" s="124">
        <v>1540.0</v>
      </c>
      <c r="C1558" s="124">
        <v>2500.0</v>
      </c>
      <c r="D1558" s="125">
        <f t="shared" si="185"/>
        <v>960</v>
      </c>
      <c r="E1558" s="126" t="s">
        <v>1134</v>
      </c>
      <c r="F1558" s="124"/>
    </row>
    <row r="1559" hidden="1">
      <c r="A1559" s="150" t="s">
        <v>463</v>
      </c>
      <c r="B1559" s="124">
        <v>1190.0</v>
      </c>
      <c r="C1559" s="147">
        <v>1296.0</v>
      </c>
      <c r="D1559" s="132">
        <f t="shared" si="185"/>
        <v>106</v>
      </c>
      <c r="E1559" s="132" t="s">
        <v>123</v>
      </c>
      <c r="F1559" s="139"/>
      <c r="G1559" s="150"/>
      <c r="H1559" s="129"/>
      <c r="I1559" s="129"/>
      <c r="J1559" s="129"/>
      <c r="K1559" s="129"/>
      <c r="L1559" s="129"/>
      <c r="M1559" s="129"/>
      <c r="N1559" s="129"/>
      <c r="O1559" s="129"/>
      <c r="P1559" s="129"/>
      <c r="Q1559" s="129"/>
      <c r="R1559" s="129"/>
      <c r="S1559" s="129"/>
      <c r="T1559" s="129"/>
      <c r="U1559" s="129"/>
      <c r="V1559" s="129"/>
      <c r="W1559" s="129"/>
      <c r="X1559" s="129"/>
      <c r="Y1559" s="129"/>
      <c r="Z1559" s="129"/>
      <c r="AA1559" s="129"/>
      <c r="AB1559" s="129"/>
    </row>
    <row r="1560" hidden="1">
      <c r="A1560" s="128" t="s">
        <v>1136</v>
      </c>
      <c r="B1560" s="124">
        <v>1590.0</v>
      </c>
      <c r="C1560" s="124">
        <v>2481.0</v>
      </c>
      <c r="D1560" s="125">
        <f t="shared" si="185"/>
        <v>891</v>
      </c>
      <c r="E1560" s="126" t="s">
        <v>1134</v>
      </c>
      <c r="F1560" s="124"/>
    </row>
    <row r="1561" hidden="1">
      <c r="A1561" s="128" t="s">
        <v>1077</v>
      </c>
      <c r="B1561" s="147">
        <v>1590.0</v>
      </c>
      <c r="C1561" s="147">
        <v>2600.0</v>
      </c>
      <c r="D1561" s="132">
        <f t="shared" si="185"/>
        <v>1010</v>
      </c>
      <c r="E1561" s="147" t="s">
        <v>123</v>
      </c>
      <c r="F1561" s="127"/>
      <c r="G1561" s="150"/>
      <c r="H1561" s="129"/>
      <c r="I1561" s="129"/>
      <c r="J1561" s="129"/>
      <c r="K1561" s="129"/>
      <c r="L1561" s="129"/>
      <c r="M1561" s="129"/>
      <c r="N1561" s="129"/>
      <c r="O1561" s="129"/>
      <c r="P1561" s="129"/>
      <c r="Q1561" s="129"/>
      <c r="R1561" s="129"/>
      <c r="S1561" s="129"/>
      <c r="T1561" s="129"/>
      <c r="U1561" s="129"/>
      <c r="V1561" s="129"/>
      <c r="W1561" s="129"/>
      <c r="X1561" s="129"/>
      <c r="Y1561" s="129"/>
      <c r="Z1561" s="129"/>
      <c r="AA1561" s="129"/>
      <c r="AB1561" s="129"/>
    </row>
    <row r="1562" hidden="1">
      <c r="A1562" s="123" t="s">
        <v>1133</v>
      </c>
      <c r="B1562" s="124">
        <v>1590.0</v>
      </c>
      <c r="C1562" s="124">
        <v>2481.0</v>
      </c>
      <c r="D1562" s="125">
        <f t="shared" si="185"/>
        <v>891</v>
      </c>
      <c r="E1562" s="126" t="s">
        <v>1134</v>
      </c>
      <c r="F1562" s="124"/>
    </row>
    <row r="1563" hidden="1">
      <c r="B1563" s="147"/>
      <c r="C1563" s="124"/>
      <c r="E1563" s="126"/>
      <c r="F1563" s="124"/>
    </row>
    <row r="1564" hidden="1">
      <c r="A1564" s="122" t="s">
        <v>57</v>
      </c>
      <c r="B1564" s="133">
        <f t="shared" ref="B1564:D1564" si="186">SUM(B1532:B1563)</f>
        <v>64910</v>
      </c>
      <c r="C1564" s="133">
        <f t="shared" si="186"/>
        <v>84071</v>
      </c>
      <c r="D1564" s="133">
        <f t="shared" si="186"/>
        <v>19161</v>
      </c>
      <c r="E1564" s="135">
        <f>D1564/(C1564/100)</f>
        <v>22.79145008</v>
      </c>
    </row>
    <row r="1565" hidden="1">
      <c r="A1565" s="154"/>
      <c r="B1565" s="124"/>
      <c r="C1565" s="124"/>
      <c r="D1565" s="124"/>
    </row>
    <row r="1566" hidden="1">
      <c r="A1566" s="154">
        <v>45078.0</v>
      </c>
      <c r="B1566" s="124"/>
      <c r="C1566" s="124"/>
      <c r="D1566" s="124"/>
    </row>
    <row r="1567" hidden="1">
      <c r="A1567" s="128" t="s">
        <v>1136</v>
      </c>
      <c r="B1567" s="124">
        <v>1690.0</v>
      </c>
      <c r="C1567" s="124">
        <v>2594.0</v>
      </c>
      <c r="D1567" s="125">
        <f t="shared" ref="D1567:D1597" si="187">C1567-B1567</f>
        <v>904</v>
      </c>
      <c r="E1567" s="126" t="s">
        <v>1134</v>
      </c>
      <c r="F1567" s="124"/>
    </row>
    <row r="1568" hidden="1">
      <c r="A1568" s="128" t="s">
        <v>1135</v>
      </c>
      <c r="B1568" s="124">
        <v>1690.0</v>
      </c>
      <c r="C1568" s="124">
        <v>2514.0</v>
      </c>
      <c r="D1568" s="125">
        <f t="shared" si="187"/>
        <v>824</v>
      </c>
      <c r="E1568" s="126" t="s">
        <v>1134</v>
      </c>
      <c r="F1568" s="124"/>
    </row>
    <row r="1569" hidden="1">
      <c r="A1569" s="123" t="s">
        <v>1133</v>
      </c>
      <c r="B1569" s="124">
        <v>1690.0</v>
      </c>
      <c r="C1569" s="124">
        <v>2590.0</v>
      </c>
      <c r="D1569" s="125">
        <f t="shared" si="187"/>
        <v>900</v>
      </c>
      <c r="E1569" s="126" t="s">
        <v>1134</v>
      </c>
      <c r="F1569" s="124"/>
    </row>
    <row r="1570" hidden="1">
      <c r="A1570" s="128" t="s">
        <v>1136</v>
      </c>
      <c r="B1570" s="124">
        <v>1690.0</v>
      </c>
      <c r="C1570" s="124">
        <v>2590.0</v>
      </c>
      <c r="D1570" s="125">
        <f t="shared" si="187"/>
        <v>900</v>
      </c>
      <c r="E1570" s="126" t="s">
        <v>1134</v>
      </c>
      <c r="F1570" s="124"/>
    </row>
    <row r="1571" hidden="1">
      <c r="A1571" s="128" t="s">
        <v>1137</v>
      </c>
      <c r="B1571" s="124">
        <v>1690.0</v>
      </c>
      <c r="C1571" s="124">
        <v>2590.0</v>
      </c>
      <c r="D1571" s="125">
        <f t="shared" si="187"/>
        <v>900</v>
      </c>
      <c r="E1571" s="126" t="s">
        <v>1134</v>
      </c>
      <c r="F1571" s="124"/>
    </row>
    <row r="1572" hidden="1">
      <c r="A1572" s="128" t="s">
        <v>1136</v>
      </c>
      <c r="B1572" s="124">
        <v>1690.0</v>
      </c>
      <c r="C1572" s="124">
        <v>2591.0</v>
      </c>
      <c r="D1572" s="125">
        <f t="shared" si="187"/>
        <v>901</v>
      </c>
      <c r="E1572" s="126" t="s">
        <v>1134</v>
      </c>
      <c r="F1572" s="124"/>
    </row>
    <row r="1573" hidden="1">
      <c r="A1573" s="123" t="s">
        <v>1133</v>
      </c>
      <c r="B1573" s="124">
        <v>1690.0</v>
      </c>
      <c r="C1573" s="124">
        <v>2583.0</v>
      </c>
      <c r="D1573" s="125">
        <f t="shared" si="187"/>
        <v>893</v>
      </c>
      <c r="E1573" s="126" t="s">
        <v>1134</v>
      </c>
      <c r="F1573" s="124"/>
    </row>
    <row r="1574" hidden="1">
      <c r="A1574" s="128" t="s">
        <v>1150</v>
      </c>
      <c r="B1574" s="147">
        <v>15000.0</v>
      </c>
      <c r="C1574" s="124">
        <v>20000.0</v>
      </c>
      <c r="D1574" s="132">
        <f t="shared" si="187"/>
        <v>5000</v>
      </c>
      <c r="E1574" s="139"/>
      <c r="F1574" s="139"/>
      <c r="G1574" s="129"/>
      <c r="H1574" s="129"/>
      <c r="I1574" s="129"/>
      <c r="J1574" s="129"/>
      <c r="K1574" s="129"/>
      <c r="L1574" s="129"/>
      <c r="M1574" s="129"/>
      <c r="N1574" s="129"/>
      <c r="O1574" s="129"/>
      <c r="P1574" s="129"/>
      <c r="Q1574" s="129"/>
      <c r="R1574" s="129"/>
      <c r="S1574" s="129"/>
      <c r="T1574" s="129"/>
      <c r="U1574" s="129"/>
      <c r="V1574" s="129"/>
      <c r="W1574" s="129"/>
      <c r="X1574" s="129"/>
      <c r="Y1574" s="129"/>
      <c r="Z1574" s="129"/>
      <c r="AA1574" s="129"/>
      <c r="AB1574" s="129"/>
    </row>
    <row r="1575" hidden="1">
      <c r="A1575" s="123" t="s">
        <v>1151</v>
      </c>
      <c r="B1575" s="124">
        <v>1750.0</v>
      </c>
      <c r="C1575" s="124">
        <v>0.0</v>
      </c>
      <c r="D1575" s="125">
        <f t="shared" si="187"/>
        <v>-1750</v>
      </c>
      <c r="E1575" s="126"/>
      <c r="F1575" s="139"/>
      <c r="G1575" s="150"/>
      <c r="H1575" s="129"/>
      <c r="I1575" s="129"/>
      <c r="J1575" s="129"/>
      <c r="K1575" s="129"/>
      <c r="L1575" s="129"/>
      <c r="M1575" s="129"/>
      <c r="N1575" s="129"/>
      <c r="O1575" s="129"/>
      <c r="P1575" s="129"/>
      <c r="Q1575" s="129"/>
      <c r="R1575" s="129"/>
      <c r="S1575" s="129"/>
      <c r="T1575" s="129"/>
      <c r="U1575" s="129"/>
      <c r="V1575" s="129"/>
      <c r="W1575" s="129"/>
      <c r="X1575" s="129"/>
      <c r="Y1575" s="129"/>
      <c r="Z1575" s="129"/>
      <c r="AA1575" s="129"/>
      <c r="AB1575" s="129"/>
    </row>
    <row r="1576" hidden="1">
      <c r="A1576" s="123" t="s">
        <v>1152</v>
      </c>
      <c r="B1576" s="124">
        <v>1750.0</v>
      </c>
      <c r="C1576" s="124">
        <v>0.0</v>
      </c>
      <c r="D1576" s="125">
        <f t="shared" si="187"/>
        <v>-1750</v>
      </c>
      <c r="E1576" s="126"/>
      <c r="F1576" s="139"/>
      <c r="G1576" s="150"/>
      <c r="H1576" s="129"/>
      <c r="I1576" s="129"/>
      <c r="J1576" s="129"/>
      <c r="K1576" s="129"/>
      <c r="L1576" s="129"/>
      <c r="M1576" s="129"/>
      <c r="N1576" s="129"/>
      <c r="O1576" s="129"/>
      <c r="P1576" s="129"/>
      <c r="Q1576" s="129"/>
      <c r="R1576" s="129"/>
      <c r="S1576" s="129"/>
      <c r="T1576" s="129"/>
      <c r="U1576" s="129"/>
      <c r="V1576" s="129"/>
      <c r="W1576" s="129"/>
      <c r="X1576" s="129"/>
      <c r="Y1576" s="129"/>
      <c r="Z1576" s="129"/>
      <c r="AA1576" s="129"/>
      <c r="AB1576" s="129"/>
    </row>
    <row r="1577" hidden="1">
      <c r="A1577" s="123" t="s">
        <v>1153</v>
      </c>
      <c r="B1577" s="124">
        <v>1750.0</v>
      </c>
      <c r="C1577" s="124">
        <v>0.0</v>
      </c>
      <c r="D1577" s="125">
        <f t="shared" si="187"/>
        <v>-1750</v>
      </c>
      <c r="E1577" s="126"/>
      <c r="F1577" s="139"/>
      <c r="G1577" s="150"/>
      <c r="H1577" s="129"/>
      <c r="I1577" s="129"/>
      <c r="J1577" s="129"/>
      <c r="K1577" s="129"/>
      <c r="L1577" s="129"/>
      <c r="M1577" s="129"/>
      <c r="N1577" s="129"/>
      <c r="O1577" s="129"/>
      <c r="P1577" s="129"/>
      <c r="Q1577" s="129"/>
      <c r="R1577" s="129"/>
      <c r="S1577" s="129"/>
      <c r="T1577" s="129"/>
      <c r="U1577" s="129"/>
      <c r="V1577" s="129"/>
      <c r="W1577" s="129"/>
      <c r="X1577" s="129"/>
      <c r="Y1577" s="129"/>
      <c r="Z1577" s="129"/>
      <c r="AA1577" s="129"/>
      <c r="AB1577" s="129"/>
    </row>
    <row r="1578" hidden="1">
      <c r="A1578" s="128" t="s">
        <v>1154</v>
      </c>
      <c r="B1578" s="124">
        <v>1250.0</v>
      </c>
      <c r="C1578" s="124">
        <v>0.0</v>
      </c>
      <c r="D1578" s="132">
        <f t="shared" si="187"/>
        <v>-1250</v>
      </c>
      <c r="E1578" s="132"/>
      <c r="F1578" s="139"/>
      <c r="G1578" s="150"/>
      <c r="H1578" s="129"/>
      <c r="I1578" s="129"/>
      <c r="J1578" s="129"/>
      <c r="K1578" s="129"/>
      <c r="L1578" s="129"/>
      <c r="M1578" s="129"/>
      <c r="N1578" s="129"/>
      <c r="O1578" s="129"/>
      <c r="P1578" s="129"/>
      <c r="Q1578" s="129"/>
      <c r="R1578" s="129"/>
      <c r="S1578" s="129"/>
      <c r="T1578" s="129"/>
      <c r="U1578" s="129"/>
      <c r="V1578" s="129"/>
      <c r="W1578" s="129"/>
      <c r="X1578" s="129"/>
      <c r="Y1578" s="129"/>
      <c r="Z1578" s="129"/>
      <c r="AA1578" s="129"/>
      <c r="AB1578" s="129"/>
    </row>
    <row r="1579" hidden="1">
      <c r="A1579" s="150" t="s">
        <v>429</v>
      </c>
      <c r="B1579" s="132">
        <v>1250.0</v>
      </c>
      <c r="C1579" s="147">
        <v>0.0</v>
      </c>
      <c r="D1579" s="132">
        <f t="shared" si="187"/>
        <v>-1250</v>
      </c>
      <c r="E1579" s="139"/>
      <c r="F1579" s="139"/>
      <c r="G1579" s="150"/>
      <c r="H1579" s="129"/>
      <c r="I1579" s="129"/>
      <c r="J1579" s="129"/>
      <c r="K1579" s="129"/>
      <c r="L1579" s="129"/>
      <c r="M1579" s="129"/>
      <c r="N1579" s="129"/>
      <c r="O1579" s="129"/>
      <c r="P1579" s="129"/>
      <c r="Q1579" s="129"/>
      <c r="R1579" s="129"/>
      <c r="S1579" s="129"/>
      <c r="T1579" s="129"/>
      <c r="U1579" s="129"/>
      <c r="V1579" s="129"/>
      <c r="W1579" s="129"/>
      <c r="X1579" s="129"/>
      <c r="Y1579" s="129"/>
      <c r="Z1579" s="129"/>
      <c r="AA1579" s="129"/>
      <c r="AB1579" s="129"/>
    </row>
    <row r="1580" hidden="1">
      <c r="A1580" s="128" t="s">
        <v>1155</v>
      </c>
      <c r="B1580" s="124">
        <v>500.0</v>
      </c>
      <c r="C1580" s="124">
        <v>0.0</v>
      </c>
      <c r="D1580" s="132">
        <f t="shared" si="187"/>
        <v>-500</v>
      </c>
      <c r="E1580" s="132"/>
      <c r="F1580" s="139"/>
      <c r="G1580" s="150"/>
      <c r="H1580" s="129"/>
      <c r="I1580" s="129"/>
      <c r="J1580" s="129"/>
      <c r="K1580" s="129"/>
      <c r="L1580" s="129"/>
      <c r="M1580" s="129"/>
      <c r="N1580" s="129"/>
      <c r="O1580" s="129"/>
      <c r="P1580" s="129"/>
      <c r="Q1580" s="129"/>
      <c r="R1580" s="129"/>
      <c r="S1580" s="129"/>
      <c r="T1580" s="129"/>
      <c r="U1580" s="129"/>
      <c r="V1580" s="129"/>
      <c r="W1580" s="129"/>
      <c r="X1580" s="129"/>
      <c r="Y1580" s="129"/>
      <c r="Z1580" s="129"/>
      <c r="AA1580" s="129"/>
      <c r="AB1580" s="129"/>
    </row>
    <row r="1581" hidden="1">
      <c r="A1581" s="151" t="s">
        <v>1156</v>
      </c>
      <c r="B1581" s="132">
        <v>500.0</v>
      </c>
      <c r="C1581" s="147">
        <v>0.0</v>
      </c>
      <c r="D1581" s="132">
        <f t="shared" si="187"/>
        <v>-500</v>
      </c>
      <c r="E1581" s="139"/>
      <c r="F1581" s="132"/>
      <c r="G1581" s="150"/>
      <c r="H1581" s="129"/>
      <c r="I1581" s="129"/>
      <c r="J1581" s="129"/>
      <c r="K1581" s="129"/>
      <c r="L1581" s="129"/>
      <c r="M1581" s="129"/>
      <c r="N1581" s="129"/>
      <c r="O1581" s="129"/>
      <c r="P1581" s="129"/>
      <c r="Q1581" s="129"/>
      <c r="R1581" s="129"/>
      <c r="S1581" s="129"/>
      <c r="T1581" s="129"/>
      <c r="U1581" s="129"/>
      <c r="V1581" s="129"/>
      <c r="W1581" s="129"/>
      <c r="X1581" s="129"/>
      <c r="Y1581" s="129"/>
      <c r="Z1581" s="129"/>
      <c r="AA1581" s="129"/>
      <c r="AB1581" s="129"/>
    </row>
    <row r="1582" hidden="1">
      <c r="A1582" s="128" t="s">
        <v>1157</v>
      </c>
      <c r="B1582" s="147">
        <v>250.0</v>
      </c>
      <c r="C1582" s="147">
        <v>0.0</v>
      </c>
      <c r="D1582" s="132">
        <f t="shared" si="187"/>
        <v>-250</v>
      </c>
      <c r="E1582" s="132"/>
      <c r="F1582" s="132"/>
      <c r="G1582" s="129"/>
      <c r="H1582" s="129"/>
      <c r="I1582" s="129"/>
      <c r="J1582" s="129"/>
      <c r="K1582" s="129"/>
      <c r="L1582" s="129"/>
      <c r="M1582" s="129"/>
      <c r="N1582" s="129"/>
      <c r="O1582" s="129"/>
      <c r="P1582" s="129"/>
      <c r="Q1582" s="129"/>
      <c r="R1582" s="129"/>
      <c r="S1582" s="129"/>
      <c r="T1582" s="129"/>
      <c r="U1582" s="129"/>
      <c r="V1582" s="129"/>
      <c r="W1582" s="129"/>
      <c r="X1582" s="129"/>
      <c r="Y1582" s="129"/>
      <c r="Z1582" s="129"/>
      <c r="AA1582" s="129"/>
      <c r="AB1582" s="129"/>
    </row>
    <row r="1583" hidden="1">
      <c r="A1583" s="128" t="s">
        <v>1158</v>
      </c>
      <c r="B1583" s="147">
        <v>250.0</v>
      </c>
      <c r="C1583" s="147">
        <v>0.0</v>
      </c>
      <c r="D1583" s="132">
        <f t="shared" si="187"/>
        <v>-250</v>
      </c>
      <c r="E1583" s="132"/>
      <c r="F1583" s="132"/>
      <c r="G1583" s="129"/>
      <c r="H1583" s="129"/>
      <c r="I1583" s="129"/>
      <c r="J1583" s="129"/>
      <c r="K1583" s="129"/>
      <c r="L1583" s="129"/>
      <c r="M1583" s="129"/>
      <c r="N1583" s="129"/>
      <c r="O1583" s="129"/>
      <c r="P1583" s="129"/>
      <c r="Q1583" s="129"/>
      <c r="R1583" s="129"/>
      <c r="S1583" s="129"/>
      <c r="T1583" s="129"/>
      <c r="U1583" s="129"/>
      <c r="V1583" s="129"/>
      <c r="W1583" s="129"/>
      <c r="X1583" s="129"/>
      <c r="Y1583" s="129"/>
      <c r="Z1583" s="129"/>
      <c r="AA1583" s="129"/>
      <c r="AB1583" s="129"/>
    </row>
    <row r="1584" hidden="1">
      <c r="A1584" s="128" t="s">
        <v>1159</v>
      </c>
      <c r="B1584" s="147">
        <v>250.0</v>
      </c>
      <c r="C1584" s="147">
        <v>0.0</v>
      </c>
      <c r="D1584" s="132">
        <f t="shared" si="187"/>
        <v>-250</v>
      </c>
      <c r="E1584" s="132"/>
      <c r="F1584" s="132"/>
      <c r="G1584" s="129"/>
      <c r="H1584" s="129"/>
      <c r="I1584" s="129"/>
      <c r="J1584" s="129"/>
      <c r="K1584" s="129"/>
      <c r="L1584" s="129"/>
      <c r="M1584" s="129"/>
      <c r="N1584" s="129"/>
      <c r="O1584" s="129"/>
      <c r="P1584" s="129"/>
      <c r="Q1584" s="129"/>
      <c r="R1584" s="129"/>
      <c r="S1584" s="129"/>
      <c r="T1584" s="129"/>
      <c r="U1584" s="129"/>
      <c r="V1584" s="129"/>
      <c r="W1584" s="129"/>
      <c r="X1584" s="129"/>
      <c r="Y1584" s="129"/>
      <c r="Z1584" s="129"/>
      <c r="AA1584" s="129"/>
      <c r="AB1584" s="129"/>
    </row>
    <row r="1585" hidden="1">
      <c r="A1585" s="128" t="s">
        <v>1160</v>
      </c>
      <c r="B1585" s="147">
        <v>250.0</v>
      </c>
      <c r="C1585" s="147">
        <v>0.0</v>
      </c>
      <c r="D1585" s="132">
        <f t="shared" si="187"/>
        <v>-250</v>
      </c>
      <c r="E1585" s="132"/>
      <c r="F1585" s="132"/>
      <c r="G1585" s="129"/>
      <c r="H1585" s="129"/>
      <c r="I1585" s="129"/>
      <c r="J1585" s="129"/>
      <c r="K1585" s="129"/>
      <c r="L1585" s="129"/>
      <c r="M1585" s="129"/>
      <c r="N1585" s="129"/>
      <c r="O1585" s="129"/>
      <c r="P1585" s="129"/>
      <c r="Q1585" s="129"/>
      <c r="R1585" s="129"/>
      <c r="S1585" s="129"/>
      <c r="T1585" s="129"/>
      <c r="U1585" s="129"/>
      <c r="V1585" s="129"/>
      <c r="W1585" s="129"/>
      <c r="X1585" s="129"/>
      <c r="Y1585" s="129"/>
      <c r="Z1585" s="129"/>
      <c r="AA1585" s="129"/>
      <c r="AB1585" s="129"/>
    </row>
    <row r="1586" hidden="1">
      <c r="A1586" s="128" t="s">
        <v>1161</v>
      </c>
      <c r="B1586" s="147">
        <v>250.0</v>
      </c>
      <c r="C1586" s="147">
        <v>0.0</v>
      </c>
      <c r="D1586" s="132">
        <f t="shared" si="187"/>
        <v>-250</v>
      </c>
      <c r="E1586" s="132"/>
      <c r="F1586" s="132"/>
      <c r="G1586" s="129"/>
      <c r="H1586" s="129"/>
      <c r="I1586" s="129"/>
      <c r="J1586" s="129"/>
      <c r="K1586" s="129"/>
      <c r="L1586" s="129"/>
      <c r="M1586" s="129"/>
      <c r="N1586" s="129"/>
      <c r="O1586" s="129"/>
      <c r="P1586" s="129"/>
      <c r="Q1586" s="129"/>
      <c r="R1586" s="129"/>
      <c r="S1586" s="129"/>
      <c r="T1586" s="129"/>
      <c r="U1586" s="129"/>
      <c r="V1586" s="129"/>
      <c r="W1586" s="129"/>
      <c r="X1586" s="129"/>
      <c r="Y1586" s="129"/>
      <c r="Z1586" s="129"/>
      <c r="AA1586" s="129"/>
      <c r="AB1586" s="129"/>
    </row>
    <row r="1587" hidden="1">
      <c r="A1587" s="128" t="s">
        <v>506</v>
      </c>
      <c r="B1587" s="147">
        <v>1490.0</v>
      </c>
      <c r="C1587" s="147">
        <v>2260.0</v>
      </c>
      <c r="D1587" s="132">
        <f t="shared" si="187"/>
        <v>770</v>
      </c>
      <c r="E1587" s="126" t="s">
        <v>123</v>
      </c>
      <c r="F1587" s="124"/>
    </row>
    <row r="1588" hidden="1">
      <c r="A1588" s="123" t="s">
        <v>1133</v>
      </c>
      <c r="B1588" s="124">
        <v>1690.0</v>
      </c>
      <c r="C1588" s="124">
        <v>2790.0</v>
      </c>
      <c r="D1588" s="125">
        <f t="shared" si="187"/>
        <v>1100</v>
      </c>
      <c r="E1588" s="126" t="s">
        <v>1134</v>
      </c>
      <c r="F1588" s="124"/>
    </row>
    <row r="1589" hidden="1">
      <c r="A1589" s="128" t="s">
        <v>1137</v>
      </c>
      <c r="B1589" s="124">
        <v>1690.0</v>
      </c>
      <c r="C1589" s="124">
        <v>2790.0</v>
      </c>
      <c r="D1589" s="125">
        <f t="shared" si="187"/>
        <v>1100</v>
      </c>
      <c r="E1589" s="126" t="s">
        <v>1134</v>
      </c>
      <c r="F1589" s="124"/>
    </row>
    <row r="1590" hidden="1">
      <c r="A1590" s="123" t="s">
        <v>1133</v>
      </c>
      <c r="B1590" s="124">
        <v>1690.0</v>
      </c>
      <c r="C1590" s="124">
        <v>2677.0</v>
      </c>
      <c r="D1590" s="125">
        <f t="shared" si="187"/>
        <v>987</v>
      </c>
      <c r="E1590" s="126" t="s">
        <v>1134</v>
      </c>
      <c r="F1590" s="124"/>
    </row>
    <row r="1591" hidden="1">
      <c r="A1591" s="123" t="s">
        <v>1133</v>
      </c>
      <c r="B1591" s="124">
        <v>1690.0</v>
      </c>
      <c r="C1591" s="124">
        <v>2677.0</v>
      </c>
      <c r="D1591" s="125">
        <f t="shared" si="187"/>
        <v>987</v>
      </c>
      <c r="E1591" s="126" t="s">
        <v>1134</v>
      </c>
      <c r="F1591" s="124"/>
    </row>
    <row r="1592" hidden="1">
      <c r="A1592" s="123" t="s">
        <v>1133</v>
      </c>
      <c r="B1592" s="124">
        <v>1690.0</v>
      </c>
      <c r="C1592" s="124">
        <v>2608.0</v>
      </c>
      <c r="D1592" s="125">
        <f t="shared" si="187"/>
        <v>918</v>
      </c>
      <c r="E1592" s="126" t="s">
        <v>1134</v>
      </c>
      <c r="F1592" s="124"/>
    </row>
    <row r="1593" hidden="1">
      <c r="A1593" s="128" t="s">
        <v>1136</v>
      </c>
      <c r="B1593" s="124">
        <v>1690.0</v>
      </c>
      <c r="C1593" s="124">
        <v>2614.0</v>
      </c>
      <c r="D1593" s="125">
        <f t="shared" si="187"/>
        <v>924</v>
      </c>
      <c r="E1593" s="126" t="s">
        <v>1134</v>
      </c>
      <c r="F1593" s="124"/>
    </row>
    <row r="1594" hidden="1">
      <c r="A1594" s="128" t="s">
        <v>1136</v>
      </c>
      <c r="B1594" s="124">
        <v>1690.0</v>
      </c>
      <c r="C1594" s="124">
        <v>2607.0</v>
      </c>
      <c r="D1594" s="125">
        <f t="shared" si="187"/>
        <v>917</v>
      </c>
      <c r="E1594" s="126" t="s">
        <v>1134</v>
      </c>
      <c r="F1594" s="124"/>
    </row>
    <row r="1595" hidden="1">
      <c r="A1595" s="128" t="s">
        <v>1136</v>
      </c>
      <c r="B1595" s="124">
        <v>1690.0</v>
      </c>
      <c r="C1595" s="124">
        <v>2608.0</v>
      </c>
      <c r="D1595" s="125">
        <f t="shared" si="187"/>
        <v>918</v>
      </c>
      <c r="E1595" s="126" t="s">
        <v>1134</v>
      </c>
      <c r="F1595" s="124"/>
    </row>
    <row r="1596" hidden="1">
      <c r="A1596" s="128" t="s">
        <v>1135</v>
      </c>
      <c r="B1596" s="124">
        <v>1690.0</v>
      </c>
      <c r="C1596" s="124">
        <v>2690.0</v>
      </c>
      <c r="D1596" s="125">
        <f t="shared" si="187"/>
        <v>1000</v>
      </c>
      <c r="E1596" s="126" t="s">
        <v>1134</v>
      </c>
      <c r="F1596" s="124"/>
    </row>
    <row r="1597" hidden="1">
      <c r="A1597" s="128" t="s">
        <v>1135</v>
      </c>
      <c r="B1597" s="124">
        <v>1690.0</v>
      </c>
      <c r="C1597" s="124">
        <v>2690.0</v>
      </c>
      <c r="D1597" s="125">
        <f t="shared" si="187"/>
        <v>1000</v>
      </c>
      <c r="E1597" s="126" t="s">
        <v>1134</v>
      </c>
      <c r="F1597" s="124"/>
    </row>
    <row r="1598" hidden="1">
      <c r="A1598" s="128"/>
      <c r="B1598" s="147"/>
      <c r="C1598" s="147"/>
      <c r="D1598" s="132"/>
      <c r="E1598" s="126"/>
      <c r="F1598" s="132"/>
      <c r="G1598" s="129"/>
      <c r="H1598" s="129"/>
      <c r="I1598" s="129"/>
      <c r="J1598" s="129"/>
      <c r="K1598" s="129"/>
      <c r="L1598" s="129"/>
      <c r="M1598" s="129"/>
      <c r="N1598" s="129"/>
      <c r="O1598" s="129"/>
      <c r="P1598" s="129"/>
      <c r="Q1598" s="129"/>
      <c r="R1598" s="129"/>
      <c r="S1598" s="129"/>
      <c r="T1598" s="129"/>
      <c r="U1598" s="129"/>
      <c r="V1598" s="129"/>
      <c r="W1598" s="129"/>
      <c r="X1598" s="129"/>
      <c r="Y1598" s="129"/>
      <c r="Z1598" s="129"/>
      <c r="AA1598" s="129"/>
      <c r="AB1598" s="129"/>
    </row>
    <row r="1599" hidden="1">
      <c r="A1599" s="122" t="s">
        <v>57</v>
      </c>
      <c r="B1599" s="133">
        <f t="shared" ref="B1599:D1599" si="188">SUM(B1566:B1598)</f>
        <v>55220</v>
      </c>
      <c r="C1599" s="133">
        <f t="shared" si="188"/>
        <v>67063</v>
      </c>
      <c r="D1599" s="133">
        <f t="shared" si="188"/>
        <v>11843</v>
      </c>
      <c r="E1599" s="135">
        <f>D1599/(C1599/100)</f>
        <v>17.65951419</v>
      </c>
    </row>
    <row r="1600" hidden="1">
      <c r="A1600" s="154"/>
      <c r="B1600" s="124"/>
      <c r="C1600" s="124"/>
      <c r="D1600" s="124"/>
    </row>
    <row r="1601" hidden="1">
      <c r="A1601" s="154">
        <v>45047.0</v>
      </c>
      <c r="B1601" s="124"/>
      <c r="C1601" s="124"/>
      <c r="D1601" s="124"/>
    </row>
    <row r="1602" hidden="1">
      <c r="A1602" s="250" t="s">
        <v>1162</v>
      </c>
      <c r="B1602" s="251">
        <v>1190.0</v>
      </c>
      <c r="C1602" s="251">
        <v>1440.0</v>
      </c>
      <c r="D1602" s="252">
        <f t="shared" ref="D1602:D1636" si="189">C1602-B1602</f>
        <v>250</v>
      </c>
      <c r="E1602" s="245" t="s">
        <v>1134</v>
      </c>
      <c r="F1602" s="251"/>
      <c r="G1602" s="253"/>
      <c r="H1602" s="253"/>
      <c r="I1602" s="253"/>
      <c r="J1602" s="253"/>
      <c r="K1602" s="253"/>
      <c r="L1602" s="253"/>
      <c r="M1602" s="253"/>
      <c r="N1602" s="253"/>
      <c r="O1602" s="253"/>
      <c r="P1602" s="253"/>
      <c r="Q1602" s="253"/>
      <c r="R1602" s="253"/>
      <c r="S1602" s="253"/>
      <c r="T1602" s="253"/>
      <c r="U1602" s="253"/>
      <c r="V1602" s="253"/>
      <c r="W1602" s="253"/>
      <c r="X1602" s="253"/>
      <c r="Y1602" s="253"/>
      <c r="Z1602" s="253"/>
      <c r="AA1602" s="253"/>
      <c r="AB1602" s="253"/>
    </row>
    <row r="1603" hidden="1">
      <c r="A1603" s="123" t="s">
        <v>1163</v>
      </c>
      <c r="B1603" s="124">
        <v>1190.0</v>
      </c>
      <c r="C1603" s="124">
        <v>1440.0</v>
      </c>
      <c r="D1603" s="125">
        <f t="shared" si="189"/>
        <v>250</v>
      </c>
      <c r="E1603" s="126" t="s">
        <v>1134</v>
      </c>
      <c r="F1603" s="124"/>
    </row>
    <row r="1604" hidden="1">
      <c r="A1604" s="150" t="s">
        <v>1136</v>
      </c>
      <c r="B1604" s="132">
        <v>1890.0</v>
      </c>
      <c r="C1604" s="147">
        <v>2635.0</v>
      </c>
      <c r="D1604" s="132">
        <f t="shared" si="189"/>
        <v>745</v>
      </c>
      <c r="E1604" s="132" t="s">
        <v>1134</v>
      </c>
      <c r="F1604" s="139"/>
      <c r="G1604" s="129"/>
      <c r="H1604" s="129"/>
      <c r="I1604" s="129"/>
      <c r="J1604" s="129"/>
      <c r="K1604" s="129"/>
      <c r="L1604" s="129"/>
      <c r="M1604" s="129"/>
      <c r="N1604" s="129"/>
      <c r="O1604" s="129"/>
      <c r="P1604" s="129"/>
      <c r="Q1604" s="129"/>
      <c r="R1604" s="129"/>
      <c r="S1604" s="129"/>
      <c r="T1604" s="129"/>
      <c r="U1604" s="129"/>
      <c r="V1604" s="129"/>
      <c r="W1604" s="129"/>
      <c r="X1604" s="129"/>
      <c r="Y1604" s="129"/>
      <c r="Z1604" s="129"/>
      <c r="AA1604" s="129"/>
      <c r="AB1604" s="129"/>
    </row>
    <row r="1605" hidden="1">
      <c r="A1605" s="123" t="s">
        <v>1133</v>
      </c>
      <c r="B1605" s="124">
        <v>1890.0</v>
      </c>
      <c r="C1605" s="124">
        <v>2790.0</v>
      </c>
      <c r="D1605" s="125">
        <f t="shared" si="189"/>
        <v>900</v>
      </c>
      <c r="E1605" s="126" t="s">
        <v>1134</v>
      </c>
      <c r="F1605" s="124"/>
    </row>
    <row r="1606" hidden="1">
      <c r="A1606" s="128" t="s">
        <v>1136</v>
      </c>
      <c r="B1606" s="124">
        <v>1890.0</v>
      </c>
      <c r="C1606" s="124">
        <v>2677.0</v>
      </c>
      <c r="D1606" s="125">
        <f t="shared" si="189"/>
        <v>787</v>
      </c>
      <c r="E1606" s="126" t="s">
        <v>1134</v>
      </c>
      <c r="F1606" s="124"/>
    </row>
    <row r="1607" hidden="1">
      <c r="A1607" s="128" t="s">
        <v>1136</v>
      </c>
      <c r="B1607" s="124">
        <v>1890.0</v>
      </c>
      <c r="C1607" s="124">
        <v>2617.0</v>
      </c>
      <c r="D1607" s="125">
        <f t="shared" si="189"/>
        <v>727</v>
      </c>
      <c r="E1607" s="126" t="s">
        <v>1134</v>
      </c>
      <c r="F1607" s="124"/>
    </row>
    <row r="1608" hidden="1">
      <c r="A1608" s="128" t="s">
        <v>1137</v>
      </c>
      <c r="B1608" s="124">
        <v>1890.0</v>
      </c>
      <c r="C1608" s="124">
        <v>2687.0</v>
      </c>
      <c r="D1608" s="125">
        <f t="shared" si="189"/>
        <v>797</v>
      </c>
      <c r="E1608" s="126" t="s">
        <v>1134</v>
      </c>
      <c r="F1608" s="124"/>
    </row>
    <row r="1609" hidden="1">
      <c r="A1609" s="123" t="s">
        <v>1133</v>
      </c>
      <c r="B1609" s="124">
        <v>1890.0</v>
      </c>
      <c r="C1609" s="124">
        <v>2667.0</v>
      </c>
      <c r="D1609" s="125">
        <f t="shared" si="189"/>
        <v>777</v>
      </c>
      <c r="E1609" s="126" t="s">
        <v>1134</v>
      </c>
      <c r="F1609" s="124"/>
    </row>
    <row r="1610" hidden="1">
      <c r="A1610" s="128" t="s">
        <v>1136</v>
      </c>
      <c r="B1610" s="124">
        <v>1890.0</v>
      </c>
      <c r="C1610" s="124">
        <v>2722.0</v>
      </c>
      <c r="D1610" s="125">
        <f t="shared" si="189"/>
        <v>832</v>
      </c>
      <c r="E1610" s="126" t="s">
        <v>1134</v>
      </c>
      <c r="F1610" s="124"/>
    </row>
    <row r="1611" hidden="1">
      <c r="A1611" s="123" t="s">
        <v>1133</v>
      </c>
      <c r="B1611" s="124">
        <v>1890.0</v>
      </c>
      <c r="C1611" s="124">
        <v>2732.0</v>
      </c>
      <c r="D1611" s="125">
        <f t="shared" si="189"/>
        <v>842</v>
      </c>
      <c r="E1611" s="126" t="s">
        <v>1134</v>
      </c>
      <c r="F1611" s="124"/>
    </row>
    <row r="1612" hidden="1">
      <c r="A1612" s="128" t="s">
        <v>1137</v>
      </c>
      <c r="B1612" s="124">
        <v>1890.0</v>
      </c>
      <c r="C1612" s="124">
        <v>2743.0</v>
      </c>
      <c r="D1612" s="125">
        <f t="shared" si="189"/>
        <v>853</v>
      </c>
      <c r="E1612" s="126" t="s">
        <v>1134</v>
      </c>
      <c r="F1612" s="124"/>
    </row>
    <row r="1613" hidden="1">
      <c r="A1613" s="123" t="s">
        <v>1164</v>
      </c>
      <c r="B1613" s="124">
        <v>2990.0</v>
      </c>
      <c r="C1613" s="124">
        <v>15000.0</v>
      </c>
      <c r="D1613" s="125">
        <f t="shared" si="189"/>
        <v>12010</v>
      </c>
      <c r="E1613" s="126"/>
      <c r="F1613" s="124"/>
    </row>
    <row r="1614" hidden="1">
      <c r="A1614" s="128" t="s">
        <v>1165</v>
      </c>
      <c r="B1614" s="147">
        <v>2490.0</v>
      </c>
      <c r="C1614" s="147">
        <v>0.0</v>
      </c>
      <c r="D1614" s="132">
        <f t="shared" si="189"/>
        <v>-2490</v>
      </c>
      <c r="E1614" s="126"/>
      <c r="F1614" s="214"/>
      <c r="G1614" s="134"/>
      <c r="H1614" s="134"/>
      <c r="I1614" s="134"/>
      <c r="J1614" s="134"/>
      <c r="K1614" s="134"/>
      <c r="L1614" s="134"/>
      <c r="M1614" s="134"/>
      <c r="N1614" s="134"/>
      <c r="O1614" s="134"/>
      <c r="P1614" s="134"/>
      <c r="Q1614" s="134"/>
      <c r="R1614" s="134"/>
      <c r="S1614" s="134"/>
      <c r="T1614" s="134"/>
      <c r="U1614" s="134"/>
      <c r="V1614" s="134"/>
      <c r="W1614" s="134"/>
      <c r="X1614" s="134"/>
      <c r="Y1614" s="134"/>
      <c r="Z1614" s="134"/>
      <c r="AA1614" s="134"/>
      <c r="AB1614" s="134"/>
    </row>
    <row r="1615" hidden="1">
      <c r="A1615" s="128" t="s">
        <v>1166</v>
      </c>
      <c r="B1615" s="210">
        <v>2490.0</v>
      </c>
      <c r="C1615" s="210">
        <v>0.0</v>
      </c>
      <c r="D1615" s="208">
        <f t="shared" si="189"/>
        <v>-2490</v>
      </c>
      <c r="E1615" s="139"/>
      <c r="F1615" s="139"/>
      <c r="G1615" s="129"/>
      <c r="H1615" s="129"/>
      <c r="I1615" s="129"/>
      <c r="J1615" s="129"/>
      <c r="K1615" s="129"/>
      <c r="L1615" s="129"/>
      <c r="M1615" s="129"/>
      <c r="N1615" s="129"/>
      <c r="O1615" s="129"/>
      <c r="P1615" s="129"/>
      <c r="Q1615" s="129"/>
      <c r="R1615" s="129"/>
      <c r="S1615" s="129"/>
      <c r="T1615" s="129"/>
      <c r="U1615" s="129"/>
      <c r="V1615" s="129"/>
      <c r="W1615" s="129"/>
      <c r="X1615" s="129"/>
      <c r="Y1615" s="129"/>
      <c r="Z1615" s="129"/>
      <c r="AA1615" s="129"/>
      <c r="AB1615" s="129"/>
    </row>
    <row r="1616" hidden="1">
      <c r="A1616" s="123" t="s">
        <v>1167</v>
      </c>
      <c r="B1616" s="124">
        <v>2490.0</v>
      </c>
      <c r="C1616" s="124">
        <v>0.0</v>
      </c>
      <c r="D1616" s="125">
        <f t="shared" si="189"/>
        <v>-2490</v>
      </c>
    </row>
    <row r="1617" hidden="1">
      <c r="A1617" s="123" t="s">
        <v>1168</v>
      </c>
      <c r="B1617" s="124">
        <v>2490.0</v>
      </c>
      <c r="C1617" s="124">
        <v>0.0</v>
      </c>
      <c r="D1617" s="132">
        <f t="shared" si="189"/>
        <v>-2490</v>
      </c>
      <c r="E1617" s="134"/>
      <c r="F1617" s="134"/>
      <c r="G1617" s="134"/>
      <c r="H1617" s="134"/>
      <c r="I1617" s="134"/>
      <c r="J1617" s="134"/>
      <c r="K1617" s="134"/>
      <c r="L1617" s="134"/>
      <c r="M1617" s="134"/>
      <c r="N1617" s="134"/>
      <c r="O1617" s="134"/>
      <c r="P1617" s="134"/>
      <c r="Q1617" s="134"/>
      <c r="R1617" s="134"/>
      <c r="S1617" s="134"/>
      <c r="T1617" s="134"/>
      <c r="U1617" s="134"/>
      <c r="V1617" s="134"/>
      <c r="W1617" s="134"/>
      <c r="X1617" s="134"/>
      <c r="Y1617" s="134"/>
      <c r="Z1617" s="134"/>
      <c r="AA1617" s="134"/>
      <c r="AB1617" s="134"/>
    </row>
    <row r="1618" hidden="1">
      <c r="A1618" s="128" t="s">
        <v>1169</v>
      </c>
      <c r="B1618" s="124">
        <v>2490.0</v>
      </c>
      <c r="C1618" s="124">
        <v>0.0</v>
      </c>
      <c r="D1618" s="132">
        <f t="shared" si="189"/>
        <v>-2490</v>
      </c>
      <c r="E1618" s="212"/>
      <c r="F1618" s="212"/>
      <c r="G1618" s="213"/>
      <c r="H1618" s="213"/>
      <c r="I1618" s="213"/>
      <c r="J1618" s="213"/>
      <c r="K1618" s="213"/>
      <c r="L1618" s="213"/>
      <c r="M1618" s="213"/>
      <c r="N1618" s="213"/>
      <c r="O1618" s="213"/>
      <c r="P1618" s="213"/>
      <c r="Q1618" s="213"/>
      <c r="R1618" s="213"/>
      <c r="S1618" s="213"/>
      <c r="T1618" s="213"/>
      <c r="U1618" s="213"/>
      <c r="V1618" s="213"/>
      <c r="W1618" s="213"/>
      <c r="X1618" s="213"/>
      <c r="Y1618" s="213"/>
      <c r="Z1618" s="213"/>
      <c r="AA1618" s="213"/>
      <c r="AB1618" s="213"/>
    </row>
    <row r="1619" hidden="1">
      <c r="A1619" s="128" t="s">
        <v>1170</v>
      </c>
      <c r="B1619" s="147">
        <v>1490.0</v>
      </c>
      <c r="C1619" s="147">
        <v>0.0</v>
      </c>
      <c r="D1619" s="132">
        <f t="shared" si="189"/>
        <v>-1490</v>
      </c>
      <c r="E1619" s="139"/>
      <c r="F1619" s="139"/>
      <c r="G1619" s="129"/>
      <c r="H1619" s="129"/>
      <c r="I1619" s="129"/>
      <c r="J1619" s="129"/>
      <c r="K1619" s="129"/>
      <c r="L1619" s="129"/>
      <c r="M1619" s="129"/>
      <c r="N1619" s="129"/>
      <c r="O1619" s="129"/>
      <c r="P1619" s="129"/>
      <c r="Q1619" s="129"/>
      <c r="R1619" s="129"/>
      <c r="S1619" s="129"/>
      <c r="T1619" s="129"/>
      <c r="U1619" s="129"/>
      <c r="V1619" s="129"/>
      <c r="W1619" s="129"/>
      <c r="X1619" s="129"/>
      <c r="Y1619" s="129"/>
      <c r="Z1619" s="129"/>
      <c r="AA1619" s="129"/>
      <c r="AB1619" s="129"/>
    </row>
    <row r="1620" hidden="1">
      <c r="A1620" s="128" t="s">
        <v>1171</v>
      </c>
      <c r="B1620" s="207">
        <v>1290.0</v>
      </c>
      <c r="C1620" s="207">
        <v>0.0</v>
      </c>
      <c r="D1620" s="208">
        <f t="shared" si="189"/>
        <v>-1290</v>
      </c>
      <c r="E1620" s="147"/>
      <c r="F1620" s="139"/>
      <c r="G1620" s="129"/>
      <c r="H1620" s="129"/>
      <c r="I1620" s="129"/>
      <c r="J1620" s="129"/>
      <c r="K1620" s="129"/>
      <c r="L1620" s="129"/>
      <c r="M1620" s="129"/>
      <c r="N1620" s="129"/>
      <c r="O1620" s="129"/>
      <c r="P1620" s="129"/>
      <c r="Q1620" s="129"/>
      <c r="R1620" s="129"/>
      <c r="S1620" s="129"/>
      <c r="T1620" s="129"/>
      <c r="U1620" s="129"/>
      <c r="V1620" s="129"/>
      <c r="W1620" s="129"/>
      <c r="X1620" s="129"/>
      <c r="Y1620" s="129"/>
      <c r="Z1620" s="129"/>
      <c r="AA1620" s="129"/>
      <c r="AB1620" s="129"/>
    </row>
    <row r="1621" hidden="1">
      <c r="A1621" s="128" t="s">
        <v>1172</v>
      </c>
      <c r="B1621" s="210">
        <v>790.0</v>
      </c>
      <c r="C1621" s="210">
        <v>0.0</v>
      </c>
      <c r="D1621" s="208">
        <f t="shared" si="189"/>
        <v>-790</v>
      </c>
      <c r="E1621" s="147"/>
      <c r="F1621" s="139"/>
      <c r="G1621" s="129"/>
      <c r="H1621" s="129"/>
      <c r="I1621" s="129"/>
      <c r="J1621" s="129"/>
      <c r="K1621" s="129"/>
      <c r="L1621" s="129"/>
      <c r="M1621" s="129"/>
      <c r="N1621" s="129"/>
      <c r="O1621" s="129"/>
      <c r="P1621" s="129"/>
      <c r="Q1621" s="129"/>
      <c r="R1621" s="129"/>
      <c r="S1621" s="129"/>
      <c r="T1621" s="129"/>
      <c r="U1621" s="129"/>
      <c r="V1621" s="129"/>
      <c r="W1621" s="129"/>
      <c r="X1621" s="129"/>
      <c r="Y1621" s="129"/>
      <c r="Z1621" s="129"/>
      <c r="AA1621" s="129"/>
      <c r="AB1621" s="129"/>
    </row>
    <row r="1622" hidden="1">
      <c r="A1622" s="128" t="s">
        <v>1173</v>
      </c>
      <c r="B1622" s="210">
        <v>790.0</v>
      </c>
      <c r="C1622" s="210">
        <v>0.0</v>
      </c>
      <c r="D1622" s="208">
        <f t="shared" si="189"/>
        <v>-790</v>
      </c>
      <c r="E1622" s="139"/>
      <c r="F1622" s="139"/>
      <c r="G1622" s="129"/>
      <c r="H1622" s="129"/>
      <c r="I1622" s="129"/>
      <c r="J1622" s="129"/>
      <c r="K1622" s="129"/>
      <c r="L1622" s="129"/>
      <c r="M1622" s="129"/>
      <c r="N1622" s="129"/>
      <c r="O1622" s="129"/>
      <c r="P1622" s="129"/>
      <c r="Q1622" s="129"/>
      <c r="R1622" s="129"/>
      <c r="S1622" s="129"/>
      <c r="T1622" s="129"/>
      <c r="U1622" s="129"/>
      <c r="V1622" s="129"/>
      <c r="W1622" s="129"/>
      <c r="X1622" s="129"/>
      <c r="Y1622" s="129"/>
      <c r="Z1622" s="129"/>
      <c r="AA1622" s="129"/>
      <c r="AB1622" s="129"/>
    </row>
    <row r="1623" hidden="1">
      <c r="A1623" s="123" t="s">
        <v>1174</v>
      </c>
      <c r="B1623" s="210">
        <v>790.0</v>
      </c>
      <c r="C1623" s="210">
        <v>0.0</v>
      </c>
      <c r="D1623" s="209">
        <f t="shared" si="189"/>
        <v>-790</v>
      </c>
      <c r="E1623" s="124"/>
      <c r="F1623" s="124"/>
    </row>
    <row r="1624" hidden="1">
      <c r="A1624" s="123" t="s">
        <v>1175</v>
      </c>
      <c r="B1624" s="210">
        <v>790.0</v>
      </c>
      <c r="C1624" s="210">
        <v>0.0</v>
      </c>
      <c r="D1624" s="209">
        <f t="shared" si="189"/>
        <v>-790</v>
      </c>
      <c r="E1624" s="124"/>
      <c r="F1624" s="124"/>
    </row>
    <row r="1625" hidden="1">
      <c r="A1625" s="128" t="s">
        <v>1176</v>
      </c>
      <c r="B1625" s="147">
        <v>1390.0</v>
      </c>
      <c r="C1625" s="147">
        <v>2819.0</v>
      </c>
      <c r="D1625" s="132">
        <f t="shared" si="189"/>
        <v>1429</v>
      </c>
      <c r="E1625" s="147" t="s">
        <v>120</v>
      </c>
      <c r="F1625" s="127"/>
      <c r="G1625" s="150"/>
      <c r="H1625" s="129"/>
      <c r="I1625" s="129"/>
      <c r="J1625" s="129"/>
      <c r="K1625" s="129"/>
      <c r="L1625" s="129"/>
      <c r="M1625" s="129"/>
      <c r="N1625" s="129"/>
      <c r="O1625" s="129"/>
      <c r="P1625" s="129"/>
      <c r="Q1625" s="129"/>
      <c r="R1625" s="129"/>
      <c r="S1625" s="129"/>
      <c r="T1625" s="129"/>
      <c r="U1625" s="129"/>
      <c r="V1625" s="129"/>
      <c r="W1625" s="129"/>
      <c r="X1625" s="129"/>
      <c r="Y1625" s="129"/>
      <c r="Z1625" s="129"/>
      <c r="AA1625" s="129"/>
      <c r="AB1625" s="129"/>
    </row>
    <row r="1626" hidden="1">
      <c r="A1626" s="128" t="s">
        <v>1176</v>
      </c>
      <c r="B1626" s="147">
        <v>1390.0</v>
      </c>
      <c r="C1626" s="147">
        <v>0.0</v>
      </c>
      <c r="D1626" s="132">
        <f t="shared" si="189"/>
        <v>-1390</v>
      </c>
      <c r="E1626" s="147" t="s">
        <v>120</v>
      </c>
      <c r="F1626" s="127"/>
      <c r="G1626" s="150"/>
      <c r="H1626" s="129"/>
      <c r="I1626" s="129"/>
      <c r="J1626" s="129"/>
      <c r="K1626" s="129"/>
      <c r="L1626" s="129"/>
      <c r="M1626" s="129"/>
      <c r="N1626" s="129"/>
      <c r="O1626" s="129"/>
      <c r="P1626" s="129"/>
      <c r="Q1626" s="129"/>
      <c r="R1626" s="129"/>
      <c r="S1626" s="129"/>
      <c r="T1626" s="129"/>
      <c r="U1626" s="129"/>
      <c r="V1626" s="129"/>
      <c r="W1626" s="129"/>
      <c r="X1626" s="129"/>
      <c r="Y1626" s="129"/>
      <c r="Z1626" s="129"/>
      <c r="AA1626" s="129"/>
      <c r="AB1626" s="129"/>
    </row>
    <row r="1627" hidden="1">
      <c r="A1627" s="128" t="s">
        <v>1176</v>
      </c>
      <c r="B1627" s="147">
        <v>1390.0</v>
      </c>
      <c r="C1627" s="147">
        <v>1443.0</v>
      </c>
      <c r="D1627" s="132">
        <f t="shared" si="189"/>
        <v>53</v>
      </c>
      <c r="E1627" s="147" t="s">
        <v>120</v>
      </c>
      <c r="F1627" s="127"/>
      <c r="G1627" s="150"/>
      <c r="H1627" s="129"/>
      <c r="I1627" s="129"/>
      <c r="J1627" s="129"/>
      <c r="K1627" s="129"/>
      <c r="L1627" s="129"/>
      <c r="M1627" s="129"/>
      <c r="N1627" s="129"/>
      <c r="O1627" s="129"/>
      <c r="P1627" s="129"/>
      <c r="Q1627" s="129"/>
      <c r="R1627" s="129"/>
      <c r="S1627" s="129"/>
      <c r="T1627" s="129"/>
      <c r="U1627" s="129"/>
      <c r="V1627" s="129"/>
      <c r="W1627" s="129"/>
      <c r="X1627" s="129"/>
      <c r="Y1627" s="129"/>
      <c r="Z1627" s="129"/>
      <c r="AA1627" s="129"/>
      <c r="AB1627" s="129"/>
    </row>
    <row r="1628" hidden="1">
      <c r="A1628" s="123" t="s">
        <v>1177</v>
      </c>
      <c r="B1628" s="147">
        <v>1490.0</v>
      </c>
      <c r="C1628" s="124">
        <v>1536.0</v>
      </c>
      <c r="D1628" s="125">
        <f t="shared" si="189"/>
        <v>46</v>
      </c>
      <c r="E1628" s="126" t="s">
        <v>123</v>
      </c>
      <c r="F1628" s="124"/>
    </row>
    <row r="1629" hidden="1">
      <c r="A1629" s="123" t="s">
        <v>1178</v>
      </c>
      <c r="B1629" s="124">
        <v>1190.0</v>
      </c>
      <c r="C1629" s="124">
        <v>1890.0</v>
      </c>
      <c r="D1629" s="125">
        <f t="shared" si="189"/>
        <v>700</v>
      </c>
      <c r="E1629" s="126" t="s">
        <v>1134</v>
      </c>
      <c r="F1629" s="124"/>
    </row>
    <row r="1630" hidden="1">
      <c r="A1630" s="123" t="s">
        <v>1133</v>
      </c>
      <c r="B1630" s="124">
        <v>1790.0</v>
      </c>
      <c r="C1630" s="124">
        <v>2823.0</v>
      </c>
      <c r="D1630" s="125">
        <f t="shared" si="189"/>
        <v>1033</v>
      </c>
      <c r="E1630" s="126" t="s">
        <v>1134</v>
      </c>
      <c r="F1630" s="124"/>
    </row>
    <row r="1631" hidden="1">
      <c r="A1631" s="128" t="s">
        <v>1179</v>
      </c>
      <c r="B1631" s="147">
        <v>1390.0</v>
      </c>
      <c r="C1631" s="147">
        <v>1410.0</v>
      </c>
      <c r="D1631" s="132">
        <f t="shared" si="189"/>
        <v>20</v>
      </c>
      <c r="E1631" s="147" t="s">
        <v>120</v>
      </c>
      <c r="F1631" s="127"/>
      <c r="G1631" s="150"/>
      <c r="H1631" s="129"/>
      <c r="I1631" s="129"/>
      <c r="J1631" s="129"/>
      <c r="K1631" s="129"/>
      <c r="L1631" s="129"/>
      <c r="M1631" s="129"/>
      <c r="N1631" s="129"/>
      <c r="O1631" s="129"/>
      <c r="P1631" s="129"/>
      <c r="Q1631" s="129"/>
      <c r="R1631" s="129"/>
      <c r="S1631" s="129"/>
      <c r="T1631" s="129"/>
      <c r="U1631" s="129"/>
      <c r="V1631" s="129"/>
      <c r="W1631" s="129"/>
      <c r="X1631" s="129"/>
      <c r="Y1631" s="129"/>
      <c r="Z1631" s="129"/>
      <c r="AA1631" s="129"/>
      <c r="AB1631" s="129"/>
    </row>
    <row r="1632" hidden="1">
      <c r="A1632" s="128" t="s">
        <v>1180</v>
      </c>
      <c r="B1632" s="147">
        <v>1390.0</v>
      </c>
      <c r="C1632" s="147">
        <v>1410.0</v>
      </c>
      <c r="D1632" s="132">
        <f t="shared" si="189"/>
        <v>20</v>
      </c>
      <c r="E1632" s="132" t="s">
        <v>123</v>
      </c>
      <c r="F1632" s="124"/>
      <c r="G1632" s="123"/>
    </row>
    <row r="1633" hidden="1">
      <c r="A1633" s="123" t="s">
        <v>1133</v>
      </c>
      <c r="B1633" s="124">
        <v>2390.0</v>
      </c>
      <c r="C1633" s="124">
        <v>2651.0</v>
      </c>
      <c r="D1633" s="125">
        <f t="shared" si="189"/>
        <v>261</v>
      </c>
      <c r="E1633" s="126" t="s">
        <v>1134</v>
      </c>
      <c r="F1633" s="124"/>
    </row>
    <row r="1634" hidden="1">
      <c r="A1634" s="128" t="s">
        <v>1180</v>
      </c>
      <c r="B1634" s="147">
        <v>1390.0</v>
      </c>
      <c r="C1634" s="147">
        <v>1410.0</v>
      </c>
      <c r="D1634" s="132">
        <f t="shared" si="189"/>
        <v>20</v>
      </c>
      <c r="E1634" s="132" t="s">
        <v>123</v>
      </c>
      <c r="F1634" s="124"/>
      <c r="G1634" s="123"/>
    </row>
    <row r="1635" hidden="1">
      <c r="A1635" s="128" t="s">
        <v>1181</v>
      </c>
      <c r="B1635" s="147">
        <v>990.0</v>
      </c>
      <c r="C1635" s="147">
        <v>1390.0</v>
      </c>
      <c r="D1635" s="132">
        <f t="shared" si="189"/>
        <v>400</v>
      </c>
      <c r="E1635" s="147" t="s">
        <v>1134</v>
      </c>
      <c r="F1635" s="139"/>
      <c r="G1635" s="129"/>
      <c r="H1635" s="129"/>
      <c r="I1635" s="129"/>
      <c r="J1635" s="129"/>
      <c r="K1635" s="129"/>
      <c r="L1635" s="129"/>
      <c r="M1635" s="129"/>
      <c r="N1635" s="129"/>
      <c r="O1635" s="129"/>
      <c r="P1635" s="129"/>
      <c r="Q1635" s="129"/>
      <c r="R1635" s="129"/>
      <c r="S1635" s="129"/>
      <c r="T1635" s="129"/>
      <c r="U1635" s="129"/>
      <c r="V1635" s="129"/>
      <c r="W1635" s="129"/>
      <c r="X1635" s="129"/>
      <c r="Y1635" s="129"/>
      <c r="Z1635" s="129"/>
      <c r="AA1635" s="129"/>
      <c r="AB1635" s="129"/>
    </row>
    <row r="1636" hidden="1">
      <c r="A1636" s="128" t="s">
        <v>1135</v>
      </c>
      <c r="B1636" s="147">
        <v>2390.0</v>
      </c>
      <c r="C1636" s="147">
        <v>2890.0</v>
      </c>
      <c r="D1636" s="132">
        <f t="shared" si="189"/>
        <v>500</v>
      </c>
      <c r="E1636" s="147" t="s">
        <v>1134</v>
      </c>
      <c r="F1636" s="139"/>
      <c r="G1636" s="129"/>
      <c r="H1636" s="129"/>
      <c r="I1636" s="129"/>
      <c r="J1636" s="129"/>
      <c r="K1636" s="129"/>
      <c r="L1636" s="129"/>
      <c r="M1636" s="129"/>
      <c r="N1636" s="129"/>
      <c r="O1636" s="129"/>
      <c r="P1636" s="129"/>
      <c r="Q1636" s="129"/>
      <c r="R1636" s="129"/>
      <c r="S1636" s="129"/>
      <c r="T1636" s="129"/>
      <c r="U1636" s="129"/>
      <c r="V1636" s="129"/>
      <c r="W1636" s="129"/>
      <c r="X1636" s="129"/>
      <c r="Y1636" s="129"/>
      <c r="Z1636" s="129"/>
      <c r="AA1636" s="129"/>
      <c r="AB1636" s="129"/>
    </row>
    <row r="1637" hidden="1">
      <c r="B1637" s="147"/>
      <c r="C1637" s="124"/>
      <c r="E1637" s="126"/>
      <c r="F1637" s="147"/>
    </row>
    <row r="1638" hidden="1">
      <c r="A1638" s="122" t="s">
        <v>57</v>
      </c>
      <c r="B1638" s="133">
        <f t="shared" ref="B1638:D1638" si="190">SUM(B1601:B1637)</f>
        <v>59350</v>
      </c>
      <c r="C1638" s="133">
        <f t="shared" si="190"/>
        <v>63822</v>
      </c>
      <c r="D1638" s="133">
        <f t="shared" si="190"/>
        <v>4472</v>
      </c>
      <c r="E1638" s="135">
        <f>D1638/(C1638/100)</f>
        <v>7.006988186</v>
      </c>
    </row>
    <row r="1639" hidden="1">
      <c r="A1639" s="154"/>
      <c r="B1639" s="124"/>
      <c r="C1639" s="124"/>
      <c r="D1639" s="124"/>
    </row>
    <row r="1640" hidden="1">
      <c r="A1640" s="154">
        <v>45017.0</v>
      </c>
      <c r="B1640" s="124"/>
      <c r="C1640" s="124"/>
      <c r="D1640" s="124"/>
    </row>
    <row r="1641" hidden="1">
      <c r="A1641" s="128" t="s">
        <v>1178</v>
      </c>
      <c r="B1641" s="147">
        <v>1290.0</v>
      </c>
      <c r="C1641" s="147">
        <v>1890.0</v>
      </c>
      <c r="D1641" s="132">
        <f t="shared" ref="D1641:D1645" si="191">C1641-B1641</f>
        <v>600</v>
      </c>
      <c r="E1641" s="147" t="s">
        <v>1134</v>
      </c>
      <c r="F1641" s="139"/>
      <c r="G1641" s="129"/>
      <c r="H1641" s="129"/>
      <c r="I1641" s="129"/>
      <c r="J1641" s="129"/>
      <c r="K1641" s="129"/>
      <c r="L1641" s="129"/>
      <c r="M1641" s="129"/>
      <c r="N1641" s="129"/>
      <c r="O1641" s="129"/>
      <c r="P1641" s="129"/>
      <c r="Q1641" s="129"/>
      <c r="R1641" s="129"/>
      <c r="S1641" s="129"/>
      <c r="T1641" s="129"/>
      <c r="U1641" s="129"/>
      <c r="V1641" s="129"/>
      <c r="W1641" s="129"/>
      <c r="X1641" s="129"/>
      <c r="Y1641" s="129"/>
      <c r="Z1641" s="129"/>
      <c r="AA1641" s="129"/>
      <c r="AB1641" s="129"/>
    </row>
    <row r="1642" hidden="1">
      <c r="A1642" s="142" t="s">
        <v>1182</v>
      </c>
      <c r="B1642" s="124">
        <v>1190.0</v>
      </c>
      <c r="C1642" s="147">
        <v>1303.0</v>
      </c>
      <c r="D1642" s="132">
        <f t="shared" si="191"/>
        <v>113</v>
      </c>
      <c r="E1642" s="132" t="s">
        <v>123</v>
      </c>
      <c r="F1642" s="139"/>
      <c r="G1642" s="129"/>
      <c r="H1642" s="129"/>
      <c r="I1642" s="129"/>
      <c r="J1642" s="129"/>
      <c r="K1642" s="129"/>
      <c r="L1642" s="129"/>
      <c r="M1642" s="129"/>
      <c r="N1642" s="129"/>
      <c r="O1642" s="129"/>
      <c r="P1642" s="129"/>
      <c r="Q1642" s="129"/>
      <c r="R1642" s="129"/>
      <c r="S1642" s="129"/>
      <c r="T1642" s="129"/>
      <c r="U1642" s="129"/>
      <c r="V1642" s="129"/>
      <c r="W1642" s="129"/>
      <c r="X1642" s="129"/>
      <c r="Y1642" s="129"/>
      <c r="Z1642" s="129"/>
      <c r="AA1642" s="129"/>
      <c r="AB1642" s="129"/>
    </row>
    <row r="1643" hidden="1">
      <c r="A1643" s="123" t="s">
        <v>1163</v>
      </c>
      <c r="B1643" s="124">
        <v>1290.0</v>
      </c>
      <c r="C1643" s="124">
        <v>1890.0</v>
      </c>
      <c r="D1643" s="125">
        <f t="shared" si="191"/>
        <v>600</v>
      </c>
      <c r="E1643" s="126" t="s">
        <v>1134</v>
      </c>
      <c r="F1643" s="124"/>
    </row>
    <row r="1644" hidden="1">
      <c r="A1644" s="123" t="s">
        <v>1163</v>
      </c>
      <c r="B1644" s="124">
        <v>1190.0</v>
      </c>
      <c r="C1644" s="124">
        <v>1190.0</v>
      </c>
      <c r="D1644" s="125">
        <f t="shared" si="191"/>
        <v>0</v>
      </c>
      <c r="E1644" s="126" t="s">
        <v>1134</v>
      </c>
      <c r="F1644" s="124"/>
    </row>
    <row r="1645" hidden="1">
      <c r="A1645" s="128" t="s">
        <v>1183</v>
      </c>
      <c r="B1645" s="147">
        <v>10900.0</v>
      </c>
      <c r="C1645" s="124">
        <v>9817.0</v>
      </c>
      <c r="D1645" s="132">
        <f t="shared" si="191"/>
        <v>-1083</v>
      </c>
      <c r="E1645" s="130" t="s">
        <v>1184</v>
      </c>
    </row>
    <row r="1646" hidden="1">
      <c r="A1646" s="122"/>
      <c r="B1646" s="134"/>
      <c r="C1646" s="134"/>
      <c r="D1646" s="134"/>
      <c r="E1646" s="135"/>
    </row>
    <row r="1647" hidden="1">
      <c r="A1647" s="122" t="s">
        <v>57</v>
      </c>
      <c r="B1647" s="133">
        <f t="shared" ref="B1647:D1647" si="192">SUM(B1640:B1646)</f>
        <v>15860</v>
      </c>
      <c r="C1647" s="133">
        <f t="shared" si="192"/>
        <v>16090</v>
      </c>
      <c r="D1647" s="133">
        <f t="shared" si="192"/>
        <v>230</v>
      </c>
      <c r="E1647" s="135">
        <f>D1647/(C1647/100)</f>
        <v>1.429459291</v>
      </c>
    </row>
    <row r="1648" hidden="1">
      <c r="A1648" s="154"/>
      <c r="B1648" s="124"/>
      <c r="C1648" s="124"/>
      <c r="D1648" s="124"/>
    </row>
    <row r="1649" hidden="1">
      <c r="A1649" s="154">
        <v>44986.0</v>
      </c>
      <c r="B1649" s="124"/>
      <c r="C1649" s="124"/>
      <c r="D1649" s="124"/>
    </row>
    <row r="1650" hidden="1">
      <c r="A1650" s="128" t="s">
        <v>1185</v>
      </c>
      <c r="B1650" s="147">
        <v>1290.0</v>
      </c>
      <c r="C1650" s="147">
        <v>10000.0</v>
      </c>
      <c r="D1650" s="132">
        <f t="shared" ref="D1650:D1666" si="193">C1650-B1650</f>
        <v>8710</v>
      </c>
      <c r="E1650" s="132" t="s">
        <v>123</v>
      </c>
      <c r="F1650" s="139"/>
      <c r="G1650" s="150"/>
      <c r="H1650" s="129"/>
      <c r="I1650" s="129"/>
      <c r="J1650" s="129"/>
      <c r="K1650" s="129"/>
      <c r="L1650" s="129"/>
      <c r="M1650" s="129"/>
      <c r="N1650" s="129"/>
      <c r="O1650" s="129"/>
      <c r="P1650" s="129"/>
      <c r="Q1650" s="129"/>
      <c r="R1650" s="129"/>
      <c r="S1650" s="129"/>
      <c r="T1650" s="129"/>
      <c r="U1650" s="129"/>
      <c r="V1650" s="129"/>
      <c r="W1650" s="129"/>
      <c r="X1650" s="129"/>
      <c r="Y1650" s="129"/>
      <c r="Z1650" s="129"/>
      <c r="AA1650" s="129"/>
      <c r="AB1650" s="129"/>
    </row>
    <row r="1651" hidden="1">
      <c r="A1651" s="391" t="s">
        <v>1186</v>
      </c>
      <c r="B1651" s="392">
        <v>990.0</v>
      </c>
      <c r="C1651" s="392"/>
      <c r="D1651" s="392">
        <f t="shared" si="193"/>
        <v>-990</v>
      </c>
      <c r="E1651" s="392" t="s">
        <v>123</v>
      </c>
      <c r="F1651" s="139"/>
      <c r="G1651" s="150"/>
      <c r="H1651" s="129"/>
      <c r="I1651" s="129"/>
      <c r="J1651" s="129"/>
      <c r="K1651" s="129"/>
      <c r="L1651" s="129"/>
      <c r="M1651" s="129"/>
      <c r="N1651" s="129"/>
      <c r="O1651" s="129"/>
      <c r="P1651" s="129"/>
      <c r="Q1651" s="129"/>
      <c r="R1651" s="129"/>
      <c r="S1651" s="129"/>
      <c r="T1651" s="129"/>
      <c r="U1651" s="129"/>
      <c r="V1651" s="129"/>
      <c r="W1651" s="129"/>
      <c r="X1651" s="129"/>
      <c r="Y1651" s="129"/>
      <c r="Z1651" s="129"/>
      <c r="AA1651" s="129"/>
      <c r="AB1651" s="129"/>
    </row>
    <row r="1652" hidden="1">
      <c r="A1652" s="391" t="s">
        <v>1187</v>
      </c>
      <c r="B1652" s="392">
        <v>790.0</v>
      </c>
      <c r="C1652" s="392"/>
      <c r="D1652" s="392">
        <f t="shared" si="193"/>
        <v>-790</v>
      </c>
      <c r="E1652" s="392" t="s">
        <v>123</v>
      </c>
      <c r="F1652" s="139"/>
      <c r="G1652" s="129"/>
      <c r="H1652" s="129"/>
      <c r="I1652" s="129"/>
      <c r="J1652" s="129"/>
      <c r="K1652" s="129"/>
      <c r="L1652" s="129"/>
      <c r="M1652" s="129"/>
      <c r="N1652" s="129"/>
      <c r="O1652" s="129"/>
      <c r="P1652" s="129"/>
      <c r="Q1652" s="129"/>
      <c r="R1652" s="129"/>
      <c r="S1652" s="129"/>
      <c r="T1652" s="129"/>
      <c r="U1652" s="129"/>
      <c r="V1652" s="129"/>
      <c r="W1652" s="129"/>
      <c r="X1652" s="129"/>
      <c r="Y1652" s="129"/>
      <c r="Z1652" s="129"/>
      <c r="AA1652" s="129"/>
      <c r="AB1652" s="129"/>
    </row>
    <row r="1653" hidden="1">
      <c r="A1653" s="391" t="s">
        <v>1188</v>
      </c>
      <c r="B1653" s="392">
        <v>790.0</v>
      </c>
      <c r="C1653" s="392"/>
      <c r="D1653" s="392">
        <f t="shared" si="193"/>
        <v>-790</v>
      </c>
      <c r="E1653" s="392" t="s">
        <v>123</v>
      </c>
      <c r="F1653" s="127"/>
      <c r="G1653" s="129"/>
      <c r="H1653" s="129"/>
      <c r="I1653" s="129"/>
      <c r="J1653" s="129"/>
      <c r="K1653" s="129"/>
      <c r="L1653" s="129"/>
      <c r="M1653" s="129"/>
      <c r="N1653" s="129"/>
      <c r="O1653" s="129"/>
      <c r="P1653" s="129"/>
      <c r="Q1653" s="129"/>
      <c r="R1653" s="129"/>
      <c r="S1653" s="129"/>
      <c r="T1653" s="129"/>
      <c r="U1653" s="129"/>
      <c r="V1653" s="129"/>
      <c r="W1653" s="129"/>
      <c r="X1653" s="129"/>
      <c r="Y1653" s="129"/>
      <c r="Z1653" s="129"/>
      <c r="AA1653" s="129"/>
      <c r="AB1653" s="129"/>
    </row>
    <row r="1654" hidden="1">
      <c r="A1654" s="391" t="s">
        <v>1189</v>
      </c>
      <c r="B1654" s="392">
        <v>790.0</v>
      </c>
      <c r="C1654" s="392"/>
      <c r="D1654" s="392">
        <f t="shared" si="193"/>
        <v>-790</v>
      </c>
      <c r="E1654" s="392" t="s">
        <v>123</v>
      </c>
      <c r="F1654" s="127"/>
    </row>
    <row r="1655" hidden="1">
      <c r="A1655" s="391" t="s">
        <v>1190</v>
      </c>
      <c r="B1655" s="392">
        <v>690.0</v>
      </c>
      <c r="C1655" s="392"/>
      <c r="D1655" s="392">
        <f t="shared" si="193"/>
        <v>-690</v>
      </c>
      <c r="E1655" s="392" t="s">
        <v>123</v>
      </c>
      <c r="F1655" s="127"/>
    </row>
    <row r="1656" hidden="1">
      <c r="A1656" s="391" t="s">
        <v>1191</v>
      </c>
      <c r="B1656" s="392">
        <v>690.0</v>
      </c>
      <c r="C1656" s="392"/>
      <c r="D1656" s="392">
        <f t="shared" si="193"/>
        <v>-690</v>
      </c>
      <c r="E1656" s="392" t="s">
        <v>123</v>
      </c>
      <c r="F1656" s="127"/>
    </row>
    <row r="1657" hidden="1">
      <c r="A1657" s="391" t="s">
        <v>1192</v>
      </c>
      <c r="B1657" s="392">
        <v>690.0</v>
      </c>
      <c r="C1657" s="392"/>
      <c r="D1657" s="392">
        <f t="shared" si="193"/>
        <v>-690</v>
      </c>
      <c r="E1657" s="392" t="s">
        <v>123</v>
      </c>
      <c r="F1657" s="312"/>
    </row>
    <row r="1658" hidden="1">
      <c r="A1658" s="391" t="s">
        <v>1193</v>
      </c>
      <c r="B1658" s="392">
        <v>690.0</v>
      </c>
      <c r="C1658" s="392"/>
      <c r="D1658" s="392">
        <f t="shared" si="193"/>
        <v>-690</v>
      </c>
      <c r="E1658" s="392" t="s">
        <v>123</v>
      </c>
      <c r="F1658" s="127"/>
    </row>
    <row r="1659" hidden="1">
      <c r="A1659" s="391" t="s">
        <v>1194</v>
      </c>
      <c r="B1659" s="392">
        <v>590.0</v>
      </c>
      <c r="C1659" s="392"/>
      <c r="D1659" s="392">
        <f t="shared" si="193"/>
        <v>-590</v>
      </c>
      <c r="E1659" s="392" t="s">
        <v>123</v>
      </c>
      <c r="F1659" s="127"/>
      <c r="G1659" s="129"/>
      <c r="H1659" s="129"/>
      <c r="I1659" s="129"/>
      <c r="J1659" s="129"/>
      <c r="K1659" s="129"/>
      <c r="L1659" s="129"/>
      <c r="M1659" s="129"/>
      <c r="N1659" s="129"/>
      <c r="O1659" s="129"/>
      <c r="P1659" s="129"/>
      <c r="Q1659" s="129"/>
      <c r="R1659" s="129"/>
      <c r="S1659" s="129"/>
      <c r="T1659" s="129"/>
      <c r="U1659" s="129"/>
      <c r="V1659" s="129"/>
      <c r="W1659" s="129"/>
      <c r="X1659" s="129"/>
      <c r="Y1659" s="129"/>
      <c r="Z1659" s="129"/>
      <c r="AA1659" s="129"/>
      <c r="AB1659" s="129"/>
    </row>
    <row r="1660" hidden="1">
      <c r="A1660" s="391" t="s">
        <v>1195</v>
      </c>
      <c r="B1660" s="392">
        <v>590.0</v>
      </c>
      <c r="C1660" s="392"/>
      <c r="D1660" s="392">
        <f t="shared" si="193"/>
        <v>-590</v>
      </c>
      <c r="E1660" s="392" t="s">
        <v>123</v>
      </c>
      <c r="F1660" s="127"/>
      <c r="G1660" s="129"/>
      <c r="H1660" s="129"/>
      <c r="I1660" s="129"/>
      <c r="J1660" s="129"/>
      <c r="K1660" s="129"/>
      <c r="L1660" s="129"/>
      <c r="M1660" s="129"/>
      <c r="N1660" s="129"/>
      <c r="O1660" s="129"/>
      <c r="P1660" s="129"/>
      <c r="Q1660" s="129"/>
      <c r="R1660" s="129"/>
      <c r="S1660" s="129"/>
      <c r="T1660" s="129"/>
      <c r="U1660" s="129"/>
      <c r="V1660" s="129"/>
      <c r="W1660" s="129"/>
      <c r="X1660" s="129"/>
      <c r="Y1660" s="129"/>
      <c r="Z1660" s="129"/>
      <c r="AA1660" s="129"/>
      <c r="AB1660" s="129"/>
    </row>
    <row r="1661" hidden="1">
      <c r="A1661" s="391" t="s">
        <v>1196</v>
      </c>
      <c r="B1661" s="399">
        <v>590.0</v>
      </c>
      <c r="C1661" s="399"/>
      <c r="D1661" s="392">
        <f t="shared" si="193"/>
        <v>-590</v>
      </c>
      <c r="E1661" s="392" t="s">
        <v>123</v>
      </c>
      <c r="F1661" s="127"/>
    </row>
    <row r="1662" hidden="1">
      <c r="A1662" s="391" t="s">
        <v>1197</v>
      </c>
      <c r="B1662" s="392">
        <v>490.0</v>
      </c>
      <c r="C1662" s="399"/>
      <c r="D1662" s="392">
        <f t="shared" si="193"/>
        <v>-490</v>
      </c>
      <c r="E1662" s="392" t="s">
        <v>123</v>
      </c>
      <c r="F1662" s="147"/>
      <c r="G1662" s="129"/>
      <c r="H1662" s="129"/>
      <c r="I1662" s="129"/>
      <c r="J1662" s="129"/>
      <c r="K1662" s="129"/>
      <c r="L1662" s="129"/>
      <c r="M1662" s="129"/>
      <c r="N1662" s="129"/>
      <c r="O1662" s="129"/>
      <c r="P1662" s="129"/>
      <c r="Q1662" s="129"/>
      <c r="R1662" s="129"/>
      <c r="S1662" s="129"/>
      <c r="T1662" s="129"/>
      <c r="U1662" s="129"/>
      <c r="V1662" s="129"/>
      <c r="W1662" s="129"/>
      <c r="X1662" s="129"/>
      <c r="Y1662" s="129"/>
      <c r="Z1662" s="129"/>
      <c r="AA1662" s="129"/>
      <c r="AB1662" s="129"/>
    </row>
    <row r="1663" hidden="1">
      <c r="A1663" s="391" t="s">
        <v>1198</v>
      </c>
      <c r="B1663" s="392">
        <v>490.0</v>
      </c>
      <c r="C1663" s="399"/>
      <c r="D1663" s="392">
        <f t="shared" si="193"/>
        <v>-490</v>
      </c>
      <c r="E1663" s="392" t="s">
        <v>123</v>
      </c>
      <c r="F1663" s="139"/>
      <c r="G1663" s="129"/>
      <c r="H1663" s="129"/>
      <c r="I1663" s="129"/>
      <c r="J1663" s="129"/>
      <c r="K1663" s="129"/>
      <c r="L1663" s="129"/>
      <c r="M1663" s="129"/>
      <c r="N1663" s="129"/>
      <c r="O1663" s="129"/>
      <c r="P1663" s="129"/>
      <c r="Q1663" s="129"/>
      <c r="R1663" s="129"/>
      <c r="S1663" s="129"/>
      <c r="T1663" s="129"/>
      <c r="U1663" s="129"/>
      <c r="V1663" s="129"/>
      <c r="W1663" s="129"/>
      <c r="X1663" s="129"/>
      <c r="Y1663" s="129"/>
      <c r="Z1663" s="129"/>
      <c r="AA1663" s="129"/>
      <c r="AB1663" s="129"/>
    </row>
    <row r="1664" hidden="1">
      <c r="A1664" s="391" t="s">
        <v>1199</v>
      </c>
      <c r="B1664" s="392">
        <v>490.0</v>
      </c>
      <c r="C1664" s="392"/>
      <c r="D1664" s="392">
        <f t="shared" si="193"/>
        <v>-490</v>
      </c>
      <c r="E1664" s="392" t="s">
        <v>123</v>
      </c>
      <c r="F1664" s="124"/>
      <c r="G1664" s="129"/>
      <c r="H1664" s="129"/>
      <c r="I1664" s="129"/>
      <c r="J1664" s="129"/>
      <c r="K1664" s="129"/>
      <c r="L1664" s="129"/>
      <c r="M1664" s="129"/>
      <c r="N1664" s="129"/>
      <c r="O1664" s="129"/>
      <c r="P1664" s="129"/>
      <c r="Q1664" s="129"/>
      <c r="R1664" s="129"/>
      <c r="S1664" s="129"/>
      <c r="T1664" s="129"/>
      <c r="U1664" s="129"/>
      <c r="V1664" s="129"/>
      <c r="W1664" s="129"/>
      <c r="X1664" s="129"/>
      <c r="Y1664" s="129"/>
      <c r="Z1664" s="129"/>
      <c r="AA1664" s="129"/>
      <c r="AB1664" s="129"/>
    </row>
    <row r="1665" hidden="1">
      <c r="A1665" s="391" t="s">
        <v>1200</v>
      </c>
      <c r="B1665" s="392">
        <v>390.0</v>
      </c>
      <c r="C1665" s="392"/>
      <c r="D1665" s="392">
        <f t="shared" si="193"/>
        <v>-390</v>
      </c>
      <c r="E1665" s="392" t="s">
        <v>123</v>
      </c>
      <c r="F1665" s="124"/>
      <c r="G1665" s="129"/>
      <c r="H1665" s="129"/>
      <c r="I1665" s="129"/>
      <c r="J1665" s="129"/>
      <c r="K1665" s="129"/>
      <c r="L1665" s="129"/>
      <c r="M1665" s="129"/>
      <c r="N1665" s="129"/>
      <c r="O1665" s="129"/>
      <c r="P1665" s="129"/>
      <c r="Q1665" s="129"/>
      <c r="R1665" s="129"/>
      <c r="S1665" s="129"/>
      <c r="T1665" s="129"/>
      <c r="U1665" s="129"/>
      <c r="V1665" s="129"/>
      <c r="W1665" s="129"/>
      <c r="X1665" s="129"/>
      <c r="Y1665" s="129"/>
      <c r="Z1665" s="129"/>
      <c r="AA1665" s="129"/>
      <c r="AB1665" s="129"/>
    </row>
    <row r="1666" hidden="1">
      <c r="A1666" s="391" t="s">
        <v>1201</v>
      </c>
      <c r="B1666" s="392">
        <v>390.0</v>
      </c>
      <c r="C1666" s="392"/>
      <c r="D1666" s="392">
        <f t="shared" si="193"/>
        <v>-390</v>
      </c>
      <c r="E1666" s="392" t="s">
        <v>123</v>
      </c>
      <c r="F1666" s="127"/>
      <c r="G1666" s="129"/>
      <c r="H1666" s="129"/>
      <c r="I1666" s="129"/>
      <c r="J1666" s="129"/>
      <c r="K1666" s="129"/>
      <c r="L1666" s="129"/>
      <c r="M1666" s="129"/>
      <c r="N1666" s="129"/>
      <c r="O1666" s="129"/>
      <c r="P1666" s="129"/>
      <c r="Q1666" s="129"/>
      <c r="R1666" s="129"/>
      <c r="S1666" s="129"/>
      <c r="T1666" s="129"/>
      <c r="U1666" s="129"/>
      <c r="V1666" s="129"/>
      <c r="W1666" s="129"/>
      <c r="X1666" s="129"/>
      <c r="Y1666" s="129"/>
      <c r="Z1666" s="129"/>
      <c r="AA1666" s="129"/>
      <c r="AB1666" s="129"/>
    </row>
    <row r="1667" hidden="1">
      <c r="A1667" s="128"/>
      <c r="B1667" s="147"/>
      <c r="C1667" s="147"/>
      <c r="D1667" s="132"/>
      <c r="E1667" s="132"/>
      <c r="F1667" s="139"/>
      <c r="G1667" s="150"/>
      <c r="H1667" s="129"/>
      <c r="I1667" s="129"/>
      <c r="J1667" s="129"/>
      <c r="K1667" s="129"/>
      <c r="L1667" s="129"/>
      <c r="M1667" s="129"/>
      <c r="N1667" s="129"/>
      <c r="O1667" s="129"/>
      <c r="P1667" s="129"/>
      <c r="Q1667" s="129"/>
      <c r="R1667" s="129"/>
      <c r="S1667" s="129"/>
      <c r="T1667" s="129"/>
      <c r="U1667" s="129"/>
      <c r="V1667" s="129"/>
      <c r="W1667" s="129"/>
      <c r="X1667" s="129"/>
      <c r="Y1667" s="129"/>
      <c r="Z1667" s="129"/>
      <c r="AA1667" s="129"/>
      <c r="AB1667" s="129"/>
    </row>
    <row r="1668" hidden="1">
      <c r="A1668" s="122" t="s">
        <v>57</v>
      </c>
      <c r="B1668" s="133">
        <f t="shared" ref="B1668:D1668" si="194">SUM(B1649:B1667)</f>
        <v>11430</v>
      </c>
      <c r="C1668" s="133">
        <f t="shared" si="194"/>
        <v>10000</v>
      </c>
      <c r="D1668" s="133">
        <f t="shared" si="194"/>
        <v>-1430</v>
      </c>
      <c r="E1668" s="135">
        <f>D1668/(C1668/100)</f>
        <v>-14.3</v>
      </c>
    </row>
    <row r="1669" hidden="1">
      <c r="A1669" s="154"/>
      <c r="B1669" s="124"/>
      <c r="C1669" s="124"/>
      <c r="D1669" s="124"/>
    </row>
    <row r="1670" hidden="1">
      <c r="A1670" s="154">
        <v>44958.0</v>
      </c>
      <c r="B1670" s="124"/>
      <c r="C1670" s="124"/>
      <c r="D1670" s="124"/>
    </row>
    <row r="1671" hidden="1">
      <c r="A1671" s="128"/>
      <c r="B1671" s="147"/>
      <c r="C1671" s="147"/>
      <c r="D1671" s="132"/>
      <c r="E1671" s="147"/>
      <c r="F1671" s="127"/>
      <c r="G1671" s="150"/>
      <c r="H1671" s="129"/>
      <c r="I1671" s="129"/>
      <c r="J1671" s="129"/>
      <c r="K1671" s="129"/>
      <c r="L1671" s="129"/>
      <c r="M1671" s="129"/>
      <c r="N1671" s="129"/>
      <c r="O1671" s="129"/>
      <c r="P1671" s="129"/>
      <c r="Q1671" s="129"/>
      <c r="R1671" s="129"/>
      <c r="S1671" s="129"/>
      <c r="T1671" s="129"/>
      <c r="U1671" s="129"/>
      <c r="V1671" s="129"/>
      <c r="W1671" s="129"/>
      <c r="X1671" s="129"/>
      <c r="Y1671" s="129"/>
      <c r="Z1671" s="129"/>
      <c r="AA1671" s="129"/>
      <c r="AB1671" s="129"/>
    </row>
    <row r="1672" hidden="1">
      <c r="A1672" s="122" t="s">
        <v>57</v>
      </c>
      <c r="B1672" s="133">
        <f t="shared" ref="B1672:D1672" si="195">SUM(B1670:B1671)</f>
        <v>0</v>
      </c>
      <c r="C1672" s="133">
        <f t="shared" si="195"/>
        <v>0</v>
      </c>
      <c r="D1672" s="133">
        <f t="shared" si="195"/>
        <v>0</v>
      </c>
      <c r="E1672" s="135" t="str">
        <f>D1672/(C1672/100)</f>
        <v>#DIV/0!</v>
      </c>
    </row>
    <row r="1673" hidden="1">
      <c r="A1673" s="154"/>
      <c r="B1673" s="124"/>
      <c r="C1673" s="124"/>
      <c r="D1673" s="124"/>
    </row>
    <row r="1674" hidden="1">
      <c r="A1674" s="154">
        <v>44927.0</v>
      </c>
      <c r="B1674" s="124"/>
      <c r="C1674" s="124"/>
      <c r="D1674" s="124"/>
    </row>
    <row r="1675" hidden="1">
      <c r="A1675" s="128"/>
      <c r="B1675" s="147"/>
      <c r="C1675" s="147"/>
      <c r="D1675" s="132"/>
      <c r="E1675" s="147"/>
      <c r="F1675" s="127"/>
      <c r="G1675" s="150"/>
      <c r="H1675" s="129"/>
      <c r="I1675" s="129"/>
      <c r="J1675" s="129"/>
      <c r="K1675" s="129"/>
      <c r="L1675" s="129"/>
      <c r="M1675" s="129"/>
      <c r="N1675" s="129"/>
      <c r="O1675" s="129"/>
      <c r="P1675" s="129"/>
      <c r="Q1675" s="129"/>
      <c r="R1675" s="129"/>
      <c r="S1675" s="129"/>
      <c r="T1675" s="129"/>
      <c r="U1675" s="129"/>
      <c r="V1675" s="129"/>
      <c r="W1675" s="129"/>
      <c r="X1675" s="129"/>
      <c r="Y1675" s="129"/>
      <c r="Z1675" s="129"/>
      <c r="AA1675" s="129"/>
      <c r="AB1675" s="129"/>
    </row>
    <row r="1676" hidden="1">
      <c r="A1676" s="122" t="s">
        <v>57</v>
      </c>
      <c r="B1676" s="133">
        <f t="shared" ref="B1676:D1676" si="196">SUM(B1674:B1675)</f>
        <v>0</v>
      </c>
      <c r="C1676" s="133">
        <f t="shared" si="196"/>
        <v>0</v>
      </c>
      <c r="D1676" s="133">
        <f t="shared" si="196"/>
        <v>0</v>
      </c>
      <c r="E1676" s="135" t="str">
        <f t="shared" ref="E1676:E1677" si="198">D1676/(C1676/100)</f>
        <v>#DIV/0!</v>
      </c>
    </row>
    <row r="1677">
      <c r="A1677" s="119" t="s">
        <v>1202</v>
      </c>
      <c r="B1677" s="173">
        <f t="shared" ref="B1677:D1677" si="197">SUM(B1471,B1480,B1517,B1523,B1530,B1564,B1599,B1638,B1647,B1668,B1672,B1676)</f>
        <v>309120</v>
      </c>
      <c r="C1677" s="173">
        <f t="shared" si="197"/>
        <v>329157</v>
      </c>
      <c r="D1677" s="173">
        <f t="shared" si="197"/>
        <v>20037</v>
      </c>
      <c r="E1677" s="120">
        <f t="shared" si="198"/>
        <v>6.087368642</v>
      </c>
      <c r="F1677" s="121"/>
      <c r="G1677" s="121"/>
      <c r="H1677" s="121"/>
      <c r="I1677" s="121"/>
      <c r="J1677" s="121"/>
      <c r="K1677" s="121"/>
      <c r="L1677" s="121"/>
      <c r="M1677" s="121"/>
      <c r="N1677" s="121"/>
      <c r="O1677" s="121"/>
      <c r="P1677" s="121"/>
      <c r="Q1677" s="121"/>
      <c r="R1677" s="121"/>
      <c r="S1677" s="121"/>
      <c r="T1677" s="121"/>
      <c r="U1677" s="121"/>
      <c r="V1677" s="121"/>
      <c r="W1677" s="121"/>
      <c r="X1677" s="121"/>
      <c r="Y1677" s="121"/>
      <c r="Z1677" s="121"/>
      <c r="AA1677" s="121"/>
      <c r="AB1677" s="121"/>
    </row>
    <row r="1678">
      <c r="A1678" s="138"/>
      <c r="B1678" s="139"/>
      <c r="C1678" s="139"/>
      <c r="D1678" s="139"/>
      <c r="E1678" s="129"/>
      <c r="F1678" s="129"/>
      <c r="G1678" s="129"/>
      <c r="H1678" s="129"/>
      <c r="I1678" s="129"/>
      <c r="J1678" s="129"/>
      <c r="K1678" s="129"/>
      <c r="L1678" s="129"/>
      <c r="M1678" s="129"/>
      <c r="N1678" s="129"/>
      <c r="O1678" s="129"/>
      <c r="P1678" s="129"/>
      <c r="Q1678" s="129"/>
      <c r="R1678" s="129"/>
      <c r="S1678" s="129"/>
      <c r="T1678" s="129"/>
      <c r="U1678" s="129"/>
      <c r="V1678" s="129"/>
      <c r="W1678" s="129"/>
      <c r="X1678" s="129"/>
      <c r="Y1678" s="129"/>
      <c r="Z1678" s="129"/>
      <c r="AA1678" s="129"/>
      <c r="AB1678" s="129"/>
    </row>
    <row r="1679">
      <c r="A1679" s="138" t="s">
        <v>1203</v>
      </c>
      <c r="B1679" s="139"/>
      <c r="C1679" s="139"/>
      <c r="D1679" s="139"/>
      <c r="E1679" s="129"/>
      <c r="F1679" s="129"/>
      <c r="G1679" s="129"/>
      <c r="H1679" s="129"/>
      <c r="I1679" s="129"/>
      <c r="J1679" s="129"/>
      <c r="K1679" s="129"/>
      <c r="L1679" s="129"/>
      <c r="M1679" s="129"/>
      <c r="N1679" s="129"/>
      <c r="O1679" s="129"/>
      <c r="P1679" s="129"/>
      <c r="Q1679" s="129"/>
      <c r="R1679" s="129"/>
      <c r="S1679" s="129"/>
      <c r="T1679" s="129"/>
      <c r="U1679" s="129"/>
      <c r="V1679" s="129"/>
      <c r="W1679" s="129"/>
      <c r="X1679" s="129"/>
      <c r="Y1679" s="129"/>
      <c r="Z1679" s="129"/>
      <c r="AA1679" s="129"/>
      <c r="AB1679" s="129"/>
    </row>
    <row r="1680" hidden="1">
      <c r="A1680" s="141">
        <v>44896.0</v>
      </c>
      <c r="B1680" s="139"/>
      <c r="C1680" s="139"/>
      <c r="D1680" s="139"/>
      <c r="E1680" s="129"/>
      <c r="F1680" s="129"/>
      <c r="G1680" s="129"/>
      <c r="H1680" s="129"/>
      <c r="I1680" s="129"/>
      <c r="J1680" s="129"/>
      <c r="K1680" s="129"/>
      <c r="L1680" s="129"/>
      <c r="M1680" s="129"/>
      <c r="N1680" s="129"/>
      <c r="O1680" s="129"/>
      <c r="P1680" s="129"/>
      <c r="Q1680" s="129"/>
      <c r="R1680" s="129"/>
      <c r="S1680" s="129"/>
      <c r="T1680" s="129"/>
      <c r="U1680" s="129"/>
      <c r="V1680" s="129"/>
      <c r="W1680" s="129"/>
      <c r="X1680" s="129"/>
      <c r="Y1680" s="129"/>
      <c r="Z1680" s="129"/>
      <c r="AA1680" s="129"/>
      <c r="AB1680" s="129"/>
    </row>
    <row r="1681" hidden="1">
      <c r="A1681" s="123" t="s">
        <v>1141</v>
      </c>
      <c r="B1681" s="147">
        <v>3090.0</v>
      </c>
      <c r="C1681" s="124">
        <v>3790.0</v>
      </c>
      <c r="D1681" s="125">
        <f t="shared" ref="D1681:D1684" si="199">C1681-B1681</f>
        <v>700</v>
      </c>
      <c r="E1681" s="126" t="s">
        <v>123</v>
      </c>
      <c r="F1681" s="124"/>
      <c r="G1681" s="123"/>
    </row>
    <row r="1682" hidden="1">
      <c r="A1682" s="142" t="s">
        <v>464</v>
      </c>
      <c r="B1682" s="147">
        <v>1390.0</v>
      </c>
      <c r="C1682" s="124">
        <v>1590.0</v>
      </c>
      <c r="D1682" s="132">
        <f t="shared" si="199"/>
        <v>200</v>
      </c>
      <c r="E1682" s="126" t="s">
        <v>123</v>
      </c>
      <c r="F1682" s="127"/>
      <c r="G1682" s="129"/>
      <c r="H1682" s="129"/>
      <c r="I1682" s="129"/>
      <c r="J1682" s="129"/>
      <c r="K1682" s="129"/>
      <c r="L1682" s="129"/>
      <c r="M1682" s="129"/>
      <c r="N1682" s="129"/>
      <c r="O1682" s="129"/>
      <c r="P1682" s="129"/>
      <c r="Q1682" s="129"/>
      <c r="R1682" s="129"/>
      <c r="S1682" s="129"/>
      <c r="T1682" s="129"/>
      <c r="U1682" s="129"/>
      <c r="V1682" s="129"/>
      <c r="W1682" s="129"/>
      <c r="X1682" s="129"/>
      <c r="Y1682" s="129"/>
      <c r="Z1682" s="129"/>
      <c r="AA1682" s="129"/>
      <c r="AB1682" s="129"/>
    </row>
    <row r="1683" hidden="1">
      <c r="A1683" s="128" t="s">
        <v>1204</v>
      </c>
      <c r="B1683" s="147">
        <v>1430.0</v>
      </c>
      <c r="C1683" s="147">
        <v>1290.0</v>
      </c>
      <c r="D1683" s="132">
        <f t="shared" si="199"/>
        <v>-140</v>
      </c>
      <c r="E1683" s="147" t="s">
        <v>123</v>
      </c>
      <c r="F1683" s="127"/>
      <c r="G1683" s="150"/>
      <c r="H1683" s="129"/>
      <c r="I1683" s="129"/>
      <c r="J1683" s="129"/>
      <c r="K1683" s="129"/>
      <c r="L1683" s="129"/>
      <c r="M1683" s="129"/>
      <c r="N1683" s="129"/>
      <c r="O1683" s="129"/>
      <c r="P1683" s="129"/>
      <c r="Q1683" s="129"/>
      <c r="R1683" s="129"/>
      <c r="S1683" s="129"/>
      <c r="T1683" s="129"/>
      <c r="U1683" s="129"/>
      <c r="V1683" s="129"/>
      <c r="W1683" s="129"/>
      <c r="X1683" s="129"/>
      <c r="Y1683" s="129"/>
      <c r="Z1683" s="129"/>
      <c r="AA1683" s="129"/>
      <c r="AB1683" s="129"/>
    </row>
    <row r="1684" hidden="1">
      <c r="A1684" s="128" t="s">
        <v>1204</v>
      </c>
      <c r="B1684" s="147">
        <v>1430.0</v>
      </c>
      <c r="C1684" s="147">
        <v>1290.0</v>
      </c>
      <c r="D1684" s="132">
        <f t="shared" si="199"/>
        <v>-140</v>
      </c>
      <c r="E1684" s="147" t="s">
        <v>123</v>
      </c>
      <c r="F1684" s="127"/>
      <c r="G1684" s="150"/>
      <c r="H1684" s="129"/>
      <c r="I1684" s="129"/>
      <c r="J1684" s="129"/>
      <c r="K1684" s="129"/>
      <c r="L1684" s="129"/>
      <c r="M1684" s="129"/>
      <c r="N1684" s="129"/>
      <c r="O1684" s="129"/>
      <c r="P1684" s="129"/>
      <c r="Q1684" s="129"/>
      <c r="R1684" s="129"/>
      <c r="S1684" s="129"/>
      <c r="T1684" s="129"/>
      <c r="U1684" s="129"/>
      <c r="V1684" s="129"/>
      <c r="W1684" s="129"/>
      <c r="X1684" s="129"/>
      <c r="Y1684" s="129"/>
      <c r="Z1684" s="129"/>
      <c r="AA1684" s="129"/>
      <c r="AB1684" s="129"/>
    </row>
    <row r="1685" hidden="1">
      <c r="A1685" s="143"/>
      <c r="B1685" s="139"/>
      <c r="C1685" s="139"/>
      <c r="D1685" s="139"/>
      <c r="E1685" s="129"/>
      <c r="F1685" s="129"/>
      <c r="G1685" s="129"/>
      <c r="H1685" s="129"/>
      <c r="I1685" s="129"/>
      <c r="J1685" s="129"/>
      <c r="K1685" s="129"/>
      <c r="L1685" s="129"/>
      <c r="M1685" s="129"/>
      <c r="N1685" s="129"/>
      <c r="O1685" s="129"/>
      <c r="P1685" s="129"/>
      <c r="Q1685" s="129"/>
      <c r="R1685" s="129"/>
      <c r="S1685" s="129"/>
      <c r="T1685" s="129"/>
      <c r="U1685" s="129"/>
      <c r="V1685" s="129"/>
      <c r="W1685" s="129"/>
      <c r="X1685" s="129"/>
      <c r="Y1685" s="129"/>
      <c r="Z1685" s="129"/>
      <c r="AA1685" s="129"/>
      <c r="AB1685" s="129"/>
    </row>
    <row r="1686" hidden="1">
      <c r="A1686" s="144" t="s">
        <v>57</v>
      </c>
      <c r="B1686" s="145">
        <f t="shared" ref="B1686:D1686" si="200">SUM(B1681:B1685)</f>
        <v>7340</v>
      </c>
      <c r="C1686" s="145">
        <f t="shared" si="200"/>
        <v>7960</v>
      </c>
      <c r="D1686" s="145">
        <f t="shared" si="200"/>
        <v>620</v>
      </c>
      <c r="E1686" s="135">
        <f>D1686/(C1686/100)</f>
        <v>7.788944724</v>
      </c>
      <c r="F1686" s="129"/>
      <c r="G1686" s="129"/>
      <c r="H1686" s="129"/>
      <c r="I1686" s="129"/>
      <c r="J1686" s="129"/>
      <c r="K1686" s="129"/>
      <c r="L1686" s="129"/>
      <c r="M1686" s="129"/>
      <c r="N1686" s="129"/>
      <c r="O1686" s="129"/>
      <c r="P1686" s="129"/>
      <c r="Q1686" s="129"/>
      <c r="R1686" s="129"/>
      <c r="S1686" s="129"/>
      <c r="T1686" s="129"/>
      <c r="U1686" s="129"/>
      <c r="V1686" s="129"/>
      <c r="W1686" s="129"/>
      <c r="X1686" s="129"/>
      <c r="Y1686" s="129"/>
      <c r="Z1686" s="129"/>
      <c r="AA1686" s="129"/>
      <c r="AB1686" s="129"/>
    </row>
    <row r="1687" hidden="1">
      <c r="A1687" s="150"/>
      <c r="B1687" s="147"/>
      <c r="C1687" s="147"/>
      <c r="D1687" s="132"/>
      <c r="E1687" s="132"/>
      <c r="F1687" s="139"/>
      <c r="G1687" s="150"/>
      <c r="H1687" s="129"/>
      <c r="I1687" s="129"/>
      <c r="J1687" s="129"/>
      <c r="K1687" s="129"/>
      <c r="L1687" s="129"/>
      <c r="M1687" s="129"/>
      <c r="N1687" s="129"/>
      <c r="O1687" s="129"/>
      <c r="P1687" s="129"/>
      <c r="Q1687" s="129"/>
      <c r="R1687" s="129"/>
      <c r="S1687" s="129"/>
      <c r="T1687" s="129"/>
      <c r="U1687" s="129"/>
      <c r="V1687" s="129"/>
      <c r="W1687" s="129"/>
      <c r="X1687" s="129"/>
      <c r="Y1687" s="129"/>
      <c r="Z1687" s="129"/>
      <c r="AA1687" s="129"/>
      <c r="AB1687" s="129"/>
    </row>
    <row r="1688" hidden="1">
      <c r="A1688" s="141">
        <v>44866.0</v>
      </c>
      <c r="B1688" s="139"/>
      <c r="C1688" s="139"/>
      <c r="D1688" s="139"/>
      <c r="E1688" s="129"/>
      <c r="F1688" s="129"/>
      <c r="G1688" s="129"/>
      <c r="H1688" s="129"/>
      <c r="I1688" s="129"/>
      <c r="J1688" s="129"/>
      <c r="K1688" s="129"/>
      <c r="L1688" s="129"/>
      <c r="M1688" s="129"/>
      <c r="N1688" s="129"/>
      <c r="O1688" s="129"/>
      <c r="P1688" s="129"/>
      <c r="Q1688" s="129"/>
      <c r="R1688" s="129"/>
      <c r="S1688" s="129"/>
      <c r="T1688" s="129"/>
      <c r="U1688" s="129"/>
      <c r="V1688" s="129"/>
      <c r="W1688" s="129"/>
      <c r="X1688" s="129"/>
      <c r="Y1688" s="129"/>
      <c r="Z1688" s="129"/>
      <c r="AA1688" s="129"/>
      <c r="AB1688" s="129"/>
    </row>
    <row r="1689" hidden="1">
      <c r="A1689" s="123" t="s">
        <v>388</v>
      </c>
      <c r="B1689" s="124">
        <v>1190.0</v>
      </c>
      <c r="C1689" s="124">
        <v>1290.0</v>
      </c>
      <c r="D1689" s="125">
        <f>C1689-B1689</f>
        <v>100</v>
      </c>
      <c r="E1689" s="126" t="s">
        <v>123</v>
      </c>
      <c r="F1689" s="124"/>
      <c r="G1689" s="123"/>
    </row>
    <row r="1690" hidden="1">
      <c r="A1690" s="144" t="s">
        <v>57</v>
      </c>
      <c r="B1690" s="133">
        <f t="shared" ref="B1690:D1690" si="201">SUM(B1688:B1689)</f>
        <v>1190</v>
      </c>
      <c r="C1690" s="133">
        <f t="shared" si="201"/>
        <v>1290</v>
      </c>
      <c r="D1690" s="133">
        <f t="shared" si="201"/>
        <v>100</v>
      </c>
      <c r="E1690" s="135">
        <f>D1690/(C1690/100)</f>
        <v>7.751937984</v>
      </c>
      <c r="F1690" s="129"/>
      <c r="G1690" s="129"/>
      <c r="H1690" s="129"/>
      <c r="I1690" s="129"/>
      <c r="J1690" s="129"/>
      <c r="K1690" s="129"/>
      <c r="L1690" s="129"/>
      <c r="M1690" s="129"/>
      <c r="N1690" s="129"/>
      <c r="O1690" s="129"/>
      <c r="P1690" s="129"/>
      <c r="Q1690" s="129"/>
      <c r="R1690" s="129"/>
      <c r="S1690" s="129"/>
      <c r="T1690" s="129"/>
      <c r="U1690" s="129"/>
      <c r="V1690" s="129"/>
      <c r="W1690" s="129"/>
      <c r="X1690" s="129"/>
      <c r="Y1690" s="129"/>
      <c r="Z1690" s="129"/>
      <c r="AA1690" s="129"/>
      <c r="AB1690" s="129"/>
    </row>
    <row r="1691" hidden="1">
      <c r="A1691" s="150"/>
      <c r="B1691" s="147"/>
      <c r="C1691" s="147"/>
      <c r="D1691" s="132"/>
      <c r="E1691" s="132"/>
      <c r="F1691" s="139"/>
      <c r="G1691" s="150"/>
      <c r="H1691" s="129"/>
      <c r="I1691" s="129"/>
      <c r="J1691" s="129"/>
      <c r="K1691" s="129"/>
      <c r="L1691" s="129"/>
      <c r="M1691" s="129"/>
      <c r="N1691" s="129"/>
      <c r="O1691" s="129"/>
      <c r="P1691" s="129"/>
      <c r="Q1691" s="129"/>
      <c r="R1691" s="129"/>
      <c r="S1691" s="129"/>
      <c r="T1691" s="129"/>
      <c r="U1691" s="129"/>
      <c r="V1691" s="129"/>
      <c r="W1691" s="129"/>
      <c r="X1691" s="129"/>
      <c r="Y1691" s="129"/>
      <c r="Z1691" s="129"/>
      <c r="AA1691" s="129"/>
      <c r="AB1691" s="129"/>
    </row>
    <row r="1692" hidden="1">
      <c r="A1692" s="141">
        <v>44835.0</v>
      </c>
      <c r="B1692" s="139"/>
      <c r="C1692" s="139"/>
      <c r="D1692" s="139"/>
      <c r="E1692" s="129"/>
      <c r="F1692" s="129"/>
      <c r="G1692" s="129"/>
      <c r="H1692" s="129"/>
      <c r="I1692" s="129"/>
      <c r="J1692" s="129"/>
      <c r="K1692" s="129"/>
      <c r="L1692" s="129"/>
      <c r="M1692" s="129"/>
      <c r="N1692" s="129"/>
      <c r="O1692" s="129"/>
      <c r="P1692" s="129"/>
      <c r="Q1692" s="129"/>
      <c r="R1692" s="129"/>
      <c r="S1692" s="129"/>
      <c r="T1692" s="129"/>
      <c r="U1692" s="129"/>
      <c r="V1692" s="129"/>
      <c r="W1692" s="129"/>
      <c r="X1692" s="129"/>
      <c r="Y1692" s="129"/>
      <c r="Z1692" s="129"/>
      <c r="AA1692" s="129"/>
      <c r="AB1692" s="129"/>
    </row>
    <row r="1693" hidden="1">
      <c r="A1693" s="123" t="s">
        <v>1205</v>
      </c>
      <c r="B1693" s="147">
        <v>5000.0</v>
      </c>
      <c r="C1693" s="124">
        <v>11250.0</v>
      </c>
      <c r="D1693" s="125">
        <f t="shared" ref="D1693:D1694" si="202">C1693-B1693</f>
        <v>6250</v>
      </c>
      <c r="E1693" s="126" t="s">
        <v>123</v>
      </c>
      <c r="F1693" s="124"/>
    </row>
    <row r="1694" hidden="1">
      <c r="A1694" s="128" t="s">
        <v>1206</v>
      </c>
      <c r="B1694" s="124">
        <v>1500.0</v>
      </c>
      <c r="C1694" s="124">
        <v>5250.0</v>
      </c>
      <c r="D1694" s="132">
        <f t="shared" si="202"/>
        <v>3750</v>
      </c>
      <c r="E1694" s="126" t="s">
        <v>123</v>
      </c>
      <c r="F1694" s="139"/>
      <c r="G1694" s="129"/>
      <c r="H1694" s="129"/>
      <c r="I1694" s="129"/>
      <c r="J1694" s="129"/>
      <c r="K1694" s="129"/>
      <c r="L1694" s="129"/>
      <c r="M1694" s="129"/>
      <c r="N1694" s="129"/>
      <c r="O1694" s="129"/>
      <c r="P1694" s="129"/>
      <c r="Q1694" s="129"/>
      <c r="R1694" s="129"/>
      <c r="S1694" s="129"/>
      <c r="T1694" s="129"/>
      <c r="U1694" s="129"/>
      <c r="V1694" s="129"/>
      <c r="W1694" s="129"/>
      <c r="X1694" s="129"/>
      <c r="Y1694" s="129"/>
      <c r="Z1694" s="129"/>
      <c r="AA1694" s="129"/>
      <c r="AB1694" s="129"/>
    </row>
    <row r="1695" hidden="1">
      <c r="A1695" s="144" t="s">
        <v>57</v>
      </c>
      <c r="B1695" s="133">
        <f t="shared" ref="B1695:D1695" si="203">SUM(B1692:B1694)</f>
        <v>6500</v>
      </c>
      <c r="C1695" s="133">
        <f t="shared" si="203"/>
        <v>16500</v>
      </c>
      <c r="D1695" s="133">
        <f t="shared" si="203"/>
        <v>10000</v>
      </c>
      <c r="E1695" s="135">
        <f>D1695/(C1695/100)</f>
        <v>60.60606061</v>
      </c>
      <c r="F1695" s="129"/>
      <c r="G1695" s="129"/>
      <c r="H1695" s="129"/>
      <c r="I1695" s="129"/>
      <c r="J1695" s="129"/>
      <c r="K1695" s="129"/>
      <c r="L1695" s="129"/>
      <c r="M1695" s="129"/>
      <c r="N1695" s="129"/>
      <c r="O1695" s="129"/>
      <c r="P1695" s="129"/>
      <c r="Q1695" s="129"/>
      <c r="R1695" s="129"/>
      <c r="S1695" s="129"/>
      <c r="T1695" s="129"/>
      <c r="U1695" s="129"/>
      <c r="V1695" s="129"/>
      <c r="W1695" s="129"/>
      <c r="X1695" s="129"/>
      <c r="Y1695" s="129"/>
      <c r="Z1695" s="129"/>
      <c r="AA1695" s="129"/>
      <c r="AB1695" s="129"/>
    </row>
    <row r="1696" hidden="1">
      <c r="A1696" s="141"/>
      <c r="B1696" s="139"/>
      <c r="C1696" s="139"/>
      <c r="D1696" s="139"/>
      <c r="E1696" s="129"/>
      <c r="F1696" s="129"/>
      <c r="G1696" s="129"/>
      <c r="H1696" s="129"/>
      <c r="I1696" s="129"/>
      <c r="J1696" s="129"/>
      <c r="K1696" s="129"/>
      <c r="L1696" s="129"/>
      <c r="M1696" s="129"/>
      <c r="N1696" s="129"/>
      <c r="O1696" s="129"/>
      <c r="P1696" s="129"/>
      <c r="Q1696" s="129"/>
      <c r="R1696" s="129"/>
      <c r="S1696" s="129"/>
      <c r="T1696" s="129"/>
      <c r="U1696" s="129"/>
      <c r="V1696" s="129"/>
      <c r="W1696" s="129"/>
      <c r="X1696" s="129"/>
      <c r="Y1696" s="129"/>
      <c r="Z1696" s="129"/>
      <c r="AA1696" s="129"/>
      <c r="AB1696" s="129"/>
    </row>
    <row r="1697" hidden="1">
      <c r="A1697" s="141">
        <v>44805.0</v>
      </c>
      <c r="B1697" s="139"/>
      <c r="C1697" s="139"/>
      <c r="D1697" s="139"/>
      <c r="E1697" s="129"/>
      <c r="F1697" s="129"/>
      <c r="G1697" s="129"/>
      <c r="H1697" s="129"/>
      <c r="I1697" s="129"/>
      <c r="J1697" s="129"/>
      <c r="K1697" s="129"/>
      <c r="L1697" s="129"/>
      <c r="M1697" s="129"/>
      <c r="N1697" s="129"/>
      <c r="O1697" s="129"/>
      <c r="P1697" s="129"/>
      <c r="Q1697" s="129"/>
      <c r="R1697" s="129"/>
      <c r="S1697" s="129"/>
      <c r="T1697" s="129"/>
      <c r="U1697" s="129"/>
      <c r="V1697" s="129"/>
      <c r="W1697" s="129"/>
      <c r="X1697" s="129"/>
      <c r="Y1697" s="129"/>
      <c r="Z1697" s="129"/>
      <c r="AA1697" s="129"/>
      <c r="AB1697" s="129"/>
    </row>
    <row r="1698" hidden="1">
      <c r="A1698" s="144" t="s">
        <v>57</v>
      </c>
      <c r="B1698" s="145">
        <f t="shared" ref="B1698:D1698" si="204">SUM(B1697)</f>
        <v>0</v>
      </c>
      <c r="C1698" s="145">
        <f t="shared" si="204"/>
        <v>0</v>
      </c>
      <c r="D1698" s="145">
        <f t="shared" si="204"/>
        <v>0</v>
      </c>
      <c r="E1698" s="135" t="str">
        <f>D1698/(C1698/100)</f>
        <v>#DIV/0!</v>
      </c>
      <c r="F1698" s="129"/>
      <c r="G1698" s="129"/>
      <c r="H1698" s="129"/>
      <c r="I1698" s="129"/>
      <c r="J1698" s="129"/>
      <c r="K1698" s="129"/>
      <c r="L1698" s="129"/>
      <c r="M1698" s="129"/>
      <c r="N1698" s="129"/>
      <c r="O1698" s="129"/>
      <c r="P1698" s="129"/>
      <c r="Q1698" s="129"/>
      <c r="R1698" s="129"/>
      <c r="S1698" s="129"/>
      <c r="T1698" s="129"/>
      <c r="U1698" s="129"/>
      <c r="V1698" s="129"/>
      <c r="W1698" s="129"/>
      <c r="X1698" s="129"/>
      <c r="Y1698" s="129"/>
      <c r="Z1698" s="129"/>
      <c r="AA1698" s="129"/>
      <c r="AB1698" s="129"/>
    </row>
    <row r="1699" hidden="1">
      <c r="A1699" s="154"/>
      <c r="B1699" s="124"/>
      <c r="C1699" s="124"/>
      <c r="D1699" s="124"/>
    </row>
    <row r="1700" hidden="1">
      <c r="A1700" s="154">
        <v>44774.0</v>
      </c>
      <c r="B1700" s="124"/>
      <c r="C1700" s="124"/>
      <c r="D1700" s="124"/>
    </row>
    <row r="1701" hidden="1">
      <c r="A1701" s="150" t="s">
        <v>372</v>
      </c>
      <c r="B1701" s="147">
        <v>5000.0</v>
      </c>
      <c r="C1701" s="147">
        <v>8780.0</v>
      </c>
      <c r="D1701" s="132">
        <f t="shared" ref="D1701:D1704" si="205">C1701-B1701</f>
        <v>3780</v>
      </c>
      <c r="E1701" s="147" t="s">
        <v>123</v>
      </c>
      <c r="F1701" s="139"/>
      <c r="G1701" s="150"/>
      <c r="H1701" s="129"/>
      <c r="I1701" s="129"/>
      <c r="J1701" s="129"/>
      <c r="K1701" s="129"/>
      <c r="L1701" s="129"/>
      <c r="M1701" s="129"/>
      <c r="N1701" s="129"/>
      <c r="O1701" s="129"/>
      <c r="P1701" s="129"/>
      <c r="Q1701" s="129"/>
      <c r="R1701" s="129"/>
      <c r="S1701" s="129"/>
      <c r="T1701" s="129"/>
      <c r="U1701" s="129"/>
      <c r="V1701" s="129"/>
      <c r="W1701" s="129"/>
      <c r="X1701" s="129"/>
      <c r="Y1701" s="129"/>
      <c r="Z1701" s="129"/>
      <c r="AA1701" s="129"/>
      <c r="AB1701" s="129"/>
    </row>
    <row r="1702" hidden="1">
      <c r="A1702" s="128" t="s">
        <v>1207</v>
      </c>
      <c r="B1702" s="147">
        <v>0.0</v>
      </c>
      <c r="C1702" s="147">
        <v>0.0</v>
      </c>
      <c r="D1702" s="132">
        <f t="shared" si="205"/>
        <v>0</v>
      </c>
      <c r="E1702" s="147" t="s">
        <v>123</v>
      </c>
      <c r="F1702" s="132"/>
      <c r="G1702" s="129"/>
      <c r="H1702" s="129"/>
      <c r="I1702" s="129"/>
      <c r="J1702" s="129"/>
      <c r="K1702" s="129"/>
      <c r="L1702" s="129"/>
      <c r="M1702" s="129"/>
      <c r="N1702" s="129"/>
      <c r="O1702" s="129"/>
      <c r="P1702" s="129"/>
      <c r="Q1702" s="129"/>
      <c r="R1702" s="129"/>
      <c r="S1702" s="129"/>
      <c r="T1702" s="129"/>
      <c r="U1702" s="129"/>
      <c r="V1702" s="129"/>
      <c r="W1702" s="129"/>
      <c r="X1702" s="129"/>
      <c r="Y1702" s="129"/>
      <c r="Z1702" s="129"/>
      <c r="AA1702" s="129"/>
      <c r="AB1702" s="129"/>
    </row>
    <row r="1703" hidden="1">
      <c r="A1703" s="128" t="s">
        <v>1208</v>
      </c>
      <c r="B1703" s="147">
        <v>1430.0</v>
      </c>
      <c r="C1703" s="147">
        <v>1486.0</v>
      </c>
      <c r="D1703" s="132">
        <f t="shared" si="205"/>
        <v>56</v>
      </c>
      <c r="E1703" s="147" t="s">
        <v>123</v>
      </c>
      <c r="F1703" s="127"/>
      <c r="G1703" s="150"/>
      <c r="H1703" s="129"/>
      <c r="I1703" s="129"/>
      <c r="J1703" s="129"/>
      <c r="K1703" s="129"/>
      <c r="L1703" s="129"/>
      <c r="M1703" s="129"/>
      <c r="N1703" s="129"/>
      <c r="O1703" s="129"/>
      <c r="P1703" s="129"/>
      <c r="Q1703" s="129"/>
      <c r="R1703" s="129"/>
      <c r="S1703" s="129"/>
      <c r="T1703" s="129"/>
      <c r="U1703" s="129"/>
      <c r="V1703" s="129"/>
      <c r="W1703" s="129"/>
      <c r="X1703" s="129"/>
      <c r="Y1703" s="129"/>
      <c r="Z1703" s="129"/>
      <c r="AA1703" s="129"/>
      <c r="AB1703" s="129"/>
    </row>
    <row r="1704" hidden="1">
      <c r="A1704" s="128" t="s">
        <v>1208</v>
      </c>
      <c r="B1704" s="147">
        <v>1430.0</v>
      </c>
      <c r="C1704" s="147">
        <v>1450.0</v>
      </c>
      <c r="D1704" s="132">
        <f t="shared" si="205"/>
        <v>20</v>
      </c>
      <c r="E1704" s="147" t="s">
        <v>123</v>
      </c>
      <c r="F1704" s="127"/>
      <c r="G1704" s="150"/>
      <c r="H1704" s="129"/>
      <c r="I1704" s="129"/>
      <c r="J1704" s="129"/>
      <c r="K1704" s="129"/>
      <c r="L1704" s="129"/>
      <c r="M1704" s="129"/>
      <c r="N1704" s="129"/>
      <c r="O1704" s="129"/>
      <c r="P1704" s="129"/>
      <c r="Q1704" s="129"/>
      <c r="R1704" s="129"/>
      <c r="S1704" s="129"/>
      <c r="T1704" s="129"/>
      <c r="U1704" s="129"/>
      <c r="V1704" s="129"/>
      <c r="W1704" s="129"/>
      <c r="X1704" s="129"/>
      <c r="Y1704" s="129"/>
      <c r="Z1704" s="129"/>
      <c r="AA1704" s="129"/>
      <c r="AB1704" s="129"/>
    </row>
    <row r="1705" hidden="1">
      <c r="A1705" s="122" t="s">
        <v>57</v>
      </c>
      <c r="B1705" s="133">
        <f t="shared" ref="B1705:D1705" si="206">SUM(B1700:B1704)</f>
        <v>7860</v>
      </c>
      <c r="C1705" s="133">
        <f t="shared" si="206"/>
        <v>11716</v>
      </c>
      <c r="D1705" s="133">
        <f t="shared" si="206"/>
        <v>3856</v>
      </c>
      <c r="E1705" s="135">
        <f>D1705/(C1705/100)</f>
        <v>32.91225674</v>
      </c>
    </row>
    <row r="1706" hidden="1">
      <c r="A1706" s="154"/>
      <c r="B1706" s="124"/>
      <c r="C1706" s="124"/>
      <c r="D1706" s="124"/>
    </row>
    <row r="1707" hidden="1">
      <c r="A1707" s="154">
        <v>44743.0</v>
      </c>
      <c r="B1707" s="124"/>
      <c r="C1707" s="124"/>
      <c r="D1707" s="124"/>
    </row>
    <row r="1708" hidden="1">
      <c r="A1708" s="123"/>
      <c r="B1708" s="147"/>
      <c r="C1708" s="124"/>
      <c r="E1708" s="126"/>
      <c r="F1708" s="124"/>
      <c r="G1708" s="123"/>
    </row>
    <row r="1709" hidden="1">
      <c r="A1709" s="123" t="s">
        <v>1209</v>
      </c>
      <c r="B1709" s="147">
        <v>1390.0</v>
      </c>
      <c r="C1709" s="124">
        <v>1558.0</v>
      </c>
      <c r="D1709" s="125">
        <f>C1709-B1709</f>
        <v>168</v>
      </c>
      <c r="E1709" s="126" t="s">
        <v>123</v>
      </c>
      <c r="F1709" s="124"/>
      <c r="G1709" s="123"/>
    </row>
    <row r="1710" hidden="1">
      <c r="A1710" s="122" t="s">
        <v>57</v>
      </c>
      <c r="B1710" s="133">
        <f t="shared" ref="B1710:D1710" si="207">SUM(B1707:B1709)</f>
        <v>1390</v>
      </c>
      <c r="C1710" s="133">
        <f t="shared" si="207"/>
        <v>1558</v>
      </c>
      <c r="D1710" s="133">
        <f t="shared" si="207"/>
        <v>168</v>
      </c>
      <c r="E1710" s="135">
        <f>D1710/(C1710/100)</f>
        <v>10.7830552</v>
      </c>
    </row>
    <row r="1711" hidden="1">
      <c r="A1711" s="154"/>
      <c r="B1711" s="124"/>
      <c r="C1711" s="124"/>
      <c r="D1711" s="124"/>
    </row>
    <row r="1712" hidden="1">
      <c r="A1712" s="154">
        <v>44713.0</v>
      </c>
      <c r="B1712" s="124"/>
      <c r="C1712" s="124"/>
      <c r="D1712" s="124"/>
    </row>
    <row r="1713" hidden="1">
      <c r="A1713" s="128"/>
      <c r="B1713" s="147"/>
      <c r="C1713" s="147"/>
      <c r="D1713" s="132"/>
      <c r="E1713" s="126"/>
      <c r="F1713" s="132"/>
      <c r="G1713" s="129"/>
      <c r="H1713" s="129"/>
      <c r="I1713" s="129"/>
      <c r="J1713" s="129"/>
      <c r="K1713" s="129"/>
      <c r="L1713" s="129"/>
      <c r="M1713" s="129"/>
      <c r="N1713" s="129"/>
      <c r="O1713" s="129"/>
      <c r="P1713" s="129"/>
      <c r="Q1713" s="129"/>
      <c r="R1713" s="129"/>
      <c r="S1713" s="129"/>
      <c r="T1713" s="129"/>
      <c r="U1713" s="129"/>
      <c r="V1713" s="129"/>
      <c r="W1713" s="129"/>
      <c r="X1713" s="129"/>
      <c r="Y1713" s="129"/>
      <c r="Z1713" s="129"/>
      <c r="AA1713" s="129"/>
      <c r="AB1713" s="129"/>
    </row>
    <row r="1714" hidden="1">
      <c r="A1714" s="128" t="s">
        <v>1210</v>
      </c>
      <c r="B1714" s="147">
        <v>2250.0</v>
      </c>
      <c r="C1714" s="147">
        <v>7525.0</v>
      </c>
      <c r="D1714" s="132">
        <f>C1714-B1714</f>
        <v>5275</v>
      </c>
      <c r="E1714" s="126" t="s">
        <v>123</v>
      </c>
      <c r="F1714" s="132"/>
      <c r="G1714" s="129"/>
      <c r="H1714" s="129"/>
      <c r="I1714" s="129"/>
      <c r="J1714" s="129"/>
      <c r="K1714" s="129"/>
      <c r="L1714" s="129"/>
      <c r="M1714" s="129"/>
      <c r="N1714" s="129"/>
      <c r="O1714" s="129"/>
      <c r="P1714" s="129"/>
      <c r="Q1714" s="129"/>
      <c r="R1714" s="129"/>
      <c r="S1714" s="129"/>
      <c r="T1714" s="129"/>
      <c r="U1714" s="129"/>
      <c r="V1714" s="129"/>
      <c r="W1714" s="129"/>
      <c r="X1714" s="129"/>
      <c r="Y1714" s="129"/>
      <c r="Z1714" s="129"/>
      <c r="AA1714" s="129"/>
      <c r="AB1714" s="129"/>
    </row>
    <row r="1715" hidden="1">
      <c r="A1715" s="122" t="s">
        <v>57</v>
      </c>
      <c r="B1715" s="133">
        <f t="shared" ref="B1715:D1715" si="208">SUM(B1712:B1714)</f>
        <v>2250</v>
      </c>
      <c r="C1715" s="133">
        <f t="shared" si="208"/>
        <v>7525</v>
      </c>
      <c r="D1715" s="133">
        <f t="shared" si="208"/>
        <v>5275</v>
      </c>
      <c r="E1715" s="135">
        <f>D1715/(C1715/100)</f>
        <v>70.09966777</v>
      </c>
    </row>
    <row r="1716" hidden="1">
      <c r="A1716" s="154"/>
      <c r="B1716" s="124"/>
      <c r="C1716" s="124"/>
      <c r="D1716" s="124"/>
    </row>
    <row r="1717" hidden="1">
      <c r="A1717" s="154">
        <v>44682.0</v>
      </c>
      <c r="B1717" s="124"/>
      <c r="C1717" s="124"/>
      <c r="D1717" s="124"/>
    </row>
    <row r="1718" hidden="1">
      <c r="A1718" s="128" t="s">
        <v>1211</v>
      </c>
      <c r="B1718" s="147">
        <v>7000.0</v>
      </c>
      <c r="C1718" s="147">
        <v>8574.0</v>
      </c>
      <c r="D1718" s="132">
        <f t="shared" ref="D1718:D1721" si="209">C1718-B1718</f>
        <v>1574</v>
      </c>
      <c r="E1718" s="147" t="s">
        <v>120</v>
      </c>
      <c r="F1718" s="139"/>
      <c r="G1718" s="129"/>
      <c r="H1718" s="129"/>
      <c r="I1718" s="129"/>
      <c r="J1718" s="129"/>
      <c r="K1718" s="129"/>
      <c r="L1718" s="129"/>
      <c r="M1718" s="129"/>
      <c r="N1718" s="129"/>
      <c r="O1718" s="129"/>
      <c r="P1718" s="129"/>
      <c r="Q1718" s="129"/>
      <c r="R1718" s="129"/>
      <c r="S1718" s="129"/>
      <c r="T1718" s="129"/>
      <c r="U1718" s="129"/>
      <c r="V1718" s="129"/>
      <c r="W1718" s="129"/>
      <c r="X1718" s="129"/>
      <c r="Y1718" s="129"/>
      <c r="Z1718" s="129"/>
      <c r="AA1718" s="129"/>
      <c r="AB1718" s="129"/>
    </row>
    <row r="1719" hidden="1">
      <c r="A1719" s="128" t="s">
        <v>1212</v>
      </c>
      <c r="B1719" s="147">
        <v>1440.0</v>
      </c>
      <c r="C1719" s="147">
        <v>1607.0</v>
      </c>
      <c r="D1719" s="132">
        <f t="shared" si="209"/>
        <v>167</v>
      </c>
      <c r="E1719" s="147" t="s">
        <v>123</v>
      </c>
      <c r="F1719" s="127"/>
      <c r="G1719" s="150"/>
      <c r="H1719" s="129"/>
      <c r="I1719" s="129"/>
      <c r="J1719" s="129"/>
      <c r="K1719" s="129"/>
      <c r="L1719" s="129"/>
      <c r="M1719" s="129"/>
      <c r="N1719" s="129"/>
      <c r="O1719" s="129"/>
      <c r="P1719" s="129"/>
      <c r="Q1719" s="129"/>
      <c r="R1719" s="129"/>
      <c r="S1719" s="129"/>
      <c r="T1719" s="129"/>
      <c r="U1719" s="129"/>
      <c r="V1719" s="129"/>
      <c r="W1719" s="129"/>
      <c r="X1719" s="129"/>
      <c r="Y1719" s="129"/>
      <c r="Z1719" s="129"/>
      <c r="AA1719" s="129"/>
      <c r="AB1719" s="129"/>
    </row>
    <row r="1720" hidden="1">
      <c r="A1720" s="128" t="s">
        <v>1179</v>
      </c>
      <c r="B1720" s="147">
        <v>1430.0</v>
      </c>
      <c r="C1720" s="147">
        <v>1481.0</v>
      </c>
      <c r="D1720" s="132">
        <f t="shared" si="209"/>
        <v>51</v>
      </c>
      <c r="E1720" s="147" t="s">
        <v>123</v>
      </c>
      <c r="F1720" s="127"/>
      <c r="G1720" s="150"/>
      <c r="H1720" s="129"/>
      <c r="I1720" s="129"/>
      <c r="J1720" s="129"/>
      <c r="K1720" s="129"/>
      <c r="L1720" s="129"/>
      <c r="M1720" s="129"/>
      <c r="N1720" s="129"/>
      <c r="O1720" s="129"/>
      <c r="P1720" s="129"/>
      <c r="Q1720" s="129"/>
      <c r="R1720" s="129"/>
      <c r="S1720" s="129"/>
      <c r="T1720" s="129"/>
      <c r="U1720" s="129"/>
      <c r="V1720" s="129"/>
      <c r="W1720" s="129"/>
      <c r="X1720" s="129"/>
      <c r="Y1720" s="129"/>
      <c r="Z1720" s="129"/>
      <c r="AA1720" s="129"/>
      <c r="AB1720" s="129"/>
    </row>
    <row r="1721" hidden="1">
      <c r="A1721" s="123" t="s">
        <v>438</v>
      </c>
      <c r="B1721" s="147">
        <v>1750.0</v>
      </c>
      <c r="C1721" s="124">
        <v>1671.0</v>
      </c>
      <c r="D1721" s="125">
        <f t="shared" si="209"/>
        <v>-79</v>
      </c>
      <c r="E1721" s="126" t="s">
        <v>123</v>
      </c>
      <c r="F1721" s="147"/>
      <c r="G1721" s="123"/>
    </row>
    <row r="1722" hidden="1">
      <c r="A1722" s="122" t="s">
        <v>57</v>
      </c>
      <c r="B1722" s="133">
        <f t="shared" ref="B1722:E1722" si="210">SUM(B1718:B1721)</f>
        <v>11620</v>
      </c>
      <c r="C1722" s="133">
        <f t="shared" si="210"/>
        <v>13333</v>
      </c>
      <c r="D1722" s="133">
        <f t="shared" si="210"/>
        <v>1713</v>
      </c>
      <c r="E1722" s="133">
        <f t="shared" si="210"/>
        <v>0</v>
      </c>
    </row>
    <row r="1723" hidden="1">
      <c r="A1723" s="154"/>
      <c r="B1723" s="124"/>
      <c r="C1723" s="124"/>
      <c r="D1723" s="124"/>
    </row>
    <row r="1724" hidden="1">
      <c r="A1724" s="154">
        <v>44652.0</v>
      </c>
      <c r="B1724" s="124"/>
      <c r="C1724" s="124"/>
      <c r="D1724" s="124"/>
    </row>
    <row r="1725" hidden="1">
      <c r="A1725" s="122" t="s">
        <v>57</v>
      </c>
      <c r="B1725" s="133">
        <f t="shared" ref="B1725:D1725" si="211">SUM(B1724)</f>
        <v>0</v>
      </c>
      <c r="C1725" s="133">
        <f t="shared" si="211"/>
        <v>0</v>
      </c>
      <c r="D1725" s="133">
        <f t="shared" si="211"/>
        <v>0</v>
      </c>
      <c r="E1725" s="135" t="str">
        <f>D1725/(C1725/100)</f>
        <v>#DIV/0!</v>
      </c>
    </row>
    <row r="1726" hidden="1">
      <c r="A1726" s="154"/>
      <c r="B1726" s="124"/>
      <c r="C1726" s="124"/>
      <c r="D1726" s="124"/>
    </row>
    <row r="1727" hidden="1">
      <c r="A1727" s="154">
        <v>44621.0</v>
      </c>
      <c r="B1727" s="124"/>
      <c r="C1727" s="124"/>
      <c r="D1727" s="124"/>
    </row>
    <row r="1728" hidden="1">
      <c r="A1728" s="128" t="s">
        <v>1208</v>
      </c>
      <c r="B1728" s="147">
        <v>1430.0</v>
      </c>
      <c r="C1728" s="147">
        <v>1590.0</v>
      </c>
      <c r="D1728" s="132">
        <f t="shared" ref="D1728:D1737" si="212">C1728-B1728</f>
        <v>160</v>
      </c>
      <c r="E1728" s="147" t="s">
        <v>123</v>
      </c>
      <c r="F1728" s="127"/>
      <c r="G1728" s="150"/>
      <c r="H1728" s="129"/>
      <c r="I1728" s="129"/>
      <c r="J1728" s="129"/>
      <c r="K1728" s="129"/>
      <c r="L1728" s="129"/>
      <c r="M1728" s="129"/>
      <c r="N1728" s="129"/>
      <c r="O1728" s="129"/>
      <c r="P1728" s="129"/>
      <c r="Q1728" s="129"/>
      <c r="R1728" s="129"/>
      <c r="S1728" s="129"/>
      <c r="T1728" s="129"/>
      <c r="U1728" s="129"/>
      <c r="V1728" s="129"/>
      <c r="W1728" s="129"/>
      <c r="X1728" s="129"/>
      <c r="Y1728" s="129"/>
      <c r="Z1728" s="129"/>
      <c r="AA1728" s="129"/>
      <c r="AB1728" s="129"/>
    </row>
    <row r="1729" hidden="1">
      <c r="A1729" s="128" t="s">
        <v>1213</v>
      </c>
      <c r="B1729" s="147">
        <v>1430.0</v>
      </c>
      <c r="C1729" s="147">
        <v>1590.0</v>
      </c>
      <c r="D1729" s="132">
        <f t="shared" si="212"/>
        <v>160</v>
      </c>
      <c r="E1729" s="132" t="s">
        <v>123</v>
      </c>
      <c r="F1729" s="139"/>
      <c r="G1729" s="150"/>
      <c r="H1729" s="129"/>
      <c r="I1729" s="129"/>
      <c r="J1729" s="129"/>
      <c r="K1729" s="129"/>
      <c r="L1729" s="129"/>
      <c r="M1729" s="129"/>
      <c r="N1729" s="129"/>
      <c r="O1729" s="129"/>
      <c r="P1729" s="129"/>
      <c r="Q1729" s="129"/>
      <c r="R1729" s="129"/>
      <c r="S1729" s="129"/>
      <c r="T1729" s="129"/>
      <c r="U1729" s="129"/>
      <c r="V1729" s="129"/>
      <c r="W1729" s="129"/>
      <c r="X1729" s="129"/>
      <c r="Y1729" s="129"/>
      <c r="Z1729" s="129"/>
      <c r="AA1729" s="129"/>
      <c r="AB1729" s="129"/>
    </row>
    <row r="1730" hidden="1">
      <c r="A1730" s="123" t="s">
        <v>438</v>
      </c>
      <c r="B1730" s="147">
        <v>1750.0</v>
      </c>
      <c r="C1730" s="124">
        <v>1669.0</v>
      </c>
      <c r="D1730" s="125">
        <f t="shared" si="212"/>
        <v>-81</v>
      </c>
      <c r="E1730" s="132" t="s">
        <v>123</v>
      </c>
      <c r="F1730" s="147"/>
      <c r="G1730" s="123"/>
    </row>
    <row r="1731" hidden="1">
      <c r="A1731" s="128" t="s">
        <v>1213</v>
      </c>
      <c r="B1731" s="147">
        <v>1430.0</v>
      </c>
      <c r="C1731" s="147">
        <v>1509.0</v>
      </c>
      <c r="D1731" s="132">
        <f t="shared" si="212"/>
        <v>79</v>
      </c>
      <c r="E1731" s="132" t="s">
        <v>123</v>
      </c>
      <c r="F1731" s="139"/>
      <c r="G1731" s="150"/>
      <c r="H1731" s="129"/>
      <c r="I1731" s="129"/>
      <c r="J1731" s="129"/>
      <c r="K1731" s="129"/>
      <c r="L1731" s="129"/>
      <c r="M1731" s="129"/>
      <c r="N1731" s="129"/>
      <c r="O1731" s="129"/>
      <c r="P1731" s="129"/>
      <c r="Q1731" s="129"/>
      <c r="R1731" s="129"/>
      <c r="S1731" s="129"/>
      <c r="T1731" s="129"/>
      <c r="U1731" s="129"/>
      <c r="V1731" s="129"/>
      <c r="W1731" s="129"/>
      <c r="X1731" s="129"/>
      <c r="Y1731" s="129"/>
      <c r="Z1731" s="129"/>
      <c r="AA1731" s="129"/>
      <c r="AB1731" s="129"/>
    </row>
    <row r="1732" hidden="1">
      <c r="A1732" s="123" t="s">
        <v>443</v>
      </c>
      <c r="B1732" s="147">
        <v>1390.0</v>
      </c>
      <c r="C1732" s="124">
        <v>1582.0</v>
      </c>
      <c r="D1732" s="125">
        <f t="shared" si="212"/>
        <v>192</v>
      </c>
      <c r="E1732" s="126" t="s">
        <v>123</v>
      </c>
      <c r="F1732" s="124"/>
      <c r="G1732" s="123"/>
    </row>
    <row r="1733" hidden="1">
      <c r="A1733" s="123" t="s">
        <v>439</v>
      </c>
      <c r="B1733" s="124">
        <v>2000.0</v>
      </c>
      <c r="C1733" s="147">
        <v>2225.0</v>
      </c>
      <c r="D1733" s="125">
        <f t="shared" si="212"/>
        <v>225</v>
      </c>
      <c r="E1733" s="147" t="s">
        <v>123</v>
      </c>
      <c r="F1733" s="132"/>
      <c r="G1733" s="123"/>
    </row>
    <row r="1734" hidden="1">
      <c r="A1734" s="142" t="s">
        <v>1214</v>
      </c>
      <c r="B1734" s="147">
        <v>1490.0</v>
      </c>
      <c r="C1734" s="127">
        <v>1542.0</v>
      </c>
      <c r="D1734" s="132">
        <f t="shared" si="212"/>
        <v>52</v>
      </c>
      <c r="E1734" s="147" t="s">
        <v>123</v>
      </c>
      <c r="F1734" s="124"/>
      <c r="G1734" s="129"/>
      <c r="H1734" s="129"/>
      <c r="I1734" s="129"/>
      <c r="J1734" s="129"/>
      <c r="K1734" s="129"/>
      <c r="L1734" s="129"/>
      <c r="M1734" s="129"/>
      <c r="N1734" s="129"/>
      <c r="O1734" s="129"/>
      <c r="P1734" s="129"/>
      <c r="Q1734" s="129"/>
      <c r="R1734" s="129"/>
      <c r="S1734" s="129"/>
      <c r="T1734" s="129"/>
      <c r="U1734" s="129"/>
      <c r="V1734" s="129"/>
      <c r="W1734" s="129"/>
      <c r="X1734" s="129"/>
      <c r="Y1734" s="129"/>
      <c r="Z1734" s="129"/>
      <c r="AA1734" s="129"/>
      <c r="AB1734" s="129"/>
    </row>
    <row r="1735" hidden="1">
      <c r="A1735" s="142" t="s">
        <v>466</v>
      </c>
      <c r="B1735" s="147">
        <v>990.0</v>
      </c>
      <c r="C1735" s="127">
        <v>863.0</v>
      </c>
      <c r="D1735" s="132">
        <f t="shared" si="212"/>
        <v>-127</v>
      </c>
      <c r="E1735" s="147" t="s">
        <v>123</v>
      </c>
      <c r="F1735" s="124"/>
      <c r="G1735" s="129"/>
      <c r="H1735" s="129"/>
      <c r="I1735" s="129"/>
      <c r="J1735" s="129"/>
      <c r="K1735" s="129"/>
      <c r="L1735" s="129"/>
      <c r="M1735" s="129"/>
      <c r="N1735" s="129"/>
      <c r="O1735" s="129"/>
      <c r="P1735" s="129"/>
      <c r="Q1735" s="129"/>
      <c r="R1735" s="129"/>
      <c r="S1735" s="129"/>
      <c r="T1735" s="129"/>
      <c r="U1735" s="129"/>
      <c r="V1735" s="129"/>
      <c r="W1735" s="129"/>
      <c r="X1735" s="129"/>
      <c r="Y1735" s="129"/>
      <c r="Z1735" s="129"/>
      <c r="AA1735" s="129"/>
      <c r="AB1735" s="129"/>
    </row>
    <row r="1736" hidden="1">
      <c r="A1736" s="150" t="s">
        <v>463</v>
      </c>
      <c r="B1736" s="132">
        <v>1390.0</v>
      </c>
      <c r="C1736" s="147">
        <v>1542.0</v>
      </c>
      <c r="D1736" s="132">
        <f t="shared" si="212"/>
        <v>152</v>
      </c>
      <c r="E1736" s="132" t="s">
        <v>123</v>
      </c>
      <c r="F1736" s="139"/>
      <c r="G1736" s="150"/>
      <c r="H1736" s="129"/>
      <c r="I1736" s="129"/>
      <c r="J1736" s="129"/>
      <c r="K1736" s="129"/>
      <c r="L1736" s="129"/>
      <c r="M1736" s="129"/>
      <c r="N1736" s="129"/>
      <c r="O1736" s="129"/>
      <c r="P1736" s="129"/>
      <c r="Q1736" s="129"/>
      <c r="R1736" s="129"/>
      <c r="S1736" s="129"/>
      <c r="T1736" s="129"/>
      <c r="U1736" s="129"/>
      <c r="V1736" s="129"/>
      <c r="W1736" s="129"/>
      <c r="X1736" s="129"/>
      <c r="Y1736" s="129"/>
      <c r="Z1736" s="129"/>
      <c r="AA1736" s="129"/>
      <c r="AB1736" s="129"/>
    </row>
    <row r="1737" hidden="1">
      <c r="A1737" s="128" t="s">
        <v>1215</v>
      </c>
      <c r="B1737" s="147">
        <v>1430.0</v>
      </c>
      <c r="C1737" s="147">
        <v>1595.0</v>
      </c>
      <c r="D1737" s="132">
        <f t="shared" si="212"/>
        <v>165</v>
      </c>
      <c r="E1737" s="132" t="s">
        <v>123</v>
      </c>
      <c r="F1737" s="139"/>
      <c r="G1737" s="150"/>
      <c r="H1737" s="129"/>
      <c r="I1737" s="129"/>
      <c r="J1737" s="129"/>
      <c r="K1737" s="129"/>
      <c r="L1737" s="129"/>
      <c r="M1737" s="129"/>
      <c r="N1737" s="129"/>
      <c r="O1737" s="129"/>
      <c r="P1737" s="129"/>
      <c r="Q1737" s="129"/>
      <c r="R1737" s="129"/>
      <c r="S1737" s="129"/>
      <c r="T1737" s="129"/>
      <c r="U1737" s="129"/>
      <c r="V1737" s="129"/>
      <c r="W1737" s="129"/>
      <c r="X1737" s="129"/>
      <c r="Y1737" s="129"/>
      <c r="Z1737" s="129"/>
      <c r="AA1737" s="129"/>
      <c r="AB1737" s="129"/>
    </row>
    <row r="1738" hidden="1">
      <c r="A1738" s="122" t="s">
        <v>57</v>
      </c>
      <c r="B1738" s="133">
        <f t="shared" ref="B1738:D1738" si="213">SUM(B1707:B1737)</f>
        <v>45250</v>
      </c>
      <c r="C1738" s="133">
        <f t="shared" si="213"/>
        <v>60539</v>
      </c>
      <c r="D1738" s="133">
        <f t="shared" si="213"/>
        <v>15289</v>
      </c>
      <c r="E1738" s="135">
        <f>D1738/(C1738/100)</f>
        <v>25.25479443</v>
      </c>
    </row>
    <row r="1739" hidden="1">
      <c r="A1739" s="154"/>
      <c r="B1739" s="124"/>
      <c r="C1739" s="124"/>
      <c r="D1739" s="124"/>
    </row>
    <row r="1740" hidden="1">
      <c r="A1740" s="154">
        <v>44593.0</v>
      </c>
      <c r="B1740" s="124"/>
      <c r="C1740" s="124"/>
      <c r="D1740" s="124"/>
    </row>
    <row r="1741" hidden="1">
      <c r="A1741" s="128" t="s">
        <v>1216</v>
      </c>
      <c r="B1741" s="147">
        <v>1430.0</v>
      </c>
      <c r="C1741" s="147">
        <v>1582.0</v>
      </c>
      <c r="D1741" s="132">
        <f t="shared" ref="D1741:D1748" si="214">C1741-B1741</f>
        <v>152</v>
      </c>
      <c r="E1741" s="147" t="s">
        <v>123</v>
      </c>
      <c r="F1741" s="127"/>
      <c r="G1741" s="150"/>
      <c r="H1741" s="129"/>
      <c r="I1741" s="129"/>
      <c r="J1741" s="129"/>
      <c r="K1741" s="129"/>
      <c r="L1741" s="129"/>
      <c r="M1741" s="129"/>
      <c r="N1741" s="129"/>
      <c r="O1741" s="129"/>
      <c r="P1741" s="129"/>
      <c r="Q1741" s="129"/>
      <c r="R1741" s="129"/>
      <c r="S1741" s="129"/>
      <c r="T1741" s="129"/>
      <c r="U1741" s="129"/>
      <c r="V1741" s="129"/>
      <c r="W1741" s="129"/>
      <c r="X1741" s="129"/>
      <c r="Y1741" s="129"/>
      <c r="Z1741" s="129"/>
      <c r="AA1741" s="129"/>
      <c r="AB1741" s="129"/>
    </row>
    <row r="1742" hidden="1">
      <c r="A1742" s="123" t="s">
        <v>1061</v>
      </c>
      <c r="B1742" s="386">
        <v>1190.0</v>
      </c>
      <c r="C1742" s="386">
        <v>1378.0</v>
      </c>
      <c r="D1742" s="170">
        <f t="shared" si="214"/>
        <v>188</v>
      </c>
      <c r="E1742" s="126" t="s">
        <v>123</v>
      </c>
      <c r="F1742" s="147"/>
      <c r="G1742" s="123"/>
    </row>
    <row r="1743" hidden="1">
      <c r="A1743" s="128" t="s">
        <v>1093</v>
      </c>
      <c r="B1743" s="147">
        <v>1460.0</v>
      </c>
      <c r="C1743" s="147">
        <v>1603.0</v>
      </c>
      <c r="D1743" s="132">
        <f t="shared" si="214"/>
        <v>143</v>
      </c>
      <c r="E1743" s="147" t="s">
        <v>123</v>
      </c>
      <c r="F1743" s="127"/>
      <c r="G1743" s="150"/>
      <c r="H1743" s="129"/>
      <c r="I1743" s="129"/>
      <c r="J1743" s="129"/>
      <c r="K1743" s="129"/>
      <c r="L1743" s="129"/>
      <c r="M1743" s="129"/>
      <c r="N1743" s="129"/>
      <c r="O1743" s="129"/>
      <c r="P1743" s="129"/>
      <c r="Q1743" s="129"/>
      <c r="R1743" s="129"/>
      <c r="S1743" s="129"/>
      <c r="T1743" s="129"/>
      <c r="U1743" s="129"/>
      <c r="V1743" s="129"/>
      <c r="W1743" s="129"/>
      <c r="X1743" s="129"/>
      <c r="Y1743" s="129"/>
      <c r="Z1743" s="129"/>
      <c r="AA1743" s="129"/>
      <c r="AB1743" s="129"/>
    </row>
    <row r="1744" hidden="1">
      <c r="A1744" s="150" t="s">
        <v>1216</v>
      </c>
      <c r="B1744" s="147">
        <v>1430.0</v>
      </c>
      <c r="C1744" s="147">
        <v>1584.0</v>
      </c>
      <c r="D1744" s="132">
        <f t="shared" si="214"/>
        <v>154</v>
      </c>
      <c r="E1744" s="132" t="s">
        <v>123</v>
      </c>
      <c r="F1744" s="139"/>
      <c r="G1744" s="150"/>
      <c r="H1744" s="129"/>
      <c r="I1744" s="129"/>
      <c r="J1744" s="129"/>
      <c r="K1744" s="129"/>
      <c r="L1744" s="129"/>
      <c r="M1744" s="129"/>
      <c r="N1744" s="129"/>
      <c r="O1744" s="129"/>
      <c r="P1744" s="129"/>
      <c r="Q1744" s="129"/>
      <c r="R1744" s="129"/>
      <c r="S1744" s="129"/>
      <c r="T1744" s="129"/>
      <c r="U1744" s="129"/>
      <c r="V1744" s="129"/>
      <c r="W1744" s="129"/>
      <c r="X1744" s="129"/>
      <c r="Y1744" s="129"/>
      <c r="Z1744" s="129"/>
      <c r="AA1744" s="129"/>
      <c r="AB1744" s="129"/>
    </row>
    <row r="1745" hidden="1">
      <c r="A1745" s="128" t="s">
        <v>1215</v>
      </c>
      <c r="B1745" s="147">
        <v>1430.0</v>
      </c>
      <c r="C1745" s="147">
        <v>1584.0</v>
      </c>
      <c r="D1745" s="132">
        <f t="shared" si="214"/>
        <v>154</v>
      </c>
      <c r="E1745" s="132" t="s">
        <v>123</v>
      </c>
      <c r="F1745" s="139"/>
      <c r="G1745" s="150"/>
      <c r="H1745" s="129"/>
      <c r="I1745" s="129"/>
      <c r="J1745" s="129"/>
      <c r="K1745" s="129"/>
      <c r="L1745" s="129"/>
      <c r="M1745" s="129"/>
      <c r="N1745" s="129"/>
      <c r="O1745" s="129"/>
      <c r="P1745" s="129"/>
      <c r="Q1745" s="129"/>
      <c r="R1745" s="129"/>
      <c r="S1745" s="129"/>
      <c r="T1745" s="129"/>
      <c r="U1745" s="129"/>
      <c r="V1745" s="129"/>
      <c r="W1745" s="129"/>
      <c r="X1745" s="129"/>
      <c r="Y1745" s="129"/>
      <c r="Z1745" s="129"/>
      <c r="AA1745" s="129"/>
      <c r="AB1745" s="129"/>
    </row>
    <row r="1746" hidden="1">
      <c r="A1746" s="150" t="s">
        <v>1216</v>
      </c>
      <c r="B1746" s="147">
        <v>1430.0</v>
      </c>
      <c r="C1746" s="147">
        <v>1579.0</v>
      </c>
      <c r="D1746" s="132">
        <f t="shared" si="214"/>
        <v>149</v>
      </c>
      <c r="E1746" s="132" t="s">
        <v>123</v>
      </c>
      <c r="F1746" s="139"/>
      <c r="G1746" s="150"/>
      <c r="H1746" s="129"/>
      <c r="I1746" s="129"/>
      <c r="J1746" s="129"/>
      <c r="K1746" s="129"/>
      <c r="L1746" s="129"/>
      <c r="M1746" s="129"/>
      <c r="N1746" s="129"/>
      <c r="O1746" s="129"/>
      <c r="P1746" s="129"/>
      <c r="Q1746" s="129"/>
      <c r="R1746" s="129"/>
      <c r="S1746" s="129"/>
      <c r="T1746" s="129"/>
      <c r="U1746" s="129"/>
      <c r="V1746" s="129"/>
      <c r="W1746" s="129"/>
      <c r="X1746" s="129"/>
      <c r="Y1746" s="129"/>
      <c r="Z1746" s="129"/>
      <c r="AA1746" s="129"/>
      <c r="AB1746" s="129"/>
    </row>
    <row r="1747" hidden="1">
      <c r="A1747" s="128" t="s">
        <v>1140</v>
      </c>
      <c r="B1747" s="147">
        <v>1460.0</v>
      </c>
      <c r="C1747" s="147">
        <v>1608.0</v>
      </c>
      <c r="D1747" s="132">
        <f t="shared" si="214"/>
        <v>148</v>
      </c>
      <c r="E1747" s="132" t="s">
        <v>123</v>
      </c>
      <c r="F1747" s="139"/>
      <c r="G1747" s="150"/>
      <c r="H1747" s="129"/>
      <c r="I1747" s="129"/>
      <c r="J1747" s="129"/>
      <c r="K1747" s="129"/>
      <c r="L1747" s="129"/>
      <c r="M1747" s="129"/>
      <c r="N1747" s="129"/>
      <c r="O1747" s="129"/>
      <c r="P1747" s="129"/>
      <c r="Q1747" s="129"/>
      <c r="R1747" s="129"/>
      <c r="S1747" s="129"/>
      <c r="T1747" s="129"/>
      <c r="U1747" s="129"/>
      <c r="V1747" s="129"/>
      <c r="W1747" s="129"/>
      <c r="X1747" s="129"/>
      <c r="Y1747" s="129"/>
      <c r="Z1747" s="129"/>
      <c r="AA1747" s="129"/>
      <c r="AB1747" s="129"/>
    </row>
    <row r="1748" hidden="1">
      <c r="A1748" s="128" t="s">
        <v>1176</v>
      </c>
      <c r="B1748" s="147">
        <v>1430.0</v>
      </c>
      <c r="C1748" s="147">
        <v>1573.0</v>
      </c>
      <c r="D1748" s="132">
        <f t="shared" si="214"/>
        <v>143</v>
      </c>
      <c r="E1748" s="147" t="s">
        <v>123</v>
      </c>
      <c r="F1748" s="127"/>
      <c r="G1748" s="150"/>
      <c r="H1748" s="129"/>
      <c r="I1748" s="129"/>
      <c r="J1748" s="129"/>
      <c r="K1748" s="129"/>
      <c r="L1748" s="129"/>
      <c r="M1748" s="129"/>
      <c r="N1748" s="129"/>
      <c r="O1748" s="129"/>
      <c r="P1748" s="129"/>
      <c r="Q1748" s="129"/>
      <c r="R1748" s="129"/>
      <c r="S1748" s="129"/>
      <c r="T1748" s="129"/>
      <c r="U1748" s="129"/>
      <c r="V1748" s="129"/>
      <c r="W1748" s="129"/>
      <c r="X1748" s="129"/>
      <c r="Y1748" s="129"/>
      <c r="Z1748" s="129"/>
      <c r="AA1748" s="129"/>
      <c r="AB1748" s="129"/>
    </row>
    <row r="1749" hidden="1">
      <c r="A1749" s="122" t="s">
        <v>57</v>
      </c>
      <c r="B1749" s="133">
        <f t="shared" ref="B1749:D1749" si="215">SUM(B1726:B1748)</f>
        <v>71240</v>
      </c>
      <c r="C1749" s="133">
        <f t="shared" si="215"/>
        <v>88737</v>
      </c>
      <c r="D1749" s="133">
        <f t="shared" si="215"/>
        <v>17497</v>
      </c>
      <c r="E1749" s="135">
        <f>D1749/(C1749/100)</f>
        <v>19.71781782</v>
      </c>
    </row>
    <row r="1750" hidden="1">
      <c r="A1750" s="154"/>
      <c r="B1750" s="124"/>
      <c r="C1750" s="124"/>
      <c r="D1750" s="124"/>
    </row>
    <row r="1751" hidden="1">
      <c r="A1751" s="154">
        <v>44562.0</v>
      </c>
      <c r="B1751" s="124"/>
      <c r="C1751" s="124"/>
      <c r="D1751" s="124"/>
    </row>
    <row r="1752" hidden="1">
      <c r="A1752" s="123" t="s">
        <v>443</v>
      </c>
      <c r="B1752" s="147">
        <v>1390.0</v>
      </c>
      <c r="C1752" s="124">
        <v>1542.0</v>
      </c>
      <c r="D1752" s="125">
        <f t="shared" ref="D1752:D1760" si="216">C1752-B1752</f>
        <v>152</v>
      </c>
      <c r="E1752" s="126" t="s">
        <v>123</v>
      </c>
      <c r="F1752" s="124"/>
      <c r="G1752" s="123"/>
    </row>
    <row r="1753" hidden="1">
      <c r="A1753" s="128" t="s">
        <v>1217</v>
      </c>
      <c r="B1753" s="147">
        <v>0.0</v>
      </c>
      <c r="C1753" s="147">
        <v>2375.0</v>
      </c>
      <c r="D1753" s="132">
        <f t="shared" si="216"/>
        <v>2375</v>
      </c>
      <c r="E1753" s="126" t="s">
        <v>1217</v>
      </c>
      <c r="F1753" s="124"/>
      <c r="G1753" s="129"/>
      <c r="H1753" s="129"/>
      <c r="I1753" s="129"/>
      <c r="J1753" s="129"/>
      <c r="K1753" s="129"/>
      <c r="L1753" s="129"/>
      <c r="M1753" s="129"/>
      <c r="N1753" s="129"/>
      <c r="O1753" s="129"/>
      <c r="P1753" s="129"/>
      <c r="Q1753" s="129"/>
      <c r="R1753" s="129"/>
      <c r="S1753" s="129"/>
      <c r="T1753" s="129"/>
      <c r="U1753" s="129"/>
      <c r="V1753" s="129"/>
      <c r="W1753" s="129"/>
      <c r="X1753" s="129"/>
      <c r="Y1753" s="129"/>
      <c r="Z1753" s="129"/>
      <c r="AA1753" s="129"/>
      <c r="AB1753" s="129"/>
    </row>
    <row r="1754" hidden="1">
      <c r="A1754" s="128" t="s">
        <v>1217</v>
      </c>
      <c r="B1754" s="147">
        <v>0.0</v>
      </c>
      <c r="C1754" s="147">
        <v>12850.0</v>
      </c>
      <c r="D1754" s="132">
        <f t="shared" si="216"/>
        <v>12850</v>
      </c>
      <c r="E1754" s="126" t="s">
        <v>1217</v>
      </c>
      <c r="F1754" s="124"/>
      <c r="G1754" s="129"/>
      <c r="H1754" s="129"/>
      <c r="I1754" s="129"/>
      <c r="J1754" s="129"/>
      <c r="K1754" s="129"/>
      <c r="L1754" s="129"/>
      <c r="M1754" s="129"/>
      <c r="N1754" s="129"/>
      <c r="O1754" s="129"/>
      <c r="P1754" s="129"/>
      <c r="Q1754" s="129"/>
      <c r="R1754" s="129"/>
      <c r="S1754" s="129"/>
      <c r="T1754" s="129"/>
      <c r="U1754" s="129"/>
      <c r="V1754" s="129"/>
      <c r="W1754" s="129"/>
      <c r="X1754" s="129"/>
      <c r="Y1754" s="129"/>
      <c r="Z1754" s="129"/>
      <c r="AA1754" s="129"/>
      <c r="AB1754" s="129"/>
    </row>
    <row r="1755" hidden="1">
      <c r="A1755" s="128" t="s">
        <v>1218</v>
      </c>
      <c r="B1755" s="147">
        <v>1190.0</v>
      </c>
      <c r="C1755" s="147">
        <v>1348.0</v>
      </c>
      <c r="D1755" s="132">
        <f t="shared" si="216"/>
        <v>158</v>
      </c>
      <c r="E1755" s="147" t="s">
        <v>123</v>
      </c>
      <c r="F1755" s="127"/>
      <c r="G1755" s="150"/>
      <c r="H1755" s="129"/>
      <c r="I1755" s="129"/>
      <c r="J1755" s="129"/>
      <c r="K1755" s="129"/>
      <c r="L1755" s="129"/>
      <c r="M1755" s="129"/>
      <c r="N1755" s="129"/>
      <c r="O1755" s="129"/>
      <c r="P1755" s="129"/>
      <c r="Q1755" s="129"/>
      <c r="R1755" s="129"/>
      <c r="S1755" s="129"/>
      <c r="T1755" s="129"/>
      <c r="U1755" s="129"/>
      <c r="V1755" s="129"/>
      <c r="W1755" s="129"/>
      <c r="X1755" s="129"/>
      <c r="Y1755" s="129"/>
      <c r="Z1755" s="129"/>
      <c r="AA1755" s="129"/>
      <c r="AB1755" s="129"/>
    </row>
    <row r="1756" hidden="1">
      <c r="A1756" s="128" t="s">
        <v>1217</v>
      </c>
      <c r="B1756" s="147">
        <v>3780.0</v>
      </c>
      <c r="C1756" s="147">
        <v>4550.0</v>
      </c>
      <c r="D1756" s="132">
        <f t="shared" si="216"/>
        <v>770</v>
      </c>
      <c r="E1756" s="126" t="s">
        <v>1217</v>
      </c>
      <c r="F1756" s="124"/>
      <c r="G1756" s="129"/>
      <c r="H1756" s="129"/>
      <c r="I1756" s="129"/>
      <c r="J1756" s="129"/>
      <c r="K1756" s="129"/>
      <c r="L1756" s="129"/>
      <c r="M1756" s="129"/>
      <c r="N1756" s="129"/>
      <c r="O1756" s="129"/>
      <c r="P1756" s="129"/>
      <c r="Q1756" s="129"/>
      <c r="R1756" s="129"/>
      <c r="S1756" s="129"/>
      <c r="T1756" s="129"/>
      <c r="U1756" s="129"/>
      <c r="V1756" s="129"/>
      <c r="W1756" s="129"/>
      <c r="X1756" s="129"/>
      <c r="Y1756" s="129"/>
      <c r="Z1756" s="129"/>
      <c r="AA1756" s="129"/>
      <c r="AB1756" s="129"/>
    </row>
    <row r="1757" hidden="1">
      <c r="A1757" s="150" t="s">
        <v>1219</v>
      </c>
      <c r="B1757" s="147">
        <v>890.0</v>
      </c>
      <c r="C1757" s="147">
        <v>1080.0</v>
      </c>
      <c r="D1757" s="132">
        <f t="shared" si="216"/>
        <v>190</v>
      </c>
      <c r="E1757" s="126" t="s">
        <v>123</v>
      </c>
      <c r="F1757" s="124"/>
      <c r="G1757" s="129"/>
      <c r="H1757" s="129"/>
      <c r="I1757" s="129"/>
      <c r="J1757" s="129"/>
      <c r="K1757" s="129"/>
      <c r="L1757" s="129"/>
      <c r="M1757" s="129"/>
      <c r="N1757" s="129"/>
      <c r="O1757" s="129"/>
      <c r="P1757" s="129"/>
      <c r="Q1757" s="129"/>
      <c r="R1757" s="129"/>
      <c r="S1757" s="129"/>
      <c r="T1757" s="129"/>
      <c r="U1757" s="129"/>
      <c r="V1757" s="129"/>
      <c r="W1757" s="129"/>
      <c r="X1757" s="129"/>
      <c r="Y1757" s="129"/>
      <c r="Z1757" s="129"/>
      <c r="AA1757" s="129"/>
      <c r="AB1757" s="129"/>
    </row>
    <row r="1758" hidden="1">
      <c r="A1758" s="128" t="s">
        <v>1220</v>
      </c>
      <c r="B1758" s="147">
        <v>890.0</v>
      </c>
      <c r="C1758" s="147">
        <v>1069.0</v>
      </c>
      <c r="D1758" s="132">
        <f t="shared" si="216"/>
        <v>179</v>
      </c>
      <c r="E1758" s="132" t="s">
        <v>123</v>
      </c>
      <c r="F1758" s="139"/>
      <c r="G1758" s="129"/>
      <c r="H1758" s="129"/>
      <c r="I1758" s="129"/>
      <c r="J1758" s="129"/>
      <c r="K1758" s="129"/>
      <c r="L1758" s="129"/>
      <c r="M1758" s="129"/>
      <c r="N1758" s="129"/>
      <c r="O1758" s="129"/>
      <c r="P1758" s="129"/>
      <c r="Q1758" s="129"/>
      <c r="R1758" s="129"/>
      <c r="S1758" s="129"/>
      <c r="T1758" s="129"/>
      <c r="U1758" s="129"/>
      <c r="V1758" s="129"/>
      <c r="W1758" s="129"/>
      <c r="X1758" s="129"/>
      <c r="Y1758" s="129"/>
      <c r="Z1758" s="129"/>
      <c r="AA1758" s="129"/>
      <c r="AB1758" s="129"/>
    </row>
    <row r="1759" hidden="1">
      <c r="A1759" s="128" t="s">
        <v>1218</v>
      </c>
      <c r="B1759" s="147">
        <v>1190.0</v>
      </c>
      <c r="C1759" s="147">
        <v>1368.0</v>
      </c>
      <c r="D1759" s="132">
        <f t="shared" si="216"/>
        <v>178</v>
      </c>
      <c r="E1759" s="147" t="s">
        <v>123</v>
      </c>
      <c r="F1759" s="127"/>
      <c r="G1759" s="150"/>
      <c r="H1759" s="129"/>
      <c r="I1759" s="129"/>
      <c r="J1759" s="129"/>
      <c r="K1759" s="129"/>
      <c r="L1759" s="129"/>
      <c r="M1759" s="129"/>
      <c r="N1759" s="129"/>
      <c r="O1759" s="129"/>
      <c r="P1759" s="129"/>
      <c r="Q1759" s="129"/>
      <c r="R1759" s="129"/>
      <c r="S1759" s="129"/>
      <c r="T1759" s="129"/>
      <c r="U1759" s="129"/>
      <c r="V1759" s="129"/>
      <c r="W1759" s="129"/>
      <c r="X1759" s="129"/>
      <c r="Y1759" s="129"/>
      <c r="Z1759" s="129"/>
      <c r="AA1759" s="129"/>
      <c r="AB1759" s="129"/>
    </row>
    <row r="1760" hidden="1">
      <c r="A1760" s="128" t="s">
        <v>1208</v>
      </c>
      <c r="B1760" s="147">
        <v>1390.0</v>
      </c>
      <c r="C1760" s="147">
        <v>1573.0</v>
      </c>
      <c r="D1760" s="132">
        <f t="shared" si="216"/>
        <v>183</v>
      </c>
      <c r="E1760" s="147" t="s">
        <v>123</v>
      </c>
      <c r="F1760" s="127"/>
      <c r="G1760" s="150"/>
      <c r="H1760" s="129"/>
      <c r="I1760" s="129"/>
      <c r="J1760" s="129"/>
      <c r="K1760" s="129"/>
      <c r="L1760" s="129"/>
      <c r="M1760" s="129"/>
      <c r="N1760" s="129"/>
      <c r="O1760" s="129"/>
      <c r="P1760" s="129"/>
      <c r="Q1760" s="129"/>
      <c r="R1760" s="129"/>
      <c r="S1760" s="129"/>
      <c r="T1760" s="129"/>
      <c r="U1760" s="129"/>
      <c r="V1760" s="129"/>
      <c r="W1760" s="129"/>
      <c r="X1760" s="129"/>
      <c r="Y1760" s="129"/>
      <c r="Z1760" s="129"/>
      <c r="AA1760" s="129"/>
      <c r="AB1760" s="129"/>
    </row>
    <row r="1761" hidden="1">
      <c r="A1761" s="122" t="s">
        <v>57</v>
      </c>
      <c r="B1761" s="133">
        <f t="shared" ref="B1761:D1761" si="217">SUM(B1751:B1760)</f>
        <v>10720</v>
      </c>
      <c r="C1761" s="133">
        <f t="shared" si="217"/>
        <v>27755</v>
      </c>
      <c r="D1761" s="133">
        <f t="shared" si="217"/>
        <v>17035</v>
      </c>
      <c r="E1761" s="135">
        <f t="shared" ref="E1761:E1762" si="219">D1761/(C1761/100)</f>
        <v>61.37632859</v>
      </c>
    </row>
    <row r="1762">
      <c r="A1762" s="119" t="s">
        <v>1221</v>
      </c>
      <c r="B1762" s="173">
        <f t="shared" ref="B1762:D1762" si="218">SUM(B1686,B1690,B1695,B1698,B1705,B1710,B1715,B1722,B1725,B1738,B1749,B1761)</f>
        <v>165360</v>
      </c>
      <c r="C1762" s="173">
        <f t="shared" si="218"/>
        <v>236913</v>
      </c>
      <c r="D1762" s="173">
        <f t="shared" si="218"/>
        <v>71553</v>
      </c>
      <c r="E1762" s="120">
        <f t="shared" si="219"/>
        <v>30.20222613</v>
      </c>
      <c r="F1762" s="121"/>
      <c r="G1762" s="121"/>
      <c r="H1762" s="121"/>
      <c r="I1762" s="121"/>
      <c r="J1762" s="121"/>
      <c r="K1762" s="121"/>
      <c r="L1762" s="121"/>
      <c r="M1762" s="121"/>
      <c r="N1762" s="121"/>
      <c r="O1762" s="121"/>
      <c r="P1762" s="121"/>
      <c r="Q1762" s="121"/>
      <c r="R1762" s="121"/>
      <c r="S1762" s="121"/>
      <c r="T1762" s="121"/>
      <c r="U1762" s="121"/>
      <c r="V1762" s="121"/>
      <c r="W1762" s="121"/>
      <c r="X1762" s="121"/>
      <c r="Y1762" s="121"/>
      <c r="Z1762" s="121"/>
      <c r="AA1762" s="121"/>
      <c r="AB1762" s="121"/>
    </row>
    <row r="1763">
      <c r="A1763" s="138"/>
    </row>
    <row r="1764">
      <c r="A1764" s="138" t="s">
        <v>1222</v>
      </c>
    </row>
    <row r="1765">
      <c r="A1765" s="141">
        <v>44531.0</v>
      </c>
      <c r="B1765" s="139"/>
      <c r="C1765" s="139"/>
      <c r="D1765" s="139"/>
      <c r="E1765" s="129"/>
      <c r="F1765" s="129"/>
      <c r="G1765" s="129"/>
      <c r="H1765" s="129"/>
      <c r="I1765" s="129"/>
      <c r="J1765" s="129"/>
      <c r="K1765" s="129"/>
      <c r="L1765" s="129"/>
      <c r="M1765" s="129"/>
      <c r="N1765" s="129"/>
      <c r="O1765" s="129"/>
      <c r="P1765" s="129"/>
      <c r="Q1765" s="129"/>
      <c r="R1765" s="129"/>
      <c r="S1765" s="129"/>
      <c r="T1765" s="129"/>
      <c r="U1765" s="129"/>
      <c r="V1765" s="129"/>
      <c r="W1765" s="129"/>
      <c r="X1765" s="129"/>
      <c r="Y1765" s="129"/>
      <c r="Z1765" s="129"/>
      <c r="AA1765" s="129"/>
      <c r="AB1765" s="129"/>
    </row>
    <row r="1766" hidden="1">
      <c r="A1766" s="128" t="s">
        <v>1093</v>
      </c>
      <c r="B1766" s="147">
        <v>1390.0</v>
      </c>
      <c r="C1766" s="147">
        <v>1536.0</v>
      </c>
      <c r="D1766" s="132">
        <f t="shared" ref="D1766:D1782" si="220">C1766-B1766</f>
        <v>146</v>
      </c>
      <c r="E1766" s="147" t="s">
        <v>123</v>
      </c>
      <c r="F1766" s="127"/>
      <c r="G1766" s="150"/>
      <c r="H1766" s="129"/>
      <c r="I1766" s="129"/>
      <c r="J1766" s="129"/>
      <c r="K1766" s="129"/>
      <c r="L1766" s="129"/>
      <c r="M1766" s="129"/>
      <c r="N1766" s="129"/>
      <c r="O1766" s="129"/>
      <c r="P1766" s="129"/>
      <c r="Q1766" s="129"/>
      <c r="R1766" s="129"/>
      <c r="S1766" s="129"/>
      <c r="T1766" s="129"/>
      <c r="U1766" s="129"/>
      <c r="V1766" s="129"/>
      <c r="W1766" s="129"/>
      <c r="X1766" s="129"/>
      <c r="Y1766" s="129"/>
      <c r="Z1766" s="129"/>
      <c r="AA1766" s="129"/>
      <c r="AB1766" s="129"/>
    </row>
    <row r="1767" hidden="1">
      <c r="A1767" s="123" t="s">
        <v>1223</v>
      </c>
      <c r="B1767" s="147">
        <v>23100.0</v>
      </c>
      <c r="C1767" s="147">
        <v>25050.0</v>
      </c>
      <c r="D1767" s="132">
        <f t="shared" si="220"/>
        <v>1950</v>
      </c>
      <c r="E1767" s="147" t="s">
        <v>1217</v>
      </c>
      <c r="F1767" s="139"/>
      <c r="G1767" s="129"/>
      <c r="H1767" s="129"/>
      <c r="I1767" s="129"/>
      <c r="J1767" s="129"/>
      <c r="K1767" s="129"/>
      <c r="L1767" s="129"/>
      <c r="M1767" s="129"/>
      <c r="N1767" s="129"/>
      <c r="O1767" s="129"/>
      <c r="P1767" s="129"/>
      <c r="Q1767" s="129"/>
      <c r="R1767" s="129"/>
      <c r="S1767" s="129"/>
      <c r="T1767" s="129"/>
      <c r="U1767" s="129"/>
      <c r="V1767" s="129"/>
      <c r="W1767" s="129"/>
      <c r="X1767" s="129"/>
      <c r="Y1767" s="129"/>
      <c r="Z1767" s="129"/>
      <c r="AA1767" s="129"/>
      <c r="AB1767" s="129"/>
    </row>
    <row r="1768" hidden="1">
      <c r="A1768" s="123" t="s">
        <v>1224</v>
      </c>
      <c r="B1768" s="147">
        <v>23100.0</v>
      </c>
      <c r="C1768" s="147">
        <v>24453.0</v>
      </c>
      <c r="D1768" s="132">
        <f t="shared" si="220"/>
        <v>1353</v>
      </c>
      <c r="E1768" s="147" t="s">
        <v>1217</v>
      </c>
      <c r="F1768" s="139"/>
      <c r="G1768" s="129"/>
      <c r="H1768" s="129"/>
      <c r="I1768" s="129"/>
      <c r="J1768" s="129"/>
      <c r="K1768" s="129"/>
      <c r="L1768" s="129"/>
      <c r="M1768" s="129"/>
      <c r="N1768" s="129"/>
      <c r="O1768" s="129"/>
      <c r="P1768" s="129"/>
      <c r="Q1768" s="129"/>
      <c r="R1768" s="129"/>
      <c r="S1768" s="129"/>
      <c r="T1768" s="129"/>
      <c r="U1768" s="129"/>
      <c r="V1768" s="129"/>
      <c r="W1768" s="129"/>
      <c r="X1768" s="129"/>
      <c r="Y1768" s="129"/>
      <c r="Z1768" s="129"/>
      <c r="AA1768" s="129"/>
      <c r="AB1768" s="129"/>
    </row>
    <row r="1769" hidden="1">
      <c r="A1769" s="299" t="s">
        <v>1225</v>
      </c>
      <c r="B1769" s="300">
        <v>1500.0</v>
      </c>
      <c r="C1769" s="300">
        <v>3300.0</v>
      </c>
      <c r="D1769" s="301">
        <f t="shared" si="220"/>
        <v>1800</v>
      </c>
      <c r="E1769" s="300" t="s">
        <v>123</v>
      </c>
      <c r="F1769" s="400"/>
      <c r="G1769" s="217"/>
      <c r="H1769" s="217"/>
      <c r="I1769" s="217"/>
      <c r="J1769" s="217"/>
      <c r="K1769" s="217"/>
      <c r="L1769" s="217"/>
      <c r="M1769" s="217"/>
      <c r="N1769" s="217"/>
      <c r="O1769" s="217"/>
      <c r="P1769" s="217"/>
      <c r="Q1769" s="217"/>
      <c r="R1769" s="217"/>
      <c r="S1769" s="217"/>
      <c r="T1769" s="217"/>
      <c r="U1769" s="217"/>
      <c r="V1769" s="217"/>
      <c r="W1769" s="217"/>
      <c r="X1769" s="217"/>
      <c r="Y1769" s="217"/>
      <c r="Z1769" s="217"/>
      <c r="AA1769" s="217"/>
      <c r="AB1769" s="217"/>
    </row>
    <row r="1770" hidden="1">
      <c r="A1770" s="128" t="s">
        <v>1213</v>
      </c>
      <c r="B1770" s="147">
        <v>2780.0</v>
      </c>
      <c r="C1770" s="147">
        <v>2889.0</v>
      </c>
      <c r="D1770" s="132">
        <f t="shared" si="220"/>
        <v>109</v>
      </c>
      <c r="E1770" s="147" t="s">
        <v>123</v>
      </c>
      <c r="F1770" s="127"/>
      <c r="G1770" s="150"/>
      <c r="H1770" s="129"/>
      <c r="I1770" s="129"/>
      <c r="J1770" s="129"/>
      <c r="K1770" s="129"/>
      <c r="L1770" s="129"/>
      <c r="M1770" s="129"/>
      <c r="N1770" s="129"/>
      <c r="O1770" s="129"/>
      <c r="P1770" s="129"/>
      <c r="Q1770" s="129"/>
      <c r="R1770" s="129"/>
      <c r="S1770" s="129"/>
      <c r="T1770" s="129"/>
      <c r="U1770" s="129"/>
      <c r="V1770" s="129"/>
      <c r="W1770" s="129"/>
      <c r="X1770" s="129"/>
      <c r="Y1770" s="129"/>
      <c r="Z1770" s="129"/>
      <c r="AA1770" s="129"/>
      <c r="AB1770" s="129"/>
    </row>
    <row r="1771" hidden="1">
      <c r="A1771" s="128" t="s">
        <v>1213</v>
      </c>
      <c r="B1771" s="147">
        <v>0.0</v>
      </c>
      <c r="C1771" s="147">
        <v>0.0</v>
      </c>
      <c r="D1771" s="132">
        <f t="shared" si="220"/>
        <v>0</v>
      </c>
      <c r="E1771" s="147" t="s">
        <v>123</v>
      </c>
      <c r="F1771" s="127"/>
      <c r="G1771" s="150"/>
      <c r="H1771" s="129"/>
      <c r="I1771" s="129"/>
      <c r="J1771" s="129"/>
      <c r="K1771" s="129"/>
      <c r="L1771" s="129"/>
      <c r="M1771" s="129"/>
      <c r="N1771" s="129"/>
      <c r="O1771" s="129"/>
      <c r="P1771" s="129"/>
      <c r="Q1771" s="129"/>
      <c r="R1771" s="129"/>
      <c r="S1771" s="129"/>
      <c r="T1771" s="129"/>
      <c r="U1771" s="129"/>
      <c r="V1771" s="129"/>
      <c r="W1771" s="129"/>
      <c r="X1771" s="129"/>
      <c r="Y1771" s="129"/>
      <c r="Z1771" s="129"/>
      <c r="AA1771" s="129"/>
      <c r="AB1771" s="129"/>
    </row>
    <row r="1772" hidden="1">
      <c r="A1772" s="123" t="s">
        <v>443</v>
      </c>
      <c r="B1772" s="147">
        <v>1390.0</v>
      </c>
      <c r="C1772" s="124">
        <v>1463.0</v>
      </c>
      <c r="D1772" s="125">
        <f t="shared" si="220"/>
        <v>73</v>
      </c>
      <c r="E1772" s="126" t="s">
        <v>123</v>
      </c>
      <c r="F1772" s="124"/>
      <c r="G1772" s="123"/>
    </row>
    <row r="1773" hidden="1">
      <c r="A1773" s="128" t="s">
        <v>1179</v>
      </c>
      <c r="B1773" s="147">
        <v>1390.0</v>
      </c>
      <c r="C1773" s="147">
        <v>1549.0</v>
      </c>
      <c r="D1773" s="132">
        <f t="shared" si="220"/>
        <v>159</v>
      </c>
      <c r="E1773" s="147" t="s">
        <v>123</v>
      </c>
      <c r="F1773" s="127"/>
      <c r="G1773" s="150"/>
      <c r="H1773" s="129"/>
      <c r="I1773" s="129"/>
      <c r="J1773" s="129"/>
      <c r="K1773" s="129"/>
      <c r="L1773" s="129"/>
      <c r="M1773" s="129"/>
      <c r="N1773" s="129"/>
      <c r="O1773" s="129"/>
      <c r="P1773" s="129"/>
      <c r="Q1773" s="129"/>
      <c r="R1773" s="129"/>
      <c r="S1773" s="129"/>
      <c r="T1773" s="129"/>
      <c r="U1773" s="129"/>
      <c r="V1773" s="129"/>
      <c r="W1773" s="129"/>
      <c r="X1773" s="129"/>
      <c r="Y1773" s="129"/>
      <c r="Z1773" s="129"/>
      <c r="AA1773" s="129"/>
      <c r="AB1773" s="129"/>
    </row>
    <row r="1774" hidden="1">
      <c r="A1774" s="128" t="s">
        <v>1179</v>
      </c>
      <c r="B1774" s="147">
        <v>1390.0</v>
      </c>
      <c r="C1774" s="147">
        <v>1549.0</v>
      </c>
      <c r="D1774" s="132">
        <f t="shared" si="220"/>
        <v>159</v>
      </c>
      <c r="E1774" s="147" t="s">
        <v>123</v>
      </c>
      <c r="F1774" s="127"/>
      <c r="G1774" s="150"/>
      <c r="H1774" s="129"/>
      <c r="I1774" s="129"/>
      <c r="J1774" s="129"/>
      <c r="K1774" s="129"/>
      <c r="L1774" s="129"/>
      <c r="M1774" s="129"/>
      <c r="N1774" s="129"/>
      <c r="O1774" s="129"/>
      <c r="P1774" s="129"/>
      <c r="Q1774" s="129"/>
      <c r="R1774" s="129"/>
      <c r="S1774" s="129"/>
      <c r="T1774" s="129"/>
      <c r="U1774" s="129"/>
      <c r="V1774" s="129"/>
      <c r="W1774" s="129"/>
      <c r="X1774" s="129"/>
      <c r="Y1774" s="129"/>
      <c r="Z1774" s="129"/>
      <c r="AA1774" s="129"/>
      <c r="AB1774" s="129"/>
    </row>
    <row r="1775" hidden="1">
      <c r="A1775" s="123" t="s">
        <v>443</v>
      </c>
      <c r="B1775" s="147">
        <v>1390.0</v>
      </c>
      <c r="C1775" s="124">
        <v>1458.0</v>
      </c>
      <c r="D1775" s="125">
        <f t="shared" si="220"/>
        <v>68</v>
      </c>
      <c r="E1775" s="126" t="s">
        <v>123</v>
      </c>
      <c r="F1775" s="124"/>
      <c r="G1775" s="123"/>
    </row>
    <row r="1776" hidden="1">
      <c r="A1776" s="128" t="s">
        <v>1215</v>
      </c>
      <c r="B1776" s="147">
        <v>1390.0</v>
      </c>
      <c r="C1776" s="147">
        <v>1571.0</v>
      </c>
      <c r="D1776" s="132">
        <f t="shared" si="220"/>
        <v>181</v>
      </c>
      <c r="E1776" s="147" t="s">
        <v>123</v>
      </c>
      <c r="F1776" s="127"/>
      <c r="G1776" s="150"/>
      <c r="H1776" s="129"/>
      <c r="I1776" s="129"/>
      <c r="J1776" s="129"/>
      <c r="K1776" s="129"/>
      <c r="L1776" s="129"/>
      <c r="M1776" s="129"/>
      <c r="N1776" s="129"/>
      <c r="O1776" s="129"/>
      <c r="P1776" s="129"/>
      <c r="Q1776" s="129"/>
      <c r="R1776" s="129"/>
      <c r="S1776" s="129"/>
      <c r="T1776" s="129"/>
      <c r="U1776" s="129"/>
      <c r="V1776" s="129"/>
      <c r="W1776" s="129"/>
      <c r="X1776" s="129"/>
      <c r="Y1776" s="129"/>
      <c r="Z1776" s="129"/>
      <c r="AA1776" s="129"/>
      <c r="AB1776" s="129"/>
    </row>
    <row r="1777" hidden="1">
      <c r="A1777" s="128" t="s">
        <v>1215</v>
      </c>
      <c r="B1777" s="147">
        <v>1390.0</v>
      </c>
      <c r="C1777" s="147">
        <v>1571.0</v>
      </c>
      <c r="D1777" s="132">
        <f t="shared" si="220"/>
        <v>181</v>
      </c>
      <c r="E1777" s="147" t="s">
        <v>123</v>
      </c>
      <c r="F1777" s="127"/>
      <c r="G1777" s="150"/>
      <c r="H1777" s="129"/>
      <c r="I1777" s="129"/>
      <c r="J1777" s="129"/>
      <c r="K1777" s="129"/>
      <c r="L1777" s="129"/>
      <c r="M1777" s="129"/>
      <c r="N1777" s="129"/>
      <c r="O1777" s="129"/>
      <c r="P1777" s="129"/>
      <c r="Q1777" s="129"/>
      <c r="R1777" s="129"/>
      <c r="S1777" s="129"/>
      <c r="T1777" s="129"/>
      <c r="U1777" s="129"/>
      <c r="V1777" s="129"/>
      <c r="W1777" s="129"/>
      <c r="X1777" s="129"/>
      <c r="Y1777" s="129"/>
      <c r="Z1777" s="129"/>
      <c r="AA1777" s="129"/>
      <c r="AB1777" s="129"/>
    </row>
    <row r="1778" hidden="1">
      <c r="A1778" s="150" t="s">
        <v>1226</v>
      </c>
      <c r="B1778" s="132">
        <v>1090.0</v>
      </c>
      <c r="C1778" s="147">
        <v>1186.0</v>
      </c>
      <c r="D1778" s="132">
        <f t="shared" si="220"/>
        <v>96</v>
      </c>
      <c r="E1778" s="132" t="s">
        <v>123</v>
      </c>
      <c r="F1778" s="132"/>
      <c r="G1778" s="129"/>
      <c r="H1778" s="129"/>
      <c r="I1778" s="129"/>
      <c r="J1778" s="129"/>
      <c r="K1778" s="129"/>
      <c r="L1778" s="129"/>
      <c r="M1778" s="129"/>
      <c r="N1778" s="129"/>
      <c r="O1778" s="129"/>
      <c r="P1778" s="129"/>
      <c r="Q1778" s="129"/>
      <c r="R1778" s="129"/>
      <c r="S1778" s="129"/>
      <c r="T1778" s="129"/>
      <c r="U1778" s="129"/>
      <c r="V1778" s="129"/>
      <c r="W1778" s="129"/>
      <c r="X1778" s="129"/>
      <c r="Y1778" s="129"/>
      <c r="Z1778" s="129"/>
      <c r="AA1778" s="129"/>
      <c r="AB1778" s="129"/>
    </row>
    <row r="1779" hidden="1">
      <c r="A1779" s="123" t="s">
        <v>1227</v>
      </c>
      <c r="B1779" s="124">
        <v>4538.0</v>
      </c>
      <c r="C1779" s="124">
        <v>4700.0</v>
      </c>
      <c r="D1779" s="125">
        <f t="shared" si="220"/>
        <v>162</v>
      </c>
      <c r="E1779" s="147" t="s">
        <v>1228</v>
      </c>
      <c r="F1779" s="139"/>
      <c r="G1779" s="150"/>
      <c r="H1779" s="129"/>
      <c r="I1779" s="129"/>
      <c r="J1779" s="129"/>
      <c r="K1779" s="129"/>
      <c r="L1779" s="129"/>
      <c r="M1779" s="129"/>
      <c r="N1779" s="129"/>
      <c r="O1779" s="129"/>
      <c r="P1779" s="129"/>
      <c r="Q1779" s="129"/>
      <c r="R1779" s="129"/>
      <c r="S1779" s="129"/>
      <c r="T1779" s="129"/>
      <c r="U1779" s="129"/>
      <c r="V1779" s="129"/>
      <c r="W1779" s="129"/>
      <c r="X1779" s="129"/>
      <c r="Y1779" s="129"/>
      <c r="Z1779" s="129"/>
      <c r="AA1779" s="129"/>
      <c r="AB1779" s="129"/>
    </row>
    <row r="1780" hidden="1">
      <c r="A1780" s="123" t="s">
        <v>1229</v>
      </c>
      <c r="B1780" s="124">
        <v>4538.0</v>
      </c>
      <c r="C1780" s="124">
        <v>4875.0</v>
      </c>
      <c r="D1780" s="125">
        <f t="shared" si="220"/>
        <v>337</v>
      </c>
      <c r="E1780" s="147" t="s">
        <v>1228</v>
      </c>
      <c r="F1780" s="139"/>
      <c r="G1780" s="150"/>
      <c r="H1780" s="129"/>
      <c r="I1780" s="129"/>
      <c r="J1780" s="129"/>
      <c r="K1780" s="129"/>
      <c r="L1780" s="129"/>
      <c r="M1780" s="129"/>
      <c r="N1780" s="129"/>
      <c r="O1780" s="129"/>
      <c r="P1780" s="129"/>
      <c r="Q1780" s="129"/>
      <c r="R1780" s="129"/>
      <c r="S1780" s="129"/>
      <c r="T1780" s="129"/>
      <c r="U1780" s="129"/>
      <c r="V1780" s="129"/>
      <c r="W1780" s="129"/>
      <c r="X1780" s="129"/>
      <c r="Y1780" s="129"/>
      <c r="Z1780" s="129"/>
      <c r="AA1780" s="129"/>
      <c r="AB1780" s="129"/>
    </row>
    <row r="1781" hidden="1">
      <c r="A1781" s="123" t="s">
        <v>1230</v>
      </c>
      <c r="B1781" s="124">
        <v>4538.0</v>
      </c>
      <c r="C1781" s="124">
        <v>5325.0</v>
      </c>
      <c r="D1781" s="125">
        <f t="shared" si="220"/>
        <v>787</v>
      </c>
      <c r="E1781" s="147" t="s">
        <v>1228</v>
      </c>
      <c r="F1781" s="139"/>
      <c r="G1781" s="150"/>
      <c r="H1781" s="129"/>
      <c r="I1781" s="129"/>
      <c r="J1781" s="129"/>
      <c r="K1781" s="129"/>
      <c r="L1781" s="129"/>
      <c r="M1781" s="129"/>
      <c r="N1781" s="129"/>
      <c r="O1781" s="129"/>
      <c r="P1781" s="129"/>
      <c r="Q1781" s="129"/>
      <c r="R1781" s="129"/>
      <c r="S1781" s="129"/>
      <c r="T1781" s="129"/>
      <c r="U1781" s="129"/>
      <c r="V1781" s="129"/>
      <c r="W1781" s="129"/>
      <c r="X1781" s="129"/>
      <c r="Y1781" s="129"/>
      <c r="Z1781" s="129"/>
      <c r="AA1781" s="129"/>
      <c r="AB1781" s="129"/>
    </row>
    <row r="1782" hidden="1">
      <c r="A1782" s="123" t="s">
        <v>1231</v>
      </c>
      <c r="B1782" s="124">
        <v>4538.0</v>
      </c>
      <c r="C1782" s="124">
        <v>5575.0</v>
      </c>
      <c r="D1782" s="125">
        <f t="shared" si="220"/>
        <v>1037</v>
      </c>
      <c r="E1782" s="147" t="s">
        <v>1228</v>
      </c>
      <c r="F1782" s="139"/>
      <c r="G1782" s="150"/>
      <c r="H1782" s="129"/>
      <c r="I1782" s="129"/>
      <c r="J1782" s="129"/>
      <c r="K1782" s="129"/>
      <c r="L1782" s="129"/>
      <c r="M1782" s="129"/>
      <c r="N1782" s="129"/>
      <c r="O1782" s="129"/>
      <c r="P1782" s="129"/>
      <c r="Q1782" s="129"/>
      <c r="R1782" s="129"/>
      <c r="S1782" s="129"/>
      <c r="T1782" s="129"/>
      <c r="U1782" s="129"/>
      <c r="V1782" s="129"/>
      <c r="W1782" s="129"/>
      <c r="X1782" s="129"/>
      <c r="Y1782" s="129"/>
      <c r="Z1782" s="129"/>
      <c r="AA1782" s="129"/>
      <c r="AB1782" s="129"/>
    </row>
    <row r="1783" hidden="1">
      <c r="A1783" s="143"/>
      <c r="B1783" s="139"/>
      <c r="C1783" s="139"/>
      <c r="D1783" s="139"/>
      <c r="E1783" s="129"/>
      <c r="F1783" s="129"/>
      <c r="G1783" s="129"/>
      <c r="H1783" s="129"/>
      <c r="I1783" s="129"/>
      <c r="J1783" s="129"/>
      <c r="K1783" s="129"/>
      <c r="L1783" s="129"/>
      <c r="M1783" s="129"/>
      <c r="N1783" s="129"/>
      <c r="O1783" s="129"/>
      <c r="P1783" s="129"/>
      <c r="Q1783" s="129"/>
      <c r="R1783" s="129"/>
      <c r="S1783" s="129"/>
      <c r="T1783" s="129"/>
      <c r="U1783" s="129"/>
      <c r="V1783" s="129"/>
      <c r="W1783" s="129"/>
      <c r="X1783" s="129"/>
      <c r="Y1783" s="129"/>
      <c r="Z1783" s="129"/>
      <c r="AA1783" s="129"/>
      <c r="AB1783" s="129"/>
    </row>
    <row r="1784" hidden="1">
      <c r="A1784" s="144" t="s">
        <v>57</v>
      </c>
      <c r="B1784" s="145">
        <f t="shared" ref="B1784:D1784" si="221">SUM(B1765:B1783)</f>
        <v>79452</v>
      </c>
      <c r="C1784" s="145">
        <f t="shared" si="221"/>
        <v>88050</v>
      </c>
      <c r="D1784" s="145">
        <f t="shared" si="221"/>
        <v>8598</v>
      </c>
      <c r="E1784" s="146">
        <f>D1784/(C1784/100)</f>
        <v>9.764906303</v>
      </c>
      <c r="F1784" s="129"/>
      <c r="G1784" s="129"/>
      <c r="H1784" s="129"/>
      <c r="I1784" s="129"/>
      <c r="J1784" s="129"/>
      <c r="K1784" s="129"/>
      <c r="L1784" s="129"/>
      <c r="M1784" s="129"/>
      <c r="N1784" s="129"/>
      <c r="O1784" s="129"/>
      <c r="P1784" s="129"/>
      <c r="Q1784" s="129"/>
      <c r="R1784" s="129"/>
      <c r="S1784" s="129"/>
      <c r="T1784" s="129"/>
      <c r="U1784" s="129"/>
      <c r="V1784" s="129"/>
      <c r="W1784" s="129"/>
      <c r="X1784" s="129"/>
      <c r="Y1784" s="129"/>
      <c r="Z1784" s="129"/>
      <c r="AA1784" s="129"/>
      <c r="AB1784" s="129"/>
    </row>
    <row r="1785" hidden="1">
      <c r="A1785" s="150"/>
      <c r="B1785" s="147"/>
      <c r="C1785" s="147"/>
      <c r="D1785" s="132"/>
      <c r="E1785" s="132"/>
      <c r="F1785" s="139"/>
      <c r="G1785" s="150"/>
      <c r="H1785" s="129"/>
      <c r="I1785" s="129"/>
      <c r="J1785" s="129"/>
      <c r="K1785" s="129"/>
      <c r="L1785" s="129"/>
      <c r="M1785" s="129"/>
      <c r="N1785" s="129"/>
      <c r="O1785" s="129"/>
      <c r="P1785" s="129"/>
      <c r="Q1785" s="129"/>
      <c r="R1785" s="129"/>
      <c r="S1785" s="129"/>
      <c r="T1785" s="129"/>
      <c r="U1785" s="129"/>
      <c r="V1785" s="129"/>
      <c r="W1785" s="129"/>
      <c r="X1785" s="129"/>
      <c r="Y1785" s="129"/>
      <c r="Z1785" s="129"/>
      <c r="AA1785" s="129"/>
      <c r="AB1785" s="129"/>
    </row>
    <row r="1786" hidden="1">
      <c r="A1786" s="141">
        <v>44501.0</v>
      </c>
      <c r="B1786" s="139"/>
      <c r="C1786" s="139"/>
      <c r="D1786" s="139"/>
      <c r="E1786" s="129"/>
      <c r="F1786" s="129"/>
      <c r="G1786" s="129"/>
      <c r="H1786" s="129"/>
      <c r="I1786" s="129"/>
      <c r="J1786" s="129"/>
      <c r="K1786" s="129"/>
      <c r="L1786" s="129"/>
      <c r="M1786" s="129"/>
      <c r="N1786" s="129"/>
      <c r="O1786" s="129"/>
      <c r="P1786" s="129"/>
      <c r="Q1786" s="129"/>
      <c r="R1786" s="129"/>
      <c r="S1786" s="129"/>
      <c r="T1786" s="129"/>
      <c r="U1786" s="129"/>
      <c r="V1786" s="129"/>
      <c r="W1786" s="129"/>
      <c r="X1786" s="129"/>
      <c r="Y1786" s="129"/>
      <c r="Z1786" s="129"/>
      <c r="AA1786" s="129"/>
      <c r="AB1786" s="129"/>
    </row>
    <row r="1787" hidden="1">
      <c r="A1787" s="123" t="s">
        <v>1231</v>
      </c>
      <c r="B1787" s="147">
        <v>4620.0</v>
      </c>
      <c r="C1787" s="147">
        <v>5150.0</v>
      </c>
      <c r="D1787" s="132">
        <f t="shared" ref="D1787:D1926" si="222">C1787-B1787</f>
        <v>530</v>
      </c>
      <c r="E1787" s="132" t="s">
        <v>1228</v>
      </c>
      <c r="F1787" s="139"/>
      <c r="G1787" s="129"/>
      <c r="H1787" s="129"/>
      <c r="I1787" s="129"/>
      <c r="J1787" s="129"/>
      <c r="K1787" s="129"/>
      <c r="L1787" s="129"/>
      <c r="M1787" s="129"/>
      <c r="N1787" s="129"/>
      <c r="O1787" s="129"/>
      <c r="P1787" s="129"/>
      <c r="Q1787" s="129"/>
      <c r="R1787" s="129"/>
      <c r="S1787" s="129"/>
      <c r="T1787" s="129"/>
      <c r="U1787" s="129"/>
      <c r="V1787" s="129"/>
      <c r="W1787" s="129"/>
      <c r="X1787" s="129"/>
      <c r="Y1787" s="129"/>
      <c r="Z1787" s="129"/>
      <c r="AA1787" s="129"/>
      <c r="AB1787" s="129"/>
    </row>
    <row r="1788" hidden="1">
      <c r="A1788" s="123" t="s">
        <v>1232</v>
      </c>
      <c r="B1788" s="147">
        <v>23100.0</v>
      </c>
      <c r="C1788" s="147">
        <v>16500.0</v>
      </c>
      <c r="D1788" s="132">
        <f t="shared" si="222"/>
        <v>-6600</v>
      </c>
      <c r="E1788" s="147" t="s">
        <v>1232</v>
      </c>
      <c r="F1788" s="139"/>
      <c r="G1788" s="129"/>
      <c r="H1788" s="129"/>
      <c r="I1788" s="129"/>
      <c r="J1788" s="129"/>
      <c r="K1788" s="129"/>
      <c r="L1788" s="129"/>
      <c r="M1788" s="129"/>
      <c r="N1788" s="129"/>
      <c r="O1788" s="129"/>
      <c r="P1788" s="129"/>
      <c r="Q1788" s="129"/>
      <c r="R1788" s="129"/>
      <c r="S1788" s="129"/>
      <c r="T1788" s="129"/>
      <c r="U1788" s="129"/>
      <c r="V1788" s="129"/>
      <c r="W1788" s="129"/>
      <c r="X1788" s="129"/>
      <c r="Y1788" s="129"/>
      <c r="Z1788" s="129"/>
      <c r="AA1788" s="129"/>
      <c r="AB1788" s="129"/>
    </row>
    <row r="1789" hidden="1">
      <c r="A1789" s="123" t="s">
        <v>1233</v>
      </c>
      <c r="B1789" s="147">
        <v>8250.0</v>
      </c>
      <c r="C1789" s="147">
        <v>6900.0</v>
      </c>
      <c r="D1789" s="132">
        <f t="shared" si="222"/>
        <v>-1350</v>
      </c>
      <c r="E1789" s="132" t="s">
        <v>1228</v>
      </c>
      <c r="F1789" s="139"/>
      <c r="G1789" s="129"/>
      <c r="H1789" s="129"/>
      <c r="I1789" s="129"/>
      <c r="J1789" s="129"/>
      <c r="K1789" s="129"/>
      <c r="L1789" s="129"/>
      <c r="M1789" s="129"/>
      <c r="N1789" s="129"/>
      <c r="O1789" s="129"/>
      <c r="P1789" s="129"/>
      <c r="Q1789" s="129"/>
      <c r="R1789" s="129"/>
      <c r="S1789" s="129"/>
      <c r="T1789" s="129"/>
      <c r="U1789" s="129"/>
      <c r="V1789" s="129"/>
      <c r="W1789" s="129"/>
      <c r="X1789" s="129"/>
      <c r="Y1789" s="129"/>
      <c r="Z1789" s="129"/>
      <c r="AA1789" s="129"/>
      <c r="AB1789" s="129"/>
    </row>
    <row r="1790" hidden="1">
      <c r="A1790" s="123" t="s">
        <v>1234</v>
      </c>
      <c r="B1790" s="147">
        <v>4538.0</v>
      </c>
      <c r="C1790" s="147">
        <v>5100.0</v>
      </c>
      <c r="D1790" s="132">
        <f t="shared" si="222"/>
        <v>562</v>
      </c>
      <c r="E1790" s="132" t="s">
        <v>1228</v>
      </c>
      <c r="F1790" s="139"/>
      <c r="G1790" s="129"/>
      <c r="H1790" s="129"/>
      <c r="I1790" s="129"/>
      <c r="J1790" s="129"/>
      <c r="K1790" s="129"/>
      <c r="L1790" s="129"/>
      <c r="M1790" s="129"/>
      <c r="N1790" s="129"/>
      <c r="O1790" s="129"/>
      <c r="P1790" s="129"/>
      <c r="Q1790" s="129"/>
      <c r="R1790" s="129"/>
      <c r="S1790" s="129"/>
      <c r="T1790" s="129"/>
      <c r="U1790" s="129"/>
      <c r="V1790" s="129"/>
      <c r="W1790" s="129"/>
      <c r="X1790" s="129"/>
      <c r="Y1790" s="129"/>
      <c r="Z1790" s="129"/>
      <c r="AA1790" s="129"/>
      <c r="AB1790" s="129"/>
    </row>
    <row r="1791" hidden="1">
      <c r="A1791" s="123" t="s">
        <v>1235</v>
      </c>
      <c r="B1791" s="147">
        <v>8415.0</v>
      </c>
      <c r="C1791" s="147">
        <v>9000.0</v>
      </c>
      <c r="D1791" s="132">
        <f t="shared" si="222"/>
        <v>585</v>
      </c>
      <c r="E1791" s="132" t="s">
        <v>1228</v>
      </c>
      <c r="F1791" s="139"/>
      <c r="G1791" s="129"/>
      <c r="H1791" s="129"/>
      <c r="I1791" s="129"/>
      <c r="J1791" s="129"/>
      <c r="K1791" s="129"/>
      <c r="L1791" s="129"/>
      <c r="M1791" s="129"/>
      <c r="N1791" s="129"/>
      <c r="O1791" s="129"/>
      <c r="P1791" s="129"/>
      <c r="Q1791" s="129"/>
      <c r="R1791" s="129"/>
      <c r="S1791" s="129"/>
      <c r="T1791" s="129"/>
      <c r="U1791" s="129"/>
      <c r="V1791" s="129"/>
      <c r="W1791" s="129"/>
      <c r="X1791" s="129"/>
      <c r="Y1791" s="129"/>
      <c r="Z1791" s="129"/>
      <c r="AA1791" s="129"/>
      <c r="AB1791" s="129"/>
    </row>
    <row r="1792" hidden="1">
      <c r="A1792" s="123" t="s">
        <v>1231</v>
      </c>
      <c r="B1792" s="147">
        <v>4290.0</v>
      </c>
      <c r="C1792" s="147">
        <v>4900.0</v>
      </c>
      <c r="D1792" s="132">
        <f t="shared" si="222"/>
        <v>610</v>
      </c>
      <c r="E1792" s="132" t="s">
        <v>1228</v>
      </c>
      <c r="F1792" s="139"/>
      <c r="G1792" s="129"/>
      <c r="H1792" s="129"/>
      <c r="I1792" s="129"/>
      <c r="J1792" s="129"/>
      <c r="K1792" s="129"/>
      <c r="L1792" s="129"/>
      <c r="M1792" s="129"/>
      <c r="N1792" s="129"/>
      <c r="O1792" s="129"/>
      <c r="P1792" s="129"/>
      <c r="Q1792" s="129"/>
      <c r="R1792" s="129"/>
      <c r="S1792" s="129"/>
      <c r="T1792" s="129"/>
      <c r="U1792" s="129"/>
      <c r="V1792" s="129"/>
      <c r="W1792" s="129"/>
      <c r="X1792" s="129"/>
      <c r="Y1792" s="129"/>
      <c r="Z1792" s="129"/>
      <c r="AA1792" s="129"/>
      <c r="AB1792" s="129"/>
    </row>
    <row r="1793" hidden="1">
      <c r="A1793" s="123" t="s">
        <v>1236</v>
      </c>
      <c r="B1793" s="147">
        <v>8415.0</v>
      </c>
      <c r="C1793" s="147">
        <v>9100.0</v>
      </c>
      <c r="D1793" s="132">
        <f t="shared" si="222"/>
        <v>685</v>
      </c>
      <c r="E1793" s="132" t="s">
        <v>1228</v>
      </c>
      <c r="F1793" s="139"/>
      <c r="G1793" s="129"/>
      <c r="H1793" s="129"/>
      <c r="I1793" s="129"/>
      <c r="J1793" s="129"/>
      <c r="K1793" s="129"/>
      <c r="L1793" s="129"/>
      <c r="M1793" s="129"/>
      <c r="N1793" s="129"/>
      <c r="O1793" s="129"/>
      <c r="P1793" s="129"/>
      <c r="Q1793" s="129"/>
      <c r="R1793" s="129"/>
      <c r="S1793" s="129"/>
      <c r="T1793" s="129"/>
      <c r="U1793" s="129"/>
      <c r="V1793" s="129"/>
      <c r="W1793" s="129"/>
      <c r="X1793" s="129"/>
      <c r="Y1793" s="129"/>
      <c r="Z1793" s="129"/>
      <c r="AA1793" s="129"/>
      <c r="AB1793" s="129"/>
    </row>
    <row r="1794" hidden="1">
      <c r="A1794" s="123" t="s">
        <v>1237</v>
      </c>
      <c r="B1794" s="147">
        <v>6930.0</v>
      </c>
      <c r="C1794" s="147">
        <v>7850.0</v>
      </c>
      <c r="D1794" s="132">
        <f t="shared" si="222"/>
        <v>920</v>
      </c>
      <c r="E1794" s="132" t="s">
        <v>1228</v>
      </c>
      <c r="F1794" s="139"/>
      <c r="G1794" s="129"/>
      <c r="H1794" s="129"/>
      <c r="I1794" s="129"/>
      <c r="J1794" s="129"/>
      <c r="K1794" s="129"/>
      <c r="L1794" s="129"/>
      <c r="M1794" s="129"/>
      <c r="N1794" s="129"/>
      <c r="O1794" s="129"/>
      <c r="P1794" s="129"/>
      <c r="Q1794" s="129"/>
      <c r="R1794" s="129"/>
      <c r="S1794" s="129"/>
      <c r="T1794" s="129"/>
      <c r="U1794" s="129"/>
      <c r="V1794" s="129"/>
      <c r="W1794" s="129"/>
      <c r="X1794" s="129"/>
      <c r="Y1794" s="129"/>
      <c r="Z1794" s="129"/>
      <c r="AA1794" s="129"/>
      <c r="AB1794" s="129"/>
    </row>
    <row r="1795" hidden="1">
      <c r="A1795" s="123" t="s">
        <v>1237</v>
      </c>
      <c r="B1795" s="147">
        <v>6930.0</v>
      </c>
      <c r="C1795" s="147">
        <v>7900.0</v>
      </c>
      <c r="D1795" s="132">
        <f t="shared" si="222"/>
        <v>970</v>
      </c>
      <c r="E1795" s="132" t="s">
        <v>1228</v>
      </c>
      <c r="F1795" s="139"/>
      <c r="G1795" s="129"/>
      <c r="H1795" s="129"/>
      <c r="I1795" s="129"/>
      <c r="J1795" s="129"/>
      <c r="K1795" s="129"/>
      <c r="L1795" s="129"/>
      <c r="M1795" s="129"/>
      <c r="N1795" s="129"/>
      <c r="O1795" s="129"/>
      <c r="P1795" s="129"/>
      <c r="Q1795" s="129"/>
      <c r="R1795" s="129"/>
      <c r="S1795" s="129"/>
      <c r="T1795" s="129"/>
      <c r="U1795" s="129"/>
      <c r="V1795" s="129"/>
      <c r="W1795" s="129"/>
      <c r="X1795" s="129"/>
      <c r="Y1795" s="129"/>
      <c r="Z1795" s="129"/>
      <c r="AA1795" s="129"/>
      <c r="AB1795" s="129"/>
    </row>
    <row r="1796" hidden="1">
      <c r="A1796" s="123" t="s">
        <v>1237</v>
      </c>
      <c r="B1796" s="147">
        <v>6930.0</v>
      </c>
      <c r="C1796" s="147">
        <v>7850.0</v>
      </c>
      <c r="D1796" s="132">
        <f t="shared" si="222"/>
        <v>920</v>
      </c>
      <c r="E1796" s="132" t="s">
        <v>1228</v>
      </c>
      <c r="F1796" s="139"/>
      <c r="G1796" s="129"/>
      <c r="H1796" s="129"/>
      <c r="I1796" s="129"/>
      <c r="J1796" s="129"/>
      <c r="K1796" s="129"/>
      <c r="L1796" s="129"/>
      <c r="M1796" s="129"/>
      <c r="N1796" s="129"/>
      <c r="O1796" s="129"/>
      <c r="P1796" s="129"/>
      <c r="Q1796" s="129"/>
      <c r="R1796" s="129"/>
      <c r="S1796" s="129"/>
      <c r="T1796" s="129"/>
      <c r="U1796" s="129"/>
      <c r="V1796" s="129"/>
      <c r="W1796" s="129"/>
      <c r="X1796" s="129"/>
      <c r="Y1796" s="129"/>
      <c r="Z1796" s="129"/>
      <c r="AA1796" s="129"/>
      <c r="AB1796" s="129"/>
    </row>
    <row r="1797" hidden="1">
      <c r="A1797" s="123" t="s">
        <v>1238</v>
      </c>
      <c r="B1797" s="147">
        <v>6930.0</v>
      </c>
      <c r="C1797" s="147">
        <v>7900.0</v>
      </c>
      <c r="D1797" s="132">
        <f t="shared" si="222"/>
        <v>970</v>
      </c>
      <c r="E1797" s="132" t="s">
        <v>1228</v>
      </c>
      <c r="F1797" s="139"/>
      <c r="G1797" s="129"/>
      <c r="H1797" s="129"/>
      <c r="I1797" s="129"/>
      <c r="J1797" s="129"/>
      <c r="K1797" s="129"/>
      <c r="L1797" s="129"/>
      <c r="M1797" s="129"/>
      <c r="N1797" s="129"/>
      <c r="O1797" s="129"/>
      <c r="P1797" s="129"/>
      <c r="Q1797" s="129"/>
      <c r="R1797" s="129"/>
      <c r="S1797" s="129"/>
      <c r="T1797" s="129"/>
      <c r="U1797" s="129"/>
      <c r="V1797" s="129"/>
      <c r="W1797" s="129"/>
      <c r="X1797" s="129"/>
      <c r="Y1797" s="129"/>
      <c r="Z1797" s="129"/>
      <c r="AA1797" s="129"/>
      <c r="AB1797" s="129"/>
    </row>
    <row r="1798" hidden="1">
      <c r="A1798" s="123" t="s">
        <v>1237</v>
      </c>
      <c r="B1798" s="147">
        <v>7920.0</v>
      </c>
      <c r="C1798" s="147">
        <v>8750.0</v>
      </c>
      <c r="D1798" s="132">
        <f t="shared" si="222"/>
        <v>830</v>
      </c>
      <c r="E1798" s="132" t="s">
        <v>1228</v>
      </c>
      <c r="F1798" s="139"/>
      <c r="G1798" s="129"/>
      <c r="H1798" s="129"/>
      <c r="I1798" s="129"/>
      <c r="J1798" s="129"/>
      <c r="K1798" s="129"/>
      <c r="L1798" s="129"/>
      <c r="M1798" s="129"/>
      <c r="N1798" s="129"/>
      <c r="O1798" s="129"/>
      <c r="P1798" s="129"/>
      <c r="Q1798" s="129"/>
      <c r="R1798" s="129"/>
      <c r="S1798" s="129"/>
      <c r="T1798" s="129"/>
      <c r="U1798" s="129"/>
      <c r="V1798" s="129"/>
      <c r="W1798" s="129"/>
      <c r="X1798" s="129"/>
      <c r="Y1798" s="129"/>
      <c r="Z1798" s="129"/>
      <c r="AA1798" s="129"/>
      <c r="AB1798" s="129"/>
    </row>
    <row r="1799" hidden="1">
      <c r="A1799" s="123" t="s">
        <v>1233</v>
      </c>
      <c r="B1799" s="147">
        <v>7920.0</v>
      </c>
      <c r="C1799" s="147">
        <v>8750.0</v>
      </c>
      <c r="D1799" s="132">
        <f t="shared" si="222"/>
        <v>830</v>
      </c>
      <c r="E1799" s="132" t="s">
        <v>1228</v>
      </c>
      <c r="F1799" s="139"/>
      <c r="G1799" s="129"/>
      <c r="H1799" s="129"/>
      <c r="I1799" s="129"/>
      <c r="J1799" s="129"/>
      <c r="K1799" s="129"/>
      <c r="L1799" s="129"/>
      <c r="M1799" s="129"/>
      <c r="N1799" s="129"/>
      <c r="O1799" s="129"/>
      <c r="P1799" s="129"/>
      <c r="Q1799" s="129"/>
      <c r="R1799" s="129"/>
      <c r="S1799" s="129"/>
      <c r="T1799" s="129"/>
      <c r="U1799" s="129"/>
      <c r="V1799" s="129"/>
      <c r="W1799" s="129"/>
      <c r="X1799" s="129"/>
      <c r="Y1799" s="129"/>
      <c r="Z1799" s="129"/>
      <c r="AA1799" s="129"/>
      <c r="AB1799" s="129"/>
    </row>
    <row r="1800" hidden="1">
      <c r="A1800" s="123" t="s">
        <v>1237</v>
      </c>
      <c r="B1800" s="147">
        <v>7656.0</v>
      </c>
      <c r="C1800" s="147">
        <v>9075.0</v>
      </c>
      <c r="D1800" s="132">
        <f t="shared" si="222"/>
        <v>1419</v>
      </c>
      <c r="E1800" s="132" t="s">
        <v>1228</v>
      </c>
      <c r="F1800" s="139"/>
      <c r="G1800" s="129"/>
      <c r="H1800" s="129"/>
      <c r="I1800" s="129"/>
      <c r="J1800" s="129"/>
      <c r="K1800" s="129"/>
      <c r="L1800" s="129"/>
      <c r="M1800" s="129"/>
      <c r="N1800" s="129"/>
      <c r="O1800" s="129"/>
      <c r="P1800" s="129"/>
      <c r="Q1800" s="129"/>
      <c r="R1800" s="129"/>
      <c r="S1800" s="129"/>
      <c r="T1800" s="129"/>
      <c r="U1800" s="129"/>
      <c r="V1800" s="129"/>
      <c r="W1800" s="129"/>
      <c r="X1800" s="129"/>
      <c r="Y1800" s="129"/>
      <c r="Z1800" s="129"/>
      <c r="AA1800" s="129"/>
      <c r="AB1800" s="129"/>
    </row>
    <row r="1801" hidden="1">
      <c r="A1801" s="123" t="s">
        <v>1237</v>
      </c>
      <c r="B1801" s="147">
        <v>9075.0</v>
      </c>
      <c r="C1801" s="147">
        <v>10150.0</v>
      </c>
      <c r="D1801" s="132">
        <f t="shared" si="222"/>
        <v>1075</v>
      </c>
      <c r="E1801" s="132" t="s">
        <v>1228</v>
      </c>
      <c r="F1801" s="139"/>
      <c r="G1801" s="129"/>
      <c r="H1801" s="129"/>
      <c r="I1801" s="129"/>
      <c r="J1801" s="129"/>
      <c r="K1801" s="129"/>
      <c r="L1801" s="129"/>
      <c r="M1801" s="129"/>
      <c r="N1801" s="129"/>
      <c r="O1801" s="129"/>
      <c r="P1801" s="129"/>
      <c r="Q1801" s="129"/>
      <c r="R1801" s="129"/>
      <c r="S1801" s="129"/>
      <c r="T1801" s="129"/>
      <c r="U1801" s="129"/>
      <c r="V1801" s="129"/>
      <c r="W1801" s="129"/>
      <c r="X1801" s="129"/>
      <c r="Y1801" s="129"/>
      <c r="Z1801" s="129"/>
      <c r="AA1801" s="129"/>
      <c r="AB1801" s="129"/>
    </row>
    <row r="1802" hidden="1">
      <c r="A1802" s="123" t="s">
        <v>1237</v>
      </c>
      <c r="B1802" s="147">
        <v>8415.0</v>
      </c>
      <c r="C1802" s="147">
        <v>10850.0</v>
      </c>
      <c r="D1802" s="132">
        <f t="shared" si="222"/>
        <v>2435</v>
      </c>
      <c r="E1802" s="132" t="s">
        <v>1228</v>
      </c>
      <c r="F1802" s="139"/>
      <c r="G1802" s="129"/>
      <c r="H1802" s="129"/>
      <c r="I1802" s="129"/>
      <c r="J1802" s="129"/>
      <c r="K1802" s="129"/>
      <c r="L1802" s="129"/>
      <c r="M1802" s="129"/>
      <c r="N1802" s="129"/>
      <c r="O1802" s="129"/>
      <c r="P1802" s="129"/>
      <c r="Q1802" s="129"/>
      <c r="R1802" s="129"/>
      <c r="S1802" s="129"/>
      <c r="T1802" s="129"/>
      <c r="U1802" s="129"/>
      <c r="V1802" s="129"/>
      <c r="W1802" s="129"/>
      <c r="X1802" s="129"/>
      <c r="Y1802" s="129"/>
      <c r="Z1802" s="129"/>
      <c r="AA1802" s="129"/>
      <c r="AB1802" s="129"/>
    </row>
    <row r="1803" hidden="1">
      <c r="A1803" s="123" t="s">
        <v>1237</v>
      </c>
      <c r="B1803" s="147">
        <v>8250.0</v>
      </c>
      <c r="C1803" s="147">
        <v>10700.0</v>
      </c>
      <c r="D1803" s="132">
        <f t="shared" si="222"/>
        <v>2450</v>
      </c>
      <c r="E1803" s="132" t="s">
        <v>1228</v>
      </c>
      <c r="F1803" s="139"/>
      <c r="G1803" s="129"/>
      <c r="H1803" s="129"/>
      <c r="I1803" s="129"/>
      <c r="J1803" s="129"/>
      <c r="K1803" s="129"/>
      <c r="L1803" s="129"/>
      <c r="M1803" s="129"/>
      <c r="N1803" s="129"/>
      <c r="O1803" s="129"/>
      <c r="P1803" s="129"/>
      <c r="Q1803" s="129"/>
      <c r="R1803" s="129"/>
      <c r="S1803" s="129"/>
      <c r="T1803" s="129"/>
      <c r="U1803" s="129"/>
      <c r="V1803" s="129"/>
      <c r="W1803" s="129"/>
      <c r="X1803" s="129"/>
      <c r="Y1803" s="129"/>
      <c r="Z1803" s="129"/>
      <c r="AA1803" s="129"/>
      <c r="AB1803" s="129"/>
    </row>
    <row r="1804" hidden="1">
      <c r="A1804" s="123" t="s">
        <v>1237</v>
      </c>
      <c r="B1804" s="147">
        <v>8415.0</v>
      </c>
      <c r="C1804" s="147">
        <v>10200.0</v>
      </c>
      <c r="D1804" s="132">
        <f t="shared" si="222"/>
        <v>1785</v>
      </c>
      <c r="E1804" s="132" t="s">
        <v>1228</v>
      </c>
      <c r="F1804" s="139"/>
      <c r="G1804" s="129"/>
      <c r="H1804" s="129"/>
      <c r="I1804" s="129"/>
      <c r="J1804" s="129"/>
      <c r="K1804" s="129"/>
      <c r="L1804" s="129"/>
      <c r="M1804" s="129"/>
      <c r="N1804" s="129"/>
      <c r="O1804" s="129"/>
      <c r="P1804" s="129"/>
      <c r="Q1804" s="129"/>
      <c r="R1804" s="129"/>
      <c r="S1804" s="129"/>
      <c r="T1804" s="129"/>
      <c r="U1804" s="129"/>
      <c r="V1804" s="129"/>
      <c r="W1804" s="129"/>
      <c r="X1804" s="129"/>
      <c r="Y1804" s="129"/>
      <c r="Z1804" s="129"/>
      <c r="AA1804" s="129"/>
      <c r="AB1804" s="129"/>
    </row>
    <row r="1805" hidden="1">
      <c r="A1805" s="123" t="s">
        <v>1237</v>
      </c>
      <c r="B1805" s="147">
        <v>6848.0</v>
      </c>
      <c r="C1805" s="147">
        <v>10350.0</v>
      </c>
      <c r="D1805" s="132">
        <f t="shared" si="222"/>
        <v>3502</v>
      </c>
      <c r="E1805" s="132" t="s">
        <v>1228</v>
      </c>
      <c r="F1805" s="139"/>
      <c r="G1805" s="129"/>
      <c r="H1805" s="129"/>
      <c r="I1805" s="129"/>
      <c r="J1805" s="129"/>
      <c r="K1805" s="129"/>
      <c r="L1805" s="129"/>
      <c r="M1805" s="129"/>
      <c r="N1805" s="129"/>
      <c r="O1805" s="129"/>
      <c r="P1805" s="129"/>
      <c r="Q1805" s="129"/>
      <c r="R1805" s="129"/>
      <c r="S1805" s="129"/>
      <c r="T1805" s="129"/>
      <c r="U1805" s="129"/>
      <c r="V1805" s="129"/>
      <c r="W1805" s="129"/>
      <c r="X1805" s="129"/>
      <c r="Y1805" s="129"/>
      <c r="Z1805" s="129"/>
      <c r="AA1805" s="129"/>
      <c r="AB1805" s="129"/>
    </row>
    <row r="1806" hidden="1">
      <c r="A1806" s="123" t="s">
        <v>1231</v>
      </c>
      <c r="B1806" s="147">
        <v>6848.0</v>
      </c>
      <c r="C1806" s="147">
        <v>8075.0</v>
      </c>
      <c r="D1806" s="132">
        <f t="shared" si="222"/>
        <v>1227</v>
      </c>
      <c r="E1806" s="132" t="s">
        <v>1228</v>
      </c>
      <c r="F1806" s="139"/>
      <c r="G1806" s="129"/>
      <c r="H1806" s="129"/>
      <c r="I1806" s="129"/>
      <c r="J1806" s="129"/>
      <c r="K1806" s="129"/>
      <c r="L1806" s="129"/>
      <c r="M1806" s="129"/>
      <c r="N1806" s="129"/>
      <c r="O1806" s="129"/>
      <c r="P1806" s="129"/>
      <c r="Q1806" s="129"/>
      <c r="R1806" s="129"/>
      <c r="S1806" s="129"/>
      <c r="T1806" s="129"/>
      <c r="U1806" s="129"/>
      <c r="V1806" s="129"/>
      <c r="W1806" s="129"/>
      <c r="X1806" s="129"/>
      <c r="Y1806" s="129"/>
      <c r="Z1806" s="129"/>
      <c r="AA1806" s="129"/>
      <c r="AB1806" s="129"/>
    </row>
    <row r="1807" hidden="1">
      <c r="A1807" s="123" t="s">
        <v>1239</v>
      </c>
      <c r="B1807" s="147">
        <v>7260.0</v>
      </c>
      <c r="C1807" s="147">
        <v>9000.0</v>
      </c>
      <c r="D1807" s="132">
        <f t="shared" si="222"/>
        <v>1740</v>
      </c>
      <c r="E1807" s="132" t="s">
        <v>1228</v>
      </c>
      <c r="F1807" s="139"/>
      <c r="G1807" s="129"/>
      <c r="H1807" s="129"/>
      <c r="I1807" s="129"/>
      <c r="J1807" s="129"/>
      <c r="K1807" s="129"/>
      <c r="L1807" s="129"/>
      <c r="M1807" s="129"/>
      <c r="N1807" s="129"/>
      <c r="O1807" s="129"/>
      <c r="P1807" s="129"/>
      <c r="Q1807" s="129"/>
      <c r="R1807" s="129"/>
      <c r="S1807" s="129"/>
      <c r="T1807" s="129"/>
      <c r="U1807" s="129"/>
      <c r="V1807" s="129"/>
      <c r="W1807" s="129"/>
      <c r="X1807" s="129"/>
      <c r="Y1807" s="129"/>
      <c r="Z1807" s="129"/>
      <c r="AA1807" s="129"/>
      <c r="AB1807" s="129"/>
    </row>
    <row r="1808" hidden="1">
      <c r="A1808" s="123" t="s">
        <v>1237</v>
      </c>
      <c r="B1808" s="147">
        <v>7095.0</v>
      </c>
      <c r="C1808" s="147">
        <v>9675.0</v>
      </c>
      <c r="D1808" s="132">
        <f t="shared" si="222"/>
        <v>2580</v>
      </c>
      <c r="E1808" s="132" t="s">
        <v>1228</v>
      </c>
      <c r="F1808" s="139"/>
      <c r="G1808" s="129"/>
      <c r="H1808" s="129"/>
      <c r="I1808" s="129"/>
      <c r="J1808" s="129"/>
      <c r="K1808" s="129"/>
      <c r="L1808" s="129"/>
      <c r="M1808" s="129"/>
      <c r="N1808" s="129"/>
      <c r="O1808" s="129"/>
      <c r="P1808" s="129"/>
      <c r="Q1808" s="129"/>
      <c r="R1808" s="129"/>
      <c r="S1808" s="129"/>
      <c r="T1808" s="129"/>
      <c r="U1808" s="129"/>
      <c r="V1808" s="129"/>
      <c r="W1808" s="129"/>
      <c r="X1808" s="129"/>
      <c r="Y1808" s="129"/>
      <c r="Z1808" s="129"/>
      <c r="AA1808" s="129"/>
      <c r="AB1808" s="129"/>
    </row>
    <row r="1809" hidden="1">
      <c r="A1809" s="123" t="s">
        <v>1231</v>
      </c>
      <c r="B1809" s="147">
        <v>6270.0</v>
      </c>
      <c r="C1809" s="147">
        <v>8775.0</v>
      </c>
      <c r="D1809" s="132">
        <f t="shared" si="222"/>
        <v>2505</v>
      </c>
      <c r="E1809" s="132" t="s">
        <v>1228</v>
      </c>
      <c r="F1809" s="139"/>
      <c r="G1809" s="129"/>
      <c r="H1809" s="129"/>
      <c r="I1809" s="129"/>
      <c r="J1809" s="129"/>
      <c r="K1809" s="129"/>
      <c r="L1809" s="129"/>
      <c r="M1809" s="129"/>
      <c r="N1809" s="129"/>
      <c r="O1809" s="129"/>
      <c r="P1809" s="129"/>
      <c r="Q1809" s="129"/>
      <c r="R1809" s="129"/>
      <c r="S1809" s="129"/>
      <c r="T1809" s="129"/>
      <c r="U1809" s="129"/>
      <c r="V1809" s="129"/>
      <c r="W1809" s="129"/>
      <c r="X1809" s="129"/>
      <c r="Y1809" s="129"/>
      <c r="Z1809" s="129"/>
      <c r="AA1809" s="129"/>
      <c r="AB1809" s="129"/>
    </row>
    <row r="1810" hidden="1">
      <c r="A1810" s="123" t="s">
        <v>1231</v>
      </c>
      <c r="B1810" s="147">
        <v>6188.0</v>
      </c>
      <c r="C1810" s="147">
        <v>7075.0</v>
      </c>
      <c r="D1810" s="132">
        <f t="shared" si="222"/>
        <v>887</v>
      </c>
      <c r="E1810" s="132" t="s">
        <v>1228</v>
      </c>
      <c r="F1810" s="139"/>
      <c r="G1810" s="129"/>
      <c r="H1810" s="129"/>
      <c r="I1810" s="129"/>
      <c r="J1810" s="129"/>
      <c r="K1810" s="129"/>
      <c r="L1810" s="129"/>
      <c r="M1810" s="129"/>
      <c r="N1810" s="129"/>
      <c r="O1810" s="129"/>
      <c r="P1810" s="129"/>
      <c r="Q1810" s="129"/>
      <c r="R1810" s="129"/>
      <c r="S1810" s="129"/>
      <c r="T1810" s="129"/>
      <c r="U1810" s="129"/>
      <c r="V1810" s="129"/>
      <c r="W1810" s="129"/>
      <c r="X1810" s="129"/>
      <c r="Y1810" s="129"/>
      <c r="Z1810" s="129"/>
      <c r="AA1810" s="129"/>
      <c r="AB1810" s="129"/>
    </row>
    <row r="1811" hidden="1">
      <c r="A1811" s="123" t="s">
        <v>1231</v>
      </c>
      <c r="B1811" s="147">
        <v>3960.0</v>
      </c>
      <c r="C1811" s="147">
        <v>5350.0</v>
      </c>
      <c r="D1811" s="132">
        <f t="shared" si="222"/>
        <v>1390</v>
      </c>
      <c r="E1811" s="132" t="s">
        <v>1228</v>
      </c>
      <c r="F1811" s="139"/>
      <c r="G1811" s="129"/>
      <c r="H1811" s="129"/>
      <c r="I1811" s="129"/>
      <c r="J1811" s="129"/>
      <c r="K1811" s="129"/>
      <c r="L1811" s="129"/>
      <c r="M1811" s="129"/>
      <c r="N1811" s="129"/>
      <c r="O1811" s="129"/>
      <c r="P1811" s="129"/>
      <c r="Q1811" s="129"/>
      <c r="R1811" s="129"/>
      <c r="S1811" s="129"/>
      <c r="T1811" s="129"/>
      <c r="U1811" s="129"/>
      <c r="V1811" s="129"/>
      <c r="W1811" s="129"/>
      <c r="X1811" s="129"/>
      <c r="Y1811" s="129"/>
      <c r="Z1811" s="129"/>
      <c r="AA1811" s="129"/>
      <c r="AB1811" s="129"/>
    </row>
    <row r="1812" hidden="1">
      <c r="A1812" s="123" t="s">
        <v>1231</v>
      </c>
      <c r="B1812" s="147">
        <v>4373.0</v>
      </c>
      <c r="C1812" s="147">
        <v>5300.0</v>
      </c>
      <c r="D1812" s="132">
        <f t="shared" si="222"/>
        <v>927</v>
      </c>
      <c r="E1812" s="132" t="s">
        <v>1228</v>
      </c>
      <c r="F1812" s="139"/>
      <c r="G1812" s="129"/>
      <c r="H1812" s="129"/>
      <c r="I1812" s="129"/>
      <c r="J1812" s="129"/>
      <c r="K1812" s="129"/>
      <c r="L1812" s="129"/>
      <c r="M1812" s="129"/>
      <c r="N1812" s="129"/>
      <c r="O1812" s="129"/>
      <c r="P1812" s="129"/>
      <c r="Q1812" s="129"/>
      <c r="R1812" s="129"/>
      <c r="S1812" s="129"/>
      <c r="T1812" s="129"/>
      <c r="U1812" s="129"/>
      <c r="V1812" s="129"/>
      <c r="W1812" s="129"/>
      <c r="X1812" s="129"/>
      <c r="Y1812" s="129"/>
      <c r="Z1812" s="129"/>
      <c r="AA1812" s="129"/>
      <c r="AB1812" s="129"/>
    </row>
    <row r="1813" hidden="1">
      <c r="A1813" s="123" t="s">
        <v>1231</v>
      </c>
      <c r="B1813" s="147">
        <v>4043.0</v>
      </c>
      <c r="C1813" s="147">
        <v>5300.0</v>
      </c>
      <c r="D1813" s="132">
        <f t="shared" si="222"/>
        <v>1257</v>
      </c>
      <c r="E1813" s="132" t="s">
        <v>1228</v>
      </c>
      <c r="F1813" s="139"/>
      <c r="G1813" s="129"/>
      <c r="H1813" s="129"/>
      <c r="I1813" s="129"/>
      <c r="J1813" s="129"/>
      <c r="K1813" s="129"/>
      <c r="L1813" s="129"/>
      <c r="M1813" s="129"/>
      <c r="N1813" s="129"/>
      <c r="O1813" s="129"/>
      <c r="P1813" s="129"/>
      <c r="Q1813" s="129"/>
      <c r="R1813" s="129"/>
      <c r="S1813" s="129"/>
      <c r="T1813" s="129"/>
      <c r="U1813" s="129"/>
      <c r="V1813" s="129"/>
      <c r="W1813" s="129"/>
      <c r="X1813" s="129"/>
      <c r="Y1813" s="129"/>
      <c r="Z1813" s="129"/>
      <c r="AA1813" s="129"/>
      <c r="AB1813" s="129"/>
    </row>
    <row r="1814" hidden="1">
      <c r="A1814" s="123" t="s">
        <v>1231</v>
      </c>
      <c r="B1814" s="147">
        <v>3960.0</v>
      </c>
      <c r="C1814" s="147">
        <v>5150.0</v>
      </c>
      <c r="D1814" s="132">
        <f t="shared" si="222"/>
        <v>1190</v>
      </c>
      <c r="E1814" s="132" t="s">
        <v>1228</v>
      </c>
      <c r="F1814" s="139"/>
      <c r="G1814" s="129"/>
      <c r="H1814" s="129"/>
      <c r="I1814" s="129"/>
      <c r="J1814" s="129"/>
      <c r="K1814" s="129"/>
      <c r="L1814" s="129"/>
      <c r="M1814" s="129"/>
      <c r="N1814" s="129"/>
      <c r="O1814" s="129"/>
      <c r="P1814" s="129"/>
      <c r="Q1814" s="129"/>
      <c r="R1814" s="129"/>
      <c r="S1814" s="129"/>
      <c r="T1814" s="129"/>
      <c r="U1814" s="129"/>
      <c r="V1814" s="129"/>
      <c r="W1814" s="129"/>
      <c r="X1814" s="129"/>
      <c r="Y1814" s="129"/>
      <c r="Z1814" s="129"/>
      <c r="AA1814" s="129"/>
      <c r="AB1814" s="129"/>
    </row>
    <row r="1815" hidden="1">
      <c r="A1815" s="123" t="s">
        <v>1231</v>
      </c>
      <c r="B1815" s="147">
        <v>4208.0</v>
      </c>
      <c r="C1815" s="147">
        <v>5000.0</v>
      </c>
      <c r="D1815" s="132">
        <f t="shared" si="222"/>
        <v>792</v>
      </c>
      <c r="E1815" s="132" t="s">
        <v>1228</v>
      </c>
      <c r="F1815" s="139"/>
      <c r="G1815" s="129"/>
      <c r="H1815" s="129"/>
      <c r="I1815" s="129"/>
      <c r="J1815" s="129"/>
      <c r="K1815" s="129"/>
      <c r="L1815" s="129"/>
      <c r="M1815" s="129"/>
      <c r="N1815" s="129"/>
      <c r="O1815" s="129"/>
      <c r="P1815" s="129"/>
      <c r="Q1815" s="129"/>
      <c r="R1815" s="129"/>
      <c r="S1815" s="129"/>
      <c r="T1815" s="129"/>
      <c r="U1815" s="129"/>
      <c r="V1815" s="129"/>
      <c r="W1815" s="129"/>
      <c r="X1815" s="129"/>
      <c r="Y1815" s="129"/>
      <c r="Z1815" s="129"/>
      <c r="AA1815" s="129"/>
      <c r="AB1815" s="129"/>
    </row>
    <row r="1816" hidden="1">
      <c r="A1816" s="123" t="s">
        <v>1231</v>
      </c>
      <c r="B1816" s="147">
        <v>4290.0</v>
      </c>
      <c r="C1816" s="147">
        <v>5150.0</v>
      </c>
      <c r="D1816" s="132">
        <f t="shared" si="222"/>
        <v>860</v>
      </c>
      <c r="E1816" s="132" t="s">
        <v>1228</v>
      </c>
      <c r="F1816" s="139"/>
      <c r="G1816" s="129"/>
      <c r="H1816" s="129"/>
      <c r="I1816" s="129"/>
      <c r="J1816" s="129"/>
      <c r="K1816" s="129"/>
      <c r="L1816" s="129"/>
      <c r="M1816" s="129"/>
      <c r="N1816" s="129"/>
      <c r="O1816" s="129"/>
      <c r="P1816" s="129"/>
      <c r="Q1816" s="129"/>
      <c r="R1816" s="129"/>
      <c r="S1816" s="129"/>
      <c r="T1816" s="129"/>
      <c r="U1816" s="129"/>
      <c r="V1816" s="129"/>
      <c r="W1816" s="129"/>
      <c r="X1816" s="129"/>
      <c r="Y1816" s="129"/>
      <c r="Z1816" s="129"/>
      <c r="AA1816" s="129"/>
      <c r="AB1816" s="129"/>
    </row>
    <row r="1817" hidden="1">
      <c r="A1817" s="123" t="s">
        <v>1231</v>
      </c>
      <c r="B1817" s="147">
        <v>4125.0</v>
      </c>
      <c r="C1817" s="147">
        <v>5200.0</v>
      </c>
      <c r="D1817" s="132">
        <f t="shared" si="222"/>
        <v>1075</v>
      </c>
      <c r="E1817" s="132" t="s">
        <v>1228</v>
      </c>
      <c r="F1817" s="139"/>
      <c r="G1817" s="129"/>
      <c r="H1817" s="129"/>
      <c r="I1817" s="129"/>
      <c r="J1817" s="129"/>
      <c r="K1817" s="129"/>
      <c r="L1817" s="129"/>
      <c r="M1817" s="129"/>
      <c r="N1817" s="129"/>
      <c r="O1817" s="129"/>
      <c r="P1817" s="129"/>
      <c r="Q1817" s="129"/>
      <c r="R1817" s="129"/>
      <c r="S1817" s="129"/>
      <c r="T1817" s="129"/>
      <c r="U1817" s="129"/>
      <c r="V1817" s="129"/>
      <c r="W1817" s="129"/>
      <c r="X1817" s="129"/>
      <c r="Y1817" s="129"/>
      <c r="Z1817" s="129"/>
      <c r="AA1817" s="129"/>
      <c r="AB1817" s="129"/>
    </row>
    <row r="1818" hidden="1">
      <c r="A1818" s="123" t="s">
        <v>1231</v>
      </c>
      <c r="B1818" s="147">
        <v>3960.0</v>
      </c>
      <c r="C1818" s="147">
        <v>4725.0</v>
      </c>
      <c r="D1818" s="132">
        <f t="shared" si="222"/>
        <v>765</v>
      </c>
      <c r="E1818" s="132" t="s">
        <v>1228</v>
      </c>
      <c r="F1818" s="139"/>
      <c r="G1818" s="129"/>
      <c r="H1818" s="129"/>
      <c r="I1818" s="129"/>
      <c r="J1818" s="129"/>
      <c r="K1818" s="129"/>
      <c r="L1818" s="129"/>
      <c r="M1818" s="129"/>
      <c r="N1818" s="129"/>
      <c r="O1818" s="129"/>
      <c r="P1818" s="129"/>
      <c r="Q1818" s="129"/>
      <c r="R1818" s="129"/>
      <c r="S1818" s="129"/>
      <c r="T1818" s="129"/>
      <c r="U1818" s="129"/>
      <c r="V1818" s="129"/>
      <c r="W1818" s="129"/>
      <c r="X1818" s="129"/>
      <c r="Y1818" s="129"/>
      <c r="Z1818" s="129"/>
      <c r="AA1818" s="129"/>
      <c r="AB1818" s="129"/>
    </row>
    <row r="1819" hidden="1">
      <c r="A1819" s="123" t="s">
        <v>1231</v>
      </c>
      <c r="B1819" s="147">
        <v>3960.0</v>
      </c>
      <c r="C1819" s="147">
        <v>4750.0</v>
      </c>
      <c r="D1819" s="132">
        <f t="shared" si="222"/>
        <v>790</v>
      </c>
      <c r="E1819" s="132" t="s">
        <v>1228</v>
      </c>
      <c r="F1819" s="139"/>
      <c r="G1819" s="129"/>
      <c r="H1819" s="129"/>
      <c r="I1819" s="129"/>
      <c r="J1819" s="129"/>
      <c r="K1819" s="129"/>
      <c r="L1819" s="129"/>
      <c r="M1819" s="129"/>
      <c r="N1819" s="129"/>
      <c r="O1819" s="129"/>
      <c r="P1819" s="129"/>
      <c r="Q1819" s="129"/>
      <c r="R1819" s="129"/>
      <c r="S1819" s="129"/>
      <c r="T1819" s="129"/>
      <c r="U1819" s="129"/>
      <c r="V1819" s="129"/>
      <c r="W1819" s="129"/>
      <c r="X1819" s="129"/>
      <c r="Y1819" s="129"/>
      <c r="Z1819" s="129"/>
      <c r="AA1819" s="129"/>
      <c r="AB1819" s="129"/>
    </row>
    <row r="1820" hidden="1">
      <c r="A1820" s="123" t="s">
        <v>1231</v>
      </c>
      <c r="B1820" s="147">
        <v>3960.0</v>
      </c>
      <c r="C1820" s="147">
        <v>4650.0</v>
      </c>
      <c r="D1820" s="132">
        <f t="shared" si="222"/>
        <v>690</v>
      </c>
      <c r="E1820" s="132" t="s">
        <v>1228</v>
      </c>
      <c r="F1820" s="139"/>
      <c r="G1820" s="129"/>
      <c r="H1820" s="129"/>
      <c r="I1820" s="129"/>
      <c r="J1820" s="129"/>
      <c r="K1820" s="129"/>
      <c r="L1820" s="129"/>
      <c r="M1820" s="129"/>
      <c r="N1820" s="129"/>
      <c r="O1820" s="129"/>
      <c r="P1820" s="129"/>
      <c r="Q1820" s="129"/>
      <c r="R1820" s="129"/>
      <c r="S1820" s="129"/>
      <c r="T1820" s="129"/>
      <c r="U1820" s="129"/>
      <c r="V1820" s="129"/>
      <c r="W1820" s="129"/>
      <c r="X1820" s="129"/>
      <c r="Y1820" s="129"/>
      <c r="Z1820" s="129"/>
      <c r="AA1820" s="129"/>
      <c r="AB1820" s="129"/>
    </row>
    <row r="1821" hidden="1">
      <c r="A1821" s="123" t="s">
        <v>1231</v>
      </c>
      <c r="B1821" s="147">
        <v>3630.0</v>
      </c>
      <c r="C1821" s="147">
        <v>4250.0</v>
      </c>
      <c r="D1821" s="132">
        <f t="shared" si="222"/>
        <v>620</v>
      </c>
      <c r="E1821" s="132" t="s">
        <v>1228</v>
      </c>
      <c r="F1821" s="139"/>
      <c r="G1821" s="129"/>
      <c r="H1821" s="129"/>
      <c r="I1821" s="129"/>
      <c r="J1821" s="129"/>
      <c r="K1821" s="129"/>
      <c r="L1821" s="129"/>
      <c r="M1821" s="129"/>
      <c r="N1821" s="129"/>
      <c r="O1821" s="129"/>
      <c r="P1821" s="129"/>
      <c r="Q1821" s="129"/>
      <c r="R1821" s="129"/>
      <c r="S1821" s="129"/>
      <c r="T1821" s="129"/>
      <c r="U1821" s="129"/>
      <c r="V1821" s="129"/>
      <c r="W1821" s="129"/>
      <c r="X1821" s="129"/>
      <c r="Y1821" s="129"/>
      <c r="Z1821" s="129"/>
      <c r="AA1821" s="129"/>
      <c r="AB1821" s="129"/>
    </row>
    <row r="1822" hidden="1">
      <c r="A1822" s="123" t="s">
        <v>1231</v>
      </c>
      <c r="B1822" s="147">
        <v>4225.0</v>
      </c>
      <c r="C1822" s="147">
        <v>4400.0</v>
      </c>
      <c r="D1822" s="132">
        <f t="shared" si="222"/>
        <v>175</v>
      </c>
      <c r="E1822" s="132" t="s">
        <v>1228</v>
      </c>
      <c r="F1822" s="139"/>
      <c r="G1822" s="129"/>
      <c r="H1822" s="129"/>
      <c r="I1822" s="129"/>
      <c r="J1822" s="129"/>
      <c r="K1822" s="129"/>
      <c r="L1822" s="129"/>
      <c r="M1822" s="129"/>
      <c r="N1822" s="129"/>
      <c r="O1822" s="129"/>
      <c r="P1822" s="129"/>
      <c r="Q1822" s="129"/>
      <c r="R1822" s="129"/>
      <c r="S1822" s="129"/>
      <c r="T1822" s="129"/>
      <c r="U1822" s="129"/>
      <c r="V1822" s="129"/>
      <c r="W1822" s="129"/>
      <c r="X1822" s="129"/>
      <c r="Y1822" s="129"/>
      <c r="Z1822" s="129"/>
      <c r="AA1822" s="129"/>
      <c r="AB1822" s="129"/>
    </row>
    <row r="1823" hidden="1">
      <c r="A1823" s="123" t="s">
        <v>1231</v>
      </c>
      <c r="B1823" s="147">
        <v>3300.0</v>
      </c>
      <c r="C1823" s="147">
        <v>4225.0</v>
      </c>
      <c r="D1823" s="132">
        <f t="shared" si="222"/>
        <v>925</v>
      </c>
      <c r="E1823" s="132" t="s">
        <v>1228</v>
      </c>
      <c r="F1823" s="139"/>
      <c r="G1823" s="129"/>
      <c r="H1823" s="129"/>
      <c r="I1823" s="129"/>
      <c r="J1823" s="129"/>
      <c r="K1823" s="129"/>
      <c r="L1823" s="129"/>
      <c r="M1823" s="129"/>
      <c r="N1823" s="129"/>
      <c r="O1823" s="129"/>
      <c r="P1823" s="129"/>
      <c r="Q1823" s="129"/>
      <c r="R1823" s="129"/>
      <c r="S1823" s="129"/>
      <c r="T1823" s="129"/>
      <c r="U1823" s="129"/>
      <c r="V1823" s="129"/>
      <c r="W1823" s="129"/>
      <c r="X1823" s="129"/>
      <c r="Y1823" s="129"/>
      <c r="Z1823" s="129"/>
      <c r="AA1823" s="129"/>
      <c r="AB1823" s="129"/>
    </row>
    <row r="1824" hidden="1">
      <c r="A1824" s="123" t="s">
        <v>1231</v>
      </c>
      <c r="B1824" s="147">
        <v>4290.0</v>
      </c>
      <c r="C1824" s="147">
        <v>5250.0</v>
      </c>
      <c r="D1824" s="132">
        <f t="shared" si="222"/>
        <v>960</v>
      </c>
      <c r="E1824" s="132" t="s">
        <v>1228</v>
      </c>
      <c r="F1824" s="139"/>
      <c r="G1824" s="129"/>
      <c r="H1824" s="129"/>
      <c r="I1824" s="129"/>
      <c r="J1824" s="129"/>
      <c r="K1824" s="129"/>
      <c r="L1824" s="129"/>
      <c r="M1824" s="129"/>
      <c r="N1824" s="129"/>
      <c r="O1824" s="129"/>
      <c r="P1824" s="129"/>
      <c r="Q1824" s="129"/>
      <c r="R1824" s="129"/>
      <c r="S1824" s="129"/>
      <c r="T1824" s="129"/>
      <c r="U1824" s="129"/>
      <c r="V1824" s="129"/>
      <c r="W1824" s="129"/>
      <c r="X1824" s="129"/>
      <c r="Y1824" s="129"/>
      <c r="Z1824" s="129"/>
      <c r="AA1824" s="129"/>
      <c r="AB1824" s="129"/>
    </row>
    <row r="1825" hidden="1">
      <c r="A1825" s="123" t="s">
        <v>1231</v>
      </c>
      <c r="B1825" s="147">
        <v>4290.0</v>
      </c>
      <c r="C1825" s="147">
        <v>5275.0</v>
      </c>
      <c r="D1825" s="132">
        <f t="shared" si="222"/>
        <v>985</v>
      </c>
      <c r="E1825" s="132" t="s">
        <v>1228</v>
      </c>
      <c r="F1825" s="139"/>
      <c r="G1825" s="129"/>
      <c r="H1825" s="129"/>
      <c r="I1825" s="129"/>
      <c r="J1825" s="129"/>
      <c r="K1825" s="129"/>
      <c r="L1825" s="129"/>
      <c r="M1825" s="129"/>
      <c r="N1825" s="129"/>
      <c r="O1825" s="129"/>
      <c r="P1825" s="129"/>
      <c r="Q1825" s="129"/>
      <c r="R1825" s="129"/>
      <c r="S1825" s="129"/>
      <c r="T1825" s="129"/>
      <c r="U1825" s="129"/>
      <c r="V1825" s="129"/>
      <c r="W1825" s="129"/>
      <c r="X1825" s="129"/>
      <c r="Y1825" s="129"/>
      <c r="Z1825" s="129"/>
      <c r="AA1825" s="129"/>
      <c r="AB1825" s="129"/>
    </row>
    <row r="1826" hidden="1">
      <c r="A1826" s="123" t="s">
        <v>1240</v>
      </c>
      <c r="B1826" s="147">
        <v>1980.0</v>
      </c>
      <c r="C1826" s="147">
        <v>2225.0</v>
      </c>
      <c r="D1826" s="132">
        <f t="shared" si="222"/>
        <v>245</v>
      </c>
      <c r="E1826" s="132" t="s">
        <v>1228</v>
      </c>
      <c r="F1826" s="139"/>
      <c r="G1826" s="129"/>
      <c r="H1826" s="129"/>
      <c r="I1826" s="129"/>
      <c r="J1826" s="129"/>
      <c r="K1826" s="129"/>
      <c r="L1826" s="129"/>
      <c r="M1826" s="129"/>
      <c r="N1826" s="129"/>
      <c r="O1826" s="129"/>
      <c r="P1826" s="129"/>
      <c r="Q1826" s="129"/>
      <c r="R1826" s="129"/>
      <c r="S1826" s="129"/>
      <c r="T1826" s="129"/>
      <c r="U1826" s="129"/>
      <c r="V1826" s="129"/>
      <c r="W1826" s="129"/>
      <c r="X1826" s="129"/>
      <c r="Y1826" s="129"/>
      <c r="Z1826" s="129"/>
      <c r="AA1826" s="129"/>
      <c r="AB1826" s="129"/>
    </row>
    <row r="1827" hidden="1">
      <c r="A1827" s="123" t="s">
        <v>1240</v>
      </c>
      <c r="B1827" s="147">
        <v>2063.0</v>
      </c>
      <c r="C1827" s="147">
        <v>2500.0</v>
      </c>
      <c r="D1827" s="132">
        <f t="shared" si="222"/>
        <v>437</v>
      </c>
      <c r="E1827" s="132" t="s">
        <v>1228</v>
      </c>
      <c r="F1827" s="139"/>
      <c r="G1827" s="129"/>
      <c r="H1827" s="129"/>
      <c r="I1827" s="129"/>
      <c r="J1827" s="129"/>
      <c r="K1827" s="129"/>
      <c r="L1827" s="129"/>
      <c r="M1827" s="129"/>
      <c r="N1827" s="129"/>
      <c r="O1827" s="129"/>
      <c r="P1827" s="129"/>
      <c r="Q1827" s="129"/>
      <c r="R1827" s="129"/>
      <c r="S1827" s="129"/>
      <c r="T1827" s="129"/>
      <c r="U1827" s="129"/>
      <c r="V1827" s="129"/>
      <c r="W1827" s="129"/>
      <c r="X1827" s="129"/>
      <c r="Y1827" s="129"/>
      <c r="Z1827" s="129"/>
      <c r="AA1827" s="129"/>
      <c r="AB1827" s="129"/>
    </row>
    <row r="1828" hidden="1">
      <c r="A1828" s="123" t="s">
        <v>1240</v>
      </c>
      <c r="B1828" s="147">
        <v>2310.0</v>
      </c>
      <c r="C1828" s="147">
        <v>2600.0</v>
      </c>
      <c r="D1828" s="132">
        <f t="shared" si="222"/>
        <v>290</v>
      </c>
      <c r="E1828" s="132" t="s">
        <v>1228</v>
      </c>
      <c r="F1828" s="139"/>
      <c r="G1828" s="129"/>
      <c r="H1828" s="129"/>
      <c r="I1828" s="129"/>
      <c r="J1828" s="129"/>
      <c r="K1828" s="129"/>
      <c r="L1828" s="129"/>
      <c r="M1828" s="129"/>
      <c r="N1828" s="129"/>
      <c r="O1828" s="129"/>
      <c r="P1828" s="129"/>
      <c r="Q1828" s="129"/>
      <c r="R1828" s="129"/>
      <c r="S1828" s="129"/>
      <c r="T1828" s="129"/>
      <c r="U1828" s="129"/>
      <c r="V1828" s="129"/>
      <c r="W1828" s="129"/>
      <c r="X1828" s="129"/>
      <c r="Y1828" s="129"/>
      <c r="Z1828" s="129"/>
      <c r="AA1828" s="129"/>
      <c r="AB1828" s="129"/>
    </row>
    <row r="1829" hidden="1">
      <c r="A1829" s="123" t="s">
        <v>1241</v>
      </c>
      <c r="B1829" s="147">
        <v>6270.0</v>
      </c>
      <c r="C1829" s="147">
        <v>8250.0</v>
      </c>
      <c r="D1829" s="132">
        <f t="shared" si="222"/>
        <v>1980</v>
      </c>
      <c r="E1829" s="132" t="s">
        <v>1228</v>
      </c>
      <c r="F1829" s="139"/>
      <c r="G1829" s="129"/>
      <c r="H1829" s="129"/>
      <c r="I1829" s="129"/>
      <c r="J1829" s="129"/>
      <c r="K1829" s="129"/>
      <c r="L1829" s="129"/>
      <c r="M1829" s="129"/>
      <c r="N1829" s="129"/>
      <c r="O1829" s="129"/>
      <c r="P1829" s="129"/>
      <c r="Q1829" s="129"/>
      <c r="R1829" s="129"/>
      <c r="S1829" s="129"/>
      <c r="T1829" s="129"/>
      <c r="U1829" s="129"/>
      <c r="V1829" s="129"/>
      <c r="W1829" s="129"/>
      <c r="X1829" s="129"/>
      <c r="Y1829" s="129"/>
      <c r="Z1829" s="129"/>
      <c r="AA1829" s="129"/>
      <c r="AB1829" s="129"/>
    </row>
    <row r="1830" hidden="1">
      <c r="A1830" s="123" t="s">
        <v>1242</v>
      </c>
      <c r="B1830" s="147">
        <v>2228.0</v>
      </c>
      <c r="C1830" s="147">
        <v>2475.0</v>
      </c>
      <c r="D1830" s="132">
        <f t="shared" si="222"/>
        <v>247</v>
      </c>
      <c r="E1830" s="132" t="s">
        <v>1228</v>
      </c>
      <c r="F1830" s="139"/>
      <c r="G1830" s="129"/>
      <c r="H1830" s="129"/>
      <c r="I1830" s="129"/>
      <c r="J1830" s="129"/>
      <c r="K1830" s="129"/>
      <c r="L1830" s="129"/>
      <c r="M1830" s="129"/>
      <c r="N1830" s="129"/>
      <c r="O1830" s="129"/>
      <c r="P1830" s="129"/>
      <c r="Q1830" s="129"/>
      <c r="R1830" s="129"/>
      <c r="S1830" s="129"/>
      <c r="T1830" s="129"/>
      <c r="U1830" s="129"/>
      <c r="V1830" s="129"/>
      <c r="W1830" s="129"/>
      <c r="X1830" s="129"/>
      <c r="Y1830" s="129"/>
      <c r="Z1830" s="129"/>
      <c r="AA1830" s="129"/>
      <c r="AB1830" s="129"/>
    </row>
    <row r="1831" hidden="1">
      <c r="A1831" s="123" t="s">
        <v>1240</v>
      </c>
      <c r="B1831" s="147">
        <v>2228.0</v>
      </c>
      <c r="C1831" s="147">
        <v>2675.0</v>
      </c>
      <c r="D1831" s="132">
        <f t="shared" si="222"/>
        <v>447</v>
      </c>
      <c r="E1831" s="132" t="s">
        <v>1228</v>
      </c>
      <c r="F1831" s="139"/>
      <c r="G1831" s="129"/>
      <c r="H1831" s="129"/>
      <c r="I1831" s="129"/>
      <c r="J1831" s="129"/>
      <c r="K1831" s="129"/>
      <c r="L1831" s="129"/>
      <c r="M1831" s="129"/>
      <c r="N1831" s="129"/>
      <c r="O1831" s="129"/>
      <c r="P1831" s="129"/>
      <c r="Q1831" s="129"/>
      <c r="R1831" s="129"/>
      <c r="S1831" s="129"/>
      <c r="T1831" s="129"/>
      <c r="U1831" s="129"/>
      <c r="V1831" s="129"/>
      <c r="W1831" s="129"/>
      <c r="X1831" s="129"/>
      <c r="Y1831" s="129"/>
      <c r="Z1831" s="129"/>
      <c r="AA1831" s="129"/>
      <c r="AB1831" s="129"/>
    </row>
    <row r="1832" hidden="1">
      <c r="A1832" s="123" t="s">
        <v>1240</v>
      </c>
      <c r="B1832" s="147">
        <v>2475.0</v>
      </c>
      <c r="C1832" s="147">
        <v>3000.0</v>
      </c>
      <c r="D1832" s="132">
        <f t="shared" si="222"/>
        <v>525</v>
      </c>
      <c r="E1832" s="132" t="s">
        <v>1228</v>
      </c>
      <c r="F1832" s="139"/>
      <c r="G1832" s="129"/>
      <c r="H1832" s="129"/>
      <c r="I1832" s="129"/>
      <c r="J1832" s="129"/>
      <c r="K1832" s="129"/>
      <c r="L1832" s="129"/>
      <c r="M1832" s="129"/>
      <c r="N1832" s="129"/>
      <c r="O1832" s="129"/>
      <c r="P1832" s="129"/>
      <c r="Q1832" s="129"/>
      <c r="R1832" s="129"/>
      <c r="S1832" s="129"/>
      <c r="T1832" s="129"/>
      <c r="U1832" s="129"/>
      <c r="V1832" s="129"/>
      <c r="W1832" s="129"/>
      <c r="X1832" s="129"/>
      <c r="Y1832" s="129"/>
      <c r="Z1832" s="129"/>
      <c r="AA1832" s="129"/>
      <c r="AB1832" s="129"/>
    </row>
    <row r="1833" hidden="1">
      <c r="A1833" s="123" t="s">
        <v>1240</v>
      </c>
      <c r="B1833" s="147">
        <v>2640.0</v>
      </c>
      <c r="C1833" s="147">
        <v>3150.0</v>
      </c>
      <c r="D1833" s="132">
        <f t="shared" si="222"/>
        <v>510</v>
      </c>
      <c r="E1833" s="132" t="s">
        <v>1228</v>
      </c>
      <c r="F1833" s="139"/>
      <c r="G1833" s="129"/>
      <c r="H1833" s="129"/>
      <c r="I1833" s="129"/>
      <c r="J1833" s="129"/>
      <c r="K1833" s="129"/>
      <c r="L1833" s="129"/>
      <c r="M1833" s="129"/>
      <c r="N1833" s="129"/>
      <c r="O1833" s="129"/>
      <c r="P1833" s="129"/>
      <c r="Q1833" s="129"/>
      <c r="R1833" s="129"/>
      <c r="S1833" s="129"/>
      <c r="T1833" s="129"/>
      <c r="U1833" s="129"/>
      <c r="V1833" s="129"/>
      <c r="W1833" s="129"/>
      <c r="X1833" s="129"/>
      <c r="Y1833" s="129"/>
      <c r="Z1833" s="129"/>
      <c r="AA1833" s="129"/>
      <c r="AB1833" s="129"/>
    </row>
    <row r="1834" hidden="1">
      <c r="A1834" s="123" t="s">
        <v>1243</v>
      </c>
      <c r="B1834" s="147">
        <v>4850.0</v>
      </c>
      <c r="C1834" s="147">
        <v>5250.0</v>
      </c>
      <c r="D1834" s="132">
        <f t="shared" si="222"/>
        <v>400</v>
      </c>
      <c r="E1834" s="132" t="s">
        <v>1228</v>
      </c>
      <c r="F1834" s="139"/>
      <c r="G1834" s="129"/>
      <c r="H1834" s="129"/>
      <c r="I1834" s="129"/>
      <c r="J1834" s="129"/>
      <c r="K1834" s="129"/>
      <c r="L1834" s="129"/>
      <c r="M1834" s="129"/>
      <c r="N1834" s="129"/>
      <c r="O1834" s="129"/>
      <c r="P1834" s="129"/>
      <c r="Q1834" s="129"/>
      <c r="R1834" s="129"/>
      <c r="S1834" s="129"/>
      <c r="T1834" s="129"/>
      <c r="U1834" s="129"/>
      <c r="V1834" s="129"/>
      <c r="W1834" s="129"/>
      <c r="X1834" s="129"/>
      <c r="Y1834" s="129"/>
      <c r="Z1834" s="129"/>
      <c r="AA1834" s="129"/>
      <c r="AB1834" s="129"/>
    </row>
    <row r="1835" hidden="1">
      <c r="A1835" s="123" t="s">
        <v>1240</v>
      </c>
      <c r="B1835" s="147">
        <v>2310.0</v>
      </c>
      <c r="C1835" s="147">
        <v>2900.0</v>
      </c>
      <c r="D1835" s="132">
        <f t="shared" si="222"/>
        <v>590</v>
      </c>
      <c r="E1835" s="132" t="s">
        <v>1228</v>
      </c>
      <c r="F1835" s="139"/>
      <c r="G1835" s="129"/>
      <c r="H1835" s="129"/>
      <c r="I1835" s="129"/>
      <c r="J1835" s="129"/>
      <c r="K1835" s="129"/>
      <c r="L1835" s="129"/>
      <c r="M1835" s="129"/>
      <c r="N1835" s="129"/>
      <c r="O1835" s="129"/>
      <c r="P1835" s="129"/>
      <c r="Q1835" s="129"/>
      <c r="R1835" s="129"/>
      <c r="S1835" s="129"/>
      <c r="T1835" s="129"/>
      <c r="U1835" s="129"/>
      <c r="V1835" s="129"/>
      <c r="W1835" s="129"/>
      <c r="X1835" s="129"/>
      <c r="Y1835" s="129"/>
      <c r="Z1835" s="129"/>
      <c r="AA1835" s="129"/>
      <c r="AB1835" s="129"/>
    </row>
    <row r="1836" hidden="1">
      <c r="A1836" s="123" t="s">
        <v>1240</v>
      </c>
      <c r="B1836" s="147">
        <v>2145.0</v>
      </c>
      <c r="C1836" s="147">
        <v>2825.0</v>
      </c>
      <c r="D1836" s="132">
        <f t="shared" si="222"/>
        <v>680</v>
      </c>
      <c r="E1836" s="132" t="s">
        <v>1228</v>
      </c>
      <c r="F1836" s="139"/>
      <c r="G1836" s="129"/>
      <c r="H1836" s="129"/>
      <c r="I1836" s="129"/>
      <c r="J1836" s="129"/>
      <c r="K1836" s="129"/>
      <c r="L1836" s="129"/>
      <c r="M1836" s="129"/>
      <c r="N1836" s="129"/>
      <c r="O1836" s="129"/>
      <c r="P1836" s="129"/>
      <c r="Q1836" s="129"/>
      <c r="R1836" s="129"/>
      <c r="S1836" s="129"/>
      <c r="T1836" s="129"/>
      <c r="U1836" s="129"/>
      <c r="V1836" s="129"/>
      <c r="W1836" s="129"/>
      <c r="X1836" s="129"/>
      <c r="Y1836" s="129"/>
      <c r="Z1836" s="129"/>
      <c r="AA1836" s="129"/>
      <c r="AB1836" s="129"/>
    </row>
    <row r="1837" hidden="1">
      <c r="A1837" s="123" t="s">
        <v>1240</v>
      </c>
      <c r="B1837" s="147">
        <v>2475.0</v>
      </c>
      <c r="C1837" s="147">
        <v>3175.0</v>
      </c>
      <c r="D1837" s="132">
        <f t="shared" si="222"/>
        <v>700</v>
      </c>
      <c r="E1837" s="132" t="s">
        <v>1228</v>
      </c>
      <c r="F1837" s="139"/>
      <c r="G1837" s="129"/>
      <c r="H1837" s="129"/>
      <c r="I1837" s="129"/>
      <c r="J1837" s="129"/>
      <c r="K1837" s="129"/>
      <c r="L1837" s="129"/>
      <c r="M1837" s="129"/>
      <c r="N1837" s="129"/>
      <c r="O1837" s="129"/>
      <c r="P1837" s="129"/>
      <c r="Q1837" s="129"/>
      <c r="R1837" s="129"/>
      <c r="S1837" s="129"/>
      <c r="T1837" s="129"/>
      <c r="U1837" s="129"/>
      <c r="V1837" s="129"/>
      <c r="W1837" s="129"/>
      <c r="X1837" s="129"/>
      <c r="Y1837" s="129"/>
      <c r="Z1837" s="129"/>
      <c r="AA1837" s="129"/>
      <c r="AB1837" s="129"/>
    </row>
    <row r="1838" hidden="1">
      <c r="A1838" s="123" t="s">
        <v>1240</v>
      </c>
      <c r="B1838" s="147">
        <v>2063.0</v>
      </c>
      <c r="C1838" s="147">
        <v>3250.0</v>
      </c>
      <c r="D1838" s="132">
        <f t="shared" si="222"/>
        <v>1187</v>
      </c>
      <c r="E1838" s="132" t="s">
        <v>1228</v>
      </c>
      <c r="F1838" s="139"/>
      <c r="G1838" s="129"/>
      <c r="H1838" s="129"/>
      <c r="I1838" s="129"/>
      <c r="J1838" s="129"/>
      <c r="K1838" s="129"/>
      <c r="L1838" s="129"/>
      <c r="M1838" s="129"/>
      <c r="N1838" s="129"/>
      <c r="O1838" s="129"/>
      <c r="P1838" s="129"/>
      <c r="Q1838" s="129"/>
      <c r="R1838" s="129"/>
      <c r="S1838" s="129"/>
      <c r="T1838" s="129"/>
      <c r="U1838" s="129"/>
      <c r="V1838" s="129"/>
      <c r="W1838" s="129"/>
      <c r="X1838" s="129"/>
      <c r="Y1838" s="129"/>
      <c r="Z1838" s="129"/>
      <c r="AA1838" s="129"/>
      <c r="AB1838" s="129"/>
    </row>
    <row r="1839" hidden="1">
      <c r="A1839" s="123" t="s">
        <v>1240</v>
      </c>
      <c r="B1839" s="147">
        <v>2310.0</v>
      </c>
      <c r="C1839" s="147">
        <v>2750.0</v>
      </c>
      <c r="D1839" s="132">
        <f t="shared" si="222"/>
        <v>440</v>
      </c>
      <c r="E1839" s="132" t="s">
        <v>1228</v>
      </c>
      <c r="F1839" s="139"/>
      <c r="G1839" s="129"/>
      <c r="H1839" s="129"/>
      <c r="I1839" s="129"/>
      <c r="J1839" s="129"/>
      <c r="K1839" s="129"/>
      <c r="L1839" s="129"/>
      <c r="M1839" s="129"/>
      <c r="N1839" s="129"/>
      <c r="O1839" s="129"/>
      <c r="P1839" s="129"/>
      <c r="Q1839" s="129"/>
      <c r="R1839" s="129"/>
      <c r="S1839" s="129"/>
      <c r="T1839" s="129"/>
      <c r="U1839" s="129"/>
      <c r="V1839" s="129"/>
      <c r="W1839" s="129"/>
      <c r="X1839" s="129"/>
      <c r="Y1839" s="129"/>
      <c r="Z1839" s="129"/>
      <c r="AA1839" s="129"/>
      <c r="AB1839" s="129"/>
    </row>
    <row r="1840" hidden="1">
      <c r="A1840" s="123" t="s">
        <v>1242</v>
      </c>
      <c r="B1840" s="147">
        <v>2475.0</v>
      </c>
      <c r="C1840" s="147">
        <v>3500.0</v>
      </c>
      <c r="D1840" s="132">
        <f t="shared" si="222"/>
        <v>1025</v>
      </c>
      <c r="E1840" s="132" t="s">
        <v>1228</v>
      </c>
      <c r="F1840" s="139"/>
      <c r="G1840" s="129"/>
      <c r="H1840" s="129"/>
      <c r="I1840" s="129"/>
      <c r="J1840" s="129"/>
      <c r="K1840" s="129"/>
      <c r="L1840" s="129"/>
      <c r="M1840" s="129"/>
      <c r="N1840" s="129"/>
      <c r="O1840" s="129"/>
      <c r="P1840" s="129"/>
      <c r="Q1840" s="129"/>
      <c r="R1840" s="129"/>
      <c r="S1840" s="129"/>
      <c r="T1840" s="129"/>
      <c r="U1840" s="129"/>
      <c r="V1840" s="129"/>
      <c r="W1840" s="129"/>
      <c r="X1840" s="129"/>
      <c r="Y1840" s="129"/>
      <c r="Z1840" s="129"/>
      <c r="AA1840" s="129"/>
      <c r="AB1840" s="129"/>
    </row>
    <row r="1841" hidden="1">
      <c r="A1841" s="123" t="s">
        <v>1240</v>
      </c>
      <c r="B1841" s="147">
        <v>2470.0</v>
      </c>
      <c r="C1841" s="147">
        <v>3350.0</v>
      </c>
      <c r="D1841" s="132">
        <f t="shared" si="222"/>
        <v>880</v>
      </c>
      <c r="E1841" s="132" t="s">
        <v>1228</v>
      </c>
      <c r="F1841" s="139"/>
      <c r="G1841" s="129"/>
      <c r="H1841" s="129"/>
      <c r="I1841" s="129"/>
      <c r="J1841" s="129"/>
      <c r="K1841" s="129"/>
      <c r="L1841" s="129"/>
      <c r="M1841" s="129"/>
      <c r="N1841" s="129"/>
      <c r="O1841" s="129"/>
      <c r="P1841" s="129"/>
      <c r="Q1841" s="129"/>
      <c r="R1841" s="129"/>
      <c r="S1841" s="129"/>
      <c r="T1841" s="129"/>
      <c r="U1841" s="129"/>
      <c r="V1841" s="129"/>
      <c r="W1841" s="129"/>
      <c r="X1841" s="129"/>
      <c r="Y1841" s="129"/>
      <c r="Z1841" s="129"/>
      <c r="AA1841" s="129"/>
      <c r="AB1841" s="129"/>
    </row>
    <row r="1842" hidden="1">
      <c r="A1842" s="123" t="s">
        <v>1240</v>
      </c>
      <c r="B1842" s="147">
        <v>2640.0</v>
      </c>
      <c r="C1842" s="147">
        <v>3300.0</v>
      </c>
      <c r="D1842" s="132">
        <f t="shared" si="222"/>
        <v>660</v>
      </c>
      <c r="E1842" s="132" t="s">
        <v>1228</v>
      </c>
      <c r="F1842" s="139"/>
      <c r="G1842" s="129"/>
      <c r="H1842" s="129"/>
      <c r="I1842" s="129"/>
      <c r="J1842" s="129"/>
      <c r="K1842" s="129"/>
      <c r="L1842" s="129"/>
      <c r="M1842" s="129"/>
      <c r="N1842" s="129"/>
      <c r="O1842" s="129"/>
      <c r="P1842" s="129"/>
      <c r="Q1842" s="129"/>
      <c r="R1842" s="129"/>
      <c r="S1842" s="129"/>
      <c r="T1842" s="129"/>
      <c r="U1842" s="129"/>
      <c r="V1842" s="129"/>
      <c r="W1842" s="129"/>
      <c r="X1842" s="129"/>
      <c r="Y1842" s="129"/>
      <c r="Z1842" s="129"/>
      <c r="AA1842" s="129"/>
      <c r="AB1842" s="129"/>
    </row>
    <row r="1843" hidden="1">
      <c r="A1843" s="123" t="s">
        <v>1240</v>
      </c>
      <c r="B1843" s="147">
        <v>2723.0</v>
      </c>
      <c r="C1843" s="147">
        <v>3250.0</v>
      </c>
      <c r="D1843" s="132">
        <f t="shared" si="222"/>
        <v>527</v>
      </c>
      <c r="E1843" s="132" t="s">
        <v>1228</v>
      </c>
      <c r="F1843" s="139"/>
      <c r="G1843" s="129"/>
      <c r="H1843" s="129"/>
      <c r="I1843" s="129"/>
      <c r="J1843" s="129"/>
      <c r="K1843" s="129"/>
      <c r="L1843" s="129"/>
      <c r="M1843" s="129"/>
      <c r="N1843" s="129"/>
      <c r="O1843" s="129"/>
      <c r="P1843" s="129"/>
      <c r="Q1843" s="129"/>
      <c r="R1843" s="129"/>
      <c r="S1843" s="129"/>
      <c r="T1843" s="129"/>
      <c r="U1843" s="129"/>
      <c r="V1843" s="129"/>
      <c r="W1843" s="129"/>
      <c r="X1843" s="129"/>
      <c r="Y1843" s="129"/>
      <c r="Z1843" s="129"/>
      <c r="AA1843" s="129"/>
      <c r="AB1843" s="129"/>
    </row>
    <row r="1844" hidden="1">
      <c r="A1844" s="123" t="s">
        <v>1240</v>
      </c>
      <c r="B1844" s="147">
        <v>2805.0</v>
      </c>
      <c r="C1844" s="147">
        <v>3200.0</v>
      </c>
      <c r="D1844" s="132">
        <f t="shared" si="222"/>
        <v>395</v>
      </c>
      <c r="E1844" s="132" t="s">
        <v>1228</v>
      </c>
      <c r="F1844" s="139"/>
      <c r="G1844" s="129"/>
      <c r="H1844" s="129"/>
      <c r="I1844" s="129"/>
      <c r="J1844" s="129"/>
      <c r="K1844" s="129"/>
      <c r="L1844" s="129"/>
      <c r="M1844" s="129"/>
      <c r="N1844" s="129"/>
      <c r="O1844" s="129"/>
      <c r="P1844" s="129"/>
      <c r="Q1844" s="129"/>
      <c r="R1844" s="129"/>
      <c r="S1844" s="129"/>
      <c r="T1844" s="129"/>
      <c r="U1844" s="129"/>
      <c r="V1844" s="129"/>
      <c r="W1844" s="129"/>
      <c r="X1844" s="129"/>
      <c r="Y1844" s="129"/>
      <c r="Z1844" s="129"/>
      <c r="AA1844" s="129"/>
      <c r="AB1844" s="129"/>
    </row>
    <row r="1845" hidden="1">
      <c r="A1845" s="123" t="s">
        <v>1240</v>
      </c>
      <c r="B1845" s="147">
        <v>2558.0</v>
      </c>
      <c r="C1845" s="147">
        <v>3025.0</v>
      </c>
      <c r="D1845" s="132">
        <f t="shared" si="222"/>
        <v>467</v>
      </c>
      <c r="E1845" s="132" t="s">
        <v>1228</v>
      </c>
      <c r="F1845" s="139"/>
      <c r="G1845" s="129"/>
      <c r="H1845" s="129"/>
      <c r="I1845" s="129"/>
      <c r="J1845" s="129"/>
      <c r="K1845" s="129"/>
      <c r="L1845" s="129"/>
      <c r="M1845" s="129"/>
      <c r="N1845" s="129"/>
      <c r="O1845" s="129"/>
      <c r="P1845" s="129"/>
      <c r="Q1845" s="129"/>
      <c r="R1845" s="129"/>
      <c r="S1845" s="129"/>
      <c r="T1845" s="129"/>
      <c r="U1845" s="129"/>
      <c r="V1845" s="129"/>
      <c r="W1845" s="129"/>
      <c r="X1845" s="129"/>
      <c r="Y1845" s="129"/>
      <c r="Z1845" s="129"/>
      <c r="AA1845" s="129"/>
      <c r="AB1845" s="129"/>
    </row>
    <row r="1846" hidden="1">
      <c r="A1846" s="123" t="s">
        <v>1244</v>
      </c>
      <c r="B1846" s="147">
        <v>4791.0</v>
      </c>
      <c r="C1846" s="147">
        <v>8250.0</v>
      </c>
      <c r="D1846" s="132">
        <f t="shared" si="222"/>
        <v>3459</v>
      </c>
      <c r="E1846" s="132" t="s">
        <v>1228</v>
      </c>
      <c r="F1846" s="139"/>
      <c r="G1846" s="129"/>
      <c r="H1846" s="129"/>
      <c r="I1846" s="129"/>
      <c r="J1846" s="129"/>
      <c r="K1846" s="129"/>
      <c r="L1846" s="129"/>
      <c r="M1846" s="129"/>
      <c r="N1846" s="129"/>
      <c r="O1846" s="129"/>
      <c r="P1846" s="129"/>
      <c r="Q1846" s="129"/>
      <c r="R1846" s="129"/>
      <c r="S1846" s="129"/>
      <c r="T1846" s="129"/>
      <c r="U1846" s="129"/>
      <c r="V1846" s="129"/>
      <c r="W1846" s="129"/>
      <c r="X1846" s="129"/>
      <c r="Y1846" s="129"/>
      <c r="Z1846" s="129"/>
      <c r="AA1846" s="129"/>
      <c r="AB1846" s="129"/>
    </row>
    <row r="1847" hidden="1">
      <c r="A1847" s="123" t="s">
        <v>1245</v>
      </c>
      <c r="B1847" s="147">
        <v>4719.0</v>
      </c>
      <c r="C1847" s="147">
        <v>7525.0</v>
      </c>
      <c r="D1847" s="132">
        <f t="shared" si="222"/>
        <v>2806</v>
      </c>
      <c r="E1847" s="132" t="s">
        <v>1228</v>
      </c>
      <c r="F1847" s="139"/>
      <c r="G1847" s="129"/>
      <c r="H1847" s="129"/>
      <c r="I1847" s="129"/>
      <c r="J1847" s="129"/>
      <c r="K1847" s="129"/>
      <c r="L1847" s="129"/>
      <c r="M1847" s="129"/>
      <c r="N1847" s="129"/>
      <c r="O1847" s="129"/>
      <c r="P1847" s="129"/>
      <c r="Q1847" s="129"/>
      <c r="R1847" s="129"/>
      <c r="S1847" s="129"/>
      <c r="T1847" s="129"/>
      <c r="U1847" s="129"/>
      <c r="V1847" s="129"/>
      <c r="W1847" s="129"/>
      <c r="X1847" s="129"/>
      <c r="Y1847" s="129"/>
      <c r="Z1847" s="129"/>
      <c r="AA1847" s="129"/>
      <c r="AB1847" s="129"/>
    </row>
    <row r="1848" hidden="1">
      <c r="A1848" s="123" t="s">
        <v>1240</v>
      </c>
      <c r="B1848" s="147">
        <v>2228.0</v>
      </c>
      <c r="C1848" s="147">
        <v>2875.0</v>
      </c>
      <c r="D1848" s="132">
        <f t="shared" si="222"/>
        <v>647</v>
      </c>
      <c r="E1848" s="132" t="s">
        <v>1228</v>
      </c>
      <c r="F1848" s="139"/>
      <c r="G1848" s="129"/>
      <c r="H1848" s="129"/>
      <c r="I1848" s="129"/>
      <c r="J1848" s="129"/>
      <c r="K1848" s="129"/>
      <c r="L1848" s="129"/>
      <c r="M1848" s="129"/>
      <c r="N1848" s="129"/>
      <c r="O1848" s="129"/>
      <c r="P1848" s="129"/>
      <c r="Q1848" s="129"/>
      <c r="R1848" s="129"/>
      <c r="S1848" s="129"/>
      <c r="T1848" s="129"/>
      <c r="U1848" s="129"/>
      <c r="V1848" s="129"/>
      <c r="W1848" s="129"/>
      <c r="X1848" s="129"/>
      <c r="Y1848" s="129"/>
      <c r="Z1848" s="129"/>
      <c r="AA1848" s="129"/>
      <c r="AB1848" s="129"/>
    </row>
    <row r="1849" hidden="1">
      <c r="A1849" s="123" t="s">
        <v>1240</v>
      </c>
      <c r="B1849" s="147">
        <v>2310.0</v>
      </c>
      <c r="C1849" s="147">
        <v>2950.0</v>
      </c>
      <c r="D1849" s="132">
        <f t="shared" si="222"/>
        <v>640</v>
      </c>
      <c r="E1849" s="132" t="s">
        <v>1228</v>
      </c>
      <c r="F1849" s="139"/>
      <c r="G1849" s="129"/>
      <c r="H1849" s="129"/>
      <c r="I1849" s="129"/>
      <c r="J1849" s="129"/>
      <c r="K1849" s="129"/>
      <c r="L1849" s="129"/>
      <c r="M1849" s="129"/>
      <c r="N1849" s="129"/>
      <c r="O1849" s="129"/>
      <c r="P1849" s="129"/>
      <c r="Q1849" s="129"/>
      <c r="R1849" s="129"/>
      <c r="S1849" s="129"/>
      <c r="T1849" s="129"/>
      <c r="U1849" s="129"/>
      <c r="V1849" s="129"/>
      <c r="W1849" s="129"/>
      <c r="X1849" s="129"/>
      <c r="Y1849" s="129"/>
      <c r="Z1849" s="129"/>
      <c r="AA1849" s="129"/>
      <c r="AB1849" s="129"/>
    </row>
    <row r="1850" hidden="1">
      <c r="A1850" s="123" t="s">
        <v>1240</v>
      </c>
      <c r="B1850" s="147">
        <v>2310.0</v>
      </c>
      <c r="C1850" s="147">
        <v>3175.0</v>
      </c>
      <c r="D1850" s="132">
        <f t="shared" si="222"/>
        <v>865</v>
      </c>
      <c r="E1850" s="132" t="s">
        <v>1228</v>
      </c>
      <c r="F1850" s="139"/>
      <c r="G1850" s="129"/>
      <c r="H1850" s="129"/>
      <c r="I1850" s="129"/>
      <c r="J1850" s="129"/>
      <c r="K1850" s="129"/>
      <c r="L1850" s="129"/>
      <c r="M1850" s="129"/>
      <c r="N1850" s="129"/>
      <c r="O1850" s="129"/>
      <c r="P1850" s="129"/>
      <c r="Q1850" s="129"/>
      <c r="R1850" s="129"/>
      <c r="S1850" s="129"/>
      <c r="T1850" s="129"/>
      <c r="U1850" s="129"/>
      <c r="V1850" s="129"/>
      <c r="W1850" s="129"/>
      <c r="X1850" s="129"/>
      <c r="Y1850" s="129"/>
      <c r="Z1850" s="129"/>
      <c r="AA1850" s="129"/>
      <c r="AB1850" s="129"/>
    </row>
    <row r="1851" hidden="1">
      <c r="A1851" s="123" t="s">
        <v>1240</v>
      </c>
      <c r="B1851" s="147">
        <v>2310.0</v>
      </c>
      <c r="C1851" s="147">
        <v>2950.0</v>
      </c>
      <c r="D1851" s="132">
        <f t="shared" si="222"/>
        <v>640</v>
      </c>
      <c r="E1851" s="132" t="s">
        <v>1228</v>
      </c>
      <c r="F1851" s="139"/>
      <c r="G1851" s="129"/>
      <c r="H1851" s="129"/>
      <c r="I1851" s="129"/>
      <c r="J1851" s="129"/>
      <c r="K1851" s="129"/>
      <c r="L1851" s="129"/>
      <c r="M1851" s="129"/>
      <c r="N1851" s="129"/>
      <c r="O1851" s="129"/>
      <c r="P1851" s="129"/>
      <c r="Q1851" s="129"/>
      <c r="R1851" s="129"/>
      <c r="S1851" s="129"/>
      <c r="T1851" s="129"/>
      <c r="U1851" s="129"/>
      <c r="V1851" s="129"/>
      <c r="W1851" s="129"/>
      <c r="X1851" s="129"/>
      <c r="Y1851" s="129"/>
      <c r="Z1851" s="129"/>
      <c r="AA1851" s="129"/>
      <c r="AB1851" s="129"/>
    </row>
    <row r="1852" hidden="1">
      <c r="A1852" s="123" t="s">
        <v>1240</v>
      </c>
      <c r="B1852" s="147">
        <v>2640.0</v>
      </c>
      <c r="C1852" s="147">
        <v>3100.0</v>
      </c>
      <c r="D1852" s="132">
        <f t="shared" si="222"/>
        <v>460</v>
      </c>
      <c r="E1852" s="132" t="s">
        <v>1228</v>
      </c>
      <c r="F1852" s="139"/>
      <c r="G1852" s="129"/>
      <c r="H1852" s="129"/>
      <c r="I1852" s="129"/>
      <c r="J1852" s="129"/>
      <c r="K1852" s="129"/>
      <c r="L1852" s="129"/>
      <c r="M1852" s="129"/>
      <c r="N1852" s="129"/>
      <c r="O1852" s="129"/>
      <c r="P1852" s="129"/>
      <c r="Q1852" s="129"/>
      <c r="R1852" s="129"/>
      <c r="S1852" s="129"/>
      <c r="T1852" s="129"/>
      <c r="U1852" s="129"/>
      <c r="V1852" s="129"/>
      <c r="W1852" s="129"/>
      <c r="X1852" s="129"/>
      <c r="Y1852" s="129"/>
      <c r="Z1852" s="129"/>
      <c r="AA1852" s="129"/>
      <c r="AB1852" s="129"/>
    </row>
    <row r="1853" hidden="1">
      <c r="A1853" s="123" t="s">
        <v>1240</v>
      </c>
      <c r="B1853" s="147">
        <v>2310.0</v>
      </c>
      <c r="C1853" s="147">
        <v>3000.0</v>
      </c>
      <c r="D1853" s="132">
        <f t="shared" si="222"/>
        <v>690</v>
      </c>
      <c r="E1853" s="132" t="s">
        <v>1228</v>
      </c>
      <c r="F1853" s="139"/>
      <c r="G1853" s="129"/>
      <c r="H1853" s="129"/>
      <c r="I1853" s="129"/>
      <c r="J1853" s="129"/>
      <c r="K1853" s="129"/>
      <c r="L1853" s="129"/>
      <c r="M1853" s="129"/>
      <c r="N1853" s="129"/>
      <c r="O1853" s="129"/>
      <c r="P1853" s="129"/>
      <c r="Q1853" s="129"/>
      <c r="R1853" s="129"/>
      <c r="S1853" s="129"/>
      <c r="T1853" s="129"/>
      <c r="U1853" s="129"/>
      <c r="V1853" s="129"/>
      <c r="W1853" s="129"/>
      <c r="X1853" s="129"/>
      <c r="Y1853" s="129"/>
      <c r="Z1853" s="129"/>
      <c r="AA1853" s="129"/>
      <c r="AB1853" s="129"/>
    </row>
    <row r="1854" hidden="1">
      <c r="A1854" s="123" t="s">
        <v>1240</v>
      </c>
      <c r="B1854" s="147">
        <v>2393.0</v>
      </c>
      <c r="C1854" s="147">
        <v>2900.0</v>
      </c>
      <c r="D1854" s="132">
        <f t="shared" si="222"/>
        <v>507</v>
      </c>
      <c r="E1854" s="132" t="s">
        <v>1228</v>
      </c>
      <c r="F1854" s="139"/>
      <c r="G1854" s="129"/>
      <c r="H1854" s="129"/>
      <c r="I1854" s="129"/>
      <c r="J1854" s="129"/>
      <c r="K1854" s="129"/>
      <c r="L1854" s="129"/>
      <c r="M1854" s="129"/>
      <c r="N1854" s="129"/>
      <c r="O1854" s="129"/>
      <c r="P1854" s="129"/>
      <c r="Q1854" s="129"/>
      <c r="R1854" s="129"/>
      <c r="S1854" s="129"/>
      <c r="T1854" s="129"/>
      <c r="U1854" s="129"/>
      <c r="V1854" s="129"/>
      <c r="W1854" s="129"/>
      <c r="X1854" s="129"/>
      <c r="Y1854" s="129"/>
      <c r="Z1854" s="129"/>
      <c r="AA1854" s="129"/>
      <c r="AB1854" s="129"/>
    </row>
    <row r="1855" hidden="1">
      <c r="A1855" s="123" t="s">
        <v>1246</v>
      </c>
      <c r="B1855" s="147">
        <v>4620.0</v>
      </c>
      <c r="C1855" s="147">
        <v>6575.0</v>
      </c>
      <c r="D1855" s="132">
        <f t="shared" si="222"/>
        <v>1955</v>
      </c>
      <c r="E1855" s="132" t="s">
        <v>1228</v>
      </c>
      <c r="F1855" s="139"/>
      <c r="G1855" s="129"/>
      <c r="H1855" s="129"/>
      <c r="I1855" s="129"/>
      <c r="J1855" s="129"/>
      <c r="K1855" s="129"/>
      <c r="L1855" s="129"/>
      <c r="M1855" s="129"/>
      <c r="N1855" s="129"/>
      <c r="O1855" s="129"/>
      <c r="P1855" s="129"/>
      <c r="Q1855" s="129"/>
      <c r="R1855" s="129"/>
      <c r="S1855" s="129"/>
      <c r="T1855" s="129"/>
      <c r="U1855" s="129"/>
      <c r="V1855" s="129"/>
      <c r="W1855" s="129"/>
      <c r="X1855" s="129"/>
      <c r="Y1855" s="129"/>
      <c r="Z1855" s="129"/>
      <c r="AA1855" s="129"/>
      <c r="AB1855" s="129"/>
    </row>
    <row r="1856" hidden="1">
      <c r="A1856" s="123" t="s">
        <v>1240</v>
      </c>
      <c r="B1856" s="147">
        <v>2558.0</v>
      </c>
      <c r="C1856" s="147">
        <v>2825.0</v>
      </c>
      <c r="D1856" s="132">
        <f t="shared" si="222"/>
        <v>267</v>
      </c>
      <c r="E1856" s="132" t="s">
        <v>1228</v>
      </c>
      <c r="F1856" s="139"/>
      <c r="G1856" s="129"/>
      <c r="H1856" s="129"/>
      <c r="I1856" s="129"/>
      <c r="J1856" s="129"/>
      <c r="K1856" s="129"/>
      <c r="L1856" s="129"/>
      <c r="M1856" s="129"/>
      <c r="N1856" s="129"/>
      <c r="O1856" s="129"/>
      <c r="P1856" s="129"/>
      <c r="Q1856" s="129"/>
      <c r="R1856" s="129"/>
      <c r="S1856" s="129"/>
      <c r="T1856" s="129"/>
      <c r="U1856" s="129"/>
      <c r="V1856" s="129"/>
      <c r="W1856" s="129"/>
      <c r="X1856" s="129"/>
      <c r="Y1856" s="129"/>
      <c r="Z1856" s="129"/>
      <c r="AA1856" s="129"/>
      <c r="AB1856" s="129"/>
    </row>
    <row r="1857" hidden="1">
      <c r="A1857" s="123" t="s">
        <v>1240</v>
      </c>
      <c r="B1857" s="147">
        <v>2228.0</v>
      </c>
      <c r="C1857" s="147">
        <v>2650.0</v>
      </c>
      <c r="D1857" s="132">
        <f t="shared" si="222"/>
        <v>422</v>
      </c>
      <c r="E1857" s="132" t="s">
        <v>1228</v>
      </c>
      <c r="F1857" s="139"/>
      <c r="G1857" s="129"/>
      <c r="H1857" s="129"/>
      <c r="I1857" s="129"/>
      <c r="J1857" s="129"/>
      <c r="K1857" s="129"/>
      <c r="L1857" s="129"/>
      <c r="M1857" s="129"/>
      <c r="N1857" s="129"/>
      <c r="O1857" s="129"/>
      <c r="P1857" s="129"/>
      <c r="Q1857" s="129"/>
      <c r="R1857" s="129"/>
      <c r="S1857" s="129"/>
      <c r="T1857" s="129"/>
      <c r="U1857" s="129"/>
      <c r="V1857" s="129"/>
      <c r="W1857" s="129"/>
      <c r="X1857" s="129"/>
      <c r="Y1857" s="129"/>
      <c r="Z1857" s="129"/>
      <c r="AA1857" s="129"/>
      <c r="AB1857" s="129"/>
    </row>
    <row r="1858" hidden="1">
      <c r="A1858" s="123" t="s">
        <v>1240</v>
      </c>
      <c r="B1858" s="147">
        <v>2393.0</v>
      </c>
      <c r="C1858" s="147">
        <v>2750.0</v>
      </c>
      <c r="D1858" s="132">
        <f t="shared" si="222"/>
        <v>357</v>
      </c>
      <c r="E1858" s="132" t="s">
        <v>1228</v>
      </c>
      <c r="F1858" s="139"/>
      <c r="G1858" s="129"/>
      <c r="H1858" s="129"/>
      <c r="I1858" s="129"/>
      <c r="J1858" s="129"/>
      <c r="K1858" s="129"/>
      <c r="L1858" s="129"/>
      <c r="M1858" s="129"/>
      <c r="N1858" s="129"/>
      <c r="O1858" s="129"/>
      <c r="P1858" s="129"/>
      <c r="Q1858" s="129"/>
      <c r="R1858" s="129"/>
      <c r="S1858" s="129"/>
      <c r="T1858" s="129"/>
      <c r="U1858" s="129"/>
      <c r="V1858" s="129"/>
      <c r="W1858" s="129"/>
      <c r="X1858" s="129"/>
      <c r="Y1858" s="129"/>
      <c r="Z1858" s="129"/>
      <c r="AA1858" s="129"/>
      <c r="AB1858" s="129"/>
    </row>
    <row r="1859" hidden="1">
      <c r="A1859" s="123" t="s">
        <v>1240</v>
      </c>
      <c r="B1859" s="147">
        <v>2475.0</v>
      </c>
      <c r="C1859" s="147">
        <v>2750.0</v>
      </c>
      <c r="D1859" s="132">
        <f t="shared" si="222"/>
        <v>275</v>
      </c>
      <c r="E1859" s="132" t="s">
        <v>1228</v>
      </c>
      <c r="F1859" s="139"/>
      <c r="G1859" s="129"/>
      <c r="H1859" s="129"/>
      <c r="I1859" s="129"/>
      <c r="J1859" s="129"/>
      <c r="K1859" s="129"/>
      <c r="L1859" s="129"/>
      <c r="M1859" s="129"/>
      <c r="N1859" s="129"/>
      <c r="O1859" s="129"/>
      <c r="P1859" s="129"/>
      <c r="Q1859" s="129"/>
      <c r="R1859" s="129"/>
      <c r="S1859" s="129"/>
      <c r="T1859" s="129"/>
      <c r="U1859" s="129"/>
      <c r="V1859" s="129"/>
      <c r="W1859" s="129"/>
      <c r="X1859" s="129"/>
      <c r="Y1859" s="129"/>
      <c r="Z1859" s="129"/>
      <c r="AA1859" s="129"/>
      <c r="AB1859" s="129"/>
    </row>
    <row r="1860" hidden="1">
      <c r="A1860" s="123" t="s">
        <v>1240</v>
      </c>
      <c r="B1860" s="147">
        <v>2228.0</v>
      </c>
      <c r="C1860" s="147">
        <v>2800.0</v>
      </c>
      <c r="D1860" s="132">
        <f t="shared" si="222"/>
        <v>572</v>
      </c>
      <c r="E1860" s="132" t="s">
        <v>1228</v>
      </c>
      <c r="F1860" s="139"/>
      <c r="G1860" s="129"/>
      <c r="H1860" s="129"/>
      <c r="I1860" s="129"/>
      <c r="J1860" s="129"/>
      <c r="K1860" s="129"/>
      <c r="L1860" s="129"/>
      <c r="M1860" s="129"/>
      <c r="N1860" s="129"/>
      <c r="O1860" s="129"/>
      <c r="P1860" s="129"/>
      <c r="Q1860" s="129"/>
      <c r="R1860" s="129"/>
      <c r="S1860" s="129"/>
      <c r="T1860" s="129"/>
      <c r="U1860" s="129"/>
      <c r="V1860" s="129"/>
      <c r="W1860" s="129"/>
      <c r="X1860" s="129"/>
      <c r="Y1860" s="129"/>
      <c r="Z1860" s="129"/>
      <c r="AA1860" s="129"/>
      <c r="AB1860" s="129"/>
    </row>
    <row r="1861" hidden="1">
      <c r="A1861" s="123" t="s">
        <v>1240</v>
      </c>
      <c r="B1861" s="147">
        <v>2228.0</v>
      </c>
      <c r="C1861" s="147">
        <v>2750.0</v>
      </c>
      <c r="D1861" s="132">
        <f t="shared" si="222"/>
        <v>522</v>
      </c>
      <c r="E1861" s="132" t="s">
        <v>1228</v>
      </c>
      <c r="F1861" s="139"/>
      <c r="G1861" s="129"/>
      <c r="H1861" s="129"/>
      <c r="I1861" s="129"/>
      <c r="J1861" s="129"/>
      <c r="K1861" s="129"/>
      <c r="L1861" s="129"/>
      <c r="M1861" s="129"/>
      <c r="N1861" s="129"/>
      <c r="O1861" s="129"/>
      <c r="P1861" s="129"/>
      <c r="Q1861" s="129"/>
      <c r="R1861" s="129"/>
      <c r="S1861" s="129"/>
      <c r="T1861" s="129"/>
      <c r="U1861" s="129"/>
      <c r="V1861" s="129"/>
      <c r="W1861" s="129"/>
      <c r="X1861" s="129"/>
      <c r="Y1861" s="129"/>
      <c r="Z1861" s="129"/>
      <c r="AA1861" s="129"/>
      <c r="AB1861" s="129"/>
    </row>
    <row r="1862" hidden="1">
      <c r="A1862" s="128" t="s">
        <v>968</v>
      </c>
      <c r="B1862" s="147">
        <v>1990.0</v>
      </c>
      <c r="C1862" s="147">
        <v>2643.0</v>
      </c>
      <c r="D1862" s="132">
        <f t="shared" si="222"/>
        <v>653</v>
      </c>
      <c r="E1862" s="147" t="s">
        <v>123</v>
      </c>
      <c r="F1862" s="132"/>
      <c r="G1862" s="129"/>
      <c r="H1862" s="129"/>
      <c r="I1862" s="129"/>
      <c r="J1862" s="129"/>
      <c r="K1862" s="129"/>
      <c r="L1862" s="129"/>
      <c r="M1862" s="129"/>
      <c r="N1862" s="129"/>
      <c r="O1862" s="129"/>
      <c r="P1862" s="129"/>
      <c r="Q1862" s="129"/>
      <c r="R1862" s="129"/>
      <c r="S1862" s="129"/>
      <c r="T1862" s="129"/>
      <c r="U1862" s="129"/>
      <c r="V1862" s="129"/>
      <c r="W1862" s="129"/>
      <c r="X1862" s="129"/>
      <c r="Y1862" s="129"/>
      <c r="Z1862" s="129"/>
      <c r="AA1862" s="129"/>
      <c r="AB1862" s="129"/>
    </row>
    <row r="1863" hidden="1">
      <c r="A1863" s="123" t="s">
        <v>1240</v>
      </c>
      <c r="B1863" s="147">
        <v>2310.0</v>
      </c>
      <c r="C1863" s="147">
        <v>2875.0</v>
      </c>
      <c r="D1863" s="132">
        <f t="shared" si="222"/>
        <v>565</v>
      </c>
      <c r="E1863" s="132" t="s">
        <v>1228</v>
      </c>
      <c r="F1863" s="139"/>
      <c r="G1863" s="129"/>
      <c r="H1863" s="129"/>
      <c r="I1863" s="129"/>
      <c r="J1863" s="129"/>
      <c r="K1863" s="129"/>
      <c r="L1863" s="129"/>
      <c r="M1863" s="129"/>
      <c r="N1863" s="129"/>
      <c r="O1863" s="129"/>
      <c r="P1863" s="129"/>
      <c r="Q1863" s="129"/>
      <c r="R1863" s="129"/>
      <c r="S1863" s="129"/>
      <c r="T1863" s="129"/>
      <c r="U1863" s="129"/>
      <c r="V1863" s="129"/>
      <c r="W1863" s="129"/>
      <c r="X1863" s="129"/>
      <c r="Y1863" s="129"/>
      <c r="Z1863" s="129"/>
      <c r="AA1863" s="129"/>
      <c r="AB1863" s="129"/>
    </row>
    <row r="1864" hidden="1">
      <c r="A1864" s="123" t="s">
        <v>1242</v>
      </c>
      <c r="B1864" s="147">
        <v>2228.0</v>
      </c>
      <c r="C1864" s="147">
        <v>3000.0</v>
      </c>
      <c r="D1864" s="132">
        <f t="shared" si="222"/>
        <v>772</v>
      </c>
      <c r="E1864" s="132" t="s">
        <v>1228</v>
      </c>
      <c r="F1864" s="139"/>
      <c r="G1864" s="129"/>
      <c r="H1864" s="129"/>
      <c r="I1864" s="129"/>
      <c r="J1864" s="129"/>
      <c r="K1864" s="129"/>
      <c r="L1864" s="129"/>
      <c r="M1864" s="129"/>
      <c r="N1864" s="129"/>
      <c r="O1864" s="129"/>
      <c r="P1864" s="129"/>
      <c r="Q1864" s="129"/>
      <c r="R1864" s="129"/>
      <c r="S1864" s="129"/>
      <c r="T1864" s="129"/>
      <c r="U1864" s="129"/>
      <c r="V1864" s="129"/>
      <c r="W1864" s="129"/>
      <c r="X1864" s="129"/>
      <c r="Y1864" s="129"/>
      <c r="Z1864" s="129"/>
      <c r="AA1864" s="129"/>
      <c r="AB1864" s="129"/>
    </row>
    <row r="1865" hidden="1">
      <c r="A1865" s="123" t="s">
        <v>1240</v>
      </c>
      <c r="B1865" s="147">
        <v>2228.0</v>
      </c>
      <c r="C1865" s="147">
        <v>2900.0</v>
      </c>
      <c r="D1865" s="132">
        <f t="shared" si="222"/>
        <v>672</v>
      </c>
      <c r="E1865" s="132" t="s">
        <v>1228</v>
      </c>
      <c r="F1865" s="139"/>
      <c r="G1865" s="129"/>
      <c r="H1865" s="129"/>
      <c r="I1865" s="129"/>
      <c r="J1865" s="129"/>
      <c r="K1865" s="129"/>
      <c r="L1865" s="129"/>
      <c r="M1865" s="129"/>
      <c r="N1865" s="129"/>
      <c r="O1865" s="129"/>
      <c r="P1865" s="129"/>
      <c r="Q1865" s="129"/>
      <c r="R1865" s="129"/>
      <c r="S1865" s="129"/>
      <c r="T1865" s="129"/>
      <c r="U1865" s="129"/>
      <c r="V1865" s="129"/>
      <c r="W1865" s="129"/>
      <c r="X1865" s="129"/>
      <c r="Y1865" s="129"/>
      <c r="Z1865" s="129"/>
      <c r="AA1865" s="129"/>
      <c r="AB1865" s="129"/>
    </row>
    <row r="1866" hidden="1">
      <c r="A1866" s="123" t="s">
        <v>1240</v>
      </c>
      <c r="B1866" s="147">
        <v>2228.0</v>
      </c>
      <c r="C1866" s="147">
        <v>2950.0</v>
      </c>
      <c r="D1866" s="132">
        <f t="shared" si="222"/>
        <v>722</v>
      </c>
      <c r="E1866" s="132" t="s">
        <v>1228</v>
      </c>
      <c r="F1866" s="139"/>
      <c r="G1866" s="129"/>
      <c r="H1866" s="129"/>
      <c r="I1866" s="129"/>
      <c r="J1866" s="129"/>
      <c r="K1866" s="129"/>
      <c r="L1866" s="129"/>
      <c r="M1866" s="129"/>
      <c r="N1866" s="129"/>
      <c r="O1866" s="129"/>
      <c r="P1866" s="129"/>
      <c r="Q1866" s="129"/>
      <c r="R1866" s="129"/>
      <c r="S1866" s="129"/>
      <c r="T1866" s="129"/>
      <c r="U1866" s="129"/>
      <c r="V1866" s="129"/>
      <c r="W1866" s="129"/>
      <c r="X1866" s="129"/>
      <c r="Y1866" s="129"/>
      <c r="Z1866" s="129"/>
      <c r="AA1866" s="129"/>
      <c r="AB1866" s="129"/>
    </row>
    <row r="1867" hidden="1">
      <c r="A1867" s="123" t="s">
        <v>1240</v>
      </c>
      <c r="B1867" s="147">
        <v>2393.0</v>
      </c>
      <c r="C1867" s="147">
        <v>2950.0</v>
      </c>
      <c r="D1867" s="132">
        <f t="shared" si="222"/>
        <v>557</v>
      </c>
      <c r="E1867" s="132" t="s">
        <v>1228</v>
      </c>
      <c r="F1867" s="139"/>
      <c r="G1867" s="129"/>
      <c r="H1867" s="129"/>
      <c r="I1867" s="129"/>
      <c r="J1867" s="129"/>
      <c r="K1867" s="129"/>
      <c r="L1867" s="129"/>
      <c r="M1867" s="129"/>
      <c r="N1867" s="129"/>
      <c r="O1867" s="129"/>
      <c r="P1867" s="129"/>
      <c r="Q1867" s="129"/>
      <c r="R1867" s="129"/>
      <c r="S1867" s="129"/>
      <c r="T1867" s="129"/>
      <c r="U1867" s="129"/>
      <c r="V1867" s="129"/>
      <c r="W1867" s="129"/>
      <c r="X1867" s="129"/>
      <c r="Y1867" s="129"/>
      <c r="Z1867" s="129"/>
      <c r="AA1867" s="129"/>
      <c r="AB1867" s="129"/>
    </row>
    <row r="1868" hidden="1">
      <c r="A1868" s="123" t="s">
        <v>1240</v>
      </c>
      <c r="B1868" s="147">
        <v>2310.0</v>
      </c>
      <c r="C1868" s="147">
        <v>3050.0</v>
      </c>
      <c r="D1868" s="132">
        <f t="shared" si="222"/>
        <v>740</v>
      </c>
      <c r="E1868" s="132" t="s">
        <v>1228</v>
      </c>
      <c r="F1868" s="139"/>
      <c r="G1868" s="129"/>
      <c r="H1868" s="129"/>
      <c r="I1868" s="129"/>
      <c r="J1868" s="129"/>
      <c r="K1868" s="129"/>
      <c r="L1868" s="129"/>
      <c r="M1868" s="129"/>
      <c r="N1868" s="129"/>
      <c r="O1868" s="129"/>
      <c r="P1868" s="129"/>
      <c r="Q1868" s="129"/>
      <c r="R1868" s="129"/>
      <c r="S1868" s="129"/>
      <c r="T1868" s="129"/>
      <c r="U1868" s="129"/>
      <c r="V1868" s="129"/>
      <c r="W1868" s="129"/>
      <c r="X1868" s="129"/>
      <c r="Y1868" s="129"/>
      <c r="Z1868" s="129"/>
      <c r="AA1868" s="129"/>
      <c r="AB1868" s="129"/>
    </row>
    <row r="1869" hidden="1">
      <c r="A1869" s="123" t="s">
        <v>1240</v>
      </c>
      <c r="B1869" s="147">
        <v>2310.0</v>
      </c>
      <c r="C1869" s="147">
        <v>3075.0</v>
      </c>
      <c r="D1869" s="132">
        <f t="shared" si="222"/>
        <v>765</v>
      </c>
      <c r="E1869" s="132" t="s">
        <v>1228</v>
      </c>
      <c r="F1869" s="139"/>
      <c r="G1869" s="129"/>
      <c r="H1869" s="129"/>
      <c r="I1869" s="129"/>
      <c r="J1869" s="129"/>
      <c r="K1869" s="129"/>
      <c r="L1869" s="129"/>
      <c r="M1869" s="129"/>
      <c r="N1869" s="129"/>
      <c r="O1869" s="129"/>
      <c r="P1869" s="129"/>
      <c r="Q1869" s="129"/>
      <c r="R1869" s="129"/>
      <c r="S1869" s="129"/>
      <c r="T1869" s="129"/>
      <c r="U1869" s="129"/>
      <c r="V1869" s="129"/>
      <c r="W1869" s="129"/>
      <c r="X1869" s="129"/>
      <c r="Y1869" s="129"/>
      <c r="Z1869" s="129"/>
      <c r="AA1869" s="129"/>
      <c r="AB1869" s="129"/>
    </row>
    <row r="1870" hidden="1">
      <c r="A1870" s="123" t="s">
        <v>1240</v>
      </c>
      <c r="B1870" s="147">
        <v>1980.0</v>
      </c>
      <c r="C1870" s="147">
        <v>2875.0</v>
      </c>
      <c r="D1870" s="132">
        <f t="shared" si="222"/>
        <v>895</v>
      </c>
      <c r="E1870" s="132" t="s">
        <v>1228</v>
      </c>
      <c r="F1870" s="139"/>
      <c r="G1870" s="129"/>
      <c r="H1870" s="129"/>
      <c r="I1870" s="129"/>
      <c r="J1870" s="129"/>
      <c r="K1870" s="129"/>
      <c r="L1870" s="129"/>
      <c r="M1870" s="129"/>
      <c r="N1870" s="129"/>
      <c r="O1870" s="129"/>
      <c r="P1870" s="129"/>
      <c r="Q1870" s="129"/>
      <c r="R1870" s="129"/>
      <c r="S1870" s="129"/>
      <c r="T1870" s="129"/>
      <c r="U1870" s="129"/>
      <c r="V1870" s="129"/>
      <c r="W1870" s="129"/>
      <c r="X1870" s="129"/>
      <c r="Y1870" s="129"/>
      <c r="Z1870" s="129"/>
      <c r="AA1870" s="129"/>
      <c r="AB1870" s="129"/>
    </row>
    <row r="1871" hidden="1">
      <c r="A1871" s="128" t="s">
        <v>1247</v>
      </c>
      <c r="B1871" s="127">
        <v>690.0</v>
      </c>
      <c r="C1871" s="126">
        <v>859.0</v>
      </c>
      <c r="D1871" s="132">
        <f t="shared" si="222"/>
        <v>169</v>
      </c>
      <c r="E1871" s="394" t="s">
        <v>120</v>
      </c>
      <c r="F1871" s="147"/>
      <c r="G1871" s="129"/>
      <c r="H1871" s="129"/>
      <c r="I1871" s="129"/>
      <c r="J1871" s="129"/>
      <c r="K1871" s="129"/>
      <c r="L1871" s="129"/>
      <c r="M1871" s="129"/>
      <c r="N1871" s="129"/>
      <c r="O1871" s="129"/>
      <c r="P1871" s="129"/>
      <c r="Q1871" s="129"/>
      <c r="R1871" s="129"/>
      <c r="S1871" s="129"/>
      <c r="T1871" s="129"/>
      <c r="U1871" s="129"/>
      <c r="V1871" s="129"/>
      <c r="W1871" s="129"/>
      <c r="X1871" s="129"/>
      <c r="Y1871" s="129"/>
      <c r="Z1871" s="129"/>
      <c r="AA1871" s="129"/>
      <c r="AB1871" s="129"/>
    </row>
    <row r="1872" hidden="1">
      <c r="A1872" s="123" t="s">
        <v>1139</v>
      </c>
      <c r="B1872" s="124">
        <v>2490.0</v>
      </c>
      <c r="C1872" s="124">
        <v>2658.0</v>
      </c>
      <c r="D1872" s="125">
        <f t="shared" si="222"/>
        <v>168</v>
      </c>
      <c r="E1872" s="126" t="s">
        <v>123</v>
      </c>
      <c r="F1872" s="132"/>
      <c r="G1872" s="123"/>
    </row>
    <row r="1873" hidden="1">
      <c r="A1873" s="123" t="s">
        <v>1139</v>
      </c>
      <c r="B1873" s="124">
        <v>2490.0</v>
      </c>
      <c r="C1873" s="124">
        <v>2670.0</v>
      </c>
      <c r="D1873" s="125">
        <f t="shared" si="222"/>
        <v>180</v>
      </c>
      <c r="E1873" s="126" t="s">
        <v>123</v>
      </c>
      <c r="F1873" s="132"/>
      <c r="G1873" s="123"/>
    </row>
    <row r="1874" hidden="1">
      <c r="A1874" s="128" t="s">
        <v>1247</v>
      </c>
      <c r="B1874" s="127">
        <v>690.0</v>
      </c>
      <c r="C1874" s="126">
        <v>856.0</v>
      </c>
      <c r="D1874" s="132">
        <f t="shared" si="222"/>
        <v>166</v>
      </c>
      <c r="E1874" s="394" t="s">
        <v>120</v>
      </c>
      <c r="F1874" s="147"/>
      <c r="G1874" s="129"/>
      <c r="H1874" s="129"/>
      <c r="I1874" s="129"/>
      <c r="J1874" s="129"/>
      <c r="K1874" s="129"/>
      <c r="L1874" s="129"/>
      <c r="M1874" s="129"/>
      <c r="N1874" s="129"/>
      <c r="O1874" s="129"/>
      <c r="P1874" s="129"/>
      <c r="Q1874" s="129"/>
      <c r="R1874" s="129"/>
      <c r="S1874" s="129"/>
      <c r="T1874" s="129"/>
      <c r="U1874" s="129"/>
      <c r="V1874" s="129"/>
      <c r="W1874" s="129"/>
      <c r="X1874" s="129"/>
      <c r="Y1874" s="129"/>
      <c r="Z1874" s="129"/>
      <c r="AA1874" s="129"/>
      <c r="AB1874" s="129"/>
    </row>
    <row r="1875" hidden="1">
      <c r="A1875" s="128" t="s">
        <v>1143</v>
      </c>
      <c r="B1875" s="147">
        <v>1540.0</v>
      </c>
      <c r="C1875" s="147">
        <v>1683.0</v>
      </c>
      <c r="D1875" s="132">
        <f t="shared" si="222"/>
        <v>143</v>
      </c>
      <c r="E1875" s="132" t="s">
        <v>123</v>
      </c>
      <c r="F1875" s="132"/>
      <c r="G1875" s="129"/>
      <c r="H1875" s="129"/>
      <c r="I1875" s="129"/>
      <c r="J1875" s="129"/>
      <c r="K1875" s="129"/>
      <c r="L1875" s="129"/>
      <c r="M1875" s="129"/>
      <c r="N1875" s="129"/>
      <c r="O1875" s="129"/>
      <c r="P1875" s="129"/>
      <c r="Q1875" s="129"/>
      <c r="R1875" s="129"/>
      <c r="S1875" s="129"/>
      <c r="T1875" s="129"/>
      <c r="U1875" s="129"/>
      <c r="V1875" s="129"/>
      <c r="W1875" s="129"/>
      <c r="X1875" s="129"/>
      <c r="Y1875" s="129"/>
      <c r="Z1875" s="129"/>
      <c r="AA1875" s="129"/>
      <c r="AB1875" s="129"/>
    </row>
    <row r="1876" hidden="1">
      <c r="A1876" s="128" t="s">
        <v>1242</v>
      </c>
      <c r="B1876" s="147">
        <v>2475.0</v>
      </c>
      <c r="C1876" s="147">
        <v>2650.0</v>
      </c>
      <c r="D1876" s="132">
        <f t="shared" si="222"/>
        <v>175</v>
      </c>
      <c r="E1876" s="132" t="s">
        <v>1228</v>
      </c>
      <c r="F1876" s="139"/>
      <c r="G1876" s="129"/>
      <c r="H1876" s="129"/>
      <c r="I1876" s="129"/>
      <c r="J1876" s="129"/>
      <c r="K1876" s="129"/>
      <c r="L1876" s="129"/>
      <c r="M1876" s="129"/>
      <c r="N1876" s="129"/>
      <c r="O1876" s="129"/>
      <c r="P1876" s="129"/>
      <c r="Q1876" s="129"/>
      <c r="R1876" s="129"/>
      <c r="S1876" s="129"/>
      <c r="T1876" s="129"/>
      <c r="U1876" s="129"/>
      <c r="V1876" s="129"/>
      <c r="W1876" s="129"/>
      <c r="X1876" s="129"/>
      <c r="Y1876" s="129"/>
      <c r="Z1876" s="129"/>
      <c r="AA1876" s="129"/>
      <c r="AB1876" s="129"/>
    </row>
    <row r="1877" hidden="1">
      <c r="A1877" s="150" t="s">
        <v>1240</v>
      </c>
      <c r="B1877" s="147">
        <v>2475.0</v>
      </c>
      <c r="C1877" s="147">
        <v>2825.0</v>
      </c>
      <c r="D1877" s="132">
        <f t="shared" si="222"/>
        <v>350</v>
      </c>
      <c r="E1877" s="132" t="s">
        <v>1228</v>
      </c>
      <c r="F1877" s="139"/>
      <c r="G1877" s="129"/>
      <c r="H1877" s="129"/>
      <c r="I1877" s="129"/>
      <c r="J1877" s="129"/>
      <c r="K1877" s="129"/>
      <c r="L1877" s="129"/>
      <c r="M1877" s="129"/>
      <c r="N1877" s="129"/>
      <c r="O1877" s="129"/>
      <c r="P1877" s="129"/>
      <c r="Q1877" s="129"/>
      <c r="R1877" s="129"/>
      <c r="S1877" s="129"/>
      <c r="T1877" s="129"/>
      <c r="U1877" s="129"/>
      <c r="V1877" s="129"/>
      <c r="W1877" s="129"/>
      <c r="X1877" s="129"/>
      <c r="Y1877" s="129"/>
      <c r="Z1877" s="129"/>
      <c r="AA1877" s="129"/>
      <c r="AB1877" s="129"/>
    </row>
    <row r="1878" hidden="1">
      <c r="A1878" s="150" t="s">
        <v>1240</v>
      </c>
      <c r="B1878" s="132">
        <v>2145.0</v>
      </c>
      <c r="C1878" s="147">
        <v>2850.0</v>
      </c>
      <c r="D1878" s="132">
        <f t="shared" si="222"/>
        <v>705</v>
      </c>
      <c r="E1878" s="132" t="s">
        <v>1228</v>
      </c>
      <c r="F1878" s="139"/>
      <c r="G1878" s="129"/>
      <c r="H1878" s="129"/>
      <c r="I1878" s="129"/>
      <c r="J1878" s="129"/>
      <c r="K1878" s="129"/>
      <c r="L1878" s="129"/>
      <c r="M1878" s="129"/>
      <c r="N1878" s="129"/>
      <c r="O1878" s="129"/>
      <c r="P1878" s="129"/>
      <c r="Q1878" s="129"/>
      <c r="R1878" s="129"/>
      <c r="S1878" s="129"/>
      <c r="T1878" s="129"/>
      <c r="U1878" s="129"/>
      <c r="V1878" s="129"/>
      <c r="W1878" s="129"/>
      <c r="X1878" s="129"/>
      <c r="Y1878" s="129"/>
      <c r="Z1878" s="129"/>
      <c r="AA1878" s="129"/>
      <c r="AB1878" s="129"/>
    </row>
    <row r="1879" hidden="1">
      <c r="A1879" s="150" t="s">
        <v>1240</v>
      </c>
      <c r="B1879" s="147">
        <v>2145.0</v>
      </c>
      <c r="C1879" s="147">
        <v>2900.0</v>
      </c>
      <c r="D1879" s="132">
        <f t="shared" si="222"/>
        <v>755</v>
      </c>
      <c r="E1879" s="132" t="s">
        <v>1228</v>
      </c>
      <c r="F1879" s="139"/>
      <c r="G1879" s="129"/>
      <c r="H1879" s="129"/>
      <c r="I1879" s="129"/>
      <c r="J1879" s="129"/>
      <c r="K1879" s="129"/>
      <c r="L1879" s="129"/>
      <c r="M1879" s="129"/>
      <c r="N1879" s="129"/>
      <c r="O1879" s="129"/>
      <c r="P1879" s="129"/>
      <c r="Q1879" s="129"/>
      <c r="R1879" s="129"/>
      <c r="S1879" s="129"/>
      <c r="T1879" s="129"/>
      <c r="U1879" s="129"/>
      <c r="V1879" s="129"/>
      <c r="W1879" s="129"/>
      <c r="X1879" s="129"/>
      <c r="Y1879" s="129"/>
      <c r="Z1879" s="129"/>
      <c r="AA1879" s="129"/>
      <c r="AB1879" s="129"/>
    </row>
    <row r="1880" hidden="1">
      <c r="A1880" s="123" t="s">
        <v>1240</v>
      </c>
      <c r="B1880" s="147">
        <v>2228.0</v>
      </c>
      <c r="C1880" s="147">
        <v>2750.0</v>
      </c>
      <c r="D1880" s="132">
        <f t="shared" si="222"/>
        <v>522</v>
      </c>
      <c r="E1880" s="132" t="s">
        <v>1228</v>
      </c>
      <c r="F1880" s="139"/>
      <c r="G1880" s="129"/>
      <c r="H1880" s="129"/>
      <c r="I1880" s="129"/>
      <c r="J1880" s="129"/>
      <c r="K1880" s="129"/>
      <c r="L1880" s="129"/>
      <c r="M1880" s="129"/>
      <c r="N1880" s="129"/>
      <c r="O1880" s="129"/>
      <c r="P1880" s="129"/>
      <c r="Q1880" s="129"/>
      <c r="R1880" s="129"/>
      <c r="S1880" s="129"/>
      <c r="T1880" s="129"/>
      <c r="U1880" s="129"/>
      <c r="V1880" s="129"/>
      <c r="W1880" s="129"/>
      <c r="X1880" s="129"/>
      <c r="Y1880" s="129"/>
      <c r="Z1880" s="129"/>
      <c r="AA1880" s="129"/>
      <c r="AB1880" s="129"/>
    </row>
    <row r="1881" hidden="1">
      <c r="A1881" s="123" t="s">
        <v>1231</v>
      </c>
      <c r="B1881" s="147">
        <v>4125.0</v>
      </c>
      <c r="C1881" s="147">
        <v>5300.0</v>
      </c>
      <c r="D1881" s="132">
        <f t="shared" si="222"/>
        <v>1175</v>
      </c>
      <c r="E1881" s="132" t="s">
        <v>1228</v>
      </c>
      <c r="F1881" s="139"/>
      <c r="G1881" s="129"/>
      <c r="H1881" s="129"/>
      <c r="I1881" s="129"/>
      <c r="J1881" s="129"/>
      <c r="K1881" s="129"/>
      <c r="L1881" s="129"/>
      <c r="M1881" s="129"/>
      <c r="N1881" s="129"/>
      <c r="O1881" s="129"/>
      <c r="P1881" s="129"/>
      <c r="Q1881" s="129"/>
      <c r="R1881" s="129"/>
      <c r="S1881" s="129"/>
      <c r="T1881" s="129"/>
      <c r="U1881" s="129"/>
      <c r="V1881" s="129"/>
      <c r="W1881" s="129"/>
      <c r="X1881" s="129"/>
      <c r="Y1881" s="129"/>
      <c r="Z1881" s="129"/>
      <c r="AA1881" s="129"/>
      <c r="AB1881" s="129"/>
    </row>
    <row r="1882" hidden="1">
      <c r="A1882" s="150" t="s">
        <v>1240</v>
      </c>
      <c r="B1882" s="147">
        <v>2145.0</v>
      </c>
      <c r="C1882" s="147">
        <v>2650.0</v>
      </c>
      <c r="D1882" s="132">
        <f t="shared" si="222"/>
        <v>505</v>
      </c>
      <c r="E1882" s="132" t="s">
        <v>1228</v>
      </c>
      <c r="F1882" s="139"/>
      <c r="G1882" s="129"/>
      <c r="H1882" s="129"/>
      <c r="I1882" s="129"/>
      <c r="J1882" s="129"/>
      <c r="K1882" s="129"/>
      <c r="L1882" s="129"/>
      <c r="M1882" s="129"/>
      <c r="N1882" s="129"/>
      <c r="O1882" s="129"/>
      <c r="P1882" s="129"/>
      <c r="Q1882" s="129"/>
      <c r="R1882" s="129"/>
      <c r="S1882" s="129"/>
      <c r="T1882" s="129"/>
      <c r="U1882" s="129"/>
      <c r="V1882" s="129"/>
      <c r="W1882" s="129"/>
      <c r="X1882" s="129"/>
      <c r="Y1882" s="129"/>
      <c r="Z1882" s="129"/>
      <c r="AA1882" s="129"/>
      <c r="AB1882" s="129"/>
    </row>
    <row r="1883" hidden="1">
      <c r="A1883" s="150" t="s">
        <v>1240</v>
      </c>
      <c r="B1883" s="147">
        <v>2310.0</v>
      </c>
      <c r="C1883" s="147">
        <v>2800.0</v>
      </c>
      <c r="D1883" s="132">
        <f t="shared" si="222"/>
        <v>490</v>
      </c>
      <c r="E1883" s="132" t="s">
        <v>1228</v>
      </c>
      <c r="F1883" s="139"/>
      <c r="G1883" s="129"/>
      <c r="H1883" s="129"/>
      <c r="I1883" s="129"/>
      <c r="J1883" s="129"/>
      <c r="K1883" s="129"/>
      <c r="L1883" s="129"/>
      <c r="M1883" s="129"/>
      <c r="N1883" s="129"/>
      <c r="O1883" s="129"/>
      <c r="P1883" s="129"/>
      <c r="Q1883" s="129"/>
      <c r="R1883" s="129"/>
      <c r="S1883" s="129"/>
      <c r="T1883" s="129"/>
      <c r="U1883" s="129"/>
      <c r="V1883" s="129"/>
      <c r="W1883" s="129"/>
      <c r="X1883" s="129"/>
      <c r="Y1883" s="129"/>
      <c r="Z1883" s="129"/>
      <c r="AA1883" s="129"/>
      <c r="AB1883" s="129"/>
    </row>
    <row r="1884" hidden="1">
      <c r="A1884" s="150" t="s">
        <v>1240</v>
      </c>
      <c r="B1884" s="147">
        <v>2145.0</v>
      </c>
      <c r="C1884" s="147">
        <v>2925.0</v>
      </c>
      <c r="D1884" s="132">
        <f t="shared" si="222"/>
        <v>780</v>
      </c>
      <c r="E1884" s="132" t="s">
        <v>1228</v>
      </c>
      <c r="F1884" s="139"/>
      <c r="G1884" s="129"/>
      <c r="H1884" s="129"/>
      <c r="I1884" s="129"/>
      <c r="J1884" s="129"/>
      <c r="K1884" s="129"/>
      <c r="L1884" s="129"/>
      <c r="M1884" s="129"/>
      <c r="N1884" s="129"/>
      <c r="O1884" s="129"/>
      <c r="P1884" s="129"/>
      <c r="Q1884" s="129"/>
      <c r="R1884" s="129"/>
      <c r="S1884" s="129"/>
      <c r="T1884" s="129"/>
      <c r="U1884" s="129"/>
      <c r="V1884" s="129"/>
      <c r="W1884" s="129"/>
      <c r="X1884" s="129"/>
      <c r="Y1884" s="129"/>
      <c r="Z1884" s="129"/>
      <c r="AA1884" s="129"/>
      <c r="AB1884" s="129"/>
    </row>
    <row r="1885" hidden="1">
      <c r="A1885" s="123" t="s">
        <v>1231</v>
      </c>
      <c r="B1885" s="147">
        <v>4455.0</v>
      </c>
      <c r="C1885" s="147">
        <v>5450.0</v>
      </c>
      <c r="D1885" s="132">
        <f t="shared" si="222"/>
        <v>995</v>
      </c>
      <c r="E1885" s="132" t="s">
        <v>1228</v>
      </c>
      <c r="F1885" s="139"/>
      <c r="G1885" s="129"/>
      <c r="H1885" s="129"/>
      <c r="I1885" s="129"/>
      <c r="J1885" s="129"/>
      <c r="K1885" s="129"/>
      <c r="L1885" s="129"/>
      <c r="M1885" s="129"/>
      <c r="N1885" s="129"/>
      <c r="O1885" s="129"/>
      <c r="P1885" s="129"/>
      <c r="Q1885" s="129"/>
      <c r="R1885" s="129"/>
      <c r="S1885" s="129"/>
      <c r="T1885" s="129"/>
      <c r="U1885" s="129"/>
      <c r="V1885" s="129"/>
      <c r="W1885" s="129"/>
      <c r="X1885" s="129"/>
      <c r="Y1885" s="129"/>
      <c r="Z1885" s="129"/>
      <c r="AA1885" s="129"/>
      <c r="AB1885" s="129"/>
    </row>
    <row r="1886" hidden="1">
      <c r="A1886" s="150" t="s">
        <v>1240</v>
      </c>
      <c r="B1886" s="147">
        <v>2310.0</v>
      </c>
      <c r="C1886" s="132">
        <v>2750.0</v>
      </c>
      <c r="D1886" s="132">
        <f t="shared" si="222"/>
        <v>440</v>
      </c>
      <c r="E1886" s="132" t="s">
        <v>1228</v>
      </c>
      <c r="F1886" s="139"/>
      <c r="G1886" s="129"/>
      <c r="H1886" s="129"/>
      <c r="I1886" s="129"/>
      <c r="J1886" s="129"/>
      <c r="K1886" s="129"/>
      <c r="L1886" s="129"/>
      <c r="M1886" s="129"/>
      <c r="N1886" s="129"/>
      <c r="O1886" s="129"/>
      <c r="P1886" s="129"/>
      <c r="Q1886" s="129"/>
      <c r="R1886" s="129"/>
      <c r="S1886" s="129"/>
      <c r="T1886" s="129"/>
      <c r="U1886" s="129"/>
      <c r="V1886" s="129"/>
      <c r="W1886" s="129"/>
      <c r="X1886" s="129"/>
      <c r="Y1886" s="129"/>
      <c r="Z1886" s="129"/>
      <c r="AA1886" s="129"/>
      <c r="AB1886" s="129"/>
    </row>
    <row r="1887" hidden="1">
      <c r="A1887" s="123" t="s">
        <v>1240</v>
      </c>
      <c r="B1887" s="147">
        <v>2145.0</v>
      </c>
      <c r="C1887" s="147">
        <v>2750.0</v>
      </c>
      <c r="D1887" s="132">
        <f t="shared" si="222"/>
        <v>605</v>
      </c>
      <c r="E1887" s="132" t="s">
        <v>1228</v>
      </c>
      <c r="F1887" s="139"/>
      <c r="G1887" s="129"/>
      <c r="H1887" s="129"/>
      <c r="I1887" s="129"/>
      <c r="J1887" s="129"/>
      <c r="K1887" s="129"/>
      <c r="L1887" s="129"/>
      <c r="M1887" s="129"/>
      <c r="N1887" s="129"/>
      <c r="O1887" s="129"/>
      <c r="P1887" s="129"/>
      <c r="Q1887" s="129"/>
      <c r="R1887" s="129"/>
      <c r="S1887" s="129"/>
      <c r="T1887" s="129"/>
      <c r="U1887" s="129"/>
      <c r="V1887" s="129"/>
      <c r="W1887" s="129"/>
      <c r="X1887" s="129"/>
      <c r="Y1887" s="129"/>
      <c r="Z1887" s="129"/>
      <c r="AA1887" s="129"/>
      <c r="AB1887" s="129"/>
    </row>
    <row r="1888" hidden="1">
      <c r="A1888" s="123" t="s">
        <v>1231</v>
      </c>
      <c r="B1888" s="147">
        <v>4445.0</v>
      </c>
      <c r="C1888" s="147">
        <v>5475.0</v>
      </c>
      <c r="D1888" s="132">
        <f t="shared" si="222"/>
        <v>1030</v>
      </c>
      <c r="E1888" s="132" t="s">
        <v>1228</v>
      </c>
      <c r="F1888" s="139"/>
      <c r="G1888" s="129"/>
      <c r="H1888" s="129"/>
      <c r="I1888" s="129"/>
      <c r="J1888" s="129"/>
      <c r="K1888" s="129"/>
      <c r="L1888" s="129"/>
      <c r="M1888" s="129"/>
      <c r="N1888" s="129"/>
      <c r="O1888" s="129"/>
      <c r="P1888" s="129"/>
      <c r="Q1888" s="129"/>
      <c r="R1888" s="129"/>
      <c r="S1888" s="129"/>
      <c r="T1888" s="129"/>
      <c r="U1888" s="129"/>
      <c r="V1888" s="129"/>
      <c r="W1888" s="129"/>
      <c r="X1888" s="129"/>
      <c r="Y1888" s="129"/>
      <c r="Z1888" s="129"/>
      <c r="AA1888" s="129"/>
      <c r="AB1888" s="129"/>
    </row>
    <row r="1889" hidden="1">
      <c r="A1889" s="123" t="s">
        <v>1240</v>
      </c>
      <c r="B1889" s="147">
        <v>2310.0</v>
      </c>
      <c r="C1889" s="147">
        <v>2800.0</v>
      </c>
      <c r="D1889" s="132">
        <f t="shared" si="222"/>
        <v>490</v>
      </c>
      <c r="E1889" s="132" t="s">
        <v>1228</v>
      </c>
      <c r="F1889" s="139"/>
      <c r="G1889" s="129"/>
      <c r="H1889" s="129"/>
      <c r="I1889" s="129"/>
      <c r="J1889" s="129"/>
      <c r="K1889" s="129"/>
      <c r="L1889" s="129"/>
      <c r="M1889" s="129"/>
      <c r="N1889" s="129"/>
      <c r="O1889" s="129"/>
      <c r="P1889" s="129"/>
      <c r="Q1889" s="129"/>
      <c r="R1889" s="129"/>
      <c r="S1889" s="129"/>
      <c r="T1889" s="129"/>
      <c r="U1889" s="129"/>
      <c r="V1889" s="129"/>
      <c r="W1889" s="129"/>
      <c r="X1889" s="129"/>
      <c r="Y1889" s="129"/>
      <c r="Z1889" s="129"/>
      <c r="AA1889" s="129"/>
      <c r="AB1889" s="129"/>
    </row>
    <row r="1890" hidden="1">
      <c r="A1890" s="123" t="s">
        <v>1231</v>
      </c>
      <c r="B1890" s="147">
        <v>4620.0</v>
      </c>
      <c r="C1890" s="147">
        <v>5550.0</v>
      </c>
      <c r="D1890" s="132">
        <f t="shared" si="222"/>
        <v>930</v>
      </c>
      <c r="E1890" s="132" t="s">
        <v>1228</v>
      </c>
      <c r="F1890" s="139"/>
      <c r="G1890" s="129"/>
      <c r="H1890" s="129"/>
      <c r="I1890" s="129"/>
      <c r="J1890" s="129"/>
      <c r="K1890" s="129"/>
      <c r="L1890" s="129"/>
      <c r="M1890" s="129"/>
      <c r="N1890" s="129"/>
      <c r="O1890" s="129"/>
      <c r="P1890" s="129"/>
      <c r="Q1890" s="129"/>
      <c r="R1890" s="129"/>
      <c r="S1890" s="129"/>
      <c r="T1890" s="129"/>
      <c r="U1890" s="129"/>
      <c r="V1890" s="129"/>
      <c r="W1890" s="129"/>
      <c r="X1890" s="129"/>
      <c r="Y1890" s="129"/>
      <c r="Z1890" s="129"/>
      <c r="AA1890" s="129"/>
      <c r="AB1890" s="129"/>
    </row>
    <row r="1891" hidden="1">
      <c r="A1891" s="123" t="s">
        <v>1240</v>
      </c>
      <c r="B1891" s="147">
        <v>2310.0</v>
      </c>
      <c r="C1891" s="147">
        <v>2800.0</v>
      </c>
      <c r="D1891" s="132">
        <f t="shared" si="222"/>
        <v>490</v>
      </c>
      <c r="E1891" s="132" t="s">
        <v>1228</v>
      </c>
      <c r="F1891" s="139"/>
      <c r="G1891" s="129"/>
      <c r="H1891" s="129"/>
      <c r="I1891" s="129"/>
      <c r="J1891" s="129"/>
      <c r="K1891" s="129"/>
      <c r="L1891" s="129"/>
      <c r="M1891" s="129"/>
      <c r="N1891" s="129"/>
      <c r="O1891" s="129"/>
      <c r="P1891" s="129"/>
      <c r="Q1891" s="129"/>
      <c r="R1891" s="129"/>
      <c r="S1891" s="129"/>
      <c r="T1891" s="129"/>
      <c r="U1891" s="129"/>
      <c r="V1891" s="129"/>
      <c r="W1891" s="129"/>
      <c r="X1891" s="129"/>
      <c r="Y1891" s="129"/>
      <c r="Z1891" s="129"/>
      <c r="AA1891" s="129"/>
      <c r="AB1891" s="129"/>
    </row>
    <row r="1892" hidden="1">
      <c r="A1892" s="128" t="s">
        <v>1248</v>
      </c>
      <c r="B1892" s="147">
        <v>2310.0</v>
      </c>
      <c r="C1892" s="147">
        <v>2750.0</v>
      </c>
      <c r="D1892" s="132">
        <f t="shared" si="222"/>
        <v>440</v>
      </c>
      <c r="E1892" s="132" t="s">
        <v>1228</v>
      </c>
      <c r="F1892" s="139"/>
      <c r="G1892" s="129"/>
      <c r="H1892" s="129"/>
      <c r="I1892" s="129"/>
      <c r="J1892" s="129"/>
      <c r="K1892" s="129"/>
      <c r="L1892" s="129"/>
      <c r="M1892" s="129"/>
      <c r="N1892" s="129"/>
      <c r="O1892" s="129"/>
      <c r="P1892" s="129"/>
      <c r="Q1892" s="129"/>
      <c r="R1892" s="129"/>
      <c r="S1892" s="129"/>
      <c r="T1892" s="129"/>
      <c r="U1892" s="129"/>
      <c r="V1892" s="129"/>
      <c r="W1892" s="129"/>
      <c r="X1892" s="129"/>
      <c r="Y1892" s="129"/>
      <c r="Z1892" s="129"/>
      <c r="AA1892" s="129"/>
      <c r="AB1892" s="129"/>
    </row>
    <row r="1893" hidden="1">
      <c r="A1893" s="123" t="s">
        <v>1240</v>
      </c>
      <c r="B1893" s="147">
        <v>2269.0</v>
      </c>
      <c r="C1893" s="147">
        <v>2800.0</v>
      </c>
      <c r="D1893" s="132">
        <f t="shared" si="222"/>
        <v>531</v>
      </c>
      <c r="E1893" s="132" t="s">
        <v>1228</v>
      </c>
      <c r="F1893" s="139"/>
      <c r="G1893" s="129"/>
      <c r="H1893" s="129"/>
      <c r="I1893" s="129"/>
      <c r="J1893" s="129"/>
      <c r="K1893" s="129"/>
      <c r="L1893" s="129"/>
      <c r="M1893" s="129"/>
      <c r="N1893" s="129"/>
      <c r="O1893" s="129"/>
      <c r="P1893" s="129"/>
      <c r="Q1893" s="129"/>
      <c r="R1893" s="129"/>
      <c r="S1893" s="129"/>
      <c r="T1893" s="129"/>
      <c r="U1893" s="129"/>
      <c r="V1893" s="129"/>
      <c r="W1893" s="129"/>
      <c r="X1893" s="129"/>
      <c r="Y1893" s="129"/>
      <c r="Z1893" s="129"/>
      <c r="AA1893" s="129"/>
      <c r="AB1893" s="129"/>
    </row>
    <row r="1894" hidden="1">
      <c r="A1894" s="150" t="s">
        <v>1240</v>
      </c>
      <c r="B1894" s="147">
        <v>2310.0</v>
      </c>
      <c r="C1894" s="132">
        <v>2750.0</v>
      </c>
      <c r="D1894" s="132">
        <f t="shared" si="222"/>
        <v>440</v>
      </c>
      <c r="E1894" s="132" t="s">
        <v>1228</v>
      </c>
      <c r="F1894" s="139"/>
      <c r="G1894" s="129"/>
      <c r="H1894" s="129"/>
      <c r="I1894" s="129"/>
      <c r="J1894" s="129"/>
      <c r="K1894" s="129"/>
      <c r="L1894" s="129"/>
      <c r="M1894" s="129"/>
      <c r="N1894" s="129"/>
      <c r="O1894" s="129"/>
      <c r="P1894" s="129"/>
      <c r="Q1894" s="129"/>
      <c r="R1894" s="129"/>
      <c r="S1894" s="129"/>
      <c r="T1894" s="129"/>
      <c r="U1894" s="129"/>
      <c r="V1894" s="129"/>
      <c r="W1894" s="129"/>
      <c r="X1894" s="129"/>
      <c r="Y1894" s="129"/>
      <c r="Z1894" s="129"/>
      <c r="AA1894" s="129"/>
      <c r="AB1894" s="129"/>
    </row>
    <row r="1895" hidden="1">
      <c r="A1895" s="150" t="s">
        <v>1242</v>
      </c>
      <c r="B1895" s="147">
        <v>2228.0</v>
      </c>
      <c r="C1895" s="147">
        <v>2750.0</v>
      </c>
      <c r="D1895" s="132">
        <f t="shared" si="222"/>
        <v>522</v>
      </c>
      <c r="E1895" s="132" t="s">
        <v>1228</v>
      </c>
      <c r="F1895" s="139"/>
      <c r="G1895" s="129"/>
      <c r="H1895" s="129"/>
      <c r="I1895" s="129"/>
      <c r="J1895" s="129"/>
      <c r="K1895" s="129"/>
      <c r="L1895" s="129"/>
      <c r="M1895" s="129"/>
      <c r="N1895" s="129"/>
      <c r="O1895" s="129"/>
      <c r="P1895" s="129"/>
      <c r="Q1895" s="129"/>
      <c r="R1895" s="129"/>
      <c r="S1895" s="129"/>
      <c r="T1895" s="129"/>
      <c r="U1895" s="129"/>
      <c r="V1895" s="129"/>
      <c r="W1895" s="129"/>
      <c r="X1895" s="129"/>
      <c r="Y1895" s="129"/>
      <c r="Z1895" s="129"/>
      <c r="AA1895" s="129"/>
      <c r="AB1895" s="129"/>
    </row>
    <row r="1896" hidden="1">
      <c r="A1896" s="150" t="s">
        <v>1240</v>
      </c>
      <c r="B1896" s="147">
        <v>2228.0</v>
      </c>
      <c r="C1896" s="147">
        <v>2750.0</v>
      </c>
      <c r="D1896" s="132">
        <f t="shared" si="222"/>
        <v>522</v>
      </c>
      <c r="E1896" s="132" t="s">
        <v>1228</v>
      </c>
      <c r="F1896" s="139"/>
      <c r="G1896" s="129"/>
      <c r="H1896" s="129"/>
      <c r="I1896" s="129"/>
      <c r="J1896" s="129"/>
      <c r="K1896" s="129"/>
      <c r="L1896" s="129"/>
      <c r="M1896" s="129"/>
      <c r="N1896" s="129"/>
      <c r="O1896" s="129"/>
      <c r="P1896" s="129"/>
      <c r="Q1896" s="129"/>
      <c r="R1896" s="129"/>
      <c r="S1896" s="129"/>
      <c r="T1896" s="129"/>
      <c r="U1896" s="129"/>
      <c r="V1896" s="129"/>
      <c r="W1896" s="129"/>
      <c r="X1896" s="129"/>
      <c r="Y1896" s="129"/>
      <c r="Z1896" s="129"/>
      <c r="AA1896" s="129"/>
      <c r="AB1896" s="129"/>
    </row>
    <row r="1897" hidden="1">
      <c r="A1897" s="128" t="s">
        <v>1242</v>
      </c>
      <c r="B1897" s="132">
        <v>2475.0</v>
      </c>
      <c r="C1897" s="147">
        <v>2750.0</v>
      </c>
      <c r="D1897" s="132">
        <f t="shared" si="222"/>
        <v>275</v>
      </c>
      <c r="E1897" s="132" t="s">
        <v>1228</v>
      </c>
      <c r="F1897" s="139"/>
      <c r="G1897" s="129"/>
      <c r="H1897" s="129"/>
      <c r="I1897" s="129"/>
      <c r="J1897" s="129"/>
      <c r="K1897" s="129"/>
      <c r="L1897" s="129"/>
      <c r="M1897" s="129"/>
      <c r="N1897" s="129"/>
      <c r="O1897" s="129"/>
      <c r="P1897" s="129"/>
      <c r="Q1897" s="129"/>
      <c r="R1897" s="129"/>
      <c r="S1897" s="129"/>
      <c r="T1897" s="129"/>
      <c r="U1897" s="129"/>
      <c r="V1897" s="129"/>
      <c r="W1897" s="129"/>
      <c r="X1897" s="129"/>
      <c r="Y1897" s="129"/>
      <c r="Z1897" s="129"/>
      <c r="AA1897" s="129"/>
      <c r="AB1897" s="129"/>
    </row>
    <row r="1898" hidden="1">
      <c r="A1898" s="150" t="s">
        <v>1240</v>
      </c>
      <c r="B1898" s="147">
        <v>2475.0</v>
      </c>
      <c r="C1898" s="147">
        <v>2750.0</v>
      </c>
      <c r="D1898" s="132">
        <f t="shared" si="222"/>
        <v>275</v>
      </c>
      <c r="E1898" s="132" t="s">
        <v>1228</v>
      </c>
      <c r="F1898" s="139"/>
      <c r="G1898" s="129"/>
      <c r="H1898" s="129"/>
      <c r="I1898" s="129"/>
      <c r="J1898" s="129"/>
      <c r="K1898" s="129"/>
      <c r="L1898" s="129"/>
      <c r="M1898" s="129"/>
      <c r="N1898" s="129"/>
      <c r="O1898" s="129"/>
      <c r="P1898" s="129"/>
      <c r="Q1898" s="129"/>
      <c r="R1898" s="129"/>
      <c r="S1898" s="129"/>
      <c r="T1898" s="129"/>
      <c r="U1898" s="129"/>
      <c r="V1898" s="129"/>
      <c r="W1898" s="129"/>
      <c r="X1898" s="129"/>
      <c r="Y1898" s="129"/>
      <c r="Z1898" s="129"/>
      <c r="AA1898" s="129"/>
      <c r="AB1898" s="129"/>
    </row>
    <row r="1899" hidden="1">
      <c r="A1899" s="123" t="s">
        <v>1240</v>
      </c>
      <c r="B1899" s="147">
        <v>2640.0</v>
      </c>
      <c r="C1899" s="147">
        <v>2950.0</v>
      </c>
      <c r="D1899" s="132">
        <f t="shared" si="222"/>
        <v>310</v>
      </c>
      <c r="E1899" s="132" t="s">
        <v>1228</v>
      </c>
      <c r="F1899" s="139"/>
      <c r="G1899" s="129"/>
      <c r="H1899" s="129"/>
      <c r="I1899" s="129"/>
      <c r="J1899" s="129"/>
      <c r="K1899" s="129"/>
      <c r="L1899" s="129"/>
      <c r="M1899" s="129"/>
      <c r="N1899" s="129"/>
      <c r="O1899" s="129"/>
      <c r="P1899" s="129"/>
      <c r="Q1899" s="129"/>
      <c r="R1899" s="129"/>
      <c r="S1899" s="129"/>
      <c r="T1899" s="129"/>
      <c r="U1899" s="129"/>
      <c r="V1899" s="129"/>
      <c r="W1899" s="129"/>
      <c r="X1899" s="129"/>
      <c r="Y1899" s="129"/>
      <c r="Z1899" s="129"/>
      <c r="AA1899" s="129"/>
      <c r="AB1899" s="129"/>
    </row>
    <row r="1900" hidden="1">
      <c r="A1900" s="123" t="s">
        <v>1249</v>
      </c>
      <c r="B1900" s="147">
        <v>4290.0</v>
      </c>
      <c r="C1900" s="147">
        <v>6150.0</v>
      </c>
      <c r="D1900" s="132">
        <f t="shared" si="222"/>
        <v>1860</v>
      </c>
      <c r="E1900" s="132" t="s">
        <v>1228</v>
      </c>
      <c r="F1900" s="139"/>
      <c r="G1900" s="129"/>
      <c r="H1900" s="129"/>
      <c r="I1900" s="129"/>
      <c r="J1900" s="129"/>
      <c r="K1900" s="129"/>
      <c r="L1900" s="129"/>
      <c r="M1900" s="129"/>
      <c r="N1900" s="129"/>
      <c r="O1900" s="129"/>
      <c r="P1900" s="129"/>
      <c r="Q1900" s="129"/>
      <c r="R1900" s="129"/>
      <c r="S1900" s="129"/>
      <c r="T1900" s="129"/>
      <c r="U1900" s="129"/>
      <c r="V1900" s="129"/>
      <c r="W1900" s="129"/>
      <c r="X1900" s="129"/>
      <c r="Y1900" s="129"/>
      <c r="Z1900" s="129"/>
      <c r="AA1900" s="129"/>
      <c r="AB1900" s="129"/>
    </row>
    <row r="1901" hidden="1">
      <c r="A1901" s="150" t="s">
        <v>1240</v>
      </c>
      <c r="B1901" s="132">
        <v>2310.0</v>
      </c>
      <c r="C1901" s="132">
        <v>2725.0</v>
      </c>
      <c r="D1901" s="132">
        <f t="shared" si="222"/>
        <v>415</v>
      </c>
      <c r="E1901" s="132" t="s">
        <v>1228</v>
      </c>
      <c r="F1901" s="139"/>
      <c r="G1901" s="129"/>
      <c r="H1901" s="129"/>
      <c r="I1901" s="129"/>
      <c r="J1901" s="129"/>
      <c r="K1901" s="129"/>
      <c r="L1901" s="129"/>
      <c r="M1901" s="129"/>
      <c r="N1901" s="129"/>
      <c r="O1901" s="129"/>
      <c r="P1901" s="129"/>
      <c r="Q1901" s="129"/>
      <c r="R1901" s="129"/>
      <c r="S1901" s="129"/>
      <c r="T1901" s="129"/>
      <c r="U1901" s="129"/>
      <c r="V1901" s="129"/>
      <c r="W1901" s="129"/>
      <c r="X1901" s="129"/>
      <c r="Y1901" s="129"/>
      <c r="Z1901" s="129"/>
      <c r="AA1901" s="129"/>
      <c r="AB1901" s="129"/>
    </row>
    <row r="1902" hidden="1">
      <c r="A1902" s="150" t="s">
        <v>1240</v>
      </c>
      <c r="B1902" s="147">
        <v>2310.0</v>
      </c>
      <c r="C1902" s="147">
        <v>2725.0</v>
      </c>
      <c r="D1902" s="132">
        <f t="shared" si="222"/>
        <v>415</v>
      </c>
      <c r="E1902" s="132" t="s">
        <v>1228</v>
      </c>
      <c r="F1902" s="139"/>
      <c r="G1902" s="129"/>
      <c r="H1902" s="129"/>
      <c r="I1902" s="129"/>
      <c r="J1902" s="129"/>
      <c r="K1902" s="129"/>
      <c r="L1902" s="129"/>
      <c r="M1902" s="129"/>
      <c r="N1902" s="129"/>
      <c r="O1902" s="129"/>
      <c r="P1902" s="129"/>
      <c r="Q1902" s="129"/>
      <c r="R1902" s="129"/>
      <c r="S1902" s="129"/>
      <c r="T1902" s="129"/>
      <c r="U1902" s="129"/>
      <c r="V1902" s="129"/>
      <c r="W1902" s="129"/>
      <c r="X1902" s="129"/>
      <c r="Y1902" s="129"/>
      <c r="Z1902" s="129"/>
      <c r="AA1902" s="129"/>
      <c r="AB1902" s="129"/>
    </row>
    <row r="1903" hidden="1">
      <c r="A1903" s="150" t="s">
        <v>1240</v>
      </c>
      <c r="B1903" s="147">
        <v>2351.0</v>
      </c>
      <c r="C1903" s="147">
        <v>2800.0</v>
      </c>
      <c r="D1903" s="132">
        <f t="shared" si="222"/>
        <v>449</v>
      </c>
      <c r="E1903" s="132" t="s">
        <v>1228</v>
      </c>
      <c r="F1903" s="139"/>
      <c r="G1903" s="129"/>
      <c r="H1903" s="129"/>
      <c r="I1903" s="129"/>
      <c r="J1903" s="129"/>
      <c r="K1903" s="129"/>
      <c r="L1903" s="129"/>
      <c r="M1903" s="129"/>
      <c r="N1903" s="129"/>
      <c r="O1903" s="129"/>
      <c r="P1903" s="129"/>
      <c r="Q1903" s="129"/>
      <c r="R1903" s="129"/>
      <c r="S1903" s="129"/>
      <c r="T1903" s="129"/>
      <c r="U1903" s="129"/>
      <c r="V1903" s="129"/>
      <c r="W1903" s="129"/>
      <c r="X1903" s="129"/>
      <c r="Y1903" s="129"/>
      <c r="Z1903" s="129"/>
      <c r="AA1903" s="129"/>
      <c r="AB1903" s="129"/>
    </row>
    <row r="1904" hidden="1">
      <c r="A1904" s="150" t="s">
        <v>1240</v>
      </c>
      <c r="B1904" s="147">
        <v>2640.0</v>
      </c>
      <c r="C1904" s="147">
        <v>2725.0</v>
      </c>
      <c r="D1904" s="132">
        <f t="shared" si="222"/>
        <v>85</v>
      </c>
      <c r="E1904" s="132" t="s">
        <v>1228</v>
      </c>
      <c r="F1904" s="139"/>
      <c r="G1904" s="129"/>
      <c r="H1904" s="129"/>
      <c r="I1904" s="129"/>
      <c r="J1904" s="129"/>
      <c r="K1904" s="129"/>
      <c r="L1904" s="129"/>
      <c r="M1904" s="129"/>
      <c r="N1904" s="129"/>
      <c r="O1904" s="129"/>
      <c r="P1904" s="129"/>
      <c r="Q1904" s="129"/>
      <c r="R1904" s="129"/>
      <c r="S1904" s="129"/>
      <c r="T1904" s="129"/>
      <c r="U1904" s="129"/>
      <c r="V1904" s="129"/>
      <c r="W1904" s="129"/>
      <c r="X1904" s="129"/>
      <c r="Y1904" s="129"/>
      <c r="Z1904" s="129"/>
      <c r="AA1904" s="129"/>
      <c r="AB1904" s="129"/>
    </row>
    <row r="1905" hidden="1">
      <c r="A1905" s="128" t="s">
        <v>1240</v>
      </c>
      <c r="B1905" s="147">
        <v>1815.0</v>
      </c>
      <c r="C1905" s="147">
        <v>2475.0</v>
      </c>
      <c r="D1905" s="132">
        <f t="shared" si="222"/>
        <v>660</v>
      </c>
      <c r="E1905" s="132" t="s">
        <v>1228</v>
      </c>
      <c r="F1905" s="124"/>
      <c r="G1905" s="129"/>
      <c r="H1905" s="129"/>
      <c r="I1905" s="129"/>
      <c r="J1905" s="129"/>
      <c r="K1905" s="129"/>
      <c r="L1905" s="129"/>
      <c r="M1905" s="129"/>
      <c r="N1905" s="129"/>
      <c r="O1905" s="129"/>
      <c r="P1905" s="129"/>
      <c r="Q1905" s="129"/>
      <c r="R1905" s="129"/>
      <c r="S1905" s="129"/>
      <c r="T1905" s="129"/>
      <c r="U1905" s="129"/>
      <c r="V1905" s="129"/>
      <c r="W1905" s="129"/>
      <c r="X1905" s="129"/>
      <c r="Y1905" s="129"/>
      <c r="Z1905" s="129"/>
      <c r="AA1905" s="129"/>
      <c r="AB1905" s="129"/>
    </row>
    <row r="1906" hidden="1">
      <c r="A1906" s="128" t="s">
        <v>1250</v>
      </c>
      <c r="B1906" s="147">
        <v>590.0</v>
      </c>
      <c r="C1906" s="147">
        <v>662.0</v>
      </c>
      <c r="D1906" s="132">
        <f t="shared" si="222"/>
        <v>72</v>
      </c>
      <c r="E1906" s="126" t="s">
        <v>123</v>
      </c>
      <c r="F1906" s="124"/>
      <c r="G1906" s="129"/>
      <c r="H1906" s="129"/>
      <c r="I1906" s="129"/>
      <c r="J1906" s="129"/>
      <c r="K1906" s="129"/>
      <c r="L1906" s="129"/>
      <c r="M1906" s="129"/>
      <c r="N1906" s="129"/>
      <c r="O1906" s="129"/>
      <c r="P1906" s="129"/>
      <c r="Q1906" s="129"/>
      <c r="R1906" s="129"/>
      <c r="S1906" s="129"/>
      <c r="T1906" s="129"/>
      <c r="U1906" s="129"/>
      <c r="V1906" s="129"/>
      <c r="W1906" s="129"/>
      <c r="X1906" s="129"/>
      <c r="Y1906" s="129"/>
      <c r="Z1906" s="129"/>
      <c r="AA1906" s="129"/>
      <c r="AB1906" s="129"/>
    </row>
    <row r="1907" hidden="1">
      <c r="A1907" s="150" t="s">
        <v>1251</v>
      </c>
      <c r="B1907" s="147">
        <v>2310.0</v>
      </c>
      <c r="C1907" s="147">
        <v>2925.0</v>
      </c>
      <c r="D1907" s="132">
        <f t="shared" si="222"/>
        <v>615</v>
      </c>
      <c r="E1907" s="132" t="s">
        <v>1228</v>
      </c>
      <c r="F1907" s="139"/>
      <c r="G1907" s="150"/>
      <c r="H1907" s="129"/>
      <c r="I1907" s="129"/>
      <c r="J1907" s="129"/>
      <c r="K1907" s="129"/>
      <c r="L1907" s="129"/>
      <c r="M1907" s="129"/>
      <c r="N1907" s="129"/>
      <c r="O1907" s="129"/>
      <c r="P1907" s="129"/>
      <c r="Q1907" s="129"/>
      <c r="R1907" s="129"/>
      <c r="S1907" s="129"/>
      <c r="T1907" s="129"/>
      <c r="U1907" s="129"/>
      <c r="V1907" s="129"/>
      <c r="W1907" s="129"/>
      <c r="X1907" s="129"/>
      <c r="Y1907" s="129"/>
      <c r="Z1907" s="129"/>
      <c r="AA1907" s="129"/>
      <c r="AB1907" s="129"/>
    </row>
    <row r="1908" hidden="1">
      <c r="A1908" s="123" t="s">
        <v>1251</v>
      </c>
      <c r="B1908" s="147">
        <v>2228.0</v>
      </c>
      <c r="C1908" s="147">
        <v>3050.0</v>
      </c>
      <c r="D1908" s="132">
        <f t="shared" si="222"/>
        <v>822</v>
      </c>
      <c r="E1908" s="132" t="s">
        <v>1228</v>
      </c>
      <c r="F1908" s="139"/>
      <c r="G1908" s="150"/>
      <c r="H1908" s="129"/>
      <c r="I1908" s="129"/>
      <c r="J1908" s="129"/>
      <c r="K1908" s="129"/>
      <c r="L1908" s="129"/>
      <c r="M1908" s="129"/>
      <c r="N1908" s="129"/>
      <c r="O1908" s="129"/>
      <c r="P1908" s="129"/>
      <c r="Q1908" s="129"/>
      <c r="R1908" s="129"/>
      <c r="S1908" s="129"/>
      <c r="T1908" s="129"/>
      <c r="U1908" s="129"/>
      <c r="V1908" s="129"/>
      <c r="W1908" s="129"/>
      <c r="X1908" s="129"/>
      <c r="Y1908" s="129"/>
      <c r="Z1908" s="129"/>
      <c r="AA1908" s="129"/>
      <c r="AB1908" s="129"/>
    </row>
    <row r="1909" hidden="1">
      <c r="A1909" s="123" t="s">
        <v>1252</v>
      </c>
      <c r="B1909" s="147">
        <v>2228.0</v>
      </c>
      <c r="C1909" s="147">
        <v>3050.0</v>
      </c>
      <c r="D1909" s="132">
        <f t="shared" si="222"/>
        <v>822</v>
      </c>
      <c r="E1909" s="132" t="s">
        <v>1228</v>
      </c>
      <c r="F1909" s="139"/>
      <c r="G1909" s="150"/>
      <c r="H1909" s="129"/>
      <c r="I1909" s="129"/>
      <c r="J1909" s="129"/>
      <c r="K1909" s="129"/>
      <c r="L1909" s="129"/>
      <c r="M1909" s="129"/>
      <c r="N1909" s="129"/>
      <c r="O1909" s="129"/>
      <c r="P1909" s="129"/>
      <c r="Q1909" s="129"/>
      <c r="R1909" s="129"/>
      <c r="S1909" s="129"/>
      <c r="T1909" s="129"/>
      <c r="U1909" s="129"/>
      <c r="V1909" s="129"/>
      <c r="W1909" s="129"/>
      <c r="X1909" s="129"/>
      <c r="Y1909" s="129"/>
      <c r="Z1909" s="129"/>
      <c r="AA1909" s="129"/>
      <c r="AB1909" s="129"/>
    </row>
    <row r="1910" hidden="1">
      <c r="A1910" s="128" t="s">
        <v>1253</v>
      </c>
      <c r="B1910" s="132">
        <v>1980.0</v>
      </c>
      <c r="C1910" s="147">
        <v>3000.0</v>
      </c>
      <c r="D1910" s="132">
        <f t="shared" si="222"/>
        <v>1020</v>
      </c>
      <c r="E1910" s="132" t="s">
        <v>1228</v>
      </c>
      <c r="F1910" s="139"/>
      <c r="G1910" s="150"/>
      <c r="H1910" s="129"/>
      <c r="I1910" s="129"/>
      <c r="J1910" s="129"/>
      <c r="K1910" s="129"/>
      <c r="L1910" s="129"/>
      <c r="M1910" s="129"/>
      <c r="N1910" s="129"/>
      <c r="O1910" s="129"/>
      <c r="P1910" s="129"/>
      <c r="Q1910" s="129"/>
      <c r="R1910" s="129"/>
      <c r="S1910" s="129"/>
      <c r="T1910" s="129"/>
      <c r="U1910" s="129"/>
      <c r="V1910" s="129"/>
      <c r="W1910" s="129"/>
      <c r="X1910" s="129"/>
      <c r="Y1910" s="129"/>
      <c r="Z1910" s="129"/>
      <c r="AA1910" s="129"/>
      <c r="AB1910" s="129"/>
    </row>
    <row r="1911" hidden="1">
      <c r="A1911" s="150" t="s">
        <v>1251</v>
      </c>
      <c r="B1911" s="147">
        <v>1980.0</v>
      </c>
      <c r="C1911" s="147">
        <v>3000.0</v>
      </c>
      <c r="D1911" s="132">
        <f t="shared" si="222"/>
        <v>1020</v>
      </c>
      <c r="E1911" s="132" t="s">
        <v>1228</v>
      </c>
      <c r="F1911" s="139"/>
      <c r="G1911" s="150"/>
      <c r="H1911" s="129"/>
      <c r="I1911" s="129"/>
      <c r="J1911" s="129"/>
      <c r="K1911" s="129"/>
      <c r="L1911" s="129"/>
      <c r="M1911" s="129"/>
      <c r="N1911" s="129"/>
      <c r="O1911" s="129"/>
      <c r="P1911" s="129"/>
      <c r="Q1911" s="129"/>
      <c r="R1911" s="129"/>
      <c r="S1911" s="129"/>
      <c r="T1911" s="129"/>
      <c r="U1911" s="129"/>
      <c r="V1911" s="129"/>
      <c r="W1911" s="129"/>
      <c r="X1911" s="129"/>
      <c r="Y1911" s="129"/>
      <c r="Z1911" s="129"/>
      <c r="AA1911" s="129"/>
      <c r="AB1911" s="129"/>
    </row>
    <row r="1912" hidden="1">
      <c r="A1912" s="150" t="s">
        <v>1252</v>
      </c>
      <c r="B1912" s="147">
        <v>1980.0</v>
      </c>
      <c r="C1912" s="147">
        <v>2600.0</v>
      </c>
      <c r="D1912" s="132">
        <f t="shared" si="222"/>
        <v>620</v>
      </c>
      <c r="E1912" s="132" t="s">
        <v>1228</v>
      </c>
      <c r="F1912" s="139"/>
      <c r="G1912" s="150"/>
      <c r="H1912" s="129"/>
      <c r="I1912" s="129"/>
      <c r="J1912" s="129"/>
      <c r="K1912" s="129"/>
      <c r="L1912" s="129"/>
      <c r="M1912" s="129"/>
      <c r="N1912" s="129"/>
      <c r="O1912" s="129"/>
      <c r="P1912" s="129"/>
      <c r="Q1912" s="129"/>
      <c r="R1912" s="129"/>
      <c r="S1912" s="129"/>
      <c r="T1912" s="129"/>
      <c r="U1912" s="129"/>
      <c r="V1912" s="129"/>
      <c r="W1912" s="129"/>
      <c r="X1912" s="129"/>
      <c r="Y1912" s="129"/>
      <c r="Z1912" s="129"/>
      <c r="AA1912" s="129"/>
      <c r="AB1912" s="129"/>
    </row>
    <row r="1913" hidden="1">
      <c r="A1913" s="128" t="s">
        <v>1251</v>
      </c>
      <c r="B1913" s="147">
        <v>2021.0</v>
      </c>
      <c r="C1913" s="147">
        <v>2875.0</v>
      </c>
      <c r="D1913" s="132">
        <f t="shared" si="222"/>
        <v>854</v>
      </c>
      <c r="E1913" s="132" t="s">
        <v>1228</v>
      </c>
      <c r="F1913" s="139"/>
      <c r="G1913" s="150"/>
      <c r="H1913" s="129"/>
      <c r="I1913" s="129"/>
      <c r="J1913" s="129"/>
      <c r="K1913" s="129"/>
      <c r="L1913" s="129"/>
      <c r="M1913" s="129"/>
      <c r="N1913" s="129"/>
      <c r="O1913" s="129"/>
      <c r="P1913" s="129"/>
      <c r="Q1913" s="129"/>
      <c r="R1913" s="129"/>
      <c r="S1913" s="129"/>
      <c r="T1913" s="129"/>
      <c r="U1913" s="129"/>
      <c r="V1913" s="129"/>
      <c r="W1913" s="129"/>
      <c r="X1913" s="129"/>
      <c r="Y1913" s="129"/>
      <c r="Z1913" s="129"/>
      <c r="AA1913" s="129"/>
      <c r="AB1913" s="129"/>
    </row>
    <row r="1914" hidden="1">
      <c r="A1914" s="150" t="s">
        <v>1252</v>
      </c>
      <c r="B1914" s="147">
        <v>2145.0</v>
      </c>
      <c r="C1914" s="147">
        <v>2925.0</v>
      </c>
      <c r="D1914" s="132">
        <f t="shared" si="222"/>
        <v>780</v>
      </c>
      <c r="E1914" s="132" t="s">
        <v>1228</v>
      </c>
      <c r="F1914" s="139"/>
      <c r="G1914" s="150"/>
      <c r="H1914" s="129"/>
      <c r="I1914" s="129"/>
      <c r="J1914" s="129"/>
      <c r="K1914" s="129"/>
      <c r="L1914" s="129"/>
      <c r="M1914" s="129"/>
      <c r="N1914" s="129"/>
      <c r="O1914" s="129"/>
      <c r="P1914" s="129"/>
      <c r="Q1914" s="129"/>
      <c r="R1914" s="129"/>
      <c r="S1914" s="129"/>
      <c r="T1914" s="129"/>
      <c r="U1914" s="129"/>
      <c r="V1914" s="129"/>
      <c r="W1914" s="129"/>
      <c r="X1914" s="129"/>
      <c r="Y1914" s="129"/>
      <c r="Z1914" s="129"/>
      <c r="AA1914" s="129"/>
      <c r="AB1914" s="129"/>
    </row>
    <row r="1915" hidden="1">
      <c r="A1915" s="150" t="s">
        <v>1252</v>
      </c>
      <c r="B1915" s="147">
        <v>1898.0</v>
      </c>
      <c r="C1915" s="147">
        <v>2950.0</v>
      </c>
      <c r="D1915" s="132">
        <f t="shared" si="222"/>
        <v>1052</v>
      </c>
      <c r="E1915" s="132" t="s">
        <v>1228</v>
      </c>
      <c r="F1915" s="139"/>
      <c r="G1915" s="150"/>
      <c r="H1915" s="129"/>
      <c r="I1915" s="129"/>
      <c r="J1915" s="129"/>
      <c r="K1915" s="129"/>
      <c r="L1915" s="129"/>
      <c r="M1915" s="129"/>
      <c r="N1915" s="129"/>
      <c r="O1915" s="129"/>
      <c r="P1915" s="129"/>
      <c r="Q1915" s="129"/>
      <c r="R1915" s="129"/>
      <c r="S1915" s="129"/>
      <c r="T1915" s="129"/>
      <c r="U1915" s="129"/>
      <c r="V1915" s="129"/>
      <c r="W1915" s="129"/>
      <c r="X1915" s="129"/>
      <c r="Y1915" s="129"/>
      <c r="Z1915" s="129"/>
      <c r="AA1915" s="129"/>
      <c r="AB1915" s="129"/>
    </row>
    <row r="1916" hidden="1">
      <c r="A1916" s="150" t="s">
        <v>1252</v>
      </c>
      <c r="B1916" s="147">
        <v>2475.0</v>
      </c>
      <c r="C1916" s="147">
        <v>3550.0</v>
      </c>
      <c r="D1916" s="132">
        <f t="shared" si="222"/>
        <v>1075</v>
      </c>
      <c r="E1916" s="132" t="s">
        <v>1228</v>
      </c>
      <c r="F1916" s="139"/>
      <c r="G1916" s="150"/>
      <c r="H1916" s="129"/>
      <c r="I1916" s="129"/>
      <c r="J1916" s="129"/>
      <c r="K1916" s="129"/>
      <c r="L1916" s="129"/>
      <c r="M1916" s="129"/>
      <c r="N1916" s="129"/>
      <c r="O1916" s="129"/>
      <c r="P1916" s="129"/>
      <c r="Q1916" s="129"/>
      <c r="R1916" s="129"/>
      <c r="S1916" s="129"/>
      <c r="T1916" s="129"/>
      <c r="U1916" s="129"/>
      <c r="V1916" s="129"/>
      <c r="W1916" s="129"/>
      <c r="X1916" s="129"/>
      <c r="Y1916" s="129"/>
      <c r="Z1916" s="129"/>
      <c r="AA1916" s="129"/>
      <c r="AB1916" s="129"/>
    </row>
    <row r="1917" hidden="1">
      <c r="A1917" s="150" t="s">
        <v>1251</v>
      </c>
      <c r="B1917" s="147">
        <v>2145.0</v>
      </c>
      <c r="C1917" s="147">
        <v>2650.0</v>
      </c>
      <c r="D1917" s="132">
        <f t="shared" si="222"/>
        <v>505</v>
      </c>
      <c r="E1917" s="132" t="s">
        <v>1228</v>
      </c>
      <c r="F1917" s="139"/>
      <c r="G1917" s="150"/>
      <c r="H1917" s="129"/>
      <c r="I1917" s="129"/>
      <c r="J1917" s="129"/>
      <c r="K1917" s="129"/>
      <c r="L1917" s="129"/>
      <c r="M1917" s="129"/>
      <c r="N1917" s="129"/>
      <c r="O1917" s="129"/>
      <c r="P1917" s="129"/>
      <c r="Q1917" s="129"/>
      <c r="R1917" s="129"/>
      <c r="S1917" s="129"/>
      <c r="T1917" s="129"/>
      <c r="U1917" s="129"/>
      <c r="V1917" s="129"/>
      <c r="W1917" s="129"/>
      <c r="X1917" s="129"/>
      <c r="Y1917" s="129"/>
      <c r="Z1917" s="129"/>
      <c r="AA1917" s="129"/>
      <c r="AB1917" s="129"/>
    </row>
    <row r="1918" hidden="1">
      <c r="A1918" s="150" t="s">
        <v>1252</v>
      </c>
      <c r="B1918" s="147">
        <v>2145.0</v>
      </c>
      <c r="C1918" s="147">
        <v>2400.0</v>
      </c>
      <c r="D1918" s="132">
        <f t="shared" si="222"/>
        <v>255</v>
      </c>
      <c r="E1918" s="132" t="s">
        <v>1228</v>
      </c>
      <c r="F1918" s="139"/>
      <c r="G1918" s="150"/>
      <c r="H1918" s="129"/>
      <c r="I1918" s="129"/>
      <c r="J1918" s="129"/>
      <c r="K1918" s="129"/>
      <c r="L1918" s="129"/>
      <c r="M1918" s="129"/>
      <c r="N1918" s="129"/>
      <c r="O1918" s="129"/>
      <c r="P1918" s="129"/>
      <c r="Q1918" s="129"/>
      <c r="R1918" s="129"/>
      <c r="S1918" s="129"/>
      <c r="T1918" s="129"/>
      <c r="U1918" s="129"/>
      <c r="V1918" s="129"/>
      <c r="W1918" s="129"/>
      <c r="X1918" s="129"/>
      <c r="Y1918" s="129"/>
      <c r="Z1918" s="129"/>
      <c r="AA1918" s="129"/>
      <c r="AB1918" s="129"/>
    </row>
    <row r="1919" hidden="1">
      <c r="A1919" s="128" t="s">
        <v>1251</v>
      </c>
      <c r="B1919" s="147">
        <v>2104.0</v>
      </c>
      <c r="C1919" s="147">
        <v>2500.0</v>
      </c>
      <c r="D1919" s="132">
        <f t="shared" si="222"/>
        <v>396</v>
      </c>
      <c r="E1919" s="132" t="s">
        <v>1228</v>
      </c>
      <c r="F1919" s="139"/>
      <c r="G1919" s="150"/>
      <c r="H1919" s="129"/>
      <c r="I1919" s="129"/>
      <c r="J1919" s="129"/>
      <c r="K1919" s="129"/>
      <c r="L1919" s="129"/>
      <c r="M1919" s="129"/>
      <c r="N1919" s="129"/>
      <c r="O1919" s="129"/>
      <c r="P1919" s="129"/>
      <c r="Q1919" s="129"/>
      <c r="R1919" s="129"/>
      <c r="S1919" s="129"/>
      <c r="T1919" s="129"/>
      <c r="U1919" s="129"/>
      <c r="V1919" s="129"/>
      <c r="W1919" s="129"/>
      <c r="X1919" s="129"/>
      <c r="Y1919" s="129"/>
      <c r="Z1919" s="129"/>
      <c r="AA1919" s="129"/>
      <c r="AB1919" s="129"/>
    </row>
    <row r="1920" hidden="1">
      <c r="A1920" s="128" t="s">
        <v>1252</v>
      </c>
      <c r="B1920" s="132">
        <v>2282.0</v>
      </c>
      <c r="C1920" s="147">
        <v>2550.0</v>
      </c>
      <c r="D1920" s="132">
        <f t="shared" si="222"/>
        <v>268</v>
      </c>
      <c r="E1920" s="132" t="s">
        <v>1228</v>
      </c>
      <c r="F1920" s="139"/>
      <c r="G1920" s="150"/>
      <c r="H1920" s="129"/>
      <c r="I1920" s="129"/>
      <c r="J1920" s="129"/>
      <c r="K1920" s="129"/>
      <c r="L1920" s="129"/>
      <c r="M1920" s="129"/>
      <c r="N1920" s="129"/>
      <c r="O1920" s="129"/>
      <c r="P1920" s="129"/>
      <c r="Q1920" s="129"/>
      <c r="R1920" s="129"/>
      <c r="S1920" s="129"/>
      <c r="T1920" s="129"/>
      <c r="U1920" s="129"/>
      <c r="V1920" s="129"/>
      <c r="W1920" s="129"/>
      <c r="X1920" s="129"/>
      <c r="Y1920" s="129"/>
      <c r="Z1920" s="129"/>
      <c r="AA1920" s="129"/>
      <c r="AB1920" s="129"/>
    </row>
    <row r="1921" hidden="1">
      <c r="A1921" s="123" t="s">
        <v>1251</v>
      </c>
      <c r="B1921" s="147">
        <v>2282.0</v>
      </c>
      <c r="C1921" s="147">
        <v>2750.0</v>
      </c>
      <c r="D1921" s="132">
        <f t="shared" si="222"/>
        <v>468</v>
      </c>
      <c r="E1921" s="132" t="s">
        <v>1228</v>
      </c>
      <c r="F1921" s="139"/>
      <c r="G1921" s="150"/>
      <c r="H1921" s="129"/>
      <c r="I1921" s="129"/>
      <c r="J1921" s="129"/>
      <c r="K1921" s="129"/>
      <c r="L1921" s="129"/>
      <c r="M1921" s="129"/>
      <c r="N1921" s="129"/>
      <c r="O1921" s="129"/>
      <c r="P1921" s="129"/>
      <c r="Q1921" s="129"/>
      <c r="R1921" s="129"/>
      <c r="S1921" s="129"/>
      <c r="T1921" s="129"/>
      <c r="U1921" s="129"/>
      <c r="V1921" s="129"/>
      <c r="W1921" s="129"/>
      <c r="X1921" s="129"/>
      <c r="Y1921" s="129"/>
      <c r="Z1921" s="129"/>
      <c r="AA1921" s="129"/>
      <c r="AB1921" s="129"/>
    </row>
    <row r="1922" hidden="1">
      <c r="A1922" s="150" t="s">
        <v>1252</v>
      </c>
      <c r="B1922" s="147">
        <v>2723.0</v>
      </c>
      <c r="C1922" s="147">
        <v>3800.0</v>
      </c>
      <c r="D1922" s="132">
        <f t="shared" si="222"/>
        <v>1077</v>
      </c>
      <c r="E1922" s="132" t="s">
        <v>1228</v>
      </c>
      <c r="F1922" s="139"/>
      <c r="G1922" s="150"/>
      <c r="H1922" s="129"/>
      <c r="I1922" s="129"/>
      <c r="J1922" s="129"/>
      <c r="K1922" s="129"/>
      <c r="L1922" s="129"/>
      <c r="M1922" s="129"/>
      <c r="N1922" s="129"/>
      <c r="O1922" s="129"/>
      <c r="P1922" s="129"/>
      <c r="Q1922" s="129"/>
      <c r="R1922" s="129"/>
      <c r="S1922" s="129"/>
      <c r="T1922" s="129"/>
      <c r="U1922" s="129"/>
      <c r="V1922" s="129"/>
      <c r="W1922" s="129"/>
      <c r="X1922" s="129"/>
      <c r="Y1922" s="129"/>
      <c r="Z1922" s="129"/>
      <c r="AA1922" s="129"/>
      <c r="AB1922" s="129"/>
    </row>
    <row r="1923" hidden="1">
      <c r="A1923" s="123" t="s">
        <v>1252</v>
      </c>
      <c r="B1923" s="124">
        <v>1650.0</v>
      </c>
      <c r="C1923" s="124">
        <v>3025.0</v>
      </c>
      <c r="D1923" s="125">
        <f t="shared" si="222"/>
        <v>1375</v>
      </c>
      <c r="E1923" s="147" t="s">
        <v>1228</v>
      </c>
      <c r="F1923" s="139"/>
      <c r="G1923" s="150"/>
      <c r="H1923" s="129"/>
      <c r="I1923" s="129"/>
      <c r="J1923" s="129"/>
      <c r="K1923" s="129"/>
      <c r="L1923" s="129"/>
      <c r="M1923" s="129"/>
      <c r="N1923" s="129"/>
      <c r="O1923" s="129"/>
      <c r="P1923" s="129"/>
      <c r="Q1923" s="129"/>
      <c r="R1923" s="129"/>
      <c r="S1923" s="129"/>
      <c r="T1923" s="129"/>
      <c r="U1923" s="129"/>
      <c r="V1923" s="129"/>
      <c r="W1923" s="129"/>
      <c r="X1923" s="129"/>
      <c r="Y1923" s="129"/>
      <c r="Z1923" s="129"/>
      <c r="AA1923" s="129"/>
      <c r="AB1923" s="129"/>
    </row>
    <row r="1924" hidden="1">
      <c r="A1924" s="123" t="s">
        <v>1251</v>
      </c>
      <c r="B1924" s="124">
        <v>1650.0</v>
      </c>
      <c r="C1924" s="124">
        <v>2700.0</v>
      </c>
      <c r="D1924" s="125">
        <f t="shared" si="222"/>
        <v>1050</v>
      </c>
      <c r="E1924" s="147" t="s">
        <v>1228</v>
      </c>
      <c r="F1924" s="139"/>
      <c r="G1924" s="150"/>
      <c r="H1924" s="129"/>
      <c r="I1924" s="129"/>
      <c r="J1924" s="129"/>
      <c r="K1924" s="129"/>
      <c r="L1924" s="129"/>
      <c r="M1924" s="129"/>
      <c r="N1924" s="129"/>
      <c r="O1924" s="129"/>
      <c r="P1924" s="129"/>
      <c r="Q1924" s="129"/>
      <c r="R1924" s="129"/>
      <c r="S1924" s="129"/>
      <c r="T1924" s="129"/>
      <c r="U1924" s="129"/>
      <c r="V1924" s="129"/>
      <c r="W1924" s="129"/>
      <c r="X1924" s="129"/>
      <c r="Y1924" s="129"/>
      <c r="Z1924" s="129"/>
      <c r="AA1924" s="129"/>
      <c r="AB1924" s="129"/>
    </row>
    <row r="1925" hidden="1">
      <c r="A1925" s="123" t="s">
        <v>1252</v>
      </c>
      <c r="B1925" s="124">
        <v>2970.0</v>
      </c>
      <c r="C1925" s="124">
        <v>4550.0</v>
      </c>
      <c r="D1925" s="125">
        <f t="shared" si="222"/>
        <v>1580</v>
      </c>
      <c r="E1925" s="147" t="s">
        <v>1228</v>
      </c>
      <c r="F1925" s="139"/>
      <c r="G1925" s="150"/>
      <c r="H1925" s="129"/>
      <c r="I1925" s="129"/>
      <c r="J1925" s="129"/>
      <c r="K1925" s="129"/>
      <c r="L1925" s="129"/>
      <c r="M1925" s="129"/>
      <c r="N1925" s="129"/>
      <c r="O1925" s="129"/>
      <c r="P1925" s="129"/>
      <c r="Q1925" s="129"/>
      <c r="R1925" s="129"/>
      <c r="S1925" s="129"/>
      <c r="T1925" s="129"/>
      <c r="U1925" s="129"/>
      <c r="V1925" s="129"/>
      <c r="W1925" s="129"/>
      <c r="X1925" s="129"/>
      <c r="Y1925" s="129"/>
      <c r="Z1925" s="129"/>
      <c r="AA1925" s="129"/>
      <c r="AB1925" s="129"/>
    </row>
    <row r="1926" hidden="1">
      <c r="A1926" s="401" t="s">
        <v>1000</v>
      </c>
      <c r="B1926" s="300">
        <v>1500.0</v>
      </c>
      <c r="C1926" s="300">
        <v>2640.0</v>
      </c>
      <c r="D1926" s="301">
        <f t="shared" si="222"/>
        <v>1140</v>
      </c>
      <c r="E1926" s="301" t="s">
        <v>123</v>
      </c>
      <c r="F1926" s="400"/>
      <c r="G1926" s="401"/>
      <c r="H1926" s="217"/>
      <c r="I1926" s="217"/>
      <c r="J1926" s="217"/>
      <c r="K1926" s="217"/>
      <c r="L1926" s="217"/>
      <c r="M1926" s="217"/>
      <c r="N1926" s="217"/>
      <c r="O1926" s="217"/>
      <c r="P1926" s="217"/>
      <c r="Q1926" s="217"/>
      <c r="R1926" s="217"/>
      <c r="S1926" s="217"/>
      <c r="T1926" s="217"/>
      <c r="U1926" s="217"/>
      <c r="V1926" s="217"/>
      <c r="W1926" s="217"/>
      <c r="X1926" s="217"/>
      <c r="Y1926" s="217"/>
      <c r="Z1926" s="217"/>
      <c r="AA1926" s="217"/>
      <c r="AB1926" s="217"/>
    </row>
    <row r="1927" hidden="1">
      <c r="A1927" s="143"/>
      <c r="B1927" s="139"/>
      <c r="C1927" s="139"/>
      <c r="D1927" s="139"/>
      <c r="E1927" s="129"/>
      <c r="F1927" s="129"/>
      <c r="G1927" s="129"/>
      <c r="H1927" s="129"/>
      <c r="I1927" s="129"/>
      <c r="J1927" s="129"/>
      <c r="K1927" s="129"/>
      <c r="L1927" s="129"/>
      <c r="M1927" s="129"/>
      <c r="N1927" s="129"/>
      <c r="O1927" s="129"/>
      <c r="P1927" s="129"/>
      <c r="Q1927" s="129"/>
      <c r="R1927" s="129"/>
      <c r="S1927" s="129"/>
      <c r="T1927" s="129"/>
      <c r="U1927" s="129"/>
      <c r="V1927" s="129"/>
      <c r="W1927" s="129"/>
      <c r="X1927" s="129"/>
      <c r="Y1927" s="129"/>
      <c r="Z1927" s="129"/>
      <c r="AA1927" s="129"/>
      <c r="AB1927" s="129"/>
    </row>
    <row r="1928" hidden="1">
      <c r="A1928" s="144" t="s">
        <v>57</v>
      </c>
      <c r="B1928" s="145">
        <f t="shared" ref="B1928:D1928" si="223">SUM(B1786:B1927)</f>
        <v>497443</v>
      </c>
      <c r="C1928" s="145">
        <f t="shared" si="223"/>
        <v>602296</v>
      </c>
      <c r="D1928" s="145">
        <f t="shared" si="223"/>
        <v>104853</v>
      </c>
      <c r="E1928" s="146">
        <f>D1928/(C1928/100)</f>
        <v>17.40888201</v>
      </c>
      <c r="F1928" s="129"/>
      <c r="G1928" s="129"/>
      <c r="H1928" s="129"/>
      <c r="I1928" s="129"/>
      <c r="J1928" s="129"/>
      <c r="K1928" s="129"/>
      <c r="L1928" s="129"/>
      <c r="M1928" s="129"/>
      <c r="N1928" s="129"/>
      <c r="O1928" s="129"/>
      <c r="P1928" s="129"/>
      <c r="Q1928" s="129"/>
      <c r="R1928" s="129"/>
      <c r="S1928" s="129"/>
      <c r="T1928" s="129"/>
      <c r="U1928" s="129"/>
      <c r="V1928" s="129"/>
      <c r="W1928" s="129"/>
      <c r="X1928" s="129"/>
      <c r="Y1928" s="129"/>
      <c r="Z1928" s="129"/>
      <c r="AA1928" s="129"/>
      <c r="AB1928" s="129"/>
    </row>
    <row r="1929" hidden="1">
      <c r="A1929" s="150"/>
      <c r="B1929" s="147"/>
      <c r="C1929" s="147"/>
      <c r="D1929" s="132"/>
      <c r="E1929" s="132"/>
      <c r="F1929" s="139"/>
      <c r="G1929" s="150"/>
      <c r="H1929" s="129"/>
      <c r="I1929" s="129"/>
      <c r="J1929" s="129"/>
      <c r="K1929" s="129"/>
      <c r="L1929" s="129"/>
      <c r="M1929" s="129"/>
      <c r="N1929" s="129"/>
      <c r="O1929" s="129"/>
      <c r="P1929" s="129"/>
      <c r="Q1929" s="129"/>
      <c r="R1929" s="129"/>
      <c r="S1929" s="129"/>
      <c r="T1929" s="129"/>
      <c r="U1929" s="129"/>
      <c r="V1929" s="129"/>
      <c r="W1929" s="129"/>
      <c r="X1929" s="129"/>
      <c r="Y1929" s="129"/>
      <c r="Z1929" s="129"/>
      <c r="AA1929" s="129"/>
      <c r="AB1929" s="129"/>
    </row>
    <row r="1930" hidden="1">
      <c r="A1930" s="141">
        <v>44470.0</v>
      </c>
      <c r="B1930" s="139"/>
      <c r="C1930" s="139"/>
      <c r="D1930" s="139"/>
      <c r="E1930" s="129"/>
      <c r="F1930" s="129"/>
      <c r="G1930" s="129"/>
      <c r="H1930" s="129"/>
      <c r="I1930" s="129"/>
      <c r="J1930" s="129"/>
      <c r="K1930" s="129"/>
      <c r="L1930" s="129"/>
      <c r="M1930" s="129"/>
      <c r="N1930" s="129"/>
      <c r="O1930" s="129"/>
      <c r="P1930" s="129"/>
      <c r="Q1930" s="129"/>
      <c r="R1930" s="129"/>
      <c r="S1930" s="129"/>
      <c r="T1930" s="129"/>
      <c r="U1930" s="129"/>
      <c r="V1930" s="129"/>
      <c r="W1930" s="129"/>
      <c r="X1930" s="129"/>
      <c r="Y1930" s="129"/>
      <c r="Z1930" s="129"/>
      <c r="AA1930" s="129"/>
      <c r="AB1930" s="129"/>
    </row>
    <row r="1931" hidden="1">
      <c r="A1931" s="123" t="s">
        <v>1254</v>
      </c>
      <c r="B1931" s="124">
        <v>561.0</v>
      </c>
      <c r="C1931" s="124">
        <v>725.0</v>
      </c>
      <c r="D1931" s="132">
        <f t="shared" ref="D1931:D2015" si="224">C1931-B1931</f>
        <v>164</v>
      </c>
      <c r="E1931" s="147" t="s">
        <v>1217</v>
      </c>
      <c r="F1931" s="124"/>
      <c r="G1931" s="123"/>
    </row>
    <row r="1932" hidden="1">
      <c r="A1932" s="123" t="s">
        <v>1255</v>
      </c>
      <c r="B1932" s="124">
        <v>425.0</v>
      </c>
      <c r="C1932" s="124">
        <v>4750.0</v>
      </c>
      <c r="D1932" s="125">
        <f t="shared" si="224"/>
        <v>4325</v>
      </c>
      <c r="E1932" s="147" t="s">
        <v>1256</v>
      </c>
      <c r="F1932" s="124"/>
      <c r="G1932" s="123"/>
    </row>
    <row r="1933" hidden="1">
      <c r="A1933" s="123" t="s">
        <v>1257</v>
      </c>
      <c r="B1933" s="124">
        <v>627.0</v>
      </c>
      <c r="C1933" s="124">
        <v>1320.0</v>
      </c>
      <c r="D1933" s="125">
        <f t="shared" si="224"/>
        <v>693</v>
      </c>
      <c r="E1933" s="147" t="s">
        <v>1256</v>
      </c>
      <c r="F1933" s="124"/>
      <c r="G1933" s="123"/>
    </row>
    <row r="1934" hidden="1">
      <c r="A1934" s="123" t="s">
        <v>1258</v>
      </c>
      <c r="B1934" s="124">
        <v>425.0</v>
      </c>
      <c r="C1934" s="124">
        <v>2150.0</v>
      </c>
      <c r="D1934" s="125">
        <f t="shared" si="224"/>
        <v>1725</v>
      </c>
      <c r="E1934" s="147" t="s">
        <v>1259</v>
      </c>
      <c r="F1934" s="124"/>
      <c r="G1934" s="123"/>
    </row>
    <row r="1935" hidden="1">
      <c r="A1935" s="123" t="s">
        <v>1260</v>
      </c>
      <c r="B1935" s="124">
        <v>425.0</v>
      </c>
      <c r="C1935" s="124">
        <v>1550.0</v>
      </c>
      <c r="D1935" s="125">
        <f t="shared" si="224"/>
        <v>1125</v>
      </c>
      <c r="E1935" s="147" t="s">
        <v>1259</v>
      </c>
      <c r="F1935" s="124"/>
      <c r="G1935" s="123"/>
    </row>
    <row r="1936" hidden="1">
      <c r="A1936" s="123" t="s">
        <v>1261</v>
      </c>
      <c r="B1936" s="124">
        <v>425.0</v>
      </c>
      <c r="C1936" s="124">
        <v>2550.0</v>
      </c>
      <c r="D1936" s="125">
        <f t="shared" si="224"/>
        <v>2125</v>
      </c>
      <c r="E1936" s="147" t="s">
        <v>1259</v>
      </c>
      <c r="F1936" s="124"/>
      <c r="G1936" s="123"/>
    </row>
    <row r="1937" hidden="1">
      <c r="A1937" s="123" t="s">
        <v>1257</v>
      </c>
      <c r="B1937" s="124">
        <v>425.0</v>
      </c>
      <c r="C1937" s="124">
        <v>2025.0</v>
      </c>
      <c r="D1937" s="125">
        <f t="shared" si="224"/>
        <v>1600</v>
      </c>
      <c r="E1937" s="147" t="s">
        <v>1256</v>
      </c>
      <c r="F1937" s="124"/>
      <c r="G1937" s="123"/>
    </row>
    <row r="1938" hidden="1">
      <c r="A1938" s="128" t="s">
        <v>525</v>
      </c>
      <c r="B1938" s="147">
        <v>4490.0</v>
      </c>
      <c r="C1938" s="147">
        <v>4990.0</v>
      </c>
      <c r="D1938" s="132">
        <f t="shared" si="224"/>
        <v>500</v>
      </c>
      <c r="E1938" s="147" t="s">
        <v>120</v>
      </c>
      <c r="F1938" s="129"/>
      <c r="G1938" s="129"/>
      <c r="H1938" s="129"/>
      <c r="I1938" s="129"/>
      <c r="J1938" s="129"/>
      <c r="K1938" s="129"/>
      <c r="L1938" s="129"/>
      <c r="M1938" s="129"/>
      <c r="N1938" s="129"/>
      <c r="O1938" s="129"/>
      <c r="P1938" s="129"/>
      <c r="Q1938" s="129"/>
      <c r="R1938" s="129"/>
      <c r="S1938" s="129"/>
      <c r="T1938" s="129"/>
      <c r="U1938" s="129"/>
      <c r="V1938" s="129"/>
      <c r="W1938" s="129"/>
      <c r="X1938" s="129"/>
      <c r="Y1938" s="129"/>
      <c r="Z1938" s="129"/>
      <c r="AA1938" s="129"/>
      <c r="AB1938" s="129"/>
    </row>
    <row r="1939" hidden="1">
      <c r="A1939" s="128" t="s">
        <v>1262</v>
      </c>
      <c r="B1939" s="386">
        <v>1490.0</v>
      </c>
      <c r="C1939" s="386">
        <v>1690.0</v>
      </c>
      <c r="D1939" s="170">
        <f t="shared" si="224"/>
        <v>200</v>
      </c>
      <c r="E1939" s="126" t="s">
        <v>123</v>
      </c>
      <c r="F1939" s="147"/>
      <c r="G1939" s="123"/>
    </row>
    <row r="1940" hidden="1">
      <c r="A1940" s="128" t="s">
        <v>1262</v>
      </c>
      <c r="B1940" s="386">
        <v>1490.0</v>
      </c>
      <c r="C1940" s="386">
        <v>1690.0</v>
      </c>
      <c r="D1940" s="170">
        <f t="shared" si="224"/>
        <v>200</v>
      </c>
      <c r="E1940" s="126" t="s">
        <v>123</v>
      </c>
      <c r="F1940" s="147"/>
      <c r="G1940" s="123"/>
    </row>
    <row r="1941" hidden="1">
      <c r="A1941" s="123" t="s">
        <v>443</v>
      </c>
      <c r="B1941" s="147">
        <v>1390.0</v>
      </c>
      <c r="C1941" s="124">
        <v>1590.0</v>
      </c>
      <c r="D1941" s="125">
        <f t="shared" si="224"/>
        <v>200</v>
      </c>
      <c r="E1941" s="126" t="s">
        <v>123</v>
      </c>
      <c r="F1941" s="124"/>
      <c r="G1941" s="123"/>
    </row>
    <row r="1942" hidden="1">
      <c r="A1942" s="123" t="s">
        <v>443</v>
      </c>
      <c r="B1942" s="147">
        <v>1390.0</v>
      </c>
      <c r="C1942" s="124">
        <v>1590.0</v>
      </c>
      <c r="D1942" s="125">
        <f t="shared" si="224"/>
        <v>200</v>
      </c>
      <c r="E1942" s="126" t="s">
        <v>123</v>
      </c>
      <c r="F1942" s="124"/>
      <c r="G1942" s="123"/>
    </row>
    <row r="1943" hidden="1">
      <c r="A1943" s="123" t="s">
        <v>443</v>
      </c>
      <c r="B1943" s="147">
        <v>1390.0</v>
      </c>
      <c r="C1943" s="124">
        <v>1590.0</v>
      </c>
      <c r="D1943" s="125">
        <f t="shared" si="224"/>
        <v>200</v>
      </c>
      <c r="E1943" s="126" t="s">
        <v>123</v>
      </c>
      <c r="F1943" s="124"/>
      <c r="G1943" s="123"/>
    </row>
    <row r="1944" hidden="1">
      <c r="A1944" s="123" t="s">
        <v>443</v>
      </c>
      <c r="B1944" s="147">
        <v>1390.0</v>
      </c>
      <c r="C1944" s="124">
        <v>1590.0</v>
      </c>
      <c r="D1944" s="125">
        <f t="shared" si="224"/>
        <v>200</v>
      </c>
      <c r="E1944" s="126" t="s">
        <v>123</v>
      </c>
      <c r="F1944" s="124"/>
      <c r="G1944" s="123"/>
    </row>
    <row r="1945" hidden="1">
      <c r="A1945" s="123" t="s">
        <v>443</v>
      </c>
      <c r="B1945" s="147">
        <v>1390.0</v>
      </c>
      <c r="C1945" s="124">
        <v>1590.0</v>
      </c>
      <c r="D1945" s="125">
        <f t="shared" si="224"/>
        <v>200</v>
      </c>
      <c r="E1945" s="126" t="s">
        <v>123</v>
      </c>
      <c r="F1945" s="124"/>
      <c r="G1945" s="123"/>
    </row>
    <row r="1946" hidden="1">
      <c r="A1946" s="150" t="s">
        <v>443</v>
      </c>
      <c r="B1946" s="147">
        <v>1390.0</v>
      </c>
      <c r="C1946" s="132">
        <v>1590.0</v>
      </c>
      <c r="D1946" s="132">
        <f t="shared" si="224"/>
        <v>200</v>
      </c>
      <c r="E1946" s="132" t="s">
        <v>123</v>
      </c>
      <c r="F1946" s="139"/>
      <c r="G1946" s="150"/>
      <c r="H1946" s="129"/>
      <c r="I1946" s="129"/>
      <c r="J1946" s="129"/>
      <c r="K1946" s="129"/>
      <c r="L1946" s="129"/>
      <c r="M1946" s="129"/>
      <c r="N1946" s="129"/>
      <c r="O1946" s="129"/>
      <c r="P1946" s="129"/>
      <c r="Q1946" s="129"/>
      <c r="R1946" s="129"/>
      <c r="S1946" s="129"/>
      <c r="T1946" s="129"/>
      <c r="U1946" s="129"/>
      <c r="V1946" s="129"/>
      <c r="W1946" s="129"/>
      <c r="X1946" s="129"/>
      <c r="Y1946" s="129"/>
      <c r="Z1946" s="129"/>
      <c r="AA1946" s="129"/>
      <c r="AB1946" s="129"/>
    </row>
    <row r="1947" hidden="1">
      <c r="A1947" s="150" t="s">
        <v>443</v>
      </c>
      <c r="B1947" s="147">
        <v>1390.0</v>
      </c>
      <c r="C1947" s="132">
        <v>1590.0</v>
      </c>
      <c r="D1947" s="132">
        <f t="shared" si="224"/>
        <v>200</v>
      </c>
      <c r="E1947" s="132" t="s">
        <v>123</v>
      </c>
      <c r="F1947" s="139"/>
      <c r="G1947" s="150"/>
      <c r="H1947" s="129"/>
      <c r="I1947" s="129"/>
      <c r="J1947" s="129"/>
      <c r="K1947" s="129"/>
      <c r="L1947" s="129"/>
      <c r="M1947" s="129"/>
      <c r="N1947" s="129"/>
      <c r="O1947" s="129"/>
      <c r="P1947" s="129"/>
      <c r="Q1947" s="129"/>
      <c r="R1947" s="129"/>
      <c r="S1947" s="129"/>
      <c r="T1947" s="129"/>
      <c r="U1947" s="129"/>
      <c r="V1947" s="129"/>
      <c r="W1947" s="129"/>
      <c r="X1947" s="129"/>
      <c r="Y1947" s="129"/>
      <c r="Z1947" s="129"/>
      <c r="AA1947" s="129"/>
      <c r="AB1947" s="129"/>
    </row>
    <row r="1948" hidden="1">
      <c r="A1948" s="150" t="s">
        <v>443</v>
      </c>
      <c r="B1948" s="147">
        <v>1390.0</v>
      </c>
      <c r="C1948" s="132">
        <v>1590.0</v>
      </c>
      <c r="D1948" s="132">
        <f t="shared" si="224"/>
        <v>200</v>
      </c>
      <c r="E1948" s="132" t="s">
        <v>123</v>
      </c>
      <c r="F1948" s="139"/>
      <c r="G1948" s="150"/>
      <c r="H1948" s="129"/>
      <c r="I1948" s="129"/>
      <c r="J1948" s="129"/>
      <c r="K1948" s="129"/>
      <c r="L1948" s="129"/>
      <c r="M1948" s="129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29"/>
      <c r="X1948" s="129"/>
      <c r="Y1948" s="129"/>
      <c r="Z1948" s="129"/>
      <c r="AA1948" s="129"/>
      <c r="AB1948" s="129"/>
    </row>
    <row r="1949" hidden="1">
      <c r="A1949" s="150" t="s">
        <v>443</v>
      </c>
      <c r="B1949" s="147">
        <v>1390.0</v>
      </c>
      <c r="C1949" s="132">
        <v>1590.0</v>
      </c>
      <c r="D1949" s="132">
        <f t="shared" si="224"/>
        <v>200</v>
      </c>
      <c r="E1949" s="132" t="s">
        <v>123</v>
      </c>
      <c r="F1949" s="139"/>
      <c r="G1949" s="150"/>
      <c r="H1949" s="129"/>
      <c r="I1949" s="129"/>
      <c r="J1949" s="129"/>
      <c r="K1949" s="129"/>
      <c r="L1949" s="129"/>
      <c r="M1949" s="129"/>
      <c r="N1949" s="129"/>
      <c r="O1949" s="129"/>
      <c r="P1949" s="129"/>
      <c r="Q1949" s="129"/>
      <c r="R1949" s="129"/>
      <c r="S1949" s="129"/>
      <c r="T1949" s="129"/>
      <c r="U1949" s="129"/>
      <c r="V1949" s="129"/>
      <c r="W1949" s="129"/>
      <c r="X1949" s="129"/>
      <c r="Y1949" s="129"/>
      <c r="Z1949" s="129"/>
      <c r="AA1949" s="129"/>
      <c r="AB1949" s="129"/>
    </row>
    <row r="1950" hidden="1">
      <c r="A1950" s="123" t="s">
        <v>438</v>
      </c>
      <c r="B1950" s="147">
        <v>1590.0</v>
      </c>
      <c r="C1950" s="124">
        <v>1790.0</v>
      </c>
      <c r="D1950" s="125">
        <f t="shared" si="224"/>
        <v>200</v>
      </c>
      <c r="E1950" s="126" t="s">
        <v>123</v>
      </c>
      <c r="F1950" s="147"/>
      <c r="G1950" s="123"/>
    </row>
    <row r="1951" hidden="1">
      <c r="A1951" s="123" t="s">
        <v>438</v>
      </c>
      <c r="B1951" s="147">
        <v>1590.0</v>
      </c>
      <c r="C1951" s="124">
        <v>1790.0</v>
      </c>
      <c r="D1951" s="125">
        <f t="shared" si="224"/>
        <v>200</v>
      </c>
      <c r="E1951" s="126" t="s">
        <v>123</v>
      </c>
      <c r="F1951" s="147"/>
      <c r="G1951" s="123"/>
    </row>
    <row r="1952" hidden="1">
      <c r="A1952" s="123" t="s">
        <v>438</v>
      </c>
      <c r="B1952" s="147">
        <v>1590.0</v>
      </c>
      <c r="C1952" s="124">
        <v>1790.0</v>
      </c>
      <c r="D1952" s="125">
        <f t="shared" si="224"/>
        <v>200</v>
      </c>
      <c r="E1952" s="126" t="s">
        <v>123</v>
      </c>
      <c r="F1952" s="147"/>
      <c r="G1952" s="123"/>
    </row>
    <row r="1953" hidden="1">
      <c r="A1953" s="128" t="s">
        <v>460</v>
      </c>
      <c r="B1953" s="147">
        <v>1490.0</v>
      </c>
      <c r="C1953" s="147">
        <v>1690.0</v>
      </c>
      <c r="D1953" s="132">
        <f t="shared" si="224"/>
        <v>200</v>
      </c>
      <c r="E1953" s="132" t="s">
        <v>123</v>
      </c>
      <c r="F1953" s="132"/>
      <c r="G1953" s="129"/>
      <c r="H1953" s="129"/>
      <c r="I1953" s="129"/>
      <c r="J1953" s="129"/>
      <c r="K1953" s="129"/>
      <c r="L1953" s="129"/>
      <c r="M1953" s="129"/>
      <c r="N1953" s="129"/>
      <c r="O1953" s="129"/>
      <c r="P1953" s="129"/>
      <c r="Q1953" s="129"/>
      <c r="R1953" s="129"/>
      <c r="S1953" s="129"/>
      <c r="T1953" s="129"/>
      <c r="U1953" s="129"/>
      <c r="V1953" s="129"/>
      <c r="W1953" s="129"/>
      <c r="X1953" s="129"/>
      <c r="Y1953" s="129"/>
      <c r="Z1953" s="129"/>
      <c r="AA1953" s="129"/>
      <c r="AB1953" s="129"/>
    </row>
    <row r="1954" hidden="1">
      <c r="A1954" s="128" t="s">
        <v>460</v>
      </c>
      <c r="B1954" s="147">
        <v>1490.0</v>
      </c>
      <c r="C1954" s="147">
        <v>1690.0</v>
      </c>
      <c r="D1954" s="132">
        <f t="shared" si="224"/>
        <v>200</v>
      </c>
      <c r="E1954" s="132" t="s">
        <v>123</v>
      </c>
      <c r="F1954" s="132"/>
      <c r="G1954" s="129"/>
      <c r="H1954" s="129"/>
      <c r="I1954" s="129"/>
      <c r="J1954" s="129"/>
      <c r="K1954" s="129"/>
      <c r="L1954" s="129"/>
      <c r="M1954" s="129"/>
      <c r="N1954" s="129"/>
      <c r="O1954" s="129"/>
      <c r="P1954" s="129"/>
      <c r="Q1954" s="129"/>
      <c r="R1954" s="129"/>
      <c r="S1954" s="129"/>
      <c r="T1954" s="129"/>
      <c r="U1954" s="129"/>
      <c r="V1954" s="129"/>
      <c r="W1954" s="129"/>
      <c r="X1954" s="129"/>
      <c r="Y1954" s="129"/>
      <c r="Z1954" s="129"/>
      <c r="AA1954" s="129"/>
      <c r="AB1954" s="129"/>
    </row>
    <row r="1955" hidden="1">
      <c r="A1955" s="123" t="s">
        <v>425</v>
      </c>
      <c r="B1955" s="124">
        <v>1540.0</v>
      </c>
      <c r="C1955" s="124">
        <v>1740.0</v>
      </c>
      <c r="D1955" s="125">
        <f t="shared" si="224"/>
        <v>200</v>
      </c>
      <c r="E1955" s="126" t="s">
        <v>123</v>
      </c>
      <c r="F1955" s="124"/>
    </row>
    <row r="1956" hidden="1">
      <c r="A1956" s="128" t="s">
        <v>429</v>
      </c>
      <c r="B1956" s="124">
        <v>1090.0</v>
      </c>
      <c r="C1956" s="124">
        <v>1290.0</v>
      </c>
      <c r="D1956" s="125">
        <f t="shared" si="224"/>
        <v>200</v>
      </c>
      <c r="E1956" s="126" t="s">
        <v>123</v>
      </c>
      <c r="F1956" s="139"/>
      <c r="G1956" s="129"/>
      <c r="H1956" s="129"/>
      <c r="I1956" s="129"/>
      <c r="J1956" s="129"/>
      <c r="K1956" s="129"/>
      <c r="L1956" s="129"/>
      <c r="M1956" s="129"/>
      <c r="N1956" s="129"/>
      <c r="O1956" s="129"/>
      <c r="S1956" s="129"/>
      <c r="T1956" s="129"/>
      <c r="U1956" s="129"/>
      <c r="V1956" s="129"/>
      <c r="W1956" s="129"/>
      <c r="X1956" s="129"/>
      <c r="Y1956" s="129"/>
      <c r="Z1956" s="129"/>
      <c r="AA1956" s="129"/>
      <c r="AB1956" s="129"/>
    </row>
    <row r="1957" hidden="1">
      <c r="A1957" s="159" t="s">
        <v>1156</v>
      </c>
      <c r="B1957" s="147">
        <v>290.0</v>
      </c>
      <c r="C1957" s="147">
        <v>490.0</v>
      </c>
      <c r="D1957" s="132">
        <f t="shared" si="224"/>
        <v>200</v>
      </c>
      <c r="E1957" s="171" t="s">
        <v>123</v>
      </c>
      <c r="F1957" s="132"/>
      <c r="G1957" s="150"/>
      <c r="H1957" s="129"/>
      <c r="I1957" s="129"/>
      <c r="J1957" s="129"/>
      <c r="K1957" s="129"/>
      <c r="L1957" s="129"/>
      <c r="M1957" s="129"/>
      <c r="N1957" s="129"/>
      <c r="O1957" s="129"/>
      <c r="P1957" s="129"/>
      <c r="Q1957" s="129"/>
      <c r="R1957" s="129"/>
      <c r="S1957" s="129"/>
      <c r="T1957" s="129"/>
      <c r="U1957" s="129"/>
      <c r="V1957" s="129"/>
      <c r="W1957" s="129"/>
      <c r="X1957" s="129"/>
      <c r="Y1957" s="129"/>
      <c r="Z1957" s="129"/>
      <c r="AA1957" s="129"/>
      <c r="AB1957" s="129"/>
    </row>
    <row r="1958" hidden="1">
      <c r="A1958" s="123" t="s">
        <v>1263</v>
      </c>
      <c r="B1958" s="124">
        <v>23100.0</v>
      </c>
      <c r="C1958" s="147">
        <v>23738.5</v>
      </c>
      <c r="D1958" s="132">
        <f t="shared" si="224"/>
        <v>638.5</v>
      </c>
      <c r="E1958" s="147" t="s">
        <v>1263</v>
      </c>
      <c r="F1958" s="127"/>
      <c r="G1958" s="150"/>
      <c r="H1958" s="129"/>
      <c r="I1958" s="129"/>
      <c r="J1958" s="129"/>
      <c r="K1958" s="129"/>
      <c r="L1958" s="129"/>
      <c r="M1958" s="129"/>
      <c r="N1958" s="129"/>
      <c r="O1958" s="129"/>
      <c r="P1958" s="129"/>
      <c r="Q1958" s="129"/>
      <c r="R1958" s="129"/>
      <c r="S1958" s="129"/>
      <c r="T1958" s="129"/>
      <c r="U1958" s="129"/>
      <c r="V1958" s="129"/>
      <c r="W1958" s="129"/>
      <c r="X1958" s="129"/>
      <c r="Y1958" s="129"/>
      <c r="Z1958" s="129"/>
      <c r="AA1958" s="129"/>
      <c r="AB1958" s="129"/>
    </row>
    <row r="1959" hidden="1">
      <c r="A1959" s="123" t="s">
        <v>1254</v>
      </c>
      <c r="B1959" s="124">
        <v>561.0</v>
      </c>
      <c r="C1959" s="147">
        <v>600.0</v>
      </c>
      <c r="D1959" s="132">
        <f t="shared" si="224"/>
        <v>39</v>
      </c>
      <c r="E1959" s="132" t="s">
        <v>1217</v>
      </c>
      <c r="F1959" s="127"/>
      <c r="G1959" s="150"/>
      <c r="H1959" s="129"/>
      <c r="I1959" s="129"/>
      <c r="J1959" s="129"/>
      <c r="K1959" s="129"/>
      <c r="L1959" s="129"/>
      <c r="M1959" s="129"/>
      <c r="N1959" s="129"/>
      <c r="O1959" s="129"/>
      <c r="P1959" s="129"/>
      <c r="Q1959" s="129"/>
      <c r="R1959" s="129"/>
      <c r="S1959" s="129"/>
      <c r="T1959" s="129"/>
      <c r="U1959" s="129"/>
      <c r="V1959" s="129"/>
      <c r="W1959" s="129"/>
      <c r="X1959" s="129"/>
      <c r="Y1959" s="129"/>
      <c r="Z1959" s="129"/>
      <c r="AA1959" s="129"/>
      <c r="AB1959" s="129"/>
    </row>
    <row r="1960" hidden="1">
      <c r="A1960" s="128" t="s">
        <v>1208</v>
      </c>
      <c r="B1960" s="147">
        <v>1390.0</v>
      </c>
      <c r="C1960" s="147">
        <v>1505.0</v>
      </c>
      <c r="D1960" s="132">
        <f t="shared" si="224"/>
        <v>115</v>
      </c>
      <c r="E1960" s="147" t="s">
        <v>123</v>
      </c>
      <c r="F1960" s="127"/>
      <c r="G1960" s="150"/>
      <c r="H1960" s="129"/>
      <c r="I1960" s="129"/>
      <c r="J1960" s="129"/>
      <c r="K1960" s="129"/>
      <c r="L1960" s="129"/>
      <c r="M1960" s="129"/>
      <c r="N1960" s="129"/>
      <c r="O1960" s="129"/>
      <c r="P1960" s="129"/>
      <c r="Q1960" s="129"/>
      <c r="R1960" s="129"/>
      <c r="S1960" s="129"/>
      <c r="T1960" s="129"/>
      <c r="U1960" s="129"/>
      <c r="V1960" s="129"/>
      <c r="W1960" s="129"/>
      <c r="X1960" s="129"/>
      <c r="Y1960" s="129"/>
      <c r="Z1960" s="129"/>
      <c r="AA1960" s="129"/>
      <c r="AB1960" s="129"/>
    </row>
    <row r="1961" hidden="1">
      <c r="A1961" s="128" t="s">
        <v>1176</v>
      </c>
      <c r="B1961" s="147">
        <v>1390.0</v>
      </c>
      <c r="C1961" s="147">
        <v>1499.0</v>
      </c>
      <c r="D1961" s="132">
        <f t="shared" si="224"/>
        <v>109</v>
      </c>
      <c r="E1961" s="147" t="s">
        <v>123</v>
      </c>
      <c r="F1961" s="127"/>
      <c r="G1961" s="150"/>
      <c r="H1961" s="129"/>
      <c r="I1961" s="129"/>
      <c r="J1961" s="129"/>
      <c r="K1961" s="129"/>
      <c r="L1961" s="129"/>
      <c r="M1961" s="129"/>
      <c r="N1961" s="129"/>
      <c r="O1961" s="129"/>
      <c r="P1961" s="129"/>
      <c r="Q1961" s="129"/>
      <c r="R1961" s="129"/>
      <c r="S1961" s="129"/>
      <c r="T1961" s="129"/>
      <c r="U1961" s="129"/>
      <c r="V1961" s="129"/>
      <c r="W1961" s="129"/>
      <c r="X1961" s="129"/>
      <c r="Y1961" s="129"/>
      <c r="Z1961" s="129"/>
      <c r="AA1961" s="129"/>
      <c r="AB1961" s="129"/>
    </row>
    <row r="1962" hidden="1">
      <c r="A1962" s="128" t="s">
        <v>1176</v>
      </c>
      <c r="B1962" s="147">
        <v>1390.0</v>
      </c>
      <c r="C1962" s="147">
        <v>1499.0</v>
      </c>
      <c r="D1962" s="132">
        <f t="shared" si="224"/>
        <v>109</v>
      </c>
      <c r="E1962" s="147" t="s">
        <v>123</v>
      </c>
      <c r="F1962" s="127"/>
      <c r="G1962" s="150"/>
      <c r="H1962" s="129"/>
      <c r="I1962" s="129"/>
      <c r="J1962" s="129"/>
      <c r="K1962" s="129"/>
      <c r="L1962" s="129"/>
      <c r="M1962" s="129"/>
      <c r="N1962" s="129"/>
      <c r="O1962" s="129"/>
      <c r="P1962" s="129"/>
      <c r="Q1962" s="129"/>
      <c r="R1962" s="129"/>
      <c r="S1962" s="129"/>
      <c r="T1962" s="129"/>
      <c r="U1962" s="129"/>
      <c r="V1962" s="129"/>
      <c r="W1962" s="129"/>
      <c r="X1962" s="129"/>
      <c r="Y1962" s="129"/>
      <c r="Z1962" s="129"/>
      <c r="AA1962" s="129"/>
      <c r="AB1962" s="129"/>
    </row>
    <row r="1963" hidden="1">
      <c r="A1963" s="128" t="s">
        <v>1215</v>
      </c>
      <c r="B1963" s="147">
        <v>1390.0</v>
      </c>
      <c r="C1963" s="147">
        <v>1505.0</v>
      </c>
      <c r="D1963" s="132">
        <f t="shared" si="224"/>
        <v>115</v>
      </c>
      <c r="E1963" s="147" t="s">
        <v>123</v>
      </c>
      <c r="F1963" s="127"/>
      <c r="G1963" s="150"/>
      <c r="H1963" s="129"/>
      <c r="I1963" s="129"/>
      <c r="J1963" s="129"/>
      <c r="K1963" s="129"/>
      <c r="L1963" s="129"/>
      <c r="M1963" s="129"/>
      <c r="N1963" s="129"/>
      <c r="O1963" s="129"/>
      <c r="P1963" s="129"/>
      <c r="Q1963" s="129"/>
      <c r="R1963" s="129"/>
      <c r="S1963" s="129"/>
      <c r="T1963" s="129"/>
      <c r="U1963" s="129"/>
      <c r="V1963" s="129"/>
      <c r="W1963" s="129"/>
      <c r="X1963" s="129"/>
      <c r="Y1963" s="129"/>
      <c r="Z1963" s="129"/>
      <c r="AA1963" s="129"/>
      <c r="AB1963" s="129"/>
    </row>
    <row r="1964" hidden="1">
      <c r="A1964" s="128" t="s">
        <v>1215</v>
      </c>
      <c r="B1964" s="147">
        <v>1390.0</v>
      </c>
      <c r="C1964" s="147">
        <v>1505.0</v>
      </c>
      <c r="D1964" s="132">
        <f t="shared" si="224"/>
        <v>115</v>
      </c>
      <c r="E1964" s="147" t="s">
        <v>123</v>
      </c>
      <c r="F1964" s="127"/>
      <c r="G1964" s="150"/>
      <c r="H1964" s="129"/>
      <c r="I1964" s="129"/>
      <c r="J1964" s="129"/>
      <c r="K1964" s="129"/>
      <c r="L1964" s="129"/>
      <c r="M1964" s="129"/>
      <c r="N1964" s="129"/>
      <c r="O1964" s="129"/>
      <c r="P1964" s="129"/>
      <c r="Q1964" s="129"/>
      <c r="R1964" s="129"/>
      <c r="S1964" s="129"/>
      <c r="T1964" s="129"/>
      <c r="U1964" s="129"/>
      <c r="V1964" s="129"/>
      <c r="W1964" s="129"/>
      <c r="X1964" s="129"/>
      <c r="Y1964" s="129"/>
      <c r="Z1964" s="129"/>
      <c r="AA1964" s="129"/>
      <c r="AB1964" s="129"/>
    </row>
    <row r="1965" hidden="1">
      <c r="A1965" s="128" t="s">
        <v>1250</v>
      </c>
      <c r="B1965" s="147">
        <v>590.0</v>
      </c>
      <c r="C1965" s="147">
        <v>669.0</v>
      </c>
      <c r="D1965" s="132">
        <f t="shared" si="224"/>
        <v>79</v>
      </c>
      <c r="E1965" s="126" t="s">
        <v>123</v>
      </c>
      <c r="F1965" s="124"/>
      <c r="G1965" s="129"/>
      <c r="H1965" s="129"/>
      <c r="I1965" s="129"/>
      <c r="J1965" s="129"/>
      <c r="K1965" s="129"/>
      <c r="L1965" s="129"/>
      <c r="M1965" s="129"/>
      <c r="N1965" s="129"/>
      <c r="O1965" s="129"/>
      <c r="P1965" s="129"/>
      <c r="Q1965" s="129"/>
      <c r="R1965" s="129"/>
      <c r="S1965" s="129"/>
      <c r="T1965" s="129"/>
      <c r="U1965" s="129"/>
      <c r="V1965" s="129"/>
      <c r="W1965" s="129"/>
      <c r="X1965" s="129"/>
      <c r="Y1965" s="129"/>
      <c r="Z1965" s="129"/>
      <c r="AA1965" s="129"/>
      <c r="AB1965" s="129"/>
    </row>
    <row r="1966" hidden="1">
      <c r="A1966" s="299" t="s">
        <v>551</v>
      </c>
      <c r="B1966" s="300">
        <v>1250.0</v>
      </c>
      <c r="C1966" s="300">
        <v>3000.0</v>
      </c>
      <c r="D1966" s="301">
        <f t="shared" si="224"/>
        <v>1750</v>
      </c>
      <c r="E1966" s="402" t="s">
        <v>120</v>
      </c>
      <c r="F1966" s="217"/>
      <c r="G1966" s="217"/>
      <c r="H1966" s="217"/>
      <c r="I1966" s="217"/>
      <c r="J1966" s="217"/>
      <c r="K1966" s="217"/>
      <c r="L1966" s="217"/>
      <c r="M1966" s="217"/>
      <c r="N1966" s="217"/>
      <c r="O1966" s="217"/>
      <c r="P1966" s="217"/>
      <c r="Q1966" s="217"/>
      <c r="R1966" s="217"/>
      <c r="S1966" s="217"/>
      <c r="T1966" s="217"/>
      <c r="U1966" s="217"/>
      <c r="V1966" s="217"/>
      <c r="W1966" s="217"/>
      <c r="X1966" s="217"/>
      <c r="Y1966" s="217"/>
      <c r="Z1966" s="217"/>
      <c r="AA1966" s="217"/>
      <c r="AB1966" s="217"/>
    </row>
    <row r="1967" hidden="1">
      <c r="A1967" s="123" t="s">
        <v>373</v>
      </c>
      <c r="B1967" s="124">
        <v>4290.0</v>
      </c>
      <c r="C1967" s="124">
        <v>4490.0</v>
      </c>
      <c r="D1967" s="125">
        <f t="shared" si="224"/>
        <v>200</v>
      </c>
      <c r="E1967" s="126" t="s">
        <v>123</v>
      </c>
      <c r="F1967" s="132"/>
      <c r="G1967" s="123"/>
    </row>
    <row r="1968" hidden="1">
      <c r="A1968" s="123" t="s">
        <v>373</v>
      </c>
      <c r="B1968" s="124">
        <v>4290.0</v>
      </c>
      <c r="C1968" s="124">
        <v>4490.0</v>
      </c>
      <c r="D1968" s="125">
        <f t="shared" si="224"/>
        <v>200</v>
      </c>
      <c r="E1968" s="126" t="s">
        <v>123</v>
      </c>
      <c r="F1968" s="132"/>
      <c r="G1968" s="123"/>
    </row>
    <row r="1969" hidden="1">
      <c r="A1969" s="128" t="s">
        <v>1226</v>
      </c>
      <c r="B1969" s="147">
        <v>1090.0</v>
      </c>
      <c r="C1969" s="147">
        <v>1259.0</v>
      </c>
      <c r="D1969" s="132">
        <f t="shared" si="224"/>
        <v>169</v>
      </c>
      <c r="E1969" s="132" t="s">
        <v>123</v>
      </c>
      <c r="F1969" s="132"/>
      <c r="G1969" s="129"/>
      <c r="H1969" s="129"/>
      <c r="I1969" s="129"/>
      <c r="J1969" s="129"/>
      <c r="K1969" s="129"/>
      <c r="L1969" s="129"/>
      <c r="M1969" s="129"/>
      <c r="N1969" s="129"/>
      <c r="O1969" s="129"/>
      <c r="P1969" s="129"/>
      <c r="Q1969" s="129"/>
      <c r="R1969" s="129"/>
      <c r="S1969" s="129"/>
      <c r="T1969" s="129"/>
      <c r="U1969" s="129"/>
      <c r="V1969" s="129"/>
      <c r="W1969" s="129"/>
      <c r="X1969" s="129"/>
      <c r="Y1969" s="129"/>
      <c r="Z1969" s="129"/>
      <c r="AA1969" s="129"/>
      <c r="AB1969" s="129"/>
    </row>
    <row r="1970" hidden="1">
      <c r="A1970" s="128" t="s">
        <v>1264</v>
      </c>
      <c r="B1970" s="147">
        <v>790.0</v>
      </c>
      <c r="C1970" s="147">
        <v>965.0</v>
      </c>
      <c r="D1970" s="132">
        <f t="shared" si="224"/>
        <v>175</v>
      </c>
      <c r="E1970" s="403" t="s">
        <v>123</v>
      </c>
      <c r="F1970" s="139"/>
      <c r="G1970" s="129"/>
      <c r="H1970" s="129"/>
      <c r="I1970" s="129"/>
      <c r="J1970" s="129"/>
      <c r="K1970" s="129"/>
      <c r="L1970" s="129"/>
      <c r="M1970" s="129"/>
      <c r="N1970" s="129"/>
      <c r="O1970" s="129"/>
      <c r="P1970" s="129"/>
      <c r="Q1970" s="129"/>
      <c r="R1970" s="129"/>
      <c r="S1970" s="129"/>
      <c r="T1970" s="129"/>
      <c r="U1970" s="129"/>
      <c r="V1970" s="129"/>
      <c r="W1970" s="129"/>
      <c r="X1970" s="129"/>
      <c r="Y1970" s="129"/>
      <c r="Z1970" s="129"/>
      <c r="AA1970" s="129"/>
      <c r="AB1970" s="129"/>
    </row>
    <row r="1971" hidden="1">
      <c r="A1971" s="128" t="s">
        <v>1215</v>
      </c>
      <c r="B1971" s="147">
        <v>1390.0</v>
      </c>
      <c r="C1971" s="147">
        <v>1494.0</v>
      </c>
      <c r="D1971" s="132">
        <f t="shared" si="224"/>
        <v>104</v>
      </c>
      <c r="E1971" s="147" t="s">
        <v>123</v>
      </c>
      <c r="F1971" s="127"/>
      <c r="G1971" s="150"/>
      <c r="H1971" s="129"/>
      <c r="I1971" s="129"/>
      <c r="J1971" s="129"/>
      <c r="K1971" s="129"/>
      <c r="L1971" s="129"/>
      <c r="M1971" s="129"/>
      <c r="N1971" s="129"/>
      <c r="O1971" s="129"/>
      <c r="P1971" s="129"/>
      <c r="Q1971" s="129"/>
      <c r="R1971" s="129"/>
      <c r="S1971" s="129"/>
      <c r="T1971" s="129"/>
      <c r="U1971" s="129"/>
      <c r="V1971" s="129"/>
      <c r="W1971" s="129"/>
      <c r="X1971" s="129"/>
      <c r="Y1971" s="129"/>
      <c r="Z1971" s="129"/>
      <c r="AA1971" s="129"/>
      <c r="AB1971" s="129"/>
    </row>
    <row r="1972" hidden="1">
      <c r="A1972" s="128" t="s">
        <v>1213</v>
      </c>
      <c r="B1972" s="132">
        <v>1390.0</v>
      </c>
      <c r="C1972" s="147">
        <v>1494.0</v>
      </c>
      <c r="D1972" s="132">
        <f t="shared" si="224"/>
        <v>104</v>
      </c>
      <c r="E1972" s="132" t="s">
        <v>123</v>
      </c>
      <c r="F1972" s="139"/>
      <c r="G1972" s="150"/>
      <c r="H1972" s="129"/>
      <c r="I1972" s="129"/>
      <c r="J1972" s="129"/>
      <c r="K1972" s="129"/>
      <c r="L1972" s="129"/>
      <c r="M1972" s="129"/>
      <c r="N1972" s="129"/>
      <c r="O1972" s="129"/>
      <c r="P1972" s="129"/>
      <c r="Q1972" s="129"/>
      <c r="R1972" s="129"/>
      <c r="S1972" s="129"/>
      <c r="T1972" s="129"/>
      <c r="U1972" s="129"/>
      <c r="V1972" s="129"/>
      <c r="W1972" s="129"/>
      <c r="X1972" s="129"/>
      <c r="Y1972" s="129"/>
      <c r="Z1972" s="129"/>
      <c r="AA1972" s="129"/>
      <c r="AB1972" s="129"/>
    </row>
    <row r="1973" hidden="1">
      <c r="A1973" s="150" t="s">
        <v>122</v>
      </c>
      <c r="B1973" s="147">
        <v>790.0</v>
      </c>
      <c r="C1973" s="147">
        <v>868.0</v>
      </c>
      <c r="D1973" s="132">
        <f t="shared" si="224"/>
        <v>78</v>
      </c>
      <c r="E1973" s="147" t="s">
        <v>123</v>
      </c>
      <c r="F1973" s="132"/>
      <c r="G1973" s="152"/>
      <c r="H1973" s="129"/>
      <c r="I1973" s="129"/>
      <c r="J1973" s="129"/>
      <c r="K1973" s="129"/>
      <c r="L1973" s="129"/>
      <c r="M1973" s="129"/>
      <c r="N1973" s="129"/>
      <c r="O1973" s="129"/>
      <c r="P1973" s="129"/>
      <c r="Q1973" s="129"/>
      <c r="R1973" s="129"/>
      <c r="S1973" s="129"/>
      <c r="T1973" s="129"/>
      <c r="U1973" s="129"/>
      <c r="V1973" s="129"/>
      <c r="W1973" s="129"/>
      <c r="X1973" s="129"/>
      <c r="Y1973" s="129"/>
      <c r="Z1973" s="129"/>
      <c r="AA1973" s="129"/>
      <c r="AB1973" s="129"/>
    </row>
    <row r="1974" hidden="1">
      <c r="A1974" s="128" t="s">
        <v>1265</v>
      </c>
      <c r="B1974" s="127">
        <v>690.0</v>
      </c>
      <c r="C1974" s="126">
        <v>868.0</v>
      </c>
      <c r="D1974" s="132">
        <f t="shared" si="224"/>
        <v>178</v>
      </c>
      <c r="E1974" s="394" t="s">
        <v>120</v>
      </c>
      <c r="F1974" s="147"/>
      <c r="G1974" s="129"/>
      <c r="H1974" s="129"/>
      <c r="I1974" s="129"/>
      <c r="J1974" s="129"/>
      <c r="K1974" s="129"/>
      <c r="L1974" s="129"/>
      <c r="M1974" s="129"/>
      <c r="N1974" s="129"/>
      <c r="O1974" s="129"/>
      <c r="P1974" s="129"/>
      <c r="Q1974" s="129"/>
      <c r="R1974" s="129"/>
      <c r="S1974" s="129"/>
      <c r="T1974" s="129"/>
      <c r="U1974" s="129"/>
      <c r="V1974" s="129"/>
      <c r="W1974" s="129"/>
      <c r="X1974" s="129"/>
      <c r="Y1974" s="129"/>
      <c r="Z1974" s="129"/>
      <c r="AA1974" s="129"/>
      <c r="AB1974" s="129"/>
    </row>
    <row r="1975" hidden="1">
      <c r="A1975" s="150" t="s">
        <v>1212</v>
      </c>
      <c r="B1975" s="147">
        <v>1390.0</v>
      </c>
      <c r="C1975" s="147">
        <v>1469.0</v>
      </c>
      <c r="D1975" s="132">
        <f t="shared" si="224"/>
        <v>79</v>
      </c>
      <c r="E1975" s="132" t="s">
        <v>123</v>
      </c>
      <c r="F1975" s="139"/>
      <c r="G1975" s="129"/>
      <c r="H1975" s="129"/>
      <c r="I1975" s="129"/>
      <c r="J1975" s="129"/>
      <c r="K1975" s="129"/>
      <c r="L1975" s="129"/>
      <c r="M1975" s="129"/>
      <c r="N1975" s="129"/>
      <c r="O1975" s="129"/>
      <c r="P1975" s="129"/>
      <c r="Q1975" s="129"/>
      <c r="R1975" s="129"/>
      <c r="S1975" s="129"/>
      <c r="T1975" s="129"/>
      <c r="U1975" s="129"/>
      <c r="V1975" s="129"/>
      <c r="W1975" s="129"/>
      <c r="X1975" s="129"/>
      <c r="Y1975" s="129"/>
      <c r="Z1975" s="129"/>
      <c r="AA1975" s="129"/>
      <c r="AB1975" s="129"/>
    </row>
    <row r="1976" hidden="1">
      <c r="A1976" s="123" t="s">
        <v>438</v>
      </c>
      <c r="B1976" s="147">
        <v>1590.0</v>
      </c>
      <c r="C1976" s="124">
        <v>1737.0</v>
      </c>
      <c r="D1976" s="125">
        <f t="shared" si="224"/>
        <v>147</v>
      </c>
      <c r="E1976" s="126" t="s">
        <v>123</v>
      </c>
      <c r="F1976" s="147"/>
      <c r="G1976" s="123"/>
    </row>
    <row r="1977" hidden="1">
      <c r="A1977" s="128" t="s">
        <v>1266</v>
      </c>
      <c r="B1977" s="147">
        <v>1090.0</v>
      </c>
      <c r="C1977" s="147">
        <v>1178.0</v>
      </c>
      <c r="D1977" s="132">
        <f t="shared" si="224"/>
        <v>88</v>
      </c>
      <c r="E1977" s="132" t="s">
        <v>120</v>
      </c>
      <c r="F1977" s="139"/>
      <c r="G1977" s="150"/>
      <c r="H1977" s="129"/>
      <c r="I1977" s="129"/>
      <c r="J1977" s="129"/>
      <c r="K1977" s="129"/>
      <c r="L1977" s="129"/>
      <c r="M1977" s="129"/>
      <c r="N1977" s="129"/>
      <c r="O1977" s="129"/>
      <c r="P1977" s="129"/>
      <c r="Q1977" s="129"/>
      <c r="R1977" s="129"/>
      <c r="S1977" s="129"/>
      <c r="T1977" s="129"/>
      <c r="U1977" s="129"/>
      <c r="V1977" s="129"/>
      <c r="W1977" s="129"/>
      <c r="X1977" s="129"/>
      <c r="Y1977" s="129"/>
      <c r="Z1977" s="129"/>
      <c r="AA1977" s="129"/>
      <c r="AB1977" s="129"/>
    </row>
    <row r="1978" hidden="1">
      <c r="A1978" s="142" t="s">
        <v>464</v>
      </c>
      <c r="B1978" s="147">
        <v>1390.0</v>
      </c>
      <c r="C1978" s="124">
        <v>1542.0</v>
      </c>
      <c r="D1978" s="132">
        <f t="shared" si="224"/>
        <v>152</v>
      </c>
      <c r="E1978" s="126" t="s">
        <v>123</v>
      </c>
      <c r="F1978" s="127"/>
      <c r="G1978" s="129"/>
      <c r="H1978" s="129"/>
      <c r="I1978" s="129"/>
      <c r="J1978" s="129"/>
      <c r="K1978" s="129"/>
      <c r="L1978" s="129"/>
      <c r="M1978" s="129"/>
      <c r="N1978" s="129"/>
      <c r="O1978" s="129"/>
      <c r="P1978" s="129"/>
      <c r="Q1978" s="129"/>
      <c r="R1978" s="129"/>
      <c r="S1978" s="129"/>
      <c r="T1978" s="129"/>
      <c r="U1978" s="129"/>
      <c r="V1978" s="129"/>
      <c r="W1978" s="129"/>
      <c r="X1978" s="129"/>
      <c r="Y1978" s="129"/>
      <c r="Z1978" s="129"/>
      <c r="AA1978" s="129"/>
      <c r="AB1978" s="129"/>
    </row>
    <row r="1979" hidden="1">
      <c r="A1979" s="128" t="s">
        <v>460</v>
      </c>
      <c r="B1979" s="147">
        <v>1490.0</v>
      </c>
      <c r="C1979" s="147">
        <v>1566.0</v>
      </c>
      <c r="D1979" s="132">
        <f t="shared" si="224"/>
        <v>76</v>
      </c>
      <c r="E1979" s="132" t="s">
        <v>123</v>
      </c>
      <c r="F1979" s="132"/>
      <c r="G1979" s="129"/>
      <c r="H1979" s="129"/>
      <c r="I1979" s="129"/>
      <c r="J1979" s="129"/>
      <c r="K1979" s="129"/>
      <c r="L1979" s="129"/>
      <c r="M1979" s="129"/>
      <c r="N1979" s="129"/>
      <c r="O1979" s="129"/>
      <c r="P1979" s="129"/>
      <c r="Q1979" s="129"/>
      <c r="R1979" s="129"/>
      <c r="S1979" s="129"/>
      <c r="T1979" s="129"/>
      <c r="U1979" s="129"/>
      <c r="V1979" s="129"/>
      <c r="W1979" s="129"/>
      <c r="X1979" s="129"/>
      <c r="Y1979" s="129"/>
      <c r="Z1979" s="129"/>
      <c r="AA1979" s="129"/>
      <c r="AB1979" s="129"/>
    </row>
    <row r="1980" hidden="1">
      <c r="A1980" s="150" t="s">
        <v>1267</v>
      </c>
      <c r="B1980" s="132">
        <v>1650.0</v>
      </c>
      <c r="C1980" s="147">
        <v>3300.0</v>
      </c>
      <c r="D1980" s="132">
        <f t="shared" si="224"/>
        <v>1650</v>
      </c>
      <c r="E1980" s="132" t="s">
        <v>1267</v>
      </c>
      <c r="F1980" s="139"/>
      <c r="G1980" s="129"/>
      <c r="H1980" s="129"/>
      <c r="I1980" s="129"/>
      <c r="J1980" s="129"/>
      <c r="K1980" s="129"/>
      <c r="L1980" s="129"/>
      <c r="M1980" s="129"/>
      <c r="N1980" s="129"/>
      <c r="O1980" s="129"/>
      <c r="P1980" s="129"/>
      <c r="Q1980" s="129"/>
      <c r="R1980" s="129"/>
      <c r="S1980" s="129"/>
      <c r="T1980" s="129"/>
      <c r="U1980" s="129"/>
      <c r="V1980" s="129"/>
      <c r="W1980" s="129"/>
      <c r="X1980" s="129"/>
      <c r="Y1980" s="129"/>
      <c r="Z1980" s="129"/>
      <c r="AA1980" s="129"/>
      <c r="AB1980" s="129"/>
    </row>
    <row r="1981" hidden="1">
      <c r="A1981" s="123" t="s">
        <v>1268</v>
      </c>
      <c r="B1981" s="124">
        <v>561.0</v>
      </c>
      <c r="C1981" s="124">
        <v>725.0</v>
      </c>
      <c r="D1981" s="132">
        <f t="shared" si="224"/>
        <v>164</v>
      </c>
      <c r="E1981" s="132" t="s">
        <v>1217</v>
      </c>
      <c r="F1981" s="127"/>
      <c r="G1981" s="129"/>
      <c r="H1981" s="129"/>
      <c r="I1981" s="129"/>
      <c r="J1981" s="129"/>
      <c r="K1981" s="129"/>
      <c r="L1981" s="129"/>
      <c r="M1981" s="129"/>
      <c r="N1981" s="129"/>
      <c r="O1981" s="129"/>
      <c r="P1981" s="129"/>
      <c r="Q1981" s="129"/>
      <c r="R1981" s="129"/>
      <c r="S1981" s="129"/>
      <c r="T1981" s="129"/>
      <c r="U1981" s="129"/>
      <c r="V1981" s="129"/>
      <c r="W1981" s="129"/>
      <c r="X1981" s="129"/>
      <c r="Y1981" s="129"/>
      <c r="Z1981" s="129"/>
      <c r="AA1981" s="129"/>
      <c r="AB1981" s="129"/>
    </row>
    <row r="1982" hidden="1">
      <c r="A1982" s="123" t="s">
        <v>1269</v>
      </c>
      <c r="B1982" s="124">
        <v>23100.0</v>
      </c>
      <c r="C1982" s="124">
        <v>49100.0</v>
      </c>
      <c r="D1982" s="132">
        <f t="shared" si="224"/>
        <v>26000</v>
      </c>
      <c r="E1982" s="132" t="s">
        <v>1217</v>
      </c>
      <c r="F1982" s="127"/>
      <c r="G1982" s="129"/>
      <c r="H1982" s="129"/>
      <c r="I1982" s="129"/>
      <c r="J1982" s="129"/>
      <c r="K1982" s="129"/>
      <c r="L1982" s="129"/>
      <c r="M1982" s="129"/>
      <c r="N1982" s="129"/>
      <c r="O1982" s="129"/>
      <c r="P1982" s="129"/>
      <c r="Q1982" s="129"/>
      <c r="R1982" s="129"/>
      <c r="S1982" s="129"/>
      <c r="T1982" s="129"/>
      <c r="U1982" s="129"/>
      <c r="V1982" s="129"/>
      <c r="W1982" s="129"/>
      <c r="X1982" s="129"/>
      <c r="Y1982" s="129"/>
      <c r="Z1982" s="129"/>
      <c r="AA1982" s="129"/>
      <c r="AB1982" s="129"/>
    </row>
    <row r="1983" hidden="1">
      <c r="A1983" s="150" t="s">
        <v>122</v>
      </c>
      <c r="B1983" s="132">
        <v>790.0</v>
      </c>
      <c r="C1983" s="147">
        <v>863.0</v>
      </c>
      <c r="D1983" s="132">
        <f t="shared" si="224"/>
        <v>73</v>
      </c>
      <c r="E1983" s="394" t="s">
        <v>123</v>
      </c>
      <c r="F1983" s="132"/>
      <c r="G1983" s="150"/>
      <c r="H1983" s="129"/>
      <c r="I1983" s="129"/>
      <c r="J1983" s="129"/>
      <c r="K1983" s="129"/>
      <c r="L1983" s="129"/>
      <c r="M1983" s="129"/>
      <c r="N1983" s="129"/>
      <c r="O1983" s="129"/>
      <c r="P1983" s="129"/>
      <c r="Q1983" s="129"/>
      <c r="R1983" s="129"/>
      <c r="S1983" s="129"/>
      <c r="T1983" s="129"/>
      <c r="U1983" s="129"/>
      <c r="V1983" s="129"/>
      <c r="W1983" s="129"/>
      <c r="X1983" s="129"/>
      <c r="Y1983" s="129"/>
      <c r="Z1983" s="129"/>
      <c r="AA1983" s="129"/>
      <c r="AB1983" s="129"/>
    </row>
    <row r="1984" hidden="1">
      <c r="A1984" s="123" t="s">
        <v>1270</v>
      </c>
      <c r="B1984" s="124">
        <v>0.0</v>
      </c>
      <c r="C1984" s="124">
        <v>225.0</v>
      </c>
      <c r="D1984" s="125">
        <f t="shared" si="224"/>
        <v>225</v>
      </c>
      <c r="E1984" s="147" t="s">
        <v>1270</v>
      </c>
      <c r="F1984" s="127"/>
      <c r="G1984" s="129"/>
      <c r="H1984" s="129"/>
      <c r="I1984" s="129"/>
      <c r="J1984" s="129"/>
      <c r="K1984" s="129"/>
      <c r="L1984" s="129"/>
      <c r="M1984" s="129"/>
      <c r="N1984" s="129"/>
      <c r="O1984" s="129"/>
      <c r="P1984" s="129"/>
      <c r="Q1984" s="129"/>
      <c r="R1984" s="129"/>
      <c r="S1984" s="129"/>
      <c r="T1984" s="129"/>
      <c r="U1984" s="129"/>
      <c r="V1984" s="129"/>
      <c r="W1984" s="129"/>
      <c r="X1984" s="129"/>
      <c r="Y1984" s="129"/>
      <c r="Z1984" s="129"/>
      <c r="AA1984" s="129"/>
      <c r="AB1984" s="129"/>
    </row>
    <row r="1985" hidden="1">
      <c r="A1985" s="123" t="s">
        <v>1232</v>
      </c>
      <c r="B1985" s="124">
        <v>0.0</v>
      </c>
      <c r="C1985" s="124">
        <v>225.0</v>
      </c>
      <c r="D1985" s="125">
        <f t="shared" si="224"/>
        <v>225</v>
      </c>
      <c r="E1985" s="147" t="s">
        <v>1232</v>
      </c>
      <c r="F1985" s="127"/>
      <c r="G1985" s="129"/>
      <c r="H1985" s="129"/>
      <c r="I1985" s="129"/>
      <c r="J1985" s="129"/>
      <c r="K1985" s="129"/>
      <c r="L1985" s="129"/>
      <c r="M1985" s="129"/>
      <c r="N1985" s="129"/>
      <c r="O1985" s="129"/>
      <c r="P1985" s="129"/>
      <c r="Q1985" s="129"/>
      <c r="R1985" s="129"/>
      <c r="S1985" s="129"/>
      <c r="T1985" s="129"/>
      <c r="U1985" s="129"/>
      <c r="V1985" s="129"/>
      <c r="W1985" s="129"/>
      <c r="X1985" s="129"/>
      <c r="Y1985" s="129"/>
      <c r="Z1985" s="129"/>
      <c r="AA1985" s="129"/>
      <c r="AB1985" s="129"/>
    </row>
    <row r="1986" hidden="1">
      <c r="A1986" s="123" t="s">
        <v>1232</v>
      </c>
      <c r="B1986" s="124">
        <v>41775.0</v>
      </c>
      <c r="C1986" s="124">
        <v>43400.0</v>
      </c>
      <c r="D1986" s="125">
        <f t="shared" si="224"/>
        <v>1625</v>
      </c>
      <c r="E1986" s="147" t="s">
        <v>1232</v>
      </c>
      <c r="F1986" s="127"/>
      <c r="G1986" s="129"/>
      <c r="H1986" s="129"/>
      <c r="I1986" s="129"/>
      <c r="J1986" s="129"/>
      <c r="K1986" s="129"/>
      <c r="L1986" s="129"/>
      <c r="M1986" s="129"/>
      <c r="N1986" s="129"/>
      <c r="O1986" s="129"/>
      <c r="P1986" s="129"/>
      <c r="Q1986" s="129"/>
      <c r="R1986" s="129"/>
      <c r="S1986" s="129"/>
      <c r="T1986" s="129"/>
      <c r="U1986" s="129"/>
      <c r="V1986" s="129"/>
      <c r="W1986" s="129"/>
      <c r="X1986" s="129"/>
      <c r="Y1986" s="129"/>
      <c r="Z1986" s="129"/>
      <c r="AA1986" s="129"/>
      <c r="AB1986" s="129"/>
    </row>
    <row r="1987" hidden="1">
      <c r="A1987" s="123" t="s">
        <v>1271</v>
      </c>
      <c r="B1987" s="124">
        <v>2700.0</v>
      </c>
      <c r="C1987" s="124">
        <v>2525.0</v>
      </c>
      <c r="D1987" s="125">
        <f t="shared" si="224"/>
        <v>-175</v>
      </c>
      <c r="E1987" s="132" t="s">
        <v>1217</v>
      </c>
      <c r="F1987" s="127"/>
      <c r="G1987" s="129"/>
      <c r="H1987" s="129"/>
      <c r="I1987" s="129"/>
      <c r="J1987" s="129"/>
      <c r="K1987" s="129"/>
      <c r="L1987" s="129"/>
      <c r="M1987" s="129"/>
      <c r="N1987" s="129"/>
      <c r="O1987" s="129"/>
      <c r="P1987" s="129"/>
      <c r="Q1987" s="129"/>
      <c r="R1987" s="129"/>
      <c r="S1987" s="129"/>
      <c r="T1987" s="129"/>
      <c r="U1987" s="129"/>
      <c r="V1987" s="129"/>
      <c r="W1987" s="129"/>
      <c r="X1987" s="129"/>
      <c r="Y1987" s="129"/>
      <c r="Z1987" s="129"/>
      <c r="AA1987" s="129"/>
      <c r="AB1987" s="129"/>
    </row>
    <row r="1988" hidden="1">
      <c r="A1988" s="128" t="s">
        <v>382</v>
      </c>
      <c r="B1988" s="147">
        <v>590.0</v>
      </c>
      <c r="C1988" s="147">
        <v>672.0</v>
      </c>
      <c r="D1988" s="125">
        <f t="shared" si="224"/>
        <v>82</v>
      </c>
      <c r="E1988" s="126" t="s">
        <v>123</v>
      </c>
      <c r="F1988" s="127"/>
      <c r="G1988" s="129"/>
      <c r="H1988" s="129"/>
      <c r="I1988" s="129"/>
      <c r="J1988" s="129"/>
      <c r="K1988" s="129"/>
      <c r="L1988" s="129"/>
      <c r="M1988" s="129"/>
      <c r="N1988" s="129"/>
      <c r="O1988" s="129"/>
      <c r="P1988" s="129"/>
      <c r="Q1988" s="129"/>
      <c r="R1988" s="129"/>
      <c r="S1988" s="129"/>
      <c r="T1988" s="129"/>
      <c r="U1988" s="129"/>
      <c r="V1988" s="129"/>
      <c r="W1988" s="129"/>
      <c r="X1988" s="129"/>
      <c r="Y1988" s="129"/>
      <c r="Z1988" s="129"/>
      <c r="AA1988" s="129"/>
      <c r="AB1988" s="129"/>
    </row>
    <row r="1989" hidden="1">
      <c r="A1989" s="123" t="s">
        <v>1139</v>
      </c>
      <c r="B1989" s="124">
        <v>2490.0</v>
      </c>
      <c r="C1989" s="124">
        <v>2900.0</v>
      </c>
      <c r="D1989" s="125">
        <f t="shared" si="224"/>
        <v>410</v>
      </c>
      <c r="E1989" s="126" t="s">
        <v>123</v>
      </c>
      <c r="F1989" s="132"/>
      <c r="G1989" s="123"/>
    </row>
    <row r="1990" hidden="1">
      <c r="A1990" s="128" t="s">
        <v>1272</v>
      </c>
      <c r="B1990" s="147">
        <v>1390.0</v>
      </c>
      <c r="C1990" s="147">
        <v>1251.0</v>
      </c>
      <c r="D1990" s="125">
        <f t="shared" si="224"/>
        <v>-139</v>
      </c>
      <c r="E1990" s="126" t="s">
        <v>123</v>
      </c>
      <c r="F1990" s="147"/>
      <c r="G1990" s="123"/>
    </row>
    <row r="1991" hidden="1">
      <c r="A1991" s="128" t="s">
        <v>1216</v>
      </c>
      <c r="B1991" s="147">
        <v>1390.0</v>
      </c>
      <c r="C1991" s="147">
        <v>1576.0</v>
      </c>
      <c r="D1991" s="132">
        <f t="shared" si="224"/>
        <v>186</v>
      </c>
      <c r="E1991" s="147" t="s">
        <v>123</v>
      </c>
      <c r="F1991" s="127"/>
      <c r="G1991" s="150"/>
      <c r="H1991" s="129"/>
      <c r="I1991" s="129"/>
      <c r="J1991" s="129"/>
      <c r="K1991" s="129"/>
      <c r="L1991" s="129"/>
      <c r="M1991" s="129"/>
      <c r="N1991" s="129"/>
      <c r="O1991" s="129"/>
      <c r="P1991" s="129"/>
      <c r="Q1991" s="129"/>
      <c r="R1991" s="129"/>
      <c r="S1991" s="129"/>
      <c r="T1991" s="129"/>
      <c r="U1991" s="129"/>
      <c r="V1991" s="129"/>
      <c r="W1991" s="129"/>
      <c r="X1991" s="129"/>
      <c r="Y1991" s="129"/>
      <c r="Z1991" s="129"/>
      <c r="AA1991" s="129"/>
      <c r="AB1991" s="129"/>
    </row>
    <row r="1992" hidden="1">
      <c r="A1992" s="128" t="s">
        <v>1267</v>
      </c>
      <c r="B1992" s="147">
        <v>1650.0</v>
      </c>
      <c r="C1992" s="147">
        <v>2800.0</v>
      </c>
      <c r="D1992" s="125">
        <f t="shared" si="224"/>
        <v>1150</v>
      </c>
      <c r="E1992" s="126" t="s">
        <v>1267</v>
      </c>
      <c r="F1992" s="139"/>
      <c r="G1992" s="150"/>
      <c r="H1992" s="129"/>
      <c r="I1992" s="129"/>
      <c r="J1992" s="129"/>
      <c r="K1992" s="129"/>
      <c r="L1992" s="129"/>
      <c r="M1992" s="129"/>
      <c r="N1992" s="129"/>
      <c r="O1992" s="129"/>
      <c r="P1992" s="129"/>
      <c r="Q1992" s="129"/>
      <c r="R1992" s="129"/>
      <c r="S1992" s="129"/>
      <c r="T1992" s="129"/>
      <c r="U1992" s="129"/>
      <c r="V1992" s="129"/>
      <c r="W1992" s="129"/>
      <c r="X1992" s="129"/>
      <c r="Y1992" s="129"/>
      <c r="Z1992" s="129"/>
      <c r="AA1992" s="129"/>
      <c r="AB1992" s="129"/>
    </row>
    <row r="1993" hidden="1">
      <c r="A1993" s="123" t="s">
        <v>1273</v>
      </c>
      <c r="B1993" s="124">
        <v>2228.0</v>
      </c>
      <c r="C1993" s="124">
        <v>2650.0</v>
      </c>
      <c r="D1993" s="132">
        <f t="shared" si="224"/>
        <v>422</v>
      </c>
      <c r="E1993" s="132" t="s">
        <v>1217</v>
      </c>
      <c r="F1993" s="139"/>
      <c r="G1993" s="150"/>
      <c r="H1993" s="129"/>
      <c r="I1993" s="129"/>
      <c r="J1993" s="129"/>
      <c r="K1993" s="129"/>
      <c r="L1993" s="129"/>
      <c r="M1993" s="129"/>
      <c r="N1993" s="129"/>
      <c r="O1993" s="129"/>
      <c r="P1993" s="129"/>
      <c r="Q1993" s="129"/>
      <c r="R1993" s="129"/>
      <c r="S1993" s="129"/>
      <c r="T1993" s="129"/>
      <c r="U1993" s="129"/>
      <c r="V1993" s="129"/>
      <c r="W1993" s="129"/>
      <c r="X1993" s="129"/>
      <c r="Y1993" s="129"/>
      <c r="Z1993" s="129"/>
      <c r="AA1993" s="129"/>
      <c r="AB1993" s="129"/>
    </row>
    <row r="1994" hidden="1">
      <c r="A1994" s="123" t="s">
        <v>1223</v>
      </c>
      <c r="B1994" s="124">
        <v>23100.0</v>
      </c>
      <c r="C1994" s="124">
        <v>26550.0</v>
      </c>
      <c r="D1994" s="132">
        <f t="shared" si="224"/>
        <v>3450</v>
      </c>
      <c r="E1994" s="132" t="s">
        <v>1217</v>
      </c>
      <c r="F1994" s="139"/>
      <c r="G1994" s="129"/>
      <c r="H1994" s="129"/>
      <c r="I1994" s="129"/>
      <c r="J1994" s="129"/>
      <c r="K1994" s="129"/>
      <c r="L1994" s="129"/>
      <c r="M1994" s="129"/>
      <c r="N1994" s="129"/>
      <c r="O1994" s="129"/>
      <c r="P1994" s="129"/>
      <c r="Q1994" s="129"/>
      <c r="R1994" s="129"/>
      <c r="S1994" s="129"/>
      <c r="T1994" s="129"/>
      <c r="U1994" s="129"/>
      <c r="V1994" s="129"/>
      <c r="W1994" s="129"/>
      <c r="X1994" s="129"/>
      <c r="Y1994" s="129"/>
      <c r="Z1994" s="129"/>
      <c r="AA1994" s="129"/>
      <c r="AB1994" s="129"/>
    </row>
    <row r="1995" hidden="1">
      <c r="A1995" s="150" t="s">
        <v>1212</v>
      </c>
      <c r="B1995" s="132">
        <v>1390.0</v>
      </c>
      <c r="C1995" s="147">
        <v>1546.0</v>
      </c>
      <c r="D1995" s="132">
        <f t="shared" si="224"/>
        <v>156</v>
      </c>
      <c r="E1995" s="132" t="s">
        <v>123</v>
      </c>
      <c r="F1995" s="139"/>
      <c r="G1995" s="129"/>
      <c r="H1995" s="129"/>
      <c r="I1995" s="129"/>
      <c r="J1995" s="129"/>
      <c r="K1995" s="129"/>
      <c r="L1995" s="129"/>
      <c r="M1995" s="129"/>
      <c r="N1995" s="129"/>
      <c r="O1995" s="129"/>
      <c r="P1995" s="129"/>
      <c r="Q1995" s="129"/>
      <c r="R1995" s="129"/>
      <c r="S1995" s="129"/>
      <c r="T1995" s="129"/>
      <c r="U1995" s="129"/>
      <c r="V1995" s="129"/>
      <c r="W1995" s="129"/>
      <c r="X1995" s="129"/>
      <c r="Y1995" s="129"/>
      <c r="Z1995" s="129"/>
      <c r="AA1995" s="129"/>
      <c r="AB1995" s="129"/>
    </row>
    <row r="1996" hidden="1">
      <c r="A1996" s="150" t="s">
        <v>1274</v>
      </c>
      <c r="B1996" s="167">
        <v>1190.0</v>
      </c>
      <c r="C1996" s="167">
        <v>1348.0</v>
      </c>
      <c r="D1996" s="168">
        <f t="shared" si="224"/>
        <v>158</v>
      </c>
      <c r="E1996" s="132" t="s">
        <v>123</v>
      </c>
      <c r="F1996" s="139"/>
      <c r="G1996" s="150"/>
      <c r="H1996" s="129"/>
      <c r="I1996" s="129"/>
      <c r="J1996" s="129"/>
      <c r="K1996" s="129"/>
      <c r="L1996" s="129"/>
      <c r="M1996" s="129"/>
      <c r="N1996" s="129"/>
      <c r="O1996" s="129"/>
      <c r="P1996" s="129"/>
      <c r="Q1996" s="129"/>
      <c r="R1996" s="129"/>
      <c r="S1996" s="129"/>
      <c r="T1996" s="129"/>
      <c r="U1996" s="129"/>
      <c r="V1996" s="129"/>
      <c r="W1996" s="129"/>
      <c r="X1996" s="129"/>
      <c r="Y1996" s="129"/>
      <c r="Z1996" s="129"/>
      <c r="AA1996" s="129"/>
      <c r="AB1996" s="129"/>
    </row>
    <row r="1997" hidden="1">
      <c r="A1997" s="123" t="s">
        <v>1273</v>
      </c>
      <c r="B1997" s="124">
        <v>2228.0</v>
      </c>
      <c r="C1997" s="124">
        <v>2650.0</v>
      </c>
      <c r="D1997" s="132">
        <f t="shared" si="224"/>
        <v>422</v>
      </c>
      <c r="E1997" s="132" t="s">
        <v>1217</v>
      </c>
      <c r="F1997" s="139"/>
      <c r="G1997" s="150"/>
      <c r="H1997" s="129"/>
      <c r="I1997" s="129"/>
      <c r="J1997" s="129"/>
      <c r="K1997" s="129"/>
      <c r="L1997" s="129"/>
      <c r="M1997" s="129"/>
      <c r="N1997" s="129"/>
      <c r="O1997" s="129"/>
      <c r="P1997" s="129"/>
      <c r="Q1997" s="129"/>
      <c r="R1997" s="129"/>
      <c r="S1997" s="129"/>
      <c r="T1997" s="129"/>
      <c r="U1997" s="129"/>
      <c r="V1997" s="129"/>
      <c r="W1997" s="129"/>
      <c r="X1997" s="129"/>
      <c r="Y1997" s="129"/>
      <c r="Z1997" s="129"/>
      <c r="AA1997" s="129"/>
      <c r="AB1997" s="129"/>
    </row>
    <row r="1998" hidden="1">
      <c r="A1998" s="150" t="s">
        <v>1275</v>
      </c>
      <c r="B1998" s="132">
        <v>2145.0</v>
      </c>
      <c r="C1998" s="132">
        <v>2600.0</v>
      </c>
      <c r="D1998" s="132">
        <f t="shared" si="224"/>
        <v>455</v>
      </c>
      <c r="E1998" s="132" t="s">
        <v>1217</v>
      </c>
      <c r="F1998" s="139"/>
      <c r="G1998" s="150"/>
      <c r="H1998" s="129"/>
      <c r="I1998" s="129"/>
      <c r="J1998" s="129"/>
      <c r="K1998" s="129"/>
      <c r="L1998" s="129"/>
      <c r="M1998" s="129"/>
      <c r="N1998" s="129"/>
      <c r="O1998" s="129"/>
      <c r="P1998" s="129"/>
      <c r="Q1998" s="129"/>
      <c r="R1998" s="129"/>
      <c r="S1998" s="129"/>
      <c r="T1998" s="129"/>
      <c r="U1998" s="129"/>
      <c r="V1998" s="129"/>
      <c r="W1998" s="129"/>
      <c r="X1998" s="129"/>
      <c r="Y1998" s="129"/>
      <c r="Z1998" s="129"/>
      <c r="AA1998" s="129"/>
      <c r="AB1998" s="129"/>
    </row>
    <row r="1999" hidden="1">
      <c r="A1999" s="123" t="s">
        <v>1276</v>
      </c>
      <c r="B1999" s="124">
        <v>3663.0</v>
      </c>
      <c r="C1999" s="123">
        <v>4050.0</v>
      </c>
      <c r="D1999" s="132">
        <f t="shared" si="224"/>
        <v>387</v>
      </c>
      <c r="E1999" s="132" t="s">
        <v>1217</v>
      </c>
      <c r="F1999" s="127"/>
      <c r="G1999" s="150"/>
      <c r="H1999" s="129"/>
      <c r="I1999" s="129"/>
      <c r="J1999" s="129"/>
      <c r="K1999" s="129"/>
      <c r="L1999" s="129"/>
      <c r="M1999" s="129"/>
      <c r="N1999" s="129"/>
      <c r="O1999" s="129"/>
      <c r="P1999" s="129"/>
      <c r="Q1999" s="129"/>
      <c r="R1999" s="129"/>
      <c r="S1999" s="129"/>
      <c r="T1999" s="129"/>
      <c r="U1999" s="129"/>
      <c r="V1999" s="129"/>
      <c r="W1999" s="129"/>
      <c r="X1999" s="129"/>
      <c r="Y1999" s="129"/>
      <c r="Z1999" s="129"/>
      <c r="AA1999" s="129"/>
      <c r="AB1999" s="129"/>
    </row>
    <row r="2000" hidden="1">
      <c r="A2000" s="123" t="s">
        <v>1275</v>
      </c>
      <c r="B2000" s="124">
        <v>2145.0</v>
      </c>
      <c r="C2000" s="124">
        <v>2600.0</v>
      </c>
      <c r="D2000" s="132">
        <f t="shared" si="224"/>
        <v>455</v>
      </c>
      <c r="E2000" s="132" t="s">
        <v>1217</v>
      </c>
      <c r="F2000" s="127"/>
      <c r="G2000" s="150"/>
      <c r="H2000" s="129"/>
      <c r="I2000" s="129"/>
      <c r="J2000" s="129"/>
      <c r="K2000" s="129"/>
      <c r="L2000" s="129"/>
      <c r="M2000" s="129"/>
      <c r="N2000" s="129"/>
      <c r="O2000" s="129"/>
      <c r="P2000" s="129"/>
      <c r="Q2000" s="129"/>
      <c r="R2000" s="129"/>
      <c r="S2000" s="129"/>
      <c r="T2000" s="129"/>
      <c r="U2000" s="129"/>
      <c r="V2000" s="129"/>
      <c r="W2000" s="129"/>
      <c r="X2000" s="129"/>
      <c r="Y2000" s="129"/>
      <c r="Z2000" s="129"/>
      <c r="AA2000" s="129"/>
      <c r="AB2000" s="129"/>
    </row>
    <row r="2001" hidden="1">
      <c r="A2001" s="128" t="s">
        <v>1216</v>
      </c>
      <c r="B2001" s="147">
        <v>1390.0</v>
      </c>
      <c r="C2001" s="147">
        <v>1566.0</v>
      </c>
      <c r="D2001" s="132">
        <f t="shared" si="224"/>
        <v>176</v>
      </c>
      <c r="E2001" s="147" t="s">
        <v>123</v>
      </c>
      <c r="F2001" s="127"/>
      <c r="G2001" s="150"/>
      <c r="H2001" s="129"/>
      <c r="I2001" s="129"/>
      <c r="J2001" s="129"/>
      <c r="K2001" s="129"/>
      <c r="L2001" s="129"/>
      <c r="M2001" s="129"/>
      <c r="N2001" s="129"/>
      <c r="O2001" s="129"/>
      <c r="P2001" s="129"/>
      <c r="Q2001" s="129"/>
      <c r="R2001" s="129"/>
      <c r="S2001" s="129"/>
      <c r="T2001" s="129"/>
      <c r="U2001" s="129"/>
      <c r="V2001" s="129"/>
      <c r="W2001" s="129"/>
      <c r="X2001" s="129"/>
      <c r="Y2001" s="129"/>
      <c r="Z2001" s="129"/>
      <c r="AA2001" s="129"/>
      <c r="AB2001" s="129"/>
    </row>
    <row r="2002" hidden="1">
      <c r="A2002" s="123" t="s">
        <v>1275</v>
      </c>
      <c r="B2002" s="124">
        <v>2145.0</v>
      </c>
      <c r="C2002" s="124">
        <v>2500.0</v>
      </c>
      <c r="D2002" s="132">
        <f t="shared" si="224"/>
        <v>355</v>
      </c>
      <c r="E2002" s="132" t="s">
        <v>1217</v>
      </c>
      <c r="F2002" s="127"/>
      <c r="G2002" s="150"/>
      <c r="H2002" s="129"/>
      <c r="I2002" s="129"/>
      <c r="J2002" s="129"/>
      <c r="K2002" s="129"/>
      <c r="L2002" s="129"/>
      <c r="M2002" s="129"/>
      <c r="N2002" s="129"/>
      <c r="O2002" s="129"/>
      <c r="P2002" s="129"/>
      <c r="Q2002" s="129"/>
      <c r="R2002" s="129"/>
      <c r="S2002" s="129"/>
      <c r="T2002" s="129"/>
      <c r="U2002" s="129"/>
      <c r="V2002" s="129"/>
      <c r="W2002" s="129"/>
      <c r="X2002" s="129"/>
      <c r="Y2002" s="129"/>
      <c r="Z2002" s="129"/>
      <c r="AA2002" s="129"/>
      <c r="AB2002" s="129"/>
    </row>
    <row r="2003" hidden="1">
      <c r="A2003" s="150" t="s">
        <v>1277</v>
      </c>
      <c r="B2003" s="132">
        <v>5693.0</v>
      </c>
      <c r="C2003" s="147">
        <v>6950.0</v>
      </c>
      <c r="D2003" s="132">
        <f t="shared" si="224"/>
        <v>1257</v>
      </c>
      <c r="E2003" s="132" t="s">
        <v>1217</v>
      </c>
      <c r="F2003" s="127"/>
      <c r="G2003" s="150"/>
      <c r="H2003" s="129"/>
      <c r="I2003" s="129"/>
      <c r="J2003" s="129"/>
      <c r="K2003" s="129"/>
      <c r="L2003" s="129"/>
      <c r="M2003" s="129"/>
      <c r="N2003" s="129"/>
      <c r="O2003" s="129"/>
      <c r="P2003" s="129"/>
      <c r="Q2003" s="129"/>
      <c r="R2003" s="129"/>
      <c r="S2003" s="129"/>
      <c r="T2003" s="129"/>
      <c r="U2003" s="129"/>
      <c r="V2003" s="129"/>
      <c r="W2003" s="129"/>
      <c r="X2003" s="129"/>
      <c r="Y2003" s="129"/>
      <c r="Z2003" s="129"/>
      <c r="AA2003" s="129"/>
      <c r="AB2003" s="129"/>
    </row>
    <row r="2004" hidden="1">
      <c r="A2004" s="159" t="s">
        <v>1278</v>
      </c>
      <c r="B2004" s="147">
        <v>198.0</v>
      </c>
      <c r="C2004" s="147">
        <v>300.0</v>
      </c>
      <c r="D2004" s="132">
        <f t="shared" si="224"/>
        <v>102</v>
      </c>
      <c r="E2004" s="132" t="s">
        <v>1217</v>
      </c>
      <c r="F2004" s="127"/>
      <c r="G2004" s="150"/>
      <c r="H2004" s="129"/>
      <c r="I2004" s="129"/>
      <c r="J2004" s="129"/>
      <c r="K2004" s="129"/>
      <c r="L2004" s="129"/>
      <c r="M2004" s="129"/>
      <c r="N2004" s="129"/>
      <c r="O2004" s="129"/>
      <c r="P2004" s="129"/>
      <c r="Q2004" s="129"/>
      <c r="R2004" s="129"/>
      <c r="S2004" s="129"/>
      <c r="T2004" s="129"/>
      <c r="U2004" s="129"/>
      <c r="V2004" s="129"/>
      <c r="W2004" s="129"/>
      <c r="X2004" s="129"/>
      <c r="Y2004" s="129"/>
      <c r="Z2004" s="129"/>
      <c r="AA2004" s="129"/>
      <c r="AB2004" s="129"/>
    </row>
    <row r="2005" hidden="1">
      <c r="A2005" s="123" t="s">
        <v>1277</v>
      </c>
      <c r="B2005" s="124">
        <v>5693.0</v>
      </c>
      <c r="C2005" s="123">
        <v>6675.0</v>
      </c>
      <c r="D2005" s="132">
        <f t="shared" si="224"/>
        <v>982</v>
      </c>
      <c r="E2005" s="132" t="s">
        <v>1217</v>
      </c>
      <c r="F2005" s="127"/>
      <c r="G2005" s="150"/>
      <c r="H2005" s="129"/>
      <c r="I2005" s="129"/>
      <c r="J2005" s="129"/>
      <c r="K2005" s="129"/>
      <c r="L2005" s="129"/>
      <c r="M2005" s="129"/>
      <c r="N2005" s="129"/>
      <c r="O2005" s="129"/>
      <c r="P2005" s="129"/>
      <c r="Q2005" s="129"/>
      <c r="R2005" s="129"/>
      <c r="S2005" s="129"/>
      <c r="T2005" s="129"/>
      <c r="U2005" s="129"/>
      <c r="V2005" s="129"/>
      <c r="W2005" s="129"/>
      <c r="X2005" s="129"/>
      <c r="Y2005" s="129"/>
      <c r="Z2005" s="129"/>
      <c r="AA2005" s="129"/>
      <c r="AB2005" s="129"/>
    </row>
    <row r="2006" hidden="1">
      <c r="A2006" s="123" t="s">
        <v>1279</v>
      </c>
      <c r="B2006" s="124">
        <v>429.0</v>
      </c>
      <c r="C2006" s="124">
        <v>625.0</v>
      </c>
      <c r="D2006" s="132">
        <f t="shared" si="224"/>
        <v>196</v>
      </c>
      <c r="E2006" s="132" t="s">
        <v>1217</v>
      </c>
      <c r="F2006" s="127"/>
      <c r="G2006" s="150"/>
      <c r="H2006" s="129"/>
      <c r="I2006" s="129"/>
      <c r="J2006" s="129"/>
      <c r="K2006" s="129"/>
      <c r="L2006" s="129"/>
      <c r="M2006" s="129"/>
      <c r="N2006" s="129"/>
      <c r="O2006" s="129"/>
      <c r="P2006" s="129"/>
      <c r="Q2006" s="129"/>
      <c r="R2006" s="129"/>
      <c r="S2006" s="129"/>
      <c r="T2006" s="129"/>
      <c r="U2006" s="129"/>
      <c r="V2006" s="129"/>
      <c r="W2006" s="129"/>
      <c r="X2006" s="129"/>
      <c r="Y2006" s="129"/>
      <c r="Z2006" s="129"/>
      <c r="AA2006" s="129"/>
      <c r="AB2006" s="129"/>
    </row>
    <row r="2007" hidden="1">
      <c r="A2007" s="159" t="s">
        <v>1280</v>
      </c>
      <c r="B2007" s="147">
        <v>330.0</v>
      </c>
      <c r="C2007" s="147">
        <v>475.0</v>
      </c>
      <c r="D2007" s="132">
        <f t="shared" si="224"/>
        <v>145</v>
      </c>
      <c r="E2007" s="132" t="s">
        <v>1217</v>
      </c>
      <c r="F2007" s="147"/>
      <c r="G2007" s="129"/>
      <c r="H2007" s="129"/>
      <c r="I2007" s="129"/>
      <c r="J2007" s="129"/>
      <c r="K2007" s="129"/>
      <c r="L2007" s="129"/>
      <c r="M2007" s="129"/>
      <c r="N2007" s="129"/>
      <c r="O2007" s="129"/>
      <c r="P2007" s="129"/>
      <c r="Q2007" s="129"/>
      <c r="R2007" s="129"/>
      <c r="S2007" s="129"/>
      <c r="T2007" s="129"/>
      <c r="U2007" s="129"/>
      <c r="V2007" s="129"/>
      <c r="W2007" s="129"/>
      <c r="X2007" s="129"/>
      <c r="Y2007" s="129"/>
      <c r="Z2007" s="129"/>
      <c r="AA2007" s="129"/>
      <c r="AB2007" s="129"/>
    </row>
    <row r="2008" hidden="1">
      <c r="A2008" s="123" t="s">
        <v>1279</v>
      </c>
      <c r="B2008" s="124">
        <v>429.0</v>
      </c>
      <c r="C2008" s="124">
        <v>700.0</v>
      </c>
      <c r="D2008" s="132">
        <f t="shared" si="224"/>
        <v>271</v>
      </c>
      <c r="E2008" s="132" t="s">
        <v>1217</v>
      </c>
      <c r="F2008" s="147"/>
      <c r="G2008" s="129"/>
      <c r="H2008" s="129"/>
      <c r="I2008" s="129"/>
      <c r="J2008" s="129"/>
      <c r="K2008" s="129"/>
      <c r="L2008" s="129"/>
      <c r="M2008" s="129"/>
      <c r="N2008" s="129"/>
      <c r="O2008" s="129"/>
      <c r="P2008" s="129"/>
      <c r="Q2008" s="129"/>
      <c r="R2008" s="129"/>
      <c r="S2008" s="129"/>
      <c r="T2008" s="129"/>
      <c r="U2008" s="129"/>
      <c r="V2008" s="129"/>
      <c r="W2008" s="129"/>
      <c r="X2008" s="129"/>
      <c r="Y2008" s="129"/>
      <c r="Z2008" s="129"/>
      <c r="AA2008" s="129"/>
      <c r="AB2008" s="129"/>
    </row>
    <row r="2009" hidden="1">
      <c r="A2009" s="123" t="s">
        <v>1281</v>
      </c>
      <c r="B2009" s="124">
        <v>248.0</v>
      </c>
      <c r="C2009" s="124">
        <v>300.0</v>
      </c>
      <c r="D2009" s="132">
        <f t="shared" si="224"/>
        <v>52</v>
      </c>
      <c r="E2009" s="147" t="s">
        <v>1282</v>
      </c>
      <c r="F2009" s="147"/>
      <c r="G2009" s="129"/>
      <c r="H2009" s="129"/>
      <c r="I2009" s="129"/>
      <c r="J2009" s="129"/>
      <c r="K2009" s="129"/>
      <c r="L2009" s="129"/>
      <c r="M2009" s="129"/>
      <c r="N2009" s="129"/>
      <c r="O2009" s="129"/>
      <c r="P2009" s="129"/>
      <c r="Q2009" s="129"/>
      <c r="R2009" s="129"/>
      <c r="S2009" s="129"/>
      <c r="T2009" s="129"/>
      <c r="U2009" s="129"/>
      <c r="V2009" s="129"/>
      <c r="W2009" s="129"/>
      <c r="X2009" s="129"/>
      <c r="Y2009" s="129"/>
      <c r="Z2009" s="129"/>
      <c r="AA2009" s="129"/>
      <c r="AB2009" s="129"/>
    </row>
    <row r="2010" hidden="1">
      <c r="A2010" s="159" t="s">
        <v>1283</v>
      </c>
      <c r="B2010" s="147">
        <v>330.0</v>
      </c>
      <c r="C2010" s="147">
        <v>400.0</v>
      </c>
      <c r="D2010" s="132">
        <f t="shared" si="224"/>
        <v>70</v>
      </c>
      <c r="E2010" s="132" t="s">
        <v>1217</v>
      </c>
      <c r="F2010" s="147"/>
      <c r="G2010" s="129"/>
      <c r="H2010" s="129"/>
      <c r="I2010" s="129"/>
      <c r="J2010" s="129"/>
      <c r="K2010" s="129"/>
      <c r="L2010" s="129"/>
      <c r="M2010" s="129"/>
      <c r="N2010" s="129"/>
      <c r="O2010" s="129"/>
      <c r="P2010" s="129"/>
      <c r="Q2010" s="129"/>
      <c r="R2010" s="129"/>
      <c r="S2010" s="129"/>
      <c r="T2010" s="129"/>
      <c r="U2010" s="129"/>
      <c r="V2010" s="129"/>
      <c r="W2010" s="129"/>
      <c r="X2010" s="129"/>
      <c r="Y2010" s="129"/>
      <c r="Z2010" s="129"/>
      <c r="AA2010" s="129"/>
      <c r="AB2010" s="129"/>
    </row>
    <row r="2011" hidden="1">
      <c r="A2011" s="159" t="s">
        <v>1284</v>
      </c>
      <c r="B2011" s="147">
        <v>363.0</v>
      </c>
      <c r="C2011" s="147">
        <v>450.0</v>
      </c>
      <c r="D2011" s="132">
        <f t="shared" si="224"/>
        <v>87</v>
      </c>
      <c r="E2011" s="132" t="s">
        <v>1217</v>
      </c>
      <c r="F2011" s="147"/>
      <c r="G2011" s="129"/>
      <c r="H2011" s="129"/>
      <c r="I2011" s="129"/>
      <c r="J2011" s="129"/>
      <c r="K2011" s="129"/>
      <c r="L2011" s="129"/>
      <c r="M2011" s="129"/>
      <c r="N2011" s="129"/>
      <c r="O2011" s="129"/>
      <c r="P2011" s="129"/>
      <c r="Q2011" s="129"/>
      <c r="R2011" s="129"/>
      <c r="S2011" s="129"/>
      <c r="T2011" s="129"/>
      <c r="U2011" s="129"/>
      <c r="V2011" s="129"/>
      <c r="W2011" s="129"/>
      <c r="X2011" s="129"/>
      <c r="Y2011" s="129"/>
      <c r="Z2011" s="129"/>
      <c r="AA2011" s="129"/>
      <c r="AB2011" s="129"/>
    </row>
    <row r="2012" hidden="1">
      <c r="A2012" s="123" t="s">
        <v>1279</v>
      </c>
      <c r="B2012" s="124">
        <v>462.0</v>
      </c>
      <c r="C2012" s="124">
        <v>700.0</v>
      </c>
      <c r="D2012" s="132">
        <f t="shared" si="224"/>
        <v>238</v>
      </c>
      <c r="E2012" s="132" t="s">
        <v>1217</v>
      </c>
      <c r="F2012" s="139"/>
      <c r="G2012" s="129"/>
      <c r="H2012" s="129"/>
      <c r="I2012" s="129"/>
      <c r="J2012" s="129"/>
      <c r="K2012" s="129"/>
      <c r="L2012" s="129"/>
      <c r="M2012" s="129"/>
      <c r="N2012" s="129"/>
      <c r="O2012" s="129"/>
      <c r="P2012" s="129"/>
      <c r="Q2012" s="129"/>
      <c r="R2012" s="129"/>
      <c r="S2012" s="129"/>
      <c r="T2012" s="129"/>
      <c r="U2012" s="129"/>
      <c r="V2012" s="129"/>
      <c r="W2012" s="129"/>
      <c r="X2012" s="129"/>
      <c r="Y2012" s="129"/>
      <c r="Z2012" s="129"/>
      <c r="AA2012" s="129"/>
      <c r="AB2012" s="129"/>
    </row>
    <row r="2013" hidden="1">
      <c r="A2013" s="123" t="s">
        <v>1285</v>
      </c>
      <c r="B2013" s="124">
        <v>693.0</v>
      </c>
      <c r="C2013" s="124">
        <v>900.0</v>
      </c>
      <c r="D2013" s="132">
        <f t="shared" si="224"/>
        <v>207</v>
      </c>
      <c r="E2013" s="132" t="s">
        <v>1217</v>
      </c>
      <c r="F2013" s="139"/>
      <c r="G2013" s="129"/>
      <c r="H2013" s="129"/>
      <c r="I2013" s="129"/>
      <c r="J2013" s="129"/>
      <c r="K2013" s="129"/>
      <c r="L2013" s="129"/>
      <c r="M2013" s="129"/>
      <c r="N2013" s="129"/>
      <c r="O2013" s="129"/>
      <c r="P2013" s="129"/>
      <c r="Q2013" s="129"/>
      <c r="R2013" s="129"/>
      <c r="S2013" s="129"/>
      <c r="T2013" s="129"/>
      <c r="U2013" s="129"/>
      <c r="V2013" s="129"/>
      <c r="W2013" s="129"/>
      <c r="X2013" s="129"/>
      <c r="Y2013" s="129"/>
      <c r="Z2013" s="129"/>
      <c r="AA2013" s="129"/>
      <c r="AB2013" s="129"/>
    </row>
    <row r="2014" hidden="1">
      <c r="A2014" s="159" t="s">
        <v>1286</v>
      </c>
      <c r="B2014" s="147">
        <v>231.0</v>
      </c>
      <c r="C2014" s="147">
        <v>325.0</v>
      </c>
      <c r="D2014" s="132">
        <f t="shared" si="224"/>
        <v>94</v>
      </c>
      <c r="E2014" s="132" t="s">
        <v>1217</v>
      </c>
      <c r="F2014" s="139"/>
      <c r="G2014" s="129"/>
      <c r="H2014" s="129"/>
      <c r="I2014" s="129"/>
      <c r="J2014" s="129"/>
      <c r="K2014" s="129"/>
      <c r="L2014" s="129"/>
      <c r="M2014" s="129"/>
      <c r="N2014" s="129"/>
      <c r="O2014" s="129"/>
      <c r="P2014" s="129"/>
      <c r="Q2014" s="129"/>
      <c r="R2014" s="129"/>
      <c r="S2014" s="129"/>
      <c r="T2014" s="129"/>
      <c r="U2014" s="129"/>
      <c r="V2014" s="129"/>
      <c r="W2014" s="129"/>
      <c r="X2014" s="129"/>
      <c r="Y2014" s="129"/>
      <c r="Z2014" s="129"/>
      <c r="AA2014" s="129"/>
      <c r="AB2014" s="129"/>
    </row>
    <row r="2015" hidden="1">
      <c r="A2015" s="123" t="s">
        <v>1277</v>
      </c>
      <c r="B2015" s="124">
        <v>5693.0</v>
      </c>
      <c r="C2015" s="123">
        <v>6125.0</v>
      </c>
      <c r="D2015" s="132">
        <f t="shared" si="224"/>
        <v>432</v>
      </c>
      <c r="E2015" s="132" t="s">
        <v>1217</v>
      </c>
      <c r="F2015" s="139"/>
      <c r="G2015" s="129"/>
      <c r="H2015" s="129"/>
      <c r="I2015" s="129"/>
      <c r="J2015" s="129"/>
      <c r="K2015" s="129"/>
      <c r="L2015" s="129"/>
      <c r="M2015" s="129"/>
      <c r="N2015" s="129"/>
      <c r="O2015" s="129"/>
      <c r="P2015" s="129"/>
      <c r="Q2015" s="129"/>
      <c r="R2015" s="129"/>
      <c r="S2015" s="129"/>
      <c r="T2015" s="129"/>
      <c r="U2015" s="129"/>
      <c r="V2015" s="129"/>
      <c r="W2015" s="129"/>
      <c r="X2015" s="129"/>
      <c r="Y2015" s="129"/>
      <c r="Z2015" s="129"/>
      <c r="AA2015" s="129"/>
      <c r="AB2015" s="129"/>
    </row>
    <row r="2016" hidden="1">
      <c r="A2016" s="143"/>
      <c r="B2016" s="139"/>
      <c r="C2016" s="139"/>
      <c r="D2016" s="139"/>
      <c r="E2016" s="129"/>
      <c r="F2016" s="129"/>
      <c r="G2016" s="129"/>
      <c r="H2016" s="129"/>
      <c r="I2016" s="129"/>
      <c r="J2016" s="129"/>
      <c r="K2016" s="129"/>
      <c r="L2016" s="129"/>
      <c r="M2016" s="129"/>
      <c r="N2016" s="129"/>
      <c r="O2016" s="129"/>
      <c r="P2016" s="129"/>
      <c r="Q2016" s="129"/>
      <c r="R2016" s="129"/>
      <c r="S2016" s="129"/>
      <c r="T2016" s="129"/>
      <c r="U2016" s="129"/>
      <c r="V2016" s="129"/>
      <c r="W2016" s="129"/>
      <c r="X2016" s="129"/>
      <c r="Y2016" s="129"/>
      <c r="Z2016" s="129"/>
      <c r="AA2016" s="129"/>
      <c r="AB2016" s="129"/>
    </row>
    <row r="2017" hidden="1">
      <c r="A2017" s="144" t="s">
        <v>57</v>
      </c>
      <c r="B2017" s="145">
        <f t="shared" ref="B2017:D2017" si="225">SUM(B1930:B2016)</f>
        <v>228586</v>
      </c>
      <c r="C2017" s="145">
        <f t="shared" si="225"/>
        <v>291507.5</v>
      </c>
      <c r="D2017" s="145">
        <f t="shared" si="225"/>
        <v>62921.5</v>
      </c>
      <c r="E2017" s="146">
        <f>D2017/(C2017/100)</f>
        <v>21.58486488</v>
      </c>
      <c r="F2017" s="129"/>
      <c r="G2017" s="129"/>
      <c r="H2017" s="129"/>
      <c r="I2017" s="129"/>
      <c r="J2017" s="129"/>
      <c r="K2017" s="129"/>
      <c r="L2017" s="129"/>
      <c r="M2017" s="129"/>
      <c r="N2017" s="129"/>
      <c r="O2017" s="129"/>
      <c r="P2017" s="129"/>
      <c r="Q2017" s="129"/>
      <c r="R2017" s="129"/>
      <c r="S2017" s="129"/>
      <c r="T2017" s="129"/>
      <c r="U2017" s="129"/>
      <c r="V2017" s="129"/>
      <c r="W2017" s="129"/>
      <c r="X2017" s="129"/>
      <c r="Y2017" s="129"/>
      <c r="Z2017" s="129"/>
      <c r="AA2017" s="129"/>
      <c r="AB2017" s="129"/>
    </row>
    <row r="2018" hidden="1">
      <c r="A2018" s="141"/>
      <c r="B2018" s="139"/>
      <c r="C2018" s="139"/>
      <c r="D2018" s="139"/>
      <c r="E2018" s="129"/>
      <c r="F2018" s="129"/>
      <c r="G2018" s="129"/>
      <c r="H2018" s="129"/>
      <c r="I2018" s="129"/>
      <c r="J2018" s="129"/>
      <c r="K2018" s="129"/>
      <c r="L2018" s="129"/>
      <c r="M2018" s="129"/>
      <c r="N2018" s="129"/>
      <c r="O2018" s="129"/>
      <c r="P2018" s="129"/>
      <c r="Q2018" s="129"/>
      <c r="R2018" s="129"/>
      <c r="S2018" s="129"/>
      <c r="T2018" s="129"/>
      <c r="U2018" s="129"/>
      <c r="V2018" s="129"/>
      <c r="W2018" s="129"/>
      <c r="X2018" s="129"/>
      <c r="Y2018" s="129"/>
      <c r="Z2018" s="129"/>
      <c r="AA2018" s="129"/>
      <c r="AB2018" s="129"/>
    </row>
    <row r="2019" hidden="1">
      <c r="A2019" s="141">
        <v>44440.0</v>
      </c>
      <c r="B2019" s="139"/>
      <c r="C2019" s="139"/>
      <c r="D2019" s="139"/>
      <c r="E2019" s="129"/>
      <c r="F2019" s="129"/>
      <c r="G2019" s="129"/>
      <c r="H2019" s="129"/>
      <c r="I2019" s="129"/>
      <c r="J2019" s="129"/>
      <c r="K2019" s="129"/>
      <c r="L2019" s="129"/>
      <c r="M2019" s="129"/>
      <c r="N2019" s="129"/>
      <c r="O2019" s="129"/>
      <c r="P2019" s="129"/>
      <c r="Q2019" s="129"/>
      <c r="R2019" s="129"/>
      <c r="S2019" s="129"/>
      <c r="T2019" s="129"/>
      <c r="U2019" s="129"/>
      <c r="V2019" s="129"/>
      <c r="W2019" s="129"/>
      <c r="X2019" s="129"/>
      <c r="Y2019" s="129"/>
      <c r="Z2019" s="129"/>
      <c r="AA2019" s="129"/>
      <c r="AB2019" s="129"/>
    </row>
    <row r="2020" hidden="1">
      <c r="A2020" s="128" t="s">
        <v>1140</v>
      </c>
      <c r="B2020" s="147">
        <v>1440.0</v>
      </c>
      <c r="C2020" s="147">
        <v>1596.0</v>
      </c>
      <c r="D2020" s="132">
        <f t="shared" ref="D2020:D2071" si="226">C2020-B2020</f>
        <v>156</v>
      </c>
      <c r="E2020" s="147" t="s">
        <v>123</v>
      </c>
      <c r="F2020" s="127"/>
      <c r="G2020" s="150"/>
      <c r="H2020" s="129"/>
      <c r="I2020" s="129"/>
      <c r="J2020" s="129"/>
      <c r="K2020" s="129"/>
      <c r="L2020" s="129"/>
      <c r="M2020" s="129"/>
      <c r="N2020" s="129"/>
      <c r="O2020" s="129"/>
      <c r="P2020" s="129"/>
      <c r="Q2020" s="129"/>
      <c r="R2020" s="129"/>
      <c r="S2020" s="129"/>
      <c r="T2020" s="129"/>
      <c r="U2020" s="129"/>
      <c r="V2020" s="129"/>
      <c r="W2020" s="129"/>
      <c r="X2020" s="129"/>
      <c r="Y2020" s="129"/>
      <c r="Z2020" s="129"/>
      <c r="AA2020" s="129"/>
      <c r="AB2020" s="129"/>
    </row>
    <row r="2021" hidden="1">
      <c r="A2021" s="128" t="s">
        <v>1140</v>
      </c>
      <c r="B2021" s="147">
        <v>1440.0</v>
      </c>
      <c r="C2021" s="147">
        <v>1602.0</v>
      </c>
      <c r="D2021" s="132">
        <f t="shared" si="226"/>
        <v>162</v>
      </c>
      <c r="E2021" s="147" t="s">
        <v>123</v>
      </c>
      <c r="F2021" s="127"/>
      <c r="G2021" s="150"/>
      <c r="H2021" s="129"/>
      <c r="I2021" s="129"/>
      <c r="J2021" s="129"/>
      <c r="K2021" s="129"/>
      <c r="L2021" s="129"/>
      <c r="M2021" s="129"/>
      <c r="N2021" s="129"/>
      <c r="O2021" s="129"/>
      <c r="P2021" s="129"/>
      <c r="Q2021" s="129"/>
      <c r="R2021" s="129"/>
      <c r="S2021" s="129"/>
      <c r="T2021" s="129"/>
      <c r="U2021" s="129"/>
      <c r="V2021" s="129"/>
      <c r="W2021" s="129"/>
      <c r="X2021" s="129"/>
      <c r="Y2021" s="129"/>
      <c r="Z2021" s="129"/>
      <c r="AA2021" s="129"/>
      <c r="AB2021" s="129"/>
    </row>
    <row r="2022" hidden="1">
      <c r="A2022" s="150" t="s">
        <v>1179</v>
      </c>
      <c r="B2022" s="132">
        <v>1390.0</v>
      </c>
      <c r="C2022" s="147">
        <v>1571.0</v>
      </c>
      <c r="D2022" s="132">
        <f t="shared" si="226"/>
        <v>181</v>
      </c>
      <c r="E2022" s="132" t="s">
        <v>123</v>
      </c>
      <c r="F2022" s="139"/>
      <c r="G2022" s="150"/>
      <c r="H2022" s="129"/>
      <c r="I2022" s="129"/>
      <c r="J2022" s="129"/>
      <c r="K2022" s="129"/>
      <c r="L2022" s="129"/>
      <c r="M2022" s="129"/>
      <c r="N2022" s="129"/>
      <c r="O2022" s="129"/>
      <c r="P2022" s="129"/>
      <c r="Q2022" s="129"/>
      <c r="R2022" s="129"/>
      <c r="S2022" s="129"/>
      <c r="T2022" s="129"/>
      <c r="U2022" s="129"/>
      <c r="V2022" s="129"/>
      <c r="W2022" s="129"/>
      <c r="X2022" s="129"/>
      <c r="Y2022" s="129"/>
      <c r="Z2022" s="129"/>
      <c r="AA2022" s="129"/>
      <c r="AB2022" s="129"/>
    </row>
    <row r="2023" hidden="1">
      <c r="A2023" s="128" t="s">
        <v>1179</v>
      </c>
      <c r="B2023" s="147">
        <v>1390.0</v>
      </c>
      <c r="C2023" s="147">
        <v>1573.0</v>
      </c>
      <c r="D2023" s="132">
        <f t="shared" si="226"/>
        <v>183</v>
      </c>
      <c r="E2023" s="147" t="s">
        <v>123</v>
      </c>
      <c r="F2023" s="127"/>
      <c r="G2023" s="150"/>
      <c r="H2023" s="129"/>
      <c r="I2023" s="129"/>
      <c r="J2023" s="129"/>
      <c r="K2023" s="129"/>
      <c r="L2023" s="129"/>
      <c r="M2023" s="129"/>
      <c r="N2023" s="129"/>
      <c r="O2023" s="129"/>
      <c r="P2023" s="129"/>
      <c r="Q2023" s="129"/>
      <c r="R2023" s="129"/>
      <c r="S2023" s="129"/>
      <c r="T2023" s="129"/>
      <c r="U2023" s="129"/>
      <c r="V2023" s="129"/>
      <c r="W2023" s="129"/>
      <c r="X2023" s="129"/>
      <c r="Y2023" s="129"/>
      <c r="Z2023" s="129"/>
      <c r="AA2023" s="129"/>
      <c r="AB2023" s="129"/>
    </row>
    <row r="2024" hidden="1">
      <c r="A2024" s="159" t="s">
        <v>1287</v>
      </c>
      <c r="B2024" s="147">
        <v>4785.0</v>
      </c>
      <c r="C2024" s="147">
        <v>7875.0</v>
      </c>
      <c r="D2024" s="132">
        <f t="shared" si="226"/>
        <v>3090</v>
      </c>
      <c r="E2024" s="132" t="s">
        <v>1217</v>
      </c>
      <c r="F2024" s="147"/>
      <c r="G2024" s="123"/>
    </row>
    <row r="2025" hidden="1">
      <c r="A2025" s="128" t="s">
        <v>1272</v>
      </c>
      <c r="B2025" s="147">
        <v>1390.0</v>
      </c>
      <c r="C2025" s="147">
        <v>1256.0</v>
      </c>
      <c r="D2025" s="125">
        <f t="shared" si="226"/>
        <v>-134</v>
      </c>
      <c r="E2025" s="126" t="s">
        <v>123</v>
      </c>
      <c r="F2025" s="147"/>
      <c r="G2025" s="123"/>
    </row>
    <row r="2026" hidden="1">
      <c r="A2026" s="123" t="s">
        <v>438</v>
      </c>
      <c r="B2026" s="147">
        <v>1590.0</v>
      </c>
      <c r="C2026" s="124">
        <v>1690.0</v>
      </c>
      <c r="D2026" s="125">
        <f t="shared" si="226"/>
        <v>100</v>
      </c>
      <c r="E2026" s="126" t="s">
        <v>123</v>
      </c>
      <c r="F2026" s="147"/>
      <c r="G2026" s="123"/>
    </row>
    <row r="2027" hidden="1">
      <c r="A2027" s="123" t="s">
        <v>443</v>
      </c>
      <c r="B2027" s="147">
        <v>1390.0</v>
      </c>
      <c r="C2027" s="124">
        <v>1547.0</v>
      </c>
      <c r="D2027" s="125">
        <f t="shared" si="226"/>
        <v>157</v>
      </c>
      <c r="E2027" s="126" t="s">
        <v>123</v>
      </c>
      <c r="F2027" s="124"/>
      <c r="G2027" s="123"/>
    </row>
    <row r="2028" hidden="1">
      <c r="A2028" s="150" t="s">
        <v>1288</v>
      </c>
      <c r="B2028" s="132">
        <v>1225.0</v>
      </c>
      <c r="C2028" s="152">
        <v>1450.0</v>
      </c>
      <c r="D2028" s="132">
        <f t="shared" si="226"/>
        <v>225</v>
      </c>
      <c r="E2028" s="132" t="s">
        <v>1217</v>
      </c>
      <c r="F2028" s="132"/>
      <c r="G2028" s="129"/>
      <c r="H2028" s="129"/>
      <c r="I2028" s="129"/>
      <c r="J2028" s="129"/>
      <c r="K2028" s="129"/>
      <c r="L2028" s="129"/>
      <c r="M2028" s="129"/>
      <c r="N2028" s="129"/>
      <c r="O2028" s="129"/>
      <c r="P2028" s="129"/>
      <c r="Q2028" s="129"/>
      <c r="R2028" s="129"/>
      <c r="S2028" s="129"/>
      <c r="T2028" s="129"/>
      <c r="U2028" s="129"/>
      <c r="V2028" s="129"/>
      <c r="W2028" s="129"/>
      <c r="X2028" s="129"/>
      <c r="Y2028" s="129"/>
      <c r="Z2028" s="129"/>
      <c r="AA2028" s="129"/>
      <c r="AB2028" s="129"/>
    </row>
    <row r="2029" hidden="1">
      <c r="A2029" s="123" t="s">
        <v>1288</v>
      </c>
      <c r="B2029" s="124">
        <v>1225.0</v>
      </c>
      <c r="C2029" s="123">
        <v>1450.0</v>
      </c>
      <c r="D2029" s="132">
        <f t="shared" si="226"/>
        <v>225</v>
      </c>
      <c r="E2029" s="147" t="s">
        <v>1217</v>
      </c>
      <c r="F2029" s="147"/>
      <c r="G2029" s="129"/>
      <c r="H2029" s="129"/>
      <c r="I2029" s="129"/>
      <c r="J2029" s="129"/>
      <c r="K2029" s="129"/>
      <c r="L2029" s="129"/>
      <c r="M2029" s="129"/>
      <c r="N2029" s="129"/>
      <c r="O2029" s="129"/>
      <c r="P2029" s="129"/>
      <c r="Q2029" s="129"/>
      <c r="R2029" s="129"/>
      <c r="S2029" s="129"/>
      <c r="T2029" s="129"/>
      <c r="U2029" s="129"/>
      <c r="V2029" s="129"/>
      <c r="W2029" s="129"/>
      <c r="X2029" s="129"/>
      <c r="Y2029" s="129"/>
      <c r="Z2029" s="129"/>
      <c r="AA2029" s="129"/>
      <c r="AB2029" s="129"/>
    </row>
    <row r="2030" hidden="1">
      <c r="A2030" s="123" t="s">
        <v>1288</v>
      </c>
      <c r="B2030" s="124">
        <v>1225.0</v>
      </c>
      <c r="C2030" s="123">
        <v>1275.0</v>
      </c>
      <c r="D2030" s="132">
        <f t="shared" si="226"/>
        <v>50</v>
      </c>
      <c r="E2030" s="147" t="s">
        <v>1217</v>
      </c>
      <c r="F2030" s="147"/>
      <c r="G2030" s="129"/>
      <c r="H2030" s="129"/>
      <c r="I2030" s="129"/>
      <c r="J2030" s="129"/>
      <c r="K2030" s="129"/>
      <c r="L2030" s="129"/>
      <c r="M2030" s="129"/>
      <c r="N2030" s="129"/>
      <c r="O2030" s="129"/>
      <c r="P2030" s="129"/>
      <c r="Q2030" s="129"/>
      <c r="R2030" s="129"/>
      <c r="S2030" s="129"/>
      <c r="T2030" s="129"/>
      <c r="U2030" s="129"/>
      <c r="V2030" s="129"/>
      <c r="W2030" s="129"/>
      <c r="X2030" s="129"/>
      <c r="Y2030" s="129"/>
      <c r="Z2030" s="129"/>
      <c r="AA2030" s="129"/>
      <c r="AB2030" s="129"/>
    </row>
    <row r="2031" hidden="1">
      <c r="A2031" s="123" t="s">
        <v>1289</v>
      </c>
      <c r="B2031" s="124">
        <v>1320.0</v>
      </c>
      <c r="C2031" s="123">
        <v>1500.0</v>
      </c>
      <c r="D2031" s="132">
        <f t="shared" si="226"/>
        <v>180</v>
      </c>
      <c r="E2031" s="147" t="s">
        <v>1217</v>
      </c>
      <c r="F2031" s="147"/>
      <c r="G2031" s="129"/>
      <c r="H2031" s="129"/>
      <c r="I2031" s="129"/>
      <c r="J2031" s="129"/>
      <c r="K2031" s="129"/>
      <c r="L2031" s="129"/>
      <c r="M2031" s="129"/>
      <c r="N2031" s="129"/>
      <c r="O2031" s="129"/>
      <c r="P2031" s="129"/>
      <c r="Q2031" s="129"/>
      <c r="R2031" s="129"/>
      <c r="S2031" s="129"/>
      <c r="T2031" s="129"/>
      <c r="U2031" s="129"/>
      <c r="V2031" s="129"/>
      <c r="W2031" s="129"/>
      <c r="X2031" s="129"/>
      <c r="Y2031" s="129"/>
      <c r="Z2031" s="129"/>
      <c r="AA2031" s="129"/>
      <c r="AB2031" s="129"/>
    </row>
    <row r="2032" hidden="1">
      <c r="A2032" s="123" t="s">
        <v>1290</v>
      </c>
      <c r="B2032" s="147">
        <v>250.0</v>
      </c>
      <c r="C2032" s="147">
        <v>300.0</v>
      </c>
      <c r="D2032" s="132">
        <f t="shared" si="226"/>
        <v>50</v>
      </c>
      <c r="E2032" s="148" t="s">
        <v>1282</v>
      </c>
      <c r="F2032" s="129"/>
      <c r="G2032" s="129"/>
      <c r="H2032" s="129"/>
      <c r="I2032" s="129"/>
      <c r="J2032" s="129"/>
      <c r="K2032" s="129"/>
      <c r="L2032" s="129"/>
      <c r="M2032" s="129"/>
      <c r="N2032" s="129"/>
      <c r="O2032" s="129"/>
      <c r="P2032" s="129"/>
      <c r="Q2032" s="129"/>
      <c r="R2032" s="129"/>
      <c r="S2032" s="129"/>
      <c r="T2032" s="129"/>
      <c r="U2032" s="129"/>
      <c r="V2032" s="129"/>
      <c r="W2032" s="129"/>
      <c r="X2032" s="129"/>
      <c r="Y2032" s="129"/>
      <c r="Z2032" s="129"/>
      <c r="AA2032" s="129"/>
      <c r="AB2032" s="129"/>
    </row>
    <row r="2033" hidden="1">
      <c r="A2033" s="299" t="s">
        <v>551</v>
      </c>
      <c r="B2033" s="300">
        <v>1250.0</v>
      </c>
      <c r="C2033" s="300">
        <v>3000.0</v>
      </c>
      <c r="D2033" s="301">
        <f t="shared" si="226"/>
        <v>1750</v>
      </c>
      <c r="E2033" s="402" t="s">
        <v>120</v>
      </c>
      <c r="F2033" s="217"/>
      <c r="G2033" s="217"/>
      <c r="H2033" s="217"/>
      <c r="I2033" s="217"/>
      <c r="J2033" s="217"/>
      <c r="K2033" s="217"/>
      <c r="L2033" s="217"/>
      <c r="M2033" s="217"/>
      <c r="N2033" s="217"/>
      <c r="O2033" s="217"/>
      <c r="P2033" s="217"/>
      <c r="Q2033" s="217"/>
      <c r="R2033" s="217"/>
      <c r="S2033" s="217"/>
      <c r="T2033" s="217"/>
      <c r="U2033" s="217"/>
      <c r="V2033" s="217"/>
      <c r="W2033" s="217"/>
      <c r="X2033" s="217"/>
      <c r="Y2033" s="217"/>
      <c r="Z2033" s="217"/>
      <c r="AA2033" s="217"/>
      <c r="AB2033" s="217"/>
    </row>
    <row r="2034" hidden="1">
      <c r="A2034" s="179" t="s">
        <v>1291</v>
      </c>
      <c r="B2034" s="333">
        <v>1500.0</v>
      </c>
      <c r="C2034" s="333">
        <v>3000.0</v>
      </c>
      <c r="D2034" s="404">
        <f t="shared" si="226"/>
        <v>1500</v>
      </c>
      <c r="E2034" s="300" t="s">
        <v>123</v>
      </c>
      <c r="F2034" s="121"/>
      <c r="G2034" s="121"/>
      <c r="H2034" s="121"/>
      <c r="I2034" s="121"/>
      <c r="J2034" s="121"/>
      <c r="K2034" s="121"/>
      <c r="L2034" s="121"/>
      <c r="M2034" s="121"/>
      <c r="N2034" s="121"/>
      <c r="O2034" s="121"/>
      <c r="P2034" s="121"/>
      <c r="Q2034" s="121"/>
      <c r="R2034" s="121"/>
      <c r="S2034" s="121"/>
      <c r="T2034" s="121"/>
      <c r="U2034" s="121"/>
      <c r="V2034" s="121"/>
      <c r="W2034" s="121"/>
      <c r="X2034" s="121"/>
      <c r="Y2034" s="121"/>
      <c r="Z2034" s="121"/>
      <c r="AA2034" s="121"/>
      <c r="AB2034" s="121"/>
    </row>
    <row r="2035" hidden="1">
      <c r="A2035" s="123" t="s">
        <v>438</v>
      </c>
      <c r="B2035" s="147">
        <v>3080.0</v>
      </c>
      <c r="C2035" s="124">
        <v>3381.0</v>
      </c>
      <c r="D2035" s="125">
        <f t="shared" si="226"/>
        <v>301</v>
      </c>
      <c r="E2035" s="126" t="s">
        <v>123</v>
      </c>
      <c r="F2035" s="147"/>
      <c r="G2035" s="123"/>
    </row>
    <row r="2036" hidden="1">
      <c r="A2036" s="128" t="s">
        <v>1262</v>
      </c>
      <c r="B2036" s="386">
        <v>0.0</v>
      </c>
      <c r="C2036" s="386">
        <v>0.0</v>
      </c>
      <c r="D2036" s="170">
        <f t="shared" si="226"/>
        <v>0</v>
      </c>
      <c r="E2036" s="126" t="s">
        <v>123</v>
      </c>
      <c r="F2036" s="147"/>
      <c r="G2036" s="123"/>
    </row>
    <row r="2037" hidden="1">
      <c r="A2037" s="123" t="s">
        <v>438</v>
      </c>
      <c r="B2037" s="147">
        <v>1590.0</v>
      </c>
      <c r="C2037" s="124">
        <v>1741.0</v>
      </c>
      <c r="D2037" s="125">
        <f t="shared" si="226"/>
        <v>151</v>
      </c>
      <c r="E2037" s="126" t="s">
        <v>123</v>
      </c>
      <c r="F2037" s="147"/>
      <c r="G2037" s="123"/>
    </row>
    <row r="2038" hidden="1">
      <c r="A2038" s="142" t="s">
        <v>461</v>
      </c>
      <c r="B2038" s="147">
        <v>890.0</v>
      </c>
      <c r="C2038" s="147">
        <v>1063.0</v>
      </c>
      <c r="D2038" s="132">
        <f t="shared" si="226"/>
        <v>173</v>
      </c>
      <c r="E2038" s="126" t="s">
        <v>123</v>
      </c>
      <c r="F2038" s="124"/>
      <c r="G2038" s="129"/>
      <c r="H2038" s="129"/>
      <c r="I2038" s="129"/>
      <c r="J2038" s="129"/>
      <c r="K2038" s="129"/>
      <c r="L2038" s="129"/>
      <c r="M2038" s="129"/>
      <c r="N2038" s="129"/>
      <c r="O2038" s="129"/>
      <c r="P2038" s="129"/>
      <c r="Q2038" s="129"/>
      <c r="R2038" s="129"/>
      <c r="S2038" s="129"/>
      <c r="T2038" s="129"/>
      <c r="U2038" s="129"/>
      <c r="V2038" s="129"/>
      <c r="W2038" s="129"/>
      <c r="X2038" s="129"/>
      <c r="Y2038" s="129"/>
      <c r="Z2038" s="129"/>
      <c r="AA2038" s="129"/>
      <c r="AB2038" s="129"/>
    </row>
    <row r="2039" hidden="1">
      <c r="A2039" s="123" t="s">
        <v>1285</v>
      </c>
      <c r="B2039" s="124">
        <v>650.0</v>
      </c>
      <c r="C2039" s="124">
        <v>800.0</v>
      </c>
      <c r="D2039" s="132">
        <f t="shared" si="226"/>
        <v>150</v>
      </c>
      <c r="E2039" s="147" t="s">
        <v>1217</v>
      </c>
      <c r="F2039" s="147"/>
    </row>
    <row r="2040" hidden="1">
      <c r="A2040" s="128" t="s">
        <v>137</v>
      </c>
      <c r="B2040" s="147">
        <v>1090.0</v>
      </c>
      <c r="C2040" s="147">
        <v>1057.0</v>
      </c>
      <c r="D2040" s="132">
        <f t="shared" si="226"/>
        <v>-33</v>
      </c>
      <c r="E2040" s="147" t="s">
        <v>120</v>
      </c>
      <c r="F2040" s="139"/>
      <c r="G2040" s="128"/>
      <c r="H2040" s="129"/>
      <c r="I2040" s="129"/>
      <c r="J2040" s="129"/>
      <c r="K2040" s="129"/>
      <c r="L2040" s="129"/>
      <c r="M2040" s="129"/>
      <c r="N2040" s="129"/>
      <c r="O2040" s="129"/>
      <c r="S2040" s="129"/>
      <c r="T2040" s="129"/>
      <c r="U2040" s="129"/>
      <c r="V2040" s="129"/>
      <c r="W2040" s="129"/>
      <c r="X2040" s="129"/>
      <c r="Y2040" s="129"/>
      <c r="Z2040" s="129"/>
      <c r="AA2040" s="129"/>
      <c r="AB2040" s="129"/>
    </row>
    <row r="2041" hidden="1">
      <c r="A2041" s="150" t="s">
        <v>460</v>
      </c>
      <c r="B2041" s="147">
        <v>1490.0</v>
      </c>
      <c r="C2041" s="147">
        <v>1596.0</v>
      </c>
      <c r="D2041" s="132">
        <f t="shared" si="226"/>
        <v>106</v>
      </c>
      <c r="E2041" s="132" t="s">
        <v>123</v>
      </c>
      <c r="F2041" s="132"/>
      <c r="G2041" s="129"/>
      <c r="H2041" s="129"/>
      <c r="I2041" s="129"/>
      <c r="J2041" s="129"/>
      <c r="K2041" s="129"/>
      <c r="L2041" s="129"/>
      <c r="M2041" s="129"/>
      <c r="N2041" s="129"/>
      <c r="O2041" s="129"/>
      <c r="P2041" s="129"/>
      <c r="Q2041" s="129"/>
      <c r="R2041" s="129"/>
      <c r="S2041" s="129"/>
      <c r="T2041" s="129"/>
      <c r="U2041" s="129"/>
      <c r="V2041" s="129"/>
      <c r="W2041" s="129"/>
      <c r="X2041" s="129"/>
      <c r="Y2041" s="129"/>
      <c r="Z2041" s="129"/>
      <c r="AA2041" s="129"/>
      <c r="AB2041" s="129"/>
    </row>
    <row r="2042" hidden="1">
      <c r="A2042" s="123" t="s">
        <v>443</v>
      </c>
      <c r="B2042" s="147">
        <v>1390.0</v>
      </c>
      <c r="C2042" s="124">
        <v>1542.0</v>
      </c>
      <c r="D2042" s="125">
        <f t="shared" si="226"/>
        <v>152</v>
      </c>
      <c r="E2042" s="126" t="s">
        <v>123</v>
      </c>
      <c r="F2042" s="124"/>
      <c r="G2042" s="123"/>
    </row>
    <row r="2043" hidden="1">
      <c r="A2043" s="299" t="s">
        <v>1292</v>
      </c>
      <c r="B2043" s="301">
        <v>1500.0</v>
      </c>
      <c r="C2043" s="300">
        <v>3250.0</v>
      </c>
      <c r="D2043" s="301">
        <f t="shared" si="226"/>
        <v>1750</v>
      </c>
      <c r="E2043" s="300" t="s">
        <v>123</v>
      </c>
      <c r="F2043" s="342"/>
      <c r="G2043" s="401"/>
      <c r="H2043" s="217"/>
      <c r="I2043" s="217"/>
      <c r="J2043" s="217"/>
      <c r="K2043" s="217"/>
      <c r="L2043" s="217"/>
      <c r="M2043" s="217"/>
      <c r="N2043" s="217"/>
      <c r="O2043" s="217"/>
      <c r="P2043" s="217"/>
      <c r="Q2043" s="217"/>
      <c r="R2043" s="217"/>
      <c r="S2043" s="217"/>
      <c r="T2043" s="217"/>
      <c r="U2043" s="217"/>
      <c r="V2043" s="217"/>
      <c r="W2043" s="217"/>
      <c r="X2043" s="217"/>
      <c r="Y2043" s="217"/>
      <c r="Z2043" s="217"/>
      <c r="AA2043" s="217"/>
      <c r="AB2043" s="217"/>
    </row>
    <row r="2044" hidden="1">
      <c r="A2044" s="128" t="s">
        <v>1293</v>
      </c>
      <c r="B2044" s="147">
        <v>1390.0</v>
      </c>
      <c r="C2044" s="147">
        <v>1517.0</v>
      </c>
      <c r="D2044" s="132">
        <f t="shared" si="226"/>
        <v>127</v>
      </c>
      <c r="E2044" s="147" t="s">
        <v>123</v>
      </c>
      <c r="F2044" s="127"/>
      <c r="G2044" s="150"/>
      <c r="H2044" s="129"/>
      <c r="I2044" s="129"/>
      <c r="J2044" s="129"/>
      <c r="K2044" s="129"/>
      <c r="L2044" s="129"/>
      <c r="M2044" s="129"/>
      <c r="N2044" s="129"/>
      <c r="O2044" s="129"/>
      <c r="P2044" s="129"/>
      <c r="Q2044" s="129"/>
      <c r="R2044" s="129"/>
      <c r="S2044" s="129"/>
      <c r="T2044" s="129"/>
      <c r="U2044" s="129"/>
      <c r="V2044" s="129"/>
      <c r="W2044" s="129"/>
      <c r="X2044" s="129"/>
      <c r="Y2044" s="129"/>
      <c r="Z2044" s="129"/>
      <c r="AA2044" s="129"/>
      <c r="AB2044" s="129"/>
    </row>
    <row r="2045" hidden="1">
      <c r="A2045" s="128" t="s">
        <v>1265</v>
      </c>
      <c r="B2045" s="127">
        <v>690.0</v>
      </c>
      <c r="C2045" s="126">
        <v>866.0</v>
      </c>
      <c r="D2045" s="132">
        <f t="shared" si="226"/>
        <v>176</v>
      </c>
      <c r="E2045" s="394" t="s">
        <v>120</v>
      </c>
      <c r="F2045" s="147"/>
      <c r="G2045" s="129"/>
      <c r="H2045" s="129"/>
      <c r="I2045" s="129"/>
      <c r="J2045" s="129"/>
      <c r="K2045" s="129"/>
      <c r="L2045" s="129"/>
      <c r="M2045" s="129"/>
      <c r="N2045" s="129"/>
      <c r="O2045" s="129"/>
      <c r="P2045" s="129"/>
      <c r="Q2045" s="129"/>
      <c r="R2045" s="129"/>
      <c r="S2045" s="129"/>
      <c r="T2045" s="129"/>
      <c r="U2045" s="129"/>
      <c r="V2045" s="129"/>
      <c r="W2045" s="129"/>
      <c r="X2045" s="129"/>
      <c r="Y2045" s="129"/>
      <c r="Z2045" s="129"/>
      <c r="AA2045" s="129"/>
      <c r="AB2045" s="129"/>
    </row>
    <row r="2046" hidden="1">
      <c r="A2046" s="128" t="s">
        <v>1208</v>
      </c>
      <c r="B2046" s="147">
        <v>1390.0</v>
      </c>
      <c r="C2046" s="147">
        <v>1522.0</v>
      </c>
      <c r="D2046" s="132">
        <f t="shared" si="226"/>
        <v>132</v>
      </c>
      <c r="E2046" s="147" t="s">
        <v>123</v>
      </c>
      <c r="F2046" s="127"/>
      <c r="G2046" s="150"/>
      <c r="H2046" s="129"/>
      <c r="I2046" s="129"/>
      <c r="J2046" s="129"/>
      <c r="K2046" s="129"/>
      <c r="L2046" s="129"/>
      <c r="M2046" s="129"/>
      <c r="N2046" s="129"/>
      <c r="O2046" s="129"/>
      <c r="P2046" s="129"/>
      <c r="Q2046" s="129"/>
      <c r="R2046" s="129"/>
      <c r="S2046" s="129"/>
      <c r="T2046" s="129"/>
      <c r="U2046" s="129"/>
      <c r="V2046" s="129"/>
      <c r="W2046" s="129"/>
      <c r="X2046" s="129"/>
      <c r="Y2046" s="129"/>
      <c r="Z2046" s="129"/>
      <c r="AA2046" s="129"/>
      <c r="AB2046" s="129"/>
    </row>
    <row r="2047" hidden="1">
      <c r="A2047" s="123" t="s">
        <v>1273</v>
      </c>
      <c r="B2047" s="124">
        <v>2500.0</v>
      </c>
      <c r="C2047" s="147">
        <v>2300.0</v>
      </c>
      <c r="D2047" s="132">
        <f t="shared" si="226"/>
        <v>-200</v>
      </c>
      <c r="E2047" s="126" t="s">
        <v>1217</v>
      </c>
      <c r="F2047" s="124"/>
    </row>
    <row r="2048" hidden="1">
      <c r="A2048" s="179" t="s">
        <v>1207</v>
      </c>
      <c r="B2048" s="333">
        <v>1500.0</v>
      </c>
      <c r="C2048" s="333">
        <v>3250.0</v>
      </c>
      <c r="D2048" s="404">
        <f t="shared" si="226"/>
        <v>1750</v>
      </c>
      <c r="E2048" s="302" t="s">
        <v>123</v>
      </c>
      <c r="F2048" s="333"/>
      <c r="G2048" s="121"/>
      <c r="H2048" s="121"/>
      <c r="I2048" s="121"/>
      <c r="J2048" s="121"/>
      <c r="K2048" s="121"/>
      <c r="L2048" s="121"/>
      <c r="M2048" s="121"/>
      <c r="N2048" s="121"/>
      <c r="O2048" s="121"/>
      <c r="P2048" s="121"/>
      <c r="Q2048" s="121"/>
      <c r="R2048" s="121"/>
      <c r="S2048" s="121"/>
      <c r="T2048" s="121"/>
      <c r="U2048" s="121"/>
      <c r="V2048" s="121"/>
      <c r="W2048" s="121"/>
      <c r="X2048" s="121"/>
      <c r="Y2048" s="121"/>
      <c r="Z2048" s="121"/>
      <c r="AA2048" s="121"/>
      <c r="AB2048" s="121"/>
    </row>
    <row r="2049" hidden="1">
      <c r="A2049" s="128" t="s">
        <v>1294</v>
      </c>
      <c r="B2049" s="147">
        <v>1270.0</v>
      </c>
      <c r="C2049" s="147">
        <v>1140.0</v>
      </c>
      <c r="D2049" s="132">
        <f t="shared" si="226"/>
        <v>-130</v>
      </c>
      <c r="E2049" s="126" t="s">
        <v>1217</v>
      </c>
      <c r="F2049" s="139"/>
      <c r="G2049" s="150"/>
      <c r="H2049" s="129"/>
      <c r="I2049" s="129"/>
      <c r="J2049" s="129"/>
      <c r="K2049" s="129"/>
      <c r="L2049" s="129"/>
      <c r="M2049" s="129"/>
      <c r="N2049" s="129"/>
      <c r="O2049" s="129"/>
      <c r="P2049" s="129"/>
      <c r="Q2049" s="129"/>
      <c r="R2049" s="129"/>
      <c r="S2049" s="129"/>
      <c r="T2049" s="129"/>
      <c r="U2049" s="129"/>
      <c r="V2049" s="129"/>
      <c r="W2049" s="129"/>
      <c r="X2049" s="129"/>
      <c r="Y2049" s="129"/>
      <c r="Z2049" s="129"/>
      <c r="AA2049" s="129"/>
      <c r="AB2049" s="129"/>
    </row>
    <row r="2050" hidden="1">
      <c r="A2050" s="128" t="s">
        <v>553</v>
      </c>
      <c r="B2050" s="147">
        <v>990.0</v>
      </c>
      <c r="C2050" s="147">
        <v>1154.0</v>
      </c>
      <c r="D2050" s="132">
        <f t="shared" si="226"/>
        <v>164</v>
      </c>
      <c r="E2050" s="147" t="s">
        <v>120</v>
      </c>
      <c r="F2050" s="139"/>
      <c r="G2050" s="150"/>
      <c r="H2050" s="129"/>
      <c r="I2050" s="129"/>
      <c r="J2050" s="129"/>
      <c r="K2050" s="129"/>
      <c r="L2050" s="129"/>
      <c r="M2050" s="129"/>
      <c r="N2050" s="129"/>
      <c r="O2050" s="129"/>
      <c r="P2050" s="129"/>
      <c r="Q2050" s="129"/>
      <c r="R2050" s="129"/>
      <c r="S2050" s="129"/>
      <c r="T2050" s="129"/>
      <c r="U2050" s="129"/>
      <c r="V2050" s="129"/>
      <c r="W2050" s="129"/>
      <c r="X2050" s="129"/>
      <c r="Y2050" s="129"/>
      <c r="Z2050" s="129"/>
      <c r="AA2050" s="129"/>
      <c r="AB2050" s="129"/>
    </row>
    <row r="2051" hidden="1">
      <c r="A2051" s="123" t="s">
        <v>1295</v>
      </c>
      <c r="B2051" s="147">
        <v>3490.0</v>
      </c>
      <c r="C2051" s="124">
        <v>3990.0</v>
      </c>
      <c r="D2051" s="125">
        <f t="shared" si="226"/>
        <v>500</v>
      </c>
      <c r="E2051" s="126" t="s">
        <v>120</v>
      </c>
      <c r="F2051" s="147"/>
      <c r="G2051" s="123"/>
    </row>
    <row r="2052" hidden="1">
      <c r="A2052" s="128" t="s">
        <v>1296</v>
      </c>
      <c r="B2052" s="147">
        <v>1290.0</v>
      </c>
      <c r="C2052" s="147">
        <v>1490.0</v>
      </c>
      <c r="D2052" s="132">
        <f t="shared" si="226"/>
        <v>200</v>
      </c>
      <c r="E2052" s="132" t="s">
        <v>123</v>
      </c>
      <c r="F2052" s="139"/>
      <c r="G2052" s="150"/>
      <c r="H2052" s="129"/>
      <c r="I2052" s="129"/>
      <c r="J2052" s="129"/>
      <c r="K2052" s="129"/>
      <c r="L2052" s="129"/>
      <c r="M2052" s="129"/>
      <c r="N2052" s="129"/>
      <c r="O2052" s="129"/>
      <c r="P2052" s="129"/>
      <c r="Q2052" s="129"/>
      <c r="R2052" s="129"/>
      <c r="S2052" s="129"/>
      <c r="T2052" s="129"/>
      <c r="U2052" s="129"/>
      <c r="V2052" s="129"/>
      <c r="W2052" s="129"/>
      <c r="X2052" s="129"/>
      <c r="Y2052" s="129"/>
      <c r="Z2052" s="129"/>
      <c r="AA2052" s="129"/>
      <c r="AB2052" s="129"/>
    </row>
    <row r="2053" hidden="1">
      <c r="A2053" s="123" t="s">
        <v>1273</v>
      </c>
      <c r="B2053" s="124">
        <v>2500.0</v>
      </c>
      <c r="C2053" s="147">
        <v>2330.0</v>
      </c>
      <c r="D2053" s="132">
        <f t="shared" si="226"/>
        <v>-170</v>
      </c>
      <c r="E2053" s="126" t="s">
        <v>1217</v>
      </c>
      <c r="F2053" s="139"/>
      <c r="G2053" s="150"/>
      <c r="H2053" s="129"/>
      <c r="I2053" s="129"/>
      <c r="J2053" s="129"/>
      <c r="K2053" s="129"/>
      <c r="L2053" s="129"/>
      <c r="M2053" s="129"/>
      <c r="N2053" s="129"/>
      <c r="O2053" s="129"/>
      <c r="P2053" s="129"/>
      <c r="Q2053" s="129"/>
      <c r="R2053" s="129"/>
      <c r="S2053" s="129"/>
      <c r="T2053" s="129"/>
      <c r="U2053" s="129"/>
      <c r="V2053" s="129"/>
      <c r="W2053" s="129"/>
      <c r="X2053" s="129"/>
      <c r="Y2053" s="129"/>
      <c r="Z2053" s="129"/>
      <c r="AA2053" s="129"/>
      <c r="AB2053" s="129"/>
    </row>
    <row r="2054" hidden="1">
      <c r="A2054" s="128" t="s">
        <v>1297</v>
      </c>
      <c r="B2054" s="147">
        <v>1460.0</v>
      </c>
      <c r="C2054" s="147">
        <v>1140.0</v>
      </c>
      <c r="D2054" s="132">
        <f t="shared" si="226"/>
        <v>-320</v>
      </c>
      <c r="E2054" s="126" t="s">
        <v>1217</v>
      </c>
      <c r="F2054" s="139"/>
      <c r="G2054" s="150"/>
      <c r="H2054" s="129"/>
      <c r="I2054" s="129"/>
      <c r="J2054" s="129"/>
      <c r="K2054" s="129"/>
      <c r="L2054" s="129"/>
      <c r="M2054" s="129"/>
      <c r="N2054" s="129"/>
      <c r="O2054" s="129"/>
      <c r="P2054" s="129"/>
      <c r="Q2054" s="129"/>
      <c r="R2054" s="129"/>
      <c r="S2054" s="129"/>
      <c r="T2054" s="129"/>
      <c r="U2054" s="129"/>
      <c r="V2054" s="129"/>
      <c r="W2054" s="129"/>
      <c r="X2054" s="129"/>
      <c r="Y2054" s="129"/>
      <c r="Z2054" s="129"/>
      <c r="AA2054" s="129"/>
      <c r="AB2054" s="129"/>
    </row>
    <row r="2055" hidden="1">
      <c r="A2055" s="150" t="s">
        <v>1274</v>
      </c>
      <c r="B2055" s="167">
        <v>1190.0</v>
      </c>
      <c r="C2055" s="167">
        <v>1348.0</v>
      </c>
      <c r="D2055" s="168">
        <f t="shared" si="226"/>
        <v>158</v>
      </c>
      <c r="E2055" s="132" t="s">
        <v>123</v>
      </c>
      <c r="F2055" s="139"/>
      <c r="G2055" s="150"/>
      <c r="H2055" s="129"/>
      <c r="I2055" s="129"/>
      <c r="J2055" s="129"/>
      <c r="K2055" s="129"/>
      <c r="L2055" s="129"/>
      <c r="M2055" s="129"/>
      <c r="N2055" s="129"/>
      <c r="O2055" s="129"/>
      <c r="P2055" s="129"/>
      <c r="Q2055" s="129"/>
      <c r="R2055" s="129"/>
      <c r="S2055" s="129"/>
      <c r="T2055" s="129"/>
      <c r="U2055" s="129"/>
      <c r="V2055" s="129"/>
      <c r="W2055" s="129"/>
      <c r="X2055" s="129"/>
      <c r="Y2055" s="129"/>
      <c r="Z2055" s="129"/>
      <c r="AA2055" s="129"/>
      <c r="AB2055" s="129"/>
    </row>
    <row r="2056" hidden="1">
      <c r="A2056" s="150" t="s">
        <v>463</v>
      </c>
      <c r="B2056" s="147">
        <v>1390.0</v>
      </c>
      <c r="C2056" s="147">
        <v>1591.0</v>
      </c>
      <c r="D2056" s="132">
        <f t="shared" si="226"/>
        <v>201</v>
      </c>
      <c r="E2056" s="132" t="s">
        <v>123</v>
      </c>
      <c r="F2056" s="127"/>
      <c r="G2056" s="150"/>
      <c r="H2056" s="129"/>
      <c r="I2056" s="129"/>
      <c r="J2056" s="129"/>
      <c r="K2056" s="129"/>
      <c r="L2056" s="129"/>
      <c r="M2056" s="129"/>
      <c r="N2056" s="129"/>
      <c r="O2056" s="129"/>
      <c r="P2056" s="129"/>
      <c r="Q2056" s="129"/>
      <c r="R2056" s="129"/>
      <c r="S2056" s="129"/>
      <c r="T2056" s="129"/>
      <c r="U2056" s="129"/>
      <c r="V2056" s="129"/>
      <c r="W2056" s="129"/>
      <c r="X2056" s="129"/>
      <c r="Y2056" s="129"/>
      <c r="Z2056" s="129"/>
      <c r="AA2056" s="129"/>
      <c r="AB2056" s="129"/>
    </row>
    <row r="2057" hidden="1">
      <c r="A2057" s="128" t="s">
        <v>463</v>
      </c>
      <c r="B2057" s="147">
        <v>1390.0</v>
      </c>
      <c r="C2057" s="147">
        <v>1575.0</v>
      </c>
      <c r="D2057" s="132">
        <f t="shared" si="226"/>
        <v>185</v>
      </c>
      <c r="E2057" s="147" t="s">
        <v>123</v>
      </c>
      <c r="F2057" s="127"/>
      <c r="G2057" s="150"/>
      <c r="H2057" s="129"/>
      <c r="I2057" s="129"/>
      <c r="J2057" s="129"/>
      <c r="K2057" s="129"/>
      <c r="L2057" s="129"/>
      <c r="M2057" s="129"/>
      <c r="N2057" s="129"/>
      <c r="O2057" s="129"/>
      <c r="P2057" s="129"/>
      <c r="Q2057" s="129"/>
      <c r="R2057" s="129"/>
      <c r="S2057" s="129"/>
      <c r="T2057" s="129"/>
      <c r="U2057" s="129"/>
      <c r="V2057" s="129"/>
      <c r="W2057" s="129"/>
      <c r="X2057" s="129"/>
      <c r="Y2057" s="129"/>
      <c r="Z2057" s="129"/>
      <c r="AA2057" s="129"/>
      <c r="AB2057" s="129"/>
    </row>
    <row r="2058" hidden="1">
      <c r="A2058" s="142" t="s">
        <v>1298</v>
      </c>
      <c r="B2058" s="147">
        <v>0.0</v>
      </c>
      <c r="C2058" s="147">
        <v>260.0</v>
      </c>
      <c r="D2058" s="132">
        <f t="shared" si="226"/>
        <v>260</v>
      </c>
      <c r="E2058" s="126" t="s">
        <v>1217</v>
      </c>
      <c r="F2058" s="139"/>
      <c r="G2058" s="129"/>
      <c r="H2058" s="129"/>
      <c r="I2058" s="129"/>
      <c r="J2058" s="129"/>
      <c r="K2058" s="129"/>
      <c r="L2058" s="129"/>
      <c r="M2058" s="129"/>
      <c r="N2058" s="129"/>
      <c r="O2058" s="129"/>
      <c r="P2058" s="129"/>
      <c r="Q2058" s="129"/>
      <c r="R2058" s="129"/>
      <c r="S2058" s="129"/>
      <c r="T2058" s="129"/>
      <c r="U2058" s="129"/>
      <c r="V2058" s="129"/>
      <c r="W2058" s="129"/>
      <c r="X2058" s="129"/>
      <c r="Y2058" s="129"/>
      <c r="Z2058" s="129"/>
      <c r="AA2058" s="129"/>
      <c r="AB2058" s="129"/>
    </row>
    <row r="2059" hidden="1">
      <c r="A2059" s="142" t="s">
        <v>461</v>
      </c>
      <c r="B2059" s="147">
        <v>890.0</v>
      </c>
      <c r="C2059" s="147">
        <v>1051.0</v>
      </c>
      <c r="D2059" s="132">
        <f t="shared" si="226"/>
        <v>161</v>
      </c>
      <c r="E2059" s="126" t="s">
        <v>123</v>
      </c>
      <c r="F2059" s="124"/>
      <c r="G2059" s="129"/>
      <c r="H2059" s="129"/>
      <c r="I2059" s="129"/>
      <c r="J2059" s="129"/>
      <c r="K2059" s="129"/>
      <c r="L2059" s="129"/>
      <c r="M2059" s="129"/>
      <c r="N2059" s="129"/>
      <c r="O2059" s="129"/>
      <c r="P2059" s="129"/>
      <c r="Q2059" s="129"/>
      <c r="R2059" s="129"/>
      <c r="S2059" s="129"/>
      <c r="T2059" s="129"/>
      <c r="U2059" s="129"/>
      <c r="V2059" s="129"/>
      <c r="W2059" s="129"/>
      <c r="X2059" s="129"/>
      <c r="Y2059" s="129"/>
      <c r="Z2059" s="129"/>
      <c r="AA2059" s="129"/>
      <c r="AB2059" s="129"/>
    </row>
    <row r="2060" hidden="1">
      <c r="A2060" s="128" t="s">
        <v>1226</v>
      </c>
      <c r="B2060" s="147">
        <v>1090.0</v>
      </c>
      <c r="C2060" s="147">
        <v>1240.0</v>
      </c>
      <c r="D2060" s="132">
        <f t="shared" si="226"/>
        <v>150</v>
      </c>
      <c r="E2060" s="132" t="s">
        <v>123</v>
      </c>
      <c r="F2060" s="132"/>
      <c r="G2060" s="129"/>
      <c r="H2060" s="129"/>
      <c r="I2060" s="129"/>
      <c r="J2060" s="129"/>
      <c r="K2060" s="129"/>
      <c r="L2060" s="129"/>
      <c r="M2060" s="129"/>
      <c r="N2060" s="129"/>
      <c r="O2060" s="129"/>
      <c r="P2060" s="129"/>
      <c r="Q2060" s="129"/>
      <c r="R2060" s="129"/>
      <c r="S2060" s="129"/>
      <c r="T2060" s="129"/>
      <c r="U2060" s="129"/>
      <c r="V2060" s="129"/>
      <c r="W2060" s="129"/>
      <c r="X2060" s="129"/>
      <c r="Y2060" s="129"/>
      <c r="Z2060" s="129"/>
      <c r="AA2060" s="129"/>
      <c r="AB2060" s="129"/>
    </row>
    <row r="2061" hidden="1">
      <c r="A2061" s="128" t="s">
        <v>1087</v>
      </c>
      <c r="B2061" s="147">
        <v>1440.0</v>
      </c>
      <c r="C2061" s="147">
        <v>1591.0</v>
      </c>
      <c r="D2061" s="132">
        <f t="shared" si="226"/>
        <v>151</v>
      </c>
      <c r="E2061" s="132" t="s">
        <v>123</v>
      </c>
      <c r="F2061" s="132"/>
      <c r="G2061" s="129"/>
      <c r="H2061" s="129"/>
      <c r="I2061" s="129"/>
      <c r="J2061" s="129"/>
      <c r="K2061" s="129"/>
      <c r="L2061" s="129"/>
      <c r="M2061" s="129"/>
      <c r="N2061" s="129"/>
      <c r="O2061" s="129"/>
      <c r="P2061" s="129"/>
      <c r="Q2061" s="129"/>
      <c r="R2061" s="129"/>
      <c r="S2061" s="129"/>
      <c r="T2061" s="129"/>
      <c r="U2061" s="129"/>
      <c r="V2061" s="129"/>
      <c r="W2061" s="129"/>
      <c r="X2061" s="129"/>
      <c r="Y2061" s="129"/>
      <c r="Z2061" s="129"/>
      <c r="AA2061" s="129"/>
      <c r="AB2061" s="129"/>
    </row>
    <row r="2062" hidden="1">
      <c r="A2062" s="128" t="s">
        <v>463</v>
      </c>
      <c r="B2062" s="147">
        <v>1390.0</v>
      </c>
      <c r="C2062" s="147">
        <v>1591.0</v>
      </c>
      <c r="D2062" s="132">
        <f t="shared" si="226"/>
        <v>201</v>
      </c>
      <c r="E2062" s="147" t="s">
        <v>123</v>
      </c>
      <c r="F2062" s="127"/>
      <c r="G2062" s="150"/>
      <c r="H2062" s="129"/>
      <c r="I2062" s="129"/>
      <c r="J2062" s="129"/>
      <c r="K2062" s="129"/>
      <c r="L2062" s="129"/>
      <c r="M2062" s="129"/>
      <c r="N2062" s="129"/>
      <c r="O2062" s="129"/>
      <c r="P2062" s="129"/>
      <c r="Q2062" s="129"/>
      <c r="R2062" s="129"/>
      <c r="S2062" s="129"/>
      <c r="T2062" s="129"/>
      <c r="U2062" s="129"/>
      <c r="V2062" s="129"/>
      <c r="W2062" s="129"/>
      <c r="X2062" s="129"/>
      <c r="Y2062" s="129"/>
      <c r="Z2062" s="129"/>
      <c r="AA2062" s="129"/>
      <c r="AB2062" s="129"/>
    </row>
    <row r="2063" hidden="1">
      <c r="A2063" s="128" t="s">
        <v>1270</v>
      </c>
      <c r="B2063" s="147">
        <v>24000.0</v>
      </c>
      <c r="C2063" s="147">
        <v>26500.0</v>
      </c>
      <c r="D2063" s="125">
        <f t="shared" si="226"/>
        <v>2500</v>
      </c>
      <c r="E2063" s="126" t="s">
        <v>1270</v>
      </c>
      <c r="F2063" s="139"/>
      <c r="G2063" s="150"/>
      <c r="H2063" s="129"/>
      <c r="I2063" s="129"/>
      <c r="J2063" s="129"/>
      <c r="K2063" s="129"/>
      <c r="L2063" s="129"/>
      <c r="M2063" s="129"/>
      <c r="N2063" s="129"/>
      <c r="O2063" s="129"/>
      <c r="P2063" s="129"/>
      <c r="Q2063" s="129"/>
      <c r="R2063" s="129"/>
      <c r="S2063" s="129"/>
      <c r="T2063" s="129"/>
      <c r="U2063" s="129"/>
      <c r="V2063" s="129"/>
      <c r="W2063" s="129"/>
      <c r="X2063" s="129"/>
      <c r="Y2063" s="129"/>
      <c r="Z2063" s="129"/>
      <c r="AA2063" s="129"/>
      <c r="AB2063" s="129"/>
    </row>
    <row r="2064" hidden="1">
      <c r="A2064" s="128" t="s">
        <v>463</v>
      </c>
      <c r="B2064" s="147">
        <v>1390.0</v>
      </c>
      <c r="C2064" s="147">
        <v>1591.0</v>
      </c>
      <c r="D2064" s="132">
        <f t="shared" si="226"/>
        <v>201</v>
      </c>
      <c r="E2064" s="147" t="s">
        <v>123</v>
      </c>
      <c r="F2064" s="127"/>
      <c r="G2064" s="150"/>
      <c r="H2064" s="129"/>
      <c r="I2064" s="129"/>
      <c r="J2064" s="129"/>
      <c r="K2064" s="129"/>
      <c r="L2064" s="129"/>
      <c r="M2064" s="129"/>
      <c r="N2064" s="129"/>
      <c r="O2064" s="129"/>
      <c r="P2064" s="129"/>
      <c r="Q2064" s="129"/>
      <c r="R2064" s="129"/>
      <c r="S2064" s="129"/>
      <c r="T2064" s="129"/>
      <c r="U2064" s="129"/>
      <c r="V2064" s="129"/>
      <c r="W2064" s="129"/>
      <c r="X2064" s="129"/>
      <c r="Y2064" s="129"/>
      <c r="Z2064" s="129"/>
      <c r="AA2064" s="129"/>
      <c r="AB2064" s="129"/>
    </row>
    <row r="2065" hidden="1">
      <c r="A2065" s="150" t="s">
        <v>1274</v>
      </c>
      <c r="B2065" s="167">
        <v>1190.0</v>
      </c>
      <c r="C2065" s="167">
        <v>1348.0</v>
      </c>
      <c r="D2065" s="168">
        <f t="shared" si="226"/>
        <v>158</v>
      </c>
      <c r="E2065" s="132" t="s">
        <v>123</v>
      </c>
      <c r="F2065" s="139"/>
      <c r="G2065" s="150"/>
      <c r="H2065" s="129"/>
      <c r="I2065" s="129"/>
      <c r="J2065" s="129"/>
      <c r="K2065" s="129"/>
      <c r="L2065" s="129"/>
      <c r="M2065" s="129"/>
      <c r="N2065" s="129"/>
      <c r="O2065" s="129"/>
      <c r="P2065" s="129"/>
      <c r="Q2065" s="129"/>
      <c r="R2065" s="129"/>
      <c r="S2065" s="129"/>
      <c r="T2065" s="129"/>
      <c r="U2065" s="129"/>
      <c r="V2065" s="129"/>
      <c r="W2065" s="129"/>
      <c r="X2065" s="129"/>
      <c r="Y2065" s="129"/>
      <c r="Z2065" s="129"/>
      <c r="AA2065" s="129"/>
      <c r="AB2065" s="129"/>
    </row>
    <row r="2066" hidden="1">
      <c r="A2066" s="128" t="s">
        <v>1299</v>
      </c>
      <c r="B2066" s="147">
        <v>9216.0</v>
      </c>
      <c r="C2066" s="147">
        <v>10650.0</v>
      </c>
      <c r="D2066" s="125">
        <f t="shared" si="226"/>
        <v>1434</v>
      </c>
      <c r="E2066" s="126" t="s">
        <v>1217</v>
      </c>
      <c r="F2066" s="139"/>
      <c r="G2066" s="150"/>
      <c r="H2066" s="129"/>
      <c r="I2066" s="129"/>
      <c r="J2066" s="129"/>
      <c r="K2066" s="129"/>
      <c r="L2066" s="129"/>
      <c r="M2066" s="129"/>
      <c r="N2066" s="129"/>
      <c r="O2066" s="129"/>
      <c r="P2066" s="129"/>
      <c r="Q2066" s="129"/>
      <c r="R2066" s="129"/>
      <c r="S2066" s="129"/>
      <c r="T2066" s="129"/>
      <c r="U2066" s="129"/>
      <c r="V2066" s="129"/>
      <c r="W2066" s="129"/>
      <c r="X2066" s="129"/>
      <c r="Y2066" s="129"/>
      <c r="Z2066" s="129"/>
      <c r="AA2066" s="129"/>
      <c r="AB2066" s="129"/>
    </row>
    <row r="2067" hidden="1">
      <c r="A2067" s="150" t="s">
        <v>1300</v>
      </c>
      <c r="B2067" s="147">
        <v>1390.0</v>
      </c>
      <c r="C2067" s="147">
        <v>1542.0</v>
      </c>
      <c r="D2067" s="132">
        <f t="shared" si="226"/>
        <v>152</v>
      </c>
      <c r="E2067" s="132" t="s">
        <v>123</v>
      </c>
      <c r="F2067" s="139"/>
      <c r="G2067" s="150"/>
      <c r="H2067" s="129"/>
      <c r="I2067" s="129"/>
      <c r="J2067" s="129"/>
      <c r="K2067" s="129"/>
      <c r="L2067" s="129"/>
      <c r="M2067" s="129"/>
      <c r="N2067" s="129"/>
      <c r="O2067" s="129"/>
      <c r="P2067" s="129"/>
      <c r="Q2067" s="129"/>
      <c r="R2067" s="129"/>
      <c r="S2067" s="129"/>
      <c r="T2067" s="129"/>
      <c r="U2067" s="129"/>
      <c r="V2067" s="129"/>
      <c r="W2067" s="129"/>
      <c r="X2067" s="129"/>
      <c r="Y2067" s="129"/>
      <c r="Z2067" s="129"/>
      <c r="AA2067" s="129"/>
      <c r="AB2067" s="129"/>
    </row>
    <row r="2068" hidden="1">
      <c r="A2068" s="128" t="s">
        <v>463</v>
      </c>
      <c r="B2068" s="147">
        <v>1390.0</v>
      </c>
      <c r="C2068" s="147">
        <v>1591.0</v>
      </c>
      <c r="D2068" s="132">
        <f t="shared" si="226"/>
        <v>201</v>
      </c>
      <c r="E2068" s="147" t="s">
        <v>123</v>
      </c>
      <c r="F2068" s="127"/>
      <c r="G2068" s="150"/>
      <c r="H2068" s="129"/>
      <c r="I2068" s="129"/>
      <c r="J2068" s="129"/>
      <c r="K2068" s="129"/>
      <c r="L2068" s="129"/>
      <c r="M2068" s="129"/>
      <c r="N2068" s="129"/>
      <c r="O2068" s="129"/>
      <c r="P2068" s="129"/>
      <c r="Q2068" s="129"/>
      <c r="R2068" s="129"/>
      <c r="S2068" s="129"/>
      <c r="T2068" s="129"/>
      <c r="U2068" s="129"/>
      <c r="V2068" s="129"/>
      <c r="W2068" s="129"/>
      <c r="X2068" s="129"/>
      <c r="Y2068" s="129"/>
      <c r="Z2068" s="129"/>
      <c r="AA2068" s="129"/>
      <c r="AB2068" s="129"/>
    </row>
    <row r="2069" hidden="1">
      <c r="A2069" s="128" t="s">
        <v>1301</v>
      </c>
      <c r="B2069" s="147">
        <v>1490.0</v>
      </c>
      <c r="C2069" s="147">
        <v>1591.0</v>
      </c>
      <c r="D2069" s="132">
        <f t="shared" si="226"/>
        <v>101</v>
      </c>
      <c r="E2069" s="132" t="s">
        <v>123</v>
      </c>
      <c r="F2069" s="127"/>
      <c r="G2069" s="129"/>
      <c r="H2069" s="129"/>
      <c r="I2069" s="129"/>
      <c r="J2069" s="129"/>
      <c r="K2069" s="129"/>
      <c r="L2069" s="129"/>
      <c r="M2069" s="129"/>
      <c r="N2069" s="129"/>
      <c r="O2069" s="129"/>
      <c r="P2069" s="129"/>
      <c r="Q2069" s="129"/>
      <c r="R2069" s="129"/>
      <c r="S2069" s="129"/>
      <c r="T2069" s="129"/>
      <c r="U2069" s="129"/>
      <c r="V2069" s="129"/>
      <c r="W2069" s="129"/>
      <c r="X2069" s="129"/>
      <c r="Y2069" s="129"/>
      <c r="Z2069" s="129"/>
      <c r="AA2069" s="129"/>
      <c r="AB2069" s="129"/>
    </row>
    <row r="2070" hidden="1">
      <c r="A2070" s="150" t="s">
        <v>463</v>
      </c>
      <c r="B2070" s="132">
        <v>1390.0</v>
      </c>
      <c r="C2070" s="147">
        <v>1494.0</v>
      </c>
      <c r="D2070" s="132">
        <f t="shared" si="226"/>
        <v>104</v>
      </c>
      <c r="E2070" s="132" t="s">
        <v>123</v>
      </c>
      <c r="F2070" s="139"/>
      <c r="G2070" s="150"/>
      <c r="H2070" s="129"/>
      <c r="I2070" s="129"/>
      <c r="J2070" s="129"/>
      <c r="K2070" s="129"/>
      <c r="L2070" s="129"/>
      <c r="M2070" s="129"/>
      <c r="N2070" s="129"/>
      <c r="O2070" s="129"/>
      <c r="P2070" s="129"/>
      <c r="Q2070" s="129"/>
      <c r="R2070" s="129"/>
      <c r="S2070" s="129"/>
      <c r="T2070" s="129"/>
      <c r="U2070" s="129"/>
      <c r="V2070" s="129"/>
      <c r="W2070" s="129"/>
      <c r="X2070" s="129"/>
      <c r="Y2070" s="129"/>
      <c r="Z2070" s="129"/>
      <c r="AA2070" s="129"/>
      <c r="AB2070" s="129"/>
    </row>
    <row r="2071" hidden="1">
      <c r="A2071" s="128" t="s">
        <v>1302</v>
      </c>
      <c r="B2071" s="124">
        <v>1290.0</v>
      </c>
      <c r="C2071" s="124">
        <v>1397.0</v>
      </c>
      <c r="D2071" s="125">
        <f t="shared" si="226"/>
        <v>107</v>
      </c>
      <c r="E2071" s="126" t="s">
        <v>123</v>
      </c>
      <c r="F2071" s="139"/>
      <c r="G2071" s="129"/>
      <c r="H2071" s="129"/>
      <c r="I2071" s="129"/>
      <c r="J2071" s="129"/>
      <c r="K2071" s="129"/>
      <c r="L2071" s="129"/>
      <c r="M2071" s="129"/>
      <c r="N2071" s="129"/>
      <c r="O2071" s="129"/>
      <c r="S2071" s="129"/>
      <c r="T2071" s="129"/>
      <c r="U2071" s="129"/>
      <c r="V2071" s="129"/>
      <c r="W2071" s="129"/>
      <c r="X2071" s="129"/>
      <c r="Y2071" s="129"/>
      <c r="Z2071" s="129"/>
      <c r="AA2071" s="129"/>
      <c r="AB2071" s="129"/>
    </row>
    <row r="2072" hidden="1">
      <c r="A2072" s="143"/>
      <c r="B2072" s="139"/>
      <c r="C2072" s="139"/>
      <c r="D2072" s="139"/>
      <c r="E2072" s="129"/>
      <c r="F2072" s="129"/>
      <c r="G2072" s="129"/>
      <c r="H2072" s="129"/>
      <c r="I2072" s="129"/>
      <c r="J2072" s="129"/>
      <c r="K2072" s="129"/>
      <c r="L2072" s="129"/>
      <c r="M2072" s="129"/>
      <c r="N2072" s="129"/>
      <c r="O2072" s="129"/>
      <c r="P2072" s="129"/>
      <c r="Q2072" s="129"/>
      <c r="R2072" s="129"/>
      <c r="S2072" s="129"/>
      <c r="T2072" s="129"/>
      <c r="U2072" s="129"/>
      <c r="V2072" s="129"/>
      <c r="W2072" s="129"/>
      <c r="X2072" s="129"/>
      <c r="Y2072" s="129"/>
      <c r="Z2072" s="129"/>
      <c r="AA2072" s="129"/>
      <c r="AB2072" s="129"/>
    </row>
    <row r="2073" hidden="1">
      <c r="A2073" s="144" t="s">
        <v>57</v>
      </c>
      <c r="B2073" s="145">
        <f t="shared" ref="B2073:D2073" si="227">SUM(B2019:B2072)</f>
        <v>104486</v>
      </c>
      <c r="C2073" s="145">
        <f t="shared" si="227"/>
        <v>123765</v>
      </c>
      <c r="D2073" s="145">
        <f t="shared" si="227"/>
        <v>19279</v>
      </c>
      <c r="E2073" s="146">
        <f>D2073/(C2073/100)</f>
        <v>15.57710177</v>
      </c>
      <c r="F2073" s="129"/>
      <c r="G2073" s="129"/>
      <c r="H2073" s="129"/>
      <c r="I2073" s="129"/>
      <c r="J2073" s="129"/>
      <c r="K2073" s="129"/>
      <c r="L2073" s="129"/>
      <c r="M2073" s="129"/>
      <c r="N2073" s="129"/>
      <c r="O2073" s="129"/>
      <c r="P2073" s="129"/>
      <c r="Q2073" s="129"/>
      <c r="R2073" s="129"/>
      <c r="S2073" s="129"/>
      <c r="T2073" s="129"/>
      <c r="U2073" s="129"/>
      <c r="V2073" s="129"/>
      <c r="W2073" s="129"/>
      <c r="X2073" s="129"/>
      <c r="Y2073" s="129"/>
      <c r="Z2073" s="129"/>
      <c r="AA2073" s="129"/>
      <c r="AB2073" s="129"/>
    </row>
    <row r="2074" hidden="1">
      <c r="A2074" s="154"/>
      <c r="B2074" s="124"/>
      <c r="C2074" s="124"/>
      <c r="D2074" s="124"/>
    </row>
    <row r="2075" hidden="1">
      <c r="A2075" s="154">
        <v>44409.0</v>
      </c>
      <c r="B2075" s="124"/>
      <c r="C2075" s="124"/>
      <c r="D2075" s="124"/>
    </row>
    <row r="2076" hidden="1">
      <c r="A2076" s="179" t="s">
        <v>1303</v>
      </c>
      <c r="B2076" s="333">
        <v>2250.0</v>
      </c>
      <c r="C2076" s="333">
        <v>3750.0</v>
      </c>
      <c r="D2076" s="404">
        <f t="shared" ref="D2076:D2140" si="228">C2076-B2076</f>
        <v>1500</v>
      </c>
      <c r="E2076" s="302" t="s">
        <v>123</v>
      </c>
      <c r="F2076" s="301"/>
      <c r="G2076" s="179"/>
      <c r="H2076" s="121"/>
      <c r="I2076" s="121"/>
      <c r="J2076" s="121"/>
      <c r="K2076" s="121"/>
      <c r="L2076" s="121"/>
      <c r="M2076" s="121"/>
      <c r="N2076" s="121"/>
      <c r="O2076" s="121"/>
      <c r="P2076" s="121"/>
      <c r="Q2076" s="121"/>
      <c r="R2076" s="121"/>
      <c r="S2076" s="121"/>
      <c r="T2076" s="121"/>
      <c r="U2076" s="121"/>
      <c r="V2076" s="121"/>
      <c r="W2076" s="121"/>
      <c r="X2076" s="121"/>
      <c r="Y2076" s="121"/>
      <c r="Z2076" s="121"/>
      <c r="AA2076" s="121"/>
      <c r="AB2076" s="121"/>
    </row>
    <row r="2077" hidden="1">
      <c r="A2077" s="299" t="s">
        <v>1304</v>
      </c>
      <c r="B2077" s="301">
        <v>1500.0</v>
      </c>
      <c r="C2077" s="300">
        <v>3750.0</v>
      </c>
      <c r="D2077" s="301">
        <f t="shared" si="228"/>
        <v>2250</v>
      </c>
      <c r="E2077" s="301" t="s">
        <v>123</v>
      </c>
      <c r="F2077" s="400"/>
      <c r="G2077" s="401"/>
      <c r="H2077" s="217"/>
      <c r="I2077" s="217"/>
      <c r="J2077" s="217"/>
      <c r="K2077" s="217"/>
      <c r="L2077" s="217"/>
      <c r="M2077" s="217"/>
      <c r="N2077" s="217"/>
      <c r="O2077" s="217"/>
      <c r="P2077" s="217"/>
      <c r="Q2077" s="217"/>
      <c r="R2077" s="217"/>
      <c r="S2077" s="217"/>
      <c r="T2077" s="217"/>
      <c r="U2077" s="217"/>
      <c r="V2077" s="217"/>
      <c r="W2077" s="217"/>
      <c r="X2077" s="217"/>
      <c r="Y2077" s="217"/>
      <c r="Z2077" s="217"/>
      <c r="AA2077" s="217"/>
      <c r="AB2077" s="217"/>
    </row>
    <row r="2078" hidden="1">
      <c r="A2078" s="284" t="s">
        <v>392</v>
      </c>
      <c r="B2078" s="281">
        <v>4490.0</v>
      </c>
      <c r="C2078" s="281">
        <v>4990.0</v>
      </c>
      <c r="D2078" s="282">
        <f t="shared" si="228"/>
        <v>500</v>
      </c>
      <c r="E2078" s="279" t="s">
        <v>123</v>
      </c>
      <c r="F2078" s="274"/>
      <c r="G2078" s="284"/>
      <c r="H2078" s="283"/>
      <c r="I2078" s="283"/>
      <c r="J2078" s="283"/>
      <c r="K2078" s="283"/>
      <c r="L2078" s="283"/>
      <c r="M2078" s="283"/>
      <c r="N2078" s="283"/>
      <c r="O2078" s="283"/>
      <c r="P2078" s="283"/>
      <c r="Q2078" s="283"/>
      <c r="R2078" s="283"/>
      <c r="S2078" s="283"/>
      <c r="T2078" s="283"/>
      <c r="U2078" s="283"/>
      <c r="V2078" s="283"/>
      <c r="W2078" s="283"/>
      <c r="X2078" s="283"/>
      <c r="Y2078" s="283"/>
      <c r="Z2078" s="283"/>
      <c r="AA2078" s="283"/>
      <c r="AB2078" s="283"/>
    </row>
    <row r="2079" hidden="1">
      <c r="A2079" s="123" t="s">
        <v>1139</v>
      </c>
      <c r="B2079" s="124">
        <v>2490.0</v>
      </c>
      <c r="C2079" s="124">
        <v>2990.0</v>
      </c>
      <c r="D2079" s="125">
        <f t="shared" si="228"/>
        <v>500</v>
      </c>
      <c r="E2079" s="126" t="s">
        <v>123</v>
      </c>
      <c r="F2079" s="132"/>
      <c r="G2079" s="123"/>
    </row>
    <row r="2080" hidden="1">
      <c r="A2080" s="150" t="s">
        <v>463</v>
      </c>
      <c r="B2080" s="132">
        <v>1390.0</v>
      </c>
      <c r="C2080" s="147">
        <v>1548.0</v>
      </c>
      <c r="D2080" s="132">
        <f t="shared" si="228"/>
        <v>158</v>
      </c>
      <c r="E2080" s="132" t="s">
        <v>123</v>
      </c>
      <c r="F2080" s="139"/>
      <c r="G2080" s="150"/>
      <c r="H2080" s="129"/>
      <c r="I2080" s="129"/>
      <c r="J2080" s="129"/>
      <c r="K2080" s="129"/>
      <c r="L2080" s="129"/>
      <c r="M2080" s="129"/>
      <c r="N2080" s="129"/>
      <c r="O2080" s="129"/>
      <c r="P2080" s="129"/>
      <c r="Q2080" s="129"/>
      <c r="R2080" s="129"/>
      <c r="S2080" s="129"/>
      <c r="T2080" s="129"/>
      <c r="U2080" s="129"/>
      <c r="V2080" s="129"/>
      <c r="W2080" s="129"/>
      <c r="X2080" s="129"/>
      <c r="Y2080" s="129"/>
      <c r="Z2080" s="129"/>
      <c r="AA2080" s="129"/>
      <c r="AB2080" s="129"/>
    </row>
    <row r="2081" hidden="1">
      <c r="A2081" s="123" t="s">
        <v>1061</v>
      </c>
      <c r="B2081" s="386">
        <v>1190.0</v>
      </c>
      <c r="C2081" s="386">
        <v>1300.0</v>
      </c>
      <c r="D2081" s="170">
        <f t="shared" si="228"/>
        <v>110</v>
      </c>
      <c r="E2081" s="126" t="s">
        <v>123</v>
      </c>
      <c r="F2081" s="147"/>
      <c r="G2081" s="123"/>
    </row>
    <row r="2082" hidden="1">
      <c r="A2082" s="150" t="s">
        <v>1226</v>
      </c>
      <c r="B2082" s="132">
        <v>1090.0</v>
      </c>
      <c r="C2082" s="147">
        <v>1203.0</v>
      </c>
      <c r="D2082" s="132">
        <f t="shared" si="228"/>
        <v>113</v>
      </c>
      <c r="E2082" s="132" t="s">
        <v>123</v>
      </c>
      <c r="F2082" s="132"/>
      <c r="G2082" s="129"/>
      <c r="H2082" s="129"/>
      <c r="I2082" s="129"/>
      <c r="J2082" s="129"/>
      <c r="K2082" s="129"/>
      <c r="L2082" s="129"/>
      <c r="M2082" s="129"/>
      <c r="N2082" s="129"/>
      <c r="O2082" s="129"/>
      <c r="P2082" s="129"/>
      <c r="Q2082" s="129"/>
      <c r="R2082" s="129"/>
      <c r="S2082" s="129"/>
      <c r="T2082" s="129"/>
      <c r="U2082" s="129"/>
      <c r="V2082" s="129"/>
      <c r="W2082" s="129"/>
      <c r="X2082" s="129"/>
      <c r="Y2082" s="129"/>
      <c r="Z2082" s="129"/>
      <c r="AA2082" s="129"/>
      <c r="AB2082" s="129"/>
    </row>
    <row r="2083" hidden="1">
      <c r="A2083" s="150" t="s">
        <v>1300</v>
      </c>
      <c r="B2083" s="147">
        <v>1390.0</v>
      </c>
      <c r="C2083" s="147">
        <v>1501.0</v>
      </c>
      <c r="D2083" s="132">
        <f t="shared" si="228"/>
        <v>111</v>
      </c>
      <c r="E2083" s="132" t="s">
        <v>123</v>
      </c>
      <c r="F2083" s="139"/>
      <c r="G2083" s="150"/>
      <c r="H2083" s="129"/>
      <c r="I2083" s="129"/>
      <c r="J2083" s="129"/>
      <c r="K2083" s="129"/>
      <c r="L2083" s="129"/>
      <c r="M2083" s="129"/>
      <c r="N2083" s="129"/>
      <c r="O2083" s="129"/>
      <c r="P2083" s="129"/>
      <c r="Q2083" s="129"/>
      <c r="R2083" s="129"/>
      <c r="S2083" s="129"/>
      <c r="T2083" s="129"/>
      <c r="U2083" s="129"/>
      <c r="V2083" s="129"/>
      <c r="W2083" s="129"/>
      <c r="X2083" s="129"/>
      <c r="Y2083" s="129"/>
      <c r="Z2083" s="129"/>
      <c r="AA2083" s="129"/>
      <c r="AB2083" s="129"/>
    </row>
    <row r="2084" hidden="1">
      <c r="A2084" s="150" t="s">
        <v>463</v>
      </c>
      <c r="B2084" s="147">
        <v>1390.0</v>
      </c>
      <c r="C2084" s="147">
        <v>1494.0</v>
      </c>
      <c r="D2084" s="132">
        <f t="shared" si="228"/>
        <v>104</v>
      </c>
      <c r="E2084" s="132" t="s">
        <v>123</v>
      </c>
      <c r="F2084" s="127"/>
      <c r="G2084" s="150"/>
      <c r="H2084" s="129"/>
      <c r="I2084" s="129"/>
      <c r="J2084" s="129"/>
      <c r="K2084" s="129"/>
      <c r="L2084" s="129"/>
      <c r="M2084" s="129"/>
      <c r="N2084" s="129"/>
      <c r="O2084" s="129"/>
      <c r="P2084" s="129"/>
      <c r="Q2084" s="129"/>
      <c r="R2084" s="129"/>
      <c r="S2084" s="129"/>
      <c r="T2084" s="129"/>
      <c r="U2084" s="129"/>
      <c r="V2084" s="129"/>
      <c r="W2084" s="129"/>
      <c r="X2084" s="129"/>
      <c r="Y2084" s="129"/>
      <c r="Z2084" s="129"/>
      <c r="AA2084" s="129"/>
      <c r="AB2084" s="129"/>
    </row>
    <row r="2085" hidden="1">
      <c r="A2085" s="123" t="s">
        <v>1139</v>
      </c>
      <c r="B2085" s="124">
        <v>2490.0</v>
      </c>
      <c r="C2085" s="124">
        <v>2908.0</v>
      </c>
      <c r="D2085" s="125">
        <f t="shared" si="228"/>
        <v>418</v>
      </c>
      <c r="E2085" s="126" t="s">
        <v>123</v>
      </c>
      <c r="F2085" s="132"/>
      <c r="G2085" s="123"/>
    </row>
    <row r="2086" hidden="1">
      <c r="A2086" s="150" t="s">
        <v>463</v>
      </c>
      <c r="B2086" s="147">
        <v>1390.0</v>
      </c>
      <c r="C2086" s="147">
        <v>1542.0</v>
      </c>
      <c r="D2086" s="132">
        <f t="shared" si="228"/>
        <v>152</v>
      </c>
      <c r="E2086" s="132" t="s">
        <v>123</v>
      </c>
      <c r="F2086" s="127"/>
      <c r="G2086" s="150"/>
      <c r="H2086" s="129"/>
      <c r="I2086" s="129"/>
      <c r="J2086" s="129"/>
      <c r="K2086" s="129"/>
      <c r="L2086" s="129"/>
      <c r="M2086" s="129"/>
      <c r="N2086" s="129"/>
      <c r="O2086" s="129"/>
      <c r="P2086" s="129"/>
      <c r="Q2086" s="129"/>
      <c r="R2086" s="129"/>
      <c r="S2086" s="129"/>
      <c r="T2086" s="129"/>
      <c r="U2086" s="129"/>
      <c r="V2086" s="129"/>
      <c r="W2086" s="129"/>
      <c r="X2086" s="129"/>
      <c r="Y2086" s="129"/>
      <c r="Z2086" s="129"/>
      <c r="AA2086" s="129"/>
      <c r="AB2086" s="129"/>
    </row>
    <row r="2087" hidden="1">
      <c r="A2087" s="123" t="s">
        <v>1305</v>
      </c>
      <c r="B2087" s="124">
        <v>20500.0</v>
      </c>
      <c r="C2087" s="124">
        <v>24000.0</v>
      </c>
      <c r="D2087" s="125">
        <f t="shared" si="228"/>
        <v>3500</v>
      </c>
      <c r="E2087" s="126" t="s">
        <v>1217</v>
      </c>
      <c r="F2087" s="124"/>
      <c r="G2087" s="123"/>
    </row>
    <row r="2088" hidden="1">
      <c r="A2088" s="123" t="s">
        <v>1306</v>
      </c>
      <c r="B2088" s="147">
        <v>1850.0</v>
      </c>
      <c r="C2088" s="124">
        <v>1750.0</v>
      </c>
      <c r="D2088" s="125">
        <f t="shared" si="228"/>
        <v>-100</v>
      </c>
      <c r="E2088" s="126" t="s">
        <v>1217</v>
      </c>
      <c r="F2088" s="124"/>
      <c r="G2088" s="123"/>
    </row>
    <row r="2089" hidden="1">
      <c r="A2089" s="123" t="s">
        <v>443</v>
      </c>
      <c r="B2089" s="147">
        <v>1390.0</v>
      </c>
      <c r="C2089" s="124">
        <v>1494.0</v>
      </c>
      <c r="D2089" s="125">
        <f t="shared" si="228"/>
        <v>104</v>
      </c>
      <c r="E2089" s="126" t="s">
        <v>123</v>
      </c>
      <c r="F2089" s="124"/>
      <c r="G2089" s="123"/>
    </row>
    <row r="2090" hidden="1">
      <c r="A2090" s="128" t="s">
        <v>463</v>
      </c>
      <c r="B2090" s="147">
        <v>1390.0</v>
      </c>
      <c r="C2090" s="147">
        <v>1494.0</v>
      </c>
      <c r="D2090" s="132">
        <f t="shared" si="228"/>
        <v>104</v>
      </c>
      <c r="E2090" s="147" t="s">
        <v>123</v>
      </c>
      <c r="F2090" s="127"/>
      <c r="G2090" s="150"/>
      <c r="H2090" s="129"/>
      <c r="I2090" s="129"/>
      <c r="J2090" s="129"/>
      <c r="K2090" s="129"/>
      <c r="L2090" s="129"/>
      <c r="M2090" s="129"/>
      <c r="N2090" s="129"/>
      <c r="O2090" s="129"/>
      <c r="P2090" s="129"/>
      <c r="Q2090" s="129"/>
      <c r="R2090" s="129"/>
      <c r="S2090" s="129"/>
      <c r="T2090" s="129"/>
      <c r="U2090" s="129"/>
      <c r="V2090" s="129"/>
      <c r="W2090" s="129"/>
      <c r="X2090" s="129"/>
      <c r="Y2090" s="129"/>
      <c r="Z2090" s="129"/>
      <c r="AA2090" s="129"/>
      <c r="AB2090" s="129"/>
    </row>
    <row r="2091" hidden="1">
      <c r="A2091" s="123" t="s">
        <v>1307</v>
      </c>
      <c r="B2091" s="124">
        <v>50.0</v>
      </c>
      <c r="C2091" s="123">
        <v>75.0</v>
      </c>
      <c r="D2091" s="132">
        <f t="shared" si="228"/>
        <v>25</v>
      </c>
      <c r="E2091" s="130" t="s">
        <v>1217</v>
      </c>
      <c r="F2091" s="313"/>
    </row>
    <row r="2092" hidden="1">
      <c r="A2092" s="123" t="s">
        <v>1307</v>
      </c>
      <c r="B2092" s="124">
        <v>50.0</v>
      </c>
      <c r="C2092" s="123">
        <v>75.0</v>
      </c>
      <c r="D2092" s="132">
        <f t="shared" si="228"/>
        <v>25</v>
      </c>
      <c r="E2092" s="130" t="s">
        <v>1217</v>
      </c>
      <c r="F2092" s="313"/>
    </row>
    <row r="2093" hidden="1">
      <c r="A2093" s="123" t="s">
        <v>438</v>
      </c>
      <c r="B2093" s="147">
        <v>1590.0</v>
      </c>
      <c r="C2093" s="124">
        <v>1739.0</v>
      </c>
      <c r="D2093" s="125">
        <f t="shared" si="228"/>
        <v>149</v>
      </c>
      <c r="E2093" s="126" t="s">
        <v>123</v>
      </c>
      <c r="F2093" s="147"/>
      <c r="G2093" s="123"/>
    </row>
    <row r="2094" hidden="1">
      <c r="A2094" s="150" t="s">
        <v>463</v>
      </c>
      <c r="B2094" s="147">
        <v>1390.0</v>
      </c>
      <c r="C2094" s="147">
        <v>1494.0</v>
      </c>
      <c r="D2094" s="132">
        <f t="shared" si="228"/>
        <v>104</v>
      </c>
      <c r="E2094" s="132" t="s">
        <v>123</v>
      </c>
      <c r="F2094" s="127"/>
      <c r="G2094" s="150"/>
      <c r="H2094" s="129"/>
      <c r="I2094" s="129"/>
      <c r="J2094" s="129"/>
      <c r="K2094" s="129"/>
      <c r="L2094" s="129"/>
      <c r="M2094" s="129"/>
      <c r="N2094" s="129"/>
      <c r="O2094" s="129"/>
      <c r="P2094" s="129"/>
      <c r="Q2094" s="129"/>
      <c r="R2094" s="129"/>
      <c r="S2094" s="129"/>
      <c r="T2094" s="129"/>
      <c r="U2094" s="129"/>
      <c r="V2094" s="129"/>
      <c r="W2094" s="129"/>
      <c r="X2094" s="129"/>
      <c r="Y2094" s="129"/>
      <c r="Z2094" s="129"/>
      <c r="AA2094" s="129"/>
      <c r="AB2094" s="129"/>
    </row>
    <row r="2095" hidden="1">
      <c r="A2095" s="150" t="s">
        <v>1300</v>
      </c>
      <c r="B2095" s="147">
        <v>1390.0</v>
      </c>
      <c r="C2095" s="147">
        <v>1547.0</v>
      </c>
      <c r="D2095" s="132">
        <f t="shared" si="228"/>
        <v>157</v>
      </c>
      <c r="E2095" s="132" t="s">
        <v>123</v>
      </c>
      <c r="F2095" s="139"/>
      <c r="G2095" s="150"/>
      <c r="H2095" s="129"/>
      <c r="I2095" s="129"/>
      <c r="J2095" s="129"/>
      <c r="K2095" s="129"/>
      <c r="L2095" s="129"/>
      <c r="M2095" s="129"/>
      <c r="N2095" s="129"/>
      <c r="O2095" s="129"/>
      <c r="P2095" s="129"/>
      <c r="Q2095" s="129"/>
      <c r="R2095" s="129"/>
      <c r="S2095" s="129"/>
      <c r="T2095" s="129"/>
      <c r="U2095" s="129"/>
      <c r="V2095" s="129"/>
      <c r="W2095" s="129"/>
      <c r="X2095" s="129"/>
      <c r="Y2095" s="129"/>
      <c r="Z2095" s="129"/>
      <c r="AA2095" s="129"/>
      <c r="AB2095" s="129"/>
    </row>
    <row r="2096" hidden="1">
      <c r="A2096" s="150" t="s">
        <v>1264</v>
      </c>
      <c r="B2096" s="132">
        <v>790.0</v>
      </c>
      <c r="C2096" s="147">
        <v>965.0</v>
      </c>
      <c r="D2096" s="132">
        <f t="shared" si="228"/>
        <v>175</v>
      </c>
      <c r="E2096" s="394" t="s">
        <v>120</v>
      </c>
      <c r="F2096" s="139"/>
      <c r="G2096" s="129"/>
      <c r="H2096" s="129"/>
      <c r="I2096" s="129"/>
      <c r="J2096" s="129"/>
      <c r="K2096" s="129"/>
      <c r="L2096" s="129"/>
      <c r="M2096" s="129"/>
      <c r="N2096" s="129"/>
      <c r="O2096" s="129"/>
      <c r="P2096" s="129"/>
      <c r="Q2096" s="129"/>
      <c r="R2096" s="129"/>
      <c r="S2096" s="129"/>
      <c r="T2096" s="129"/>
      <c r="U2096" s="129"/>
      <c r="V2096" s="129"/>
      <c r="W2096" s="129"/>
      <c r="X2096" s="129"/>
      <c r="Y2096" s="129"/>
      <c r="Z2096" s="129"/>
      <c r="AA2096" s="129"/>
      <c r="AB2096" s="129"/>
    </row>
    <row r="2097" hidden="1">
      <c r="A2097" s="128" t="s">
        <v>1213</v>
      </c>
      <c r="B2097" s="147">
        <v>1390.0</v>
      </c>
      <c r="C2097" s="147">
        <v>1499.0</v>
      </c>
      <c r="D2097" s="132">
        <f t="shared" si="228"/>
        <v>109</v>
      </c>
      <c r="E2097" s="147" t="s">
        <v>123</v>
      </c>
      <c r="F2097" s="127"/>
      <c r="G2097" s="150"/>
      <c r="H2097" s="129"/>
      <c r="I2097" s="129"/>
      <c r="J2097" s="129"/>
      <c r="K2097" s="129"/>
      <c r="L2097" s="129"/>
      <c r="M2097" s="129"/>
      <c r="N2097" s="129"/>
      <c r="O2097" s="129"/>
      <c r="P2097" s="129"/>
      <c r="Q2097" s="129"/>
      <c r="R2097" s="129"/>
      <c r="S2097" s="129"/>
      <c r="T2097" s="129"/>
      <c r="U2097" s="129"/>
      <c r="V2097" s="129"/>
      <c r="W2097" s="129"/>
      <c r="X2097" s="129"/>
      <c r="Y2097" s="129"/>
      <c r="Z2097" s="129"/>
      <c r="AA2097" s="129"/>
      <c r="AB2097" s="129"/>
    </row>
    <row r="2098" hidden="1">
      <c r="A2098" s="150" t="s">
        <v>410</v>
      </c>
      <c r="B2098" s="147">
        <v>490.0</v>
      </c>
      <c r="C2098" s="147">
        <v>572.0</v>
      </c>
      <c r="D2098" s="132">
        <f t="shared" si="228"/>
        <v>82</v>
      </c>
      <c r="E2098" s="126" t="s">
        <v>471</v>
      </c>
      <c r="F2098" s="127"/>
      <c r="G2098" s="129"/>
      <c r="H2098" s="129"/>
      <c r="I2098" s="129"/>
      <c r="J2098" s="129"/>
      <c r="K2098" s="129"/>
      <c r="L2098" s="129"/>
      <c r="M2098" s="129"/>
      <c r="N2098" s="129"/>
      <c r="O2098" s="129"/>
      <c r="P2098" s="129"/>
      <c r="Q2098" s="129"/>
      <c r="R2098" s="129"/>
      <c r="S2098" s="129"/>
      <c r="T2098" s="129"/>
      <c r="U2098" s="129"/>
      <c r="V2098" s="129"/>
      <c r="W2098" s="129"/>
      <c r="X2098" s="129"/>
      <c r="Y2098" s="129"/>
      <c r="Z2098" s="129"/>
      <c r="AA2098" s="129"/>
      <c r="AB2098" s="129"/>
    </row>
    <row r="2099" hidden="1">
      <c r="A2099" s="128" t="s">
        <v>553</v>
      </c>
      <c r="B2099" s="147">
        <v>990.0</v>
      </c>
      <c r="C2099" s="147">
        <v>1159.0</v>
      </c>
      <c r="D2099" s="132">
        <f t="shared" si="228"/>
        <v>169</v>
      </c>
      <c r="E2099" s="147" t="s">
        <v>120</v>
      </c>
      <c r="F2099" s="139"/>
      <c r="G2099" s="150"/>
      <c r="H2099" s="129"/>
      <c r="I2099" s="129"/>
      <c r="J2099" s="129"/>
      <c r="K2099" s="129"/>
      <c r="L2099" s="129"/>
      <c r="M2099" s="129"/>
      <c r="N2099" s="129"/>
      <c r="O2099" s="129"/>
      <c r="P2099" s="129"/>
      <c r="Q2099" s="129"/>
      <c r="R2099" s="129"/>
      <c r="S2099" s="129"/>
      <c r="T2099" s="129"/>
      <c r="U2099" s="129"/>
      <c r="V2099" s="129"/>
      <c r="W2099" s="129"/>
      <c r="X2099" s="129"/>
      <c r="Y2099" s="129"/>
      <c r="Z2099" s="129"/>
      <c r="AA2099" s="129"/>
      <c r="AB2099" s="129"/>
    </row>
    <row r="2100" hidden="1">
      <c r="A2100" s="128" t="s">
        <v>1308</v>
      </c>
      <c r="B2100" s="147">
        <v>1390.0</v>
      </c>
      <c r="C2100" s="147">
        <v>1502.0</v>
      </c>
      <c r="D2100" s="132">
        <f t="shared" si="228"/>
        <v>112</v>
      </c>
      <c r="E2100" s="147" t="s">
        <v>123</v>
      </c>
      <c r="F2100" s="127"/>
      <c r="G2100" s="150"/>
      <c r="H2100" s="129"/>
      <c r="I2100" s="129"/>
      <c r="J2100" s="129"/>
      <c r="K2100" s="129"/>
      <c r="L2100" s="129"/>
      <c r="M2100" s="129"/>
      <c r="N2100" s="129"/>
      <c r="O2100" s="129"/>
      <c r="P2100" s="129"/>
      <c r="Q2100" s="129"/>
      <c r="R2100" s="129"/>
      <c r="S2100" s="129"/>
      <c r="T2100" s="129"/>
      <c r="U2100" s="129"/>
      <c r="V2100" s="129"/>
      <c r="W2100" s="129"/>
      <c r="X2100" s="129"/>
      <c r="Y2100" s="129"/>
      <c r="Z2100" s="129"/>
      <c r="AA2100" s="129"/>
      <c r="AB2100" s="129"/>
    </row>
    <row r="2101" hidden="1">
      <c r="A2101" s="150" t="s">
        <v>449</v>
      </c>
      <c r="B2101" s="147">
        <v>890.0</v>
      </c>
      <c r="C2101" s="147">
        <v>1182.0</v>
      </c>
      <c r="D2101" s="125">
        <f t="shared" si="228"/>
        <v>292</v>
      </c>
      <c r="E2101" s="147" t="s">
        <v>123</v>
      </c>
      <c r="F2101" s="132"/>
      <c r="G2101" s="129"/>
      <c r="H2101" s="129"/>
      <c r="I2101" s="129"/>
      <c r="J2101" s="129"/>
      <c r="K2101" s="129"/>
      <c r="L2101" s="129"/>
      <c r="M2101" s="129"/>
      <c r="N2101" s="129"/>
      <c r="O2101" s="129"/>
      <c r="P2101" s="129"/>
      <c r="Q2101" s="129"/>
      <c r="R2101" s="129"/>
      <c r="S2101" s="129"/>
      <c r="T2101" s="129"/>
      <c r="U2101" s="129"/>
      <c r="V2101" s="129"/>
      <c r="W2101" s="129"/>
      <c r="X2101" s="129"/>
      <c r="Y2101" s="129"/>
      <c r="Z2101" s="129"/>
      <c r="AA2101" s="129"/>
      <c r="AB2101" s="129"/>
    </row>
    <row r="2102" hidden="1">
      <c r="A2102" s="128" t="s">
        <v>1213</v>
      </c>
      <c r="B2102" s="147">
        <v>1390.0</v>
      </c>
      <c r="C2102" s="147">
        <v>1494.0</v>
      </c>
      <c r="D2102" s="132">
        <f t="shared" si="228"/>
        <v>104</v>
      </c>
      <c r="E2102" s="147" t="s">
        <v>123</v>
      </c>
      <c r="F2102" s="127"/>
      <c r="G2102" s="150"/>
      <c r="H2102" s="129"/>
      <c r="I2102" s="129"/>
      <c r="J2102" s="129"/>
      <c r="K2102" s="129"/>
      <c r="L2102" s="129"/>
      <c r="M2102" s="129"/>
      <c r="N2102" s="129"/>
      <c r="O2102" s="129"/>
      <c r="P2102" s="129"/>
      <c r="Q2102" s="129"/>
      <c r="R2102" s="129"/>
      <c r="S2102" s="129"/>
      <c r="T2102" s="129"/>
      <c r="U2102" s="129"/>
      <c r="V2102" s="129"/>
      <c r="W2102" s="129"/>
      <c r="X2102" s="129"/>
      <c r="Y2102" s="129"/>
      <c r="Z2102" s="129"/>
      <c r="AA2102" s="129"/>
      <c r="AB2102" s="129"/>
    </row>
    <row r="2103" hidden="1">
      <c r="A2103" s="128" t="s">
        <v>1213</v>
      </c>
      <c r="B2103" s="147">
        <v>1390.0</v>
      </c>
      <c r="C2103" s="147">
        <v>1525.0</v>
      </c>
      <c r="D2103" s="132">
        <f t="shared" si="228"/>
        <v>135</v>
      </c>
      <c r="E2103" s="147" t="s">
        <v>123</v>
      </c>
      <c r="F2103" s="127"/>
      <c r="G2103" s="150"/>
      <c r="H2103" s="129"/>
      <c r="I2103" s="129"/>
      <c r="J2103" s="129"/>
      <c r="K2103" s="129"/>
      <c r="L2103" s="129"/>
      <c r="M2103" s="129"/>
      <c r="N2103" s="129"/>
      <c r="O2103" s="129"/>
      <c r="P2103" s="129"/>
      <c r="Q2103" s="129"/>
      <c r="R2103" s="129"/>
      <c r="S2103" s="129"/>
      <c r="T2103" s="129"/>
      <c r="U2103" s="129"/>
      <c r="V2103" s="129"/>
      <c r="W2103" s="129"/>
      <c r="X2103" s="129"/>
      <c r="Y2103" s="129"/>
      <c r="Z2103" s="129"/>
      <c r="AA2103" s="129"/>
      <c r="AB2103" s="129"/>
    </row>
    <row r="2104" hidden="1">
      <c r="A2104" s="128" t="s">
        <v>1213</v>
      </c>
      <c r="B2104" s="147">
        <v>1390.0</v>
      </c>
      <c r="C2104" s="147">
        <v>1462.0</v>
      </c>
      <c r="D2104" s="132">
        <f t="shared" si="228"/>
        <v>72</v>
      </c>
      <c r="E2104" s="147" t="s">
        <v>123</v>
      </c>
      <c r="F2104" s="127"/>
      <c r="G2104" s="150"/>
      <c r="H2104" s="129"/>
      <c r="I2104" s="129"/>
      <c r="J2104" s="129"/>
      <c r="K2104" s="129"/>
      <c r="L2104" s="129"/>
      <c r="M2104" s="129"/>
      <c r="N2104" s="129"/>
      <c r="O2104" s="129"/>
      <c r="P2104" s="129"/>
      <c r="Q2104" s="129"/>
      <c r="R2104" s="129"/>
      <c r="S2104" s="129"/>
      <c r="T2104" s="129"/>
      <c r="U2104" s="129"/>
      <c r="V2104" s="129"/>
      <c r="W2104" s="129"/>
      <c r="X2104" s="129"/>
      <c r="Y2104" s="129"/>
      <c r="Z2104" s="129"/>
      <c r="AA2104" s="129"/>
      <c r="AB2104" s="129"/>
    </row>
    <row r="2105" hidden="1">
      <c r="A2105" s="123" t="s">
        <v>438</v>
      </c>
      <c r="B2105" s="147">
        <v>1590.0</v>
      </c>
      <c r="C2105" s="124">
        <v>1712.0</v>
      </c>
      <c r="D2105" s="125">
        <f t="shared" si="228"/>
        <v>122</v>
      </c>
      <c r="E2105" s="126" t="s">
        <v>123</v>
      </c>
      <c r="F2105" s="147"/>
      <c r="G2105" s="123"/>
    </row>
    <row r="2106" hidden="1">
      <c r="A2106" s="150" t="s">
        <v>1061</v>
      </c>
      <c r="B2106" s="167">
        <v>1190.0</v>
      </c>
      <c r="C2106" s="167">
        <v>1342.0</v>
      </c>
      <c r="D2106" s="168">
        <f t="shared" si="228"/>
        <v>152</v>
      </c>
      <c r="E2106" s="132" t="s">
        <v>123</v>
      </c>
      <c r="F2106" s="139"/>
      <c r="G2106" s="150"/>
      <c r="H2106" s="129"/>
      <c r="I2106" s="129"/>
      <c r="J2106" s="129"/>
      <c r="K2106" s="129"/>
      <c r="L2106" s="129"/>
      <c r="M2106" s="129"/>
      <c r="N2106" s="129"/>
      <c r="O2106" s="129"/>
      <c r="P2106" s="129"/>
      <c r="Q2106" s="129"/>
      <c r="R2106" s="129"/>
      <c r="S2106" s="129"/>
      <c r="T2106" s="129"/>
      <c r="U2106" s="129"/>
      <c r="V2106" s="129"/>
      <c r="W2106" s="129"/>
      <c r="X2106" s="129"/>
      <c r="Y2106" s="129"/>
      <c r="Z2106" s="129"/>
      <c r="AA2106" s="129"/>
      <c r="AB2106" s="129"/>
    </row>
    <row r="2107" hidden="1">
      <c r="A2107" s="179" t="s">
        <v>1309</v>
      </c>
      <c r="B2107" s="333">
        <v>1500.0</v>
      </c>
      <c r="C2107" s="333">
        <v>4500.0</v>
      </c>
      <c r="D2107" s="404">
        <f t="shared" si="228"/>
        <v>3000</v>
      </c>
      <c r="E2107" s="302" t="s">
        <v>123</v>
      </c>
      <c r="F2107" s="333"/>
      <c r="G2107" s="121"/>
      <c r="H2107" s="121"/>
      <c r="I2107" s="121"/>
      <c r="J2107" s="121"/>
      <c r="K2107" s="121"/>
      <c r="L2107" s="121"/>
      <c r="M2107" s="121"/>
      <c r="N2107" s="121"/>
      <c r="O2107" s="121"/>
      <c r="P2107" s="121"/>
      <c r="Q2107" s="121"/>
      <c r="R2107" s="121"/>
      <c r="S2107" s="121"/>
      <c r="T2107" s="121"/>
      <c r="U2107" s="121"/>
      <c r="V2107" s="121"/>
      <c r="W2107" s="121"/>
      <c r="X2107" s="121"/>
      <c r="Y2107" s="121"/>
      <c r="Z2107" s="121"/>
      <c r="AA2107" s="121"/>
      <c r="AB2107" s="121"/>
    </row>
    <row r="2108" hidden="1">
      <c r="A2108" s="123" t="s">
        <v>479</v>
      </c>
      <c r="B2108" s="167">
        <v>1440.0</v>
      </c>
      <c r="C2108" s="167">
        <v>1591.0</v>
      </c>
      <c r="D2108" s="168">
        <f t="shared" si="228"/>
        <v>151</v>
      </c>
      <c r="E2108" s="132" t="s">
        <v>123</v>
      </c>
      <c r="F2108" s="147"/>
      <c r="G2108" s="123"/>
    </row>
    <row r="2109" hidden="1">
      <c r="A2109" s="128" t="s">
        <v>463</v>
      </c>
      <c r="B2109" s="147">
        <v>1490.0</v>
      </c>
      <c r="C2109" s="147">
        <v>1639.0</v>
      </c>
      <c r="D2109" s="132">
        <f t="shared" si="228"/>
        <v>149</v>
      </c>
      <c r="E2109" s="147" t="s">
        <v>123</v>
      </c>
      <c r="F2109" s="127"/>
      <c r="G2109" s="150"/>
      <c r="H2109" s="129"/>
      <c r="I2109" s="129"/>
      <c r="J2109" s="129"/>
      <c r="K2109" s="129"/>
      <c r="L2109" s="129"/>
      <c r="M2109" s="129"/>
      <c r="N2109" s="129"/>
      <c r="O2109" s="129"/>
      <c r="P2109" s="129"/>
      <c r="Q2109" s="129"/>
      <c r="R2109" s="129"/>
      <c r="S2109" s="129"/>
      <c r="T2109" s="129"/>
      <c r="U2109" s="129"/>
      <c r="V2109" s="129"/>
      <c r="W2109" s="129"/>
      <c r="X2109" s="129"/>
      <c r="Y2109" s="129"/>
      <c r="Z2109" s="129"/>
      <c r="AA2109" s="129"/>
      <c r="AB2109" s="129"/>
    </row>
    <row r="2110" hidden="1">
      <c r="A2110" s="150" t="s">
        <v>459</v>
      </c>
      <c r="B2110" s="147">
        <v>890.0</v>
      </c>
      <c r="C2110" s="147">
        <v>1000.0</v>
      </c>
      <c r="D2110" s="132">
        <f t="shared" si="228"/>
        <v>110</v>
      </c>
      <c r="E2110" s="126" t="s">
        <v>123</v>
      </c>
      <c r="F2110" s="127"/>
      <c r="G2110" s="129"/>
      <c r="H2110" s="129"/>
      <c r="I2110" s="129"/>
      <c r="J2110" s="129"/>
      <c r="K2110" s="129"/>
      <c r="L2110" s="129"/>
      <c r="M2110" s="129"/>
      <c r="N2110" s="129"/>
      <c r="O2110" s="129"/>
      <c r="P2110" s="129"/>
      <c r="Q2110" s="129"/>
      <c r="R2110" s="129"/>
      <c r="S2110" s="129"/>
      <c r="T2110" s="129"/>
      <c r="U2110" s="129"/>
      <c r="V2110" s="129"/>
      <c r="W2110" s="129"/>
      <c r="X2110" s="129"/>
      <c r="Y2110" s="129"/>
      <c r="Z2110" s="129"/>
      <c r="AA2110" s="129"/>
      <c r="AB2110" s="129"/>
    </row>
    <row r="2111" hidden="1">
      <c r="A2111" s="150" t="s">
        <v>459</v>
      </c>
      <c r="B2111" s="147">
        <v>890.0</v>
      </c>
      <c r="C2111" s="147">
        <v>1000.0</v>
      </c>
      <c r="D2111" s="132">
        <f t="shared" si="228"/>
        <v>110</v>
      </c>
      <c r="E2111" s="126" t="s">
        <v>123</v>
      </c>
      <c r="F2111" s="127"/>
      <c r="G2111" s="129"/>
      <c r="H2111" s="129"/>
      <c r="I2111" s="129"/>
      <c r="J2111" s="129"/>
      <c r="K2111" s="129"/>
      <c r="L2111" s="129"/>
      <c r="M2111" s="129"/>
      <c r="N2111" s="129"/>
      <c r="O2111" s="129"/>
      <c r="P2111" s="129"/>
      <c r="Q2111" s="129"/>
      <c r="R2111" s="129"/>
      <c r="S2111" s="129"/>
      <c r="T2111" s="129"/>
      <c r="U2111" s="129"/>
      <c r="V2111" s="129"/>
      <c r="W2111" s="129"/>
      <c r="X2111" s="129"/>
      <c r="Y2111" s="129"/>
      <c r="Z2111" s="129"/>
      <c r="AA2111" s="129"/>
      <c r="AB2111" s="129"/>
    </row>
    <row r="2112" hidden="1">
      <c r="A2112" s="150" t="s">
        <v>459</v>
      </c>
      <c r="B2112" s="147">
        <v>890.0</v>
      </c>
      <c r="C2112" s="147">
        <v>1000.0</v>
      </c>
      <c r="D2112" s="132">
        <f t="shared" si="228"/>
        <v>110</v>
      </c>
      <c r="E2112" s="126" t="s">
        <v>123</v>
      </c>
      <c r="F2112" s="127"/>
      <c r="G2112" s="129"/>
      <c r="H2112" s="129"/>
      <c r="I2112" s="129"/>
      <c r="J2112" s="129"/>
      <c r="K2112" s="129"/>
      <c r="L2112" s="129"/>
      <c r="M2112" s="129"/>
      <c r="N2112" s="129"/>
      <c r="O2112" s="129"/>
      <c r="P2112" s="129"/>
      <c r="Q2112" s="129"/>
      <c r="R2112" s="129"/>
      <c r="S2112" s="129"/>
      <c r="T2112" s="129"/>
      <c r="U2112" s="129"/>
      <c r="V2112" s="129"/>
      <c r="W2112" s="129"/>
      <c r="X2112" s="129"/>
      <c r="Y2112" s="129"/>
      <c r="Z2112" s="129"/>
      <c r="AA2112" s="129"/>
      <c r="AB2112" s="129"/>
    </row>
    <row r="2113" hidden="1">
      <c r="A2113" s="150" t="s">
        <v>459</v>
      </c>
      <c r="B2113" s="147">
        <v>890.0</v>
      </c>
      <c r="C2113" s="147">
        <v>1000.0</v>
      </c>
      <c r="D2113" s="132">
        <f t="shared" si="228"/>
        <v>110</v>
      </c>
      <c r="E2113" s="126" t="s">
        <v>123</v>
      </c>
      <c r="F2113" s="127"/>
      <c r="G2113" s="129"/>
      <c r="H2113" s="129"/>
      <c r="I2113" s="129"/>
      <c r="J2113" s="129"/>
      <c r="K2113" s="129"/>
      <c r="L2113" s="129"/>
      <c r="M2113" s="129"/>
      <c r="N2113" s="129"/>
      <c r="O2113" s="129"/>
      <c r="P2113" s="129"/>
      <c r="Q2113" s="129"/>
      <c r="R2113" s="129"/>
      <c r="S2113" s="129"/>
      <c r="T2113" s="129"/>
      <c r="U2113" s="129"/>
      <c r="V2113" s="129"/>
      <c r="W2113" s="129"/>
      <c r="X2113" s="129"/>
      <c r="Y2113" s="129"/>
      <c r="Z2113" s="129"/>
      <c r="AA2113" s="129"/>
      <c r="AB2113" s="129"/>
    </row>
    <row r="2114" hidden="1">
      <c r="A2114" s="123" t="s">
        <v>393</v>
      </c>
      <c r="B2114" s="124">
        <v>4740.0</v>
      </c>
      <c r="C2114" s="124">
        <v>5490.0</v>
      </c>
      <c r="D2114" s="125">
        <f t="shared" si="228"/>
        <v>750</v>
      </c>
      <c r="E2114" s="126" t="s">
        <v>123</v>
      </c>
      <c r="F2114" s="132"/>
      <c r="G2114" s="123"/>
    </row>
    <row r="2115" hidden="1">
      <c r="A2115" s="150" t="s">
        <v>1300</v>
      </c>
      <c r="B2115" s="147">
        <v>1390.0</v>
      </c>
      <c r="C2115" s="147">
        <v>1499.0</v>
      </c>
      <c r="D2115" s="132">
        <f t="shared" si="228"/>
        <v>109</v>
      </c>
      <c r="E2115" s="132" t="s">
        <v>123</v>
      </c>
      <c r="F2115" s="139"/>
      <c r="G2115" s="150"/>
      <c r="H2115" s="129"/>
      <c r="I2115" s="129"/>
      <c r="J2115" s="129"/>
      <c r="K2115" s="129"/>
      <c r="L2115" s="129"/>
      <c r="M2115" s="129"/>
      <c r="N2115" s="129"/>
      <c r="O2115" s="129"/>
      <c r="P2115" s="129"/>
      <c r="Q2115" s="129"/>
      <c r="R2115" s="129"/>
      <c r="S2115" s="129"/>
      <c r="T2115" s="129"/>
      <c r="U2115" s="129"/>
      <c r="V2115" s="129"/>
      <c r="W2115" s="129"/>
      <c r="X2115" s="129"/>
      <c r="Y2115" s="129"/>
      <c r="Z2115" s="129"/>
      <c r="AA2115" s="129"/>
      <c r="AB2115" s="129"/>
    </row>
    <row r="2116" hidden="1">
      <c r="A2116" s="150" t="s">
        <v>1226</v>
      </c>
      <c r="B2116" s="132">
        <v>1090.0</v>
      </c>
      <c r="C2116" s="147">
        <v>1260.0</v>
      </c>
      <c r="D2116" s="132">
        <f t="shared" si="228"/>
        <v>170</v>
      </c>
      <c r="E2116" s="132" t="s">
        <v>123</v>
      </c>
      <c r="F2116" s="132"/>
      <c r="G2116" s="129"/>
      <c r="H2116" s="129"/>
      <c r="I2116" s="129"/>
      <c r="J2116" s="129"/>
      <c r="K2116" s="129"/>
      <c r="L2116" s="129"/>
      <c r="M2116" s="129"/>
      <c r="N2116" s="129"/>
      <c r="O2116" s="129"/>
      <c r="P2116" s="129"/>
      <c r="Q2116" s="129"/>
      <c r="R2116" s="129"/>
      <c r="S2116" s="129"/>
      <c r="T2116" s="129"/>
      <c r="U2116" s="129"/>
      <c r="V2116" s="129"/>
      <c r="W2116" s="129"/>
      <c r="X2116" s="129"/>
      <c r="Y2116" s="129"/>
      <c r="Z2116" s="129"/>
      <c r="AA2116" s="129"/>
      <c r="AB2116" s="129"/>
    </row>
    <row r="2117" hidden="1">
      <c r="A2117" s="150" t="s">
        <v>1212</v>
      </c>
      <c r="B2117" s="147">
        <v>1390.0</v>
      </c>
      <c r="C2117" s="147">
        <v>1542.0</v>
      </c>
      <c r="D2117" s="132">
        <f t="shared" si="228"/>
        <v>152</v>
      </c>
      <c r="E2117" s="132" t="s">
        <v>123</v>
      </c>
      <c r="F2117" s="139"/>
      <c r="G2117" s="129"/>
      <c r="H2117" s="129"/>
      <c r="I2117" s="129"/>
      <c r="J2117" s="129"/>
      <c r="K2117" s="129"/>
      <c r="L2117" s="129"/>
      <c r="M2117" s="129"/>
      <c r="N2117" s="129"/>
      <c r="O2117" s="129"/>
      <c r="P2117" s="129"/>
      <c r="Q2117" s="129"/>
      <c r="R2117" s="129"/>
      <c r="S2117" s="129"/>
      <c r="T2117" s="129"/>
      <c r="U2117" s="129"/>
      <c r="V2117" s="129"/>
      <c r="W2117" s="129"/>
      <c r="X2117" s="129"/>
      <c r="Y2117" s="129"/>
      <c r="Z2117" s="129"/>
      <c r="AA2117" s="129"/>
      <c r="AB2117" s="129"/>
    </row>
    <row r="2118" hidden="1">
      <c r="A2118" s="150" t="s">
        <v>1212</v>
      </c>
      <c r="B2118" s="132">
        <v>1390.0</v>
      </c>
      <c r="C2118" s="147">
        <v>1500.0</v>
      </c>
      <c r="D2118" s="132">
        <f t="shared" si="228"/>
        <v>110</v>
      </c>
      <c r="E2118" s="132" t="s">
        <v>123</v>
      </c>
      <c r="F2118" s="139"/>
      <c r="G2118" s="129"/>
      <c r="H2118" s="129"/>
      <c r="I2118" s="129"/>
      <c r="J2118" s="129"/>
      <c r="K2118" s="129"/>
      <c r="L2118" s="129"/>
      <c r="M2118" s="129"/>
      <c r="N2118" s="129"/>
      <c r="O2118" s="129"/>
      <c r="P2118" s="129"/>
      <c r="Q2118" s="129"/>
      <c r="R2118" s="129"/>
      <c r="S2118" s="129"/>
      <c r="T2118" s="129"/>
      <c r="U2118" s="129"/>
      <c r="V2118" s="129"/>
      <c r="W2118" s="129"/>
      <c r="X2118" s="129"/>
      <c r="Y2118" s="129"/>
      <c r="Z2118" s="129"/>
      <c r="AA2118" s="129"/>
      <c r="AB2118" s="129"/>
    </row>
    <row r="2119" hidden="1">
      <c r="A2119" s="123" t="s">
        <v>1061</v>
      </c>
      <c r="B2119" s="386">
        <v>1190.0</v>
      </c>
      <c r="C2119" s="386">
        <v>1351.0</v>
      </c>
      <c r="D2119" s="170">
        <f t="shared" si="228"/>
        <v>161</v>
      </c>
      <c r="E2119" s="126" t="s">
        <v>123</v>
      </c>
      <c r="F2119" s="147"/>
      <c r="G2119" s="123"/>
    </row>
    <row r="2120" hidden="1">
      <c r="A2120" s="405" t="s">
        <v>1310</v>
      </c>
      <c r="B2120" s="300">
        <v>1400.0</v>
      </c>
      <c r="C2120" s="300">
        <v>3000.0</v>
      </c>
      <c r="D2120" s="301">
        <f t="shared" si="228"/>
        <v>1600</v>
      </c>
      <c r="E2120" s="300" t="s">
        <v>123</v>
      </c>
      <c r="F2120" s="301"/>
      <c r="G2120" s="217"/>
      <c r="H2120" s="217"/>
      <c r="I2120" s="217"/>
      <c r="J2120" s="217"/>
      <c r="K2120" s="217"/>
      <c r="L2120" s="217"/>
      <c r="M2120" s="217"/>
      <c r="N2120" s="217"/>
      <c r="O2120" s="217"/>
      <c r="P2120" s="217"/>
      <c r="Q2120" s="217"/>
      <c r="R2120" s="217"/>
      <c r="S2120" s="217"/>
      <c r="T2120" s="217"/>
      <c r="U2120" s="217"/>
      <c r="V2120" s="217"/>
      <c r="W2120" s="217"/>
      <c r="X2120" s="217"/>
      <c r="Y2120" s="217"/>
      <c r="Z2120" s="217"/>
      <c r="AA2120" s="217"/>
      <c r="AB2120" s="217"/>
    </row>
    <row r="2121" hidden="1">
      <c r="A2121" s="142" t="s">
        <v>1182</v>
      </c>
      <c r="B2121" s="124">
        <v>1490.0</v>
      </c>
      <c r="C2121" s="124">
        <v>1542.0</v>
      </c>
      <c r="D2121" s="132">
        <f t="shared" si="228"/>
        <v>52</v>
      </c>
      <c r="E2121" s="126" t="s">
        <v>123</v>
      </c>
      <c r="F2121" s="139"/>
      <c r="G2121" s="150"/>
      <c r="H2121" s="129"/>
      <c r="I2121" s="129"/>
      <c r="J2121" s="129"/>
      <c r="K2121" s="129"/>
      <c r="L2121" s="129"/>
      <c r="M2121" s="129"/>
      <c r="N2121" s="129"/>
      <c r="O2121" s="129"/>
      <c r="P2121" s="129"/>
      <c r="Q2121" s="129"/>
      <c r="R2121" s="129"/>
      <c r="S2121" s="129"/>
      <c r="T2121" s="129"/>
      <c r="U2121" s="129"/>
      <c r="V2121" s="129"/>
      <c r="W2121" s="129"/>
      <c r="X2121" s="129"/>
      <c r="Y2121" s="129"/>
      <c r="Z2121" s="129"/>
      <c r="AA2121" s="129"/>
      <c r="AB2121" s="129"/>
    </row>
    <row r="2122" hidden="1">
      <c r="A2122" s="150" t="s">
        <v>410</v>
      </c>
      <c r="B2122" s="147">
        <v>490.0</v>
      </c>
      <c r="C2122" s="147">
        <v>575.0</v>
      </c>
      <c r="D2122" s="132">
        <f t="shared" si="228"/>
        <v>85</v>
      </c>
      <c r="E2122" s="126" t="s">
        <v>471</v>
      </c>
      <c r="F2122" s="127"/>
      <c r="G2122" s="129"/>
      <c r="H2122" s="129"/>
      <c r="I2122" s="129"/>
      <c r="J2122" s="129"/>
      <c r="K2122" s="129"/>
      <c r="L2122" s="129"/>
      <c r="M2122" s="129"/>
      <c r="N2122" s="129"/>
      <c r="O2122" s="129"/>
      <c r="P2122" s="129"/>
      <c r="Q2122" s="129"/>
      <c r="R2122" s="129"/>
      <c r="S2122" s="129"/>
      <c r="T2122" s="129"/>
      <c r="U2122" s="129"/>
      <c r="V2122" s="129"/>
      <c r="W2122" s="129"/>
      <c r="X2122" s="129"/>
      <c r="Y2122" s="129"/>
      <c r="Z2122" s="129"/>
      <c r="AA2122" s="129"/>
      <c r="AB2122" s="129"/>
    </row>
    <row r="2123" hidden="1">
      <c r="A2123" s="128" t="s">
        <v>1171</v>
      </c>
      <c r="B2123" s="210">
        <v>990.0</v>
      </c>
      <c r="C2123" s="210">
        <v>1060.0</v>
      </c>
      <c r="D2123" s="208">
        <f t="shared" si="228"/>
        <v>70</v>
      </c>
      <c r="E2123" s="147" t="s">
        <v>1311</v>
      </c>
      <c r="F2123" s="139"/>
      <c r="G2123" s="129"/>
      <c r="H2123" s="129"/>
      <c r="I2123" s="129"/>
      <c r="J2123" s="129"/>
      <c r="K2123" s="129"/>
      <c r="L2123" s="129"/>
      <c r="M2123" s="129"/>
      <c r="N2123" s="129"/>
      <c r="O2123" s="129"/>
      <c r="P2123" s="129"/>
      <c r="Q2123" s="129"/>
      <c r="R2123" s="129"/>
      <c r="S2123" s="129"/>
      <c r="T2123" s="129"/>
      <c r="U2123" s="129"/>
      <c r="V2123" s="129"/>
      <c r="W2123" s="129"/>
      <c r="X2123" s="129"/>
      <c r="Y2123" s="129"/>
      <c r="Z2123" s="129"/>
      <c r="AA2123" s="129"/>
      <c r="AB2123" s="129"/>
    </row>
    <row r="2124" hidden="1">
      <c r="A2124" s="142" t="s">
        <v>447</v>
      </c>
      <c r="B2124" s="147">
        <v>1980.0</v>
      </c>
      <c r="C2124" s="147">
        <v>2311.0</v>
      </c>
      <c r="D2124" s="132">
        <f t="shared" si="228"/>
        <v>331</v>
      </c>
      <c r="E2124" s="132" t="s">
        <v>123</v>
      </c>
      <c r="F2124" s="139"/>
      <c r="G2124" s="129"/>
      <c r="H2124" s="129"/>
      <c r="I2124" s="129"/>
      <c r="J2124" s="129"/>
      <c r="K2124" s="129"/>
      <c r="L2124" s="129"/>
      <c r="M2124" s="129"/>
      <c r="N2124" s="129"/>
      <c r="O2124" s="129"/>
      <c r="P2124" s="129"/>
      <c r="Q2124" s="129"/>
      <c r="R2124" s="129"/>
      <c r="S2124" s="129"/>
      <c r="T2124" s="129"/>
      <c r="U2124" s="129"/>
      <c r="V2124" s="129"/>
      <c r="W2124" s="129"/>
      <c r="X2124" s="129"/>
      <c r="Y2124" s="129"/>
      <c r="Z2124" s="129"/>
      <c r="AA2124" s="129"/>
      <c r="AB2124" s="129"/>
    </row>
    <row r="2125" hidden="1">
      <c r="A2125" s="150" t="s">
        <v>449</v>
      </c>
      <c r="B2125" s="147">
        <v>0.0</v>
      </c>
      <c r="C2125" s="147">
        <v>0.0</v>
      </c>
      <c r="D2125" s="132">
        <f t="shared" si="228"/>
        <v>0</v>
      </c>
      <c r="E2125" s="132" t="s">
        <v>123</v>
      </c>
      <c r="F2125" s="139"/>
      <c r="G2125" s="129"/>
      <c r="H2125" s="129"/>
      <c r="I2125" s="129"/>
      <c r="J2125" s="129"/>
      <c r="K2125" s="129"/>
      <c r="L2125" s="129"/>
      <c r="M2125" s="129"/>
      <c r="N2125" s="129"/>
      <c r="O2125" s="129"/>
      <c r="P2125" s="129"/>
      <c r="Q2125" s="129"/>
      <c r="R2125" s="129"/>
      <c r="S2125" s="129"/>
      <c r="T2125" s="129"/>
      <c r="U2125" s="129"/>
      <c r="V2125" s="129"/>
      <c r="W2125" s="129"/>
      <c r="X2125" s="129"/>
      <c r="Y2125" s="129"/>
      <c r="Z2125" s="129"/>
      <c r="AA2125" s="129"/>
      <c r="AB2125" s="129"/>
    </row>
    <row r="2126" hidden="1">
      <c r="A2126" s="123" t="s">
        <v>395</v>
      </c>
      <c r="B2126" s="147">
        <v>1990.0</v>
      </c>
      <c r="C2126" s="147">
        <v>2419.0</v>
      </c>
      <c r="D2126" s="125">
        <f t="shared" si="228"/>
        <v>429</v>
      </c>
      <c r="E2126" s="126" t="s">
        <v>123</v>
      </c>
      <c r="F2126" s="124"/>
    </row>
    <row r="2127" hidden="1">
      <c r="A2127" s="123" t="s">
        <v>1312</v>
      </c>
      <c r="B2127" s="386">
        <v>1980.0</v>
      </c>
      <c r="C2127" s="386">
        <v>2123.0</v>
      </c>
      <c r="D2127" s="170">
        <f t="shared" si="228"/>
        <v>143</v>
      </c>
      <c r="E2127" s="126" t="s">
        <v>123</v>
      </c>
      <c r="F2127" s="147"/>
      <c r="G2127" s="123"/>
    </row>
    <row r="2128" hidden="1">
      <c r="A2128" s="128" t="s">
        <v>410</v>
      </c>
      <c r="B2128" s="147">
        <v>0.0</v>
      </c>
      <c r="C2128" s="124">
        <v>0.0</v>
      </c>
      <c r="D2128" s="132">
        <f t="shared" si="228"/>
        <v>0</v>
      </c>
      <c r="E2128" s="126" t="s">
        <v>471</v>
      </c>
      <c r="F2128" s="127"/>
      <c r="G2128" s="129"/>
      <c r="H2128" s="129"/>
      <c r="I2128" s="129"/>
      <c r="J2128" s="129"/>
      <c r="K2128" s="129"/>
      <c r="L2128" s="129"/>
      <c r="M2128" s="129"/>
      <c r="N2128" s="129"/>
      <c r="O2128" s="129"/>
      <c r="P2128" s="129"/>
      <c r="Q2128" s="129"/>
      <c r="R2128" s="129"/>
      <c r="S2128" s="129"/>
      <c r="T2128" s="129"/>
      <c r="U2128" s="129"/>
      <c r="V2128" s="129"/>
      <c r="W2128" s="129"/>
      <c r="X2128" s="129"/>
      <c r="Y2128" s="129"/>
      <c r="Z2128" s="129"/>
      <c r="AA2128" s="129"/>
      <c r="AB2128" s="129"/>
    </row>
    <row r="2129" hidden="1">
      <c r="A2129" s="128" t="s">
        <v>1313</v>
      </c>
      <c r="B2129" s="147">
        <v>690.0</v>
      </c>
      <c r="C2129" s="147">
        <v>770.0</v>
      </c>
      <c r="D2129" s="132">
        <f t="shared" si="228"/>
        <v>80</v>
      </c>
      <c r="E2129" s="126" t="s">
        <v>123</v>
      </c>
      <c r="F2129" s="127"/>
      <c r="G2129" s="129"/>
      <c r="H2129" s="129"/>
      <c r="I2129" s="129"/>
      <c r="J2129" s="129"/>
      <c r="K2129" s="129"/>
      <c r="L2129" s="129"/>
      <c r="M2129" s="129"/>
      <c r="N2129" s="129"/>
      <c r="O2129" s="129"/>
      <c r="P2129" s="129"/>
      <c r="Q2129" s="129"/>
      <c r="R2129" s="129"/>
      <c r="S2129" s="129"/>
      <c r="T2129" s="129"/>
      <c r="U2129" s="129"/>
      <c r="V2129" s="129"/>
      <c r="W2129" s="129"/>
      <c r="X2129" s="129"/>
      <c r="Y2129" s="129"/>
      <c r="Z2129" s="129"/>
      <c r="AA2129" s="129"/>
      <c r="AB2129" s="129"/>
    </row>
    <row r="2130" hidden="1">
      <c r="A2130" s="151" t="s">
        <v>447</v>
      </c>
      <c r="B2130" s="132">
        <v>1090.0</v>
      </c>
      <c r="C2130" s="147">
        <v>1251.0</v>
      </c>
      <c r="D2130" s="132">
        <f t="shared" si="228"/>
        <v>161</v>
      </c>
      <c r="E2130" s="132" t="s">
        <v>123</v>
      </c>
      <c r="F2130" s="139"/>
      <c r="G2130" s="129"/>
      <c r="H2130" s="129"/>
      <c r="I2130" s="129"/>
      <c r="J2130" s="129"/>
      <c r="K2130" s="129"/>
      <c r="L2130" s="129"/>
      <c r="M2130" s="129"/>
      <c r="N2130" s="129"/>
      <c r="O2130" s="129"/>
      <c r="P2130" s="129"/>
      <c r="Q2130" s="129"/>
      <c r="R2130" s="129"/>
      <c r="S2130" s="129"/>
      <c r="T2130" s="129"/>
      <c r="U2130" s="129"/>
      <c r="V2130" s="129"/>
      <c r="W2130" s="129"/>
      <c r="X2130" s="129"/>
      <c r="Y2130" s="129"/>
      <c r="Z2130" s="129"/>
      <c r="AA2130" s="129"/>
      <c r="AB2130" s="129"/>
    </row>
    <row r="2131" hidden="1">
      <c r="A2131" s="128" t="s">
        <v>1301</v>
      </c>
      <c r="B2131" s="147">
        <v>1490.0</v>
      </c>
      <c r="C2131" s="147">
        <v>1591.0</v>
      </c>
      <c r="D2131" s="132">
        <f t="shared" si="228"/>
        <v>101</v>
      </c>
      <c r="E2131" s="132" t="s">
        <v>123</v>
      </c>
      <c r="F2131" s="127"/>
      <c r="G2131" s="129"/>
      <c r="H2131" s="129"/>
      <c r="I2131" s="129"/>
      <c r="J2131" s="129"/>
      <c r="K2131" s="129"/>
      <c r="L2131" s="129"/>
      <c r="M2131" s="129"/>
      <c r="N2131" s="129"/>
      <c r="O2131" s="129"/>
      <c r="P2131" s="129"/>
      <c r="Q2131" s="129"/>
      <c r="R2131" s="129"/>
      <c r="S2131" s="129"/>
      <c r="T2131" s="129"/>
      <c r="U2131" s="129"/>
      <c r="V2131" s="129"/>
      <c r="W2131" s="129"/>
      <c r="X2131" s="129"/>
      <c r="Y2131" s="129"/>
      <c r="Z2131" s="129"/>
      <c r="AA2131" s="129"/>
      <c r="AB2131" s="129"/>
    </row>
    <row r="2132" hidden="1">
      <c r="A2132" s="150" t="s">
        <v>463</v>
      </c>
      <c r="B2132" s="147">
        <v>1490.0</v>
      </c>
      <c r="C2132" s="147">
        <v>1614.0</v>
      </c>
      <c r="D2132" s="132">
        <f t="shared" si="228"/>
        <v>124</v>
      </c>
      <c r="E2132" s="132" t="s">
        <v>123</v>
      </c>
      <c r="F2132" s="127"/>
      <c r="G2132" s="150"/>
      <c r="H2132" s="129"/>
      <c r="I2132" s="129"/>
      <c r="J2132" s="129"/>
      <c r="K2132" s="129"/>
      <c r="L2132" s="129"/>
      <c r="M2132" s="129"/>
      <c r="N2132" s="129"/>
      <c r="O2132" s="129"/>
      <c r="P2132" s="129"/>
      <c r="Q2132" s="129"/>
      <c r="R2132" s="129"/>
      <c r="S2132" s="129"/>
      <c r="T2132" s="129"/>
      <c r="U2132" s="129"/>
      <c r="V2132" s="129"/>
      <c r="W2132" s="129"/>
      <c r="X2132" s="129"/>
      <c r="Y2132" s="129"/>
      <c r="Z2132" s="129"/>
      <c r="AA2132" s="129"/>
      <c r="AB2132" s="129"/>
    </row>
    <row r="2133" hidden="1">
      <c r="A2133" s="150" t="s">
        <v>460</v>
      </c>
      <c r="B2133" s="147">
        <v>1590.0</v>
      </c>
      <c r="C2133" s="147">
        <v>1736.0</v>
      </c>
      <c r="D2133" s="132">
        <f t="shared" si="228"/>
        <v>146</v>
      </c>
      <c r="E2133" s="132" t="s">
        <v>123</v>
      </c>
      <c r="F2133" s="132"/>
      <c r="G2133" s="129"/>
      <c r="H2133" s="129"/>
      <c r="I2133" s="129"/>
      <c r="J2133" s="129"/>
      <c r="K2133" s="129"/>
      <c r="L2133" s="129"/>
      <c r="M2133" s="129"/>
      <c r="N2133" s="129"/>
      <c r="O2133" s="129"/>
      <c r="P2133" s="129"/>
      <c r="Q2133" s="129"/>
      <c r="R2133" s="129"/>
      <c r="S2133" s="129"/>
      <c r="T2133" s="129"/>
      <c r="U2133" s="129"/>
      <c r="V2133" s="129"/>
      <c r="W2133" s="129"/>
      <c r="X2133" s="129"/>
      <c r="Y2133" s="129"/>
      <c r="Z2133" s="129"/>
      <c r="AA2133" s="129"/>
      <c r="AB2133" s="129"/>
    </row>
    <row r="2134" hidden="1">
      <c r="A2134" s="128" t="s">
        <v>1209</v>
      </c>
      <c r="B2134" s="147">
        <v>1390.0</v>
      </c>
      <c r="C2134" s="147">
        <v>1494.0</v>
      </c>
      <c r="D2134" s="132">
        <f t="shared" si="228"/>
        <v>104</v>
      </c>
      <c r="E2134" s="132" t="s">
        <v>123</v>
      </c>
      <c r="F2134" s="132"/>
      <c r="G2134" s="129"/>
      <c r="H2134" s="129"/>
      <c r="I2134" s="129"/>
      <c r="J2134" s="129"/>
      <c r="K2134" s="129"/>
      <c r="L2134" s="129"/>
      <c r="M2134" s="129"/>
      <c r="N2134" s="129"/>
      <c r="O2134" s="129"/>
      <c r="P2134" s="129"/>
      <c r="Q2134" s="129"/>
      <c r="R2134" s="129"/>
      <c r="S2134" s="129"/>
      <c r="T2134" s="129"/>
      <c r="U2134" s="129"/>
      <c r="V2134" s="129"/>
      <c r="W2134" s="129"/>
      <c r="X2134" s="129"/>
      <c r="Y2134" s="129"/>
      <c r="Z2134" s="129"/>
      <c r="AA2134" s="129"/>
      <c r="AB2134" s="129"/>
    </row>
    <row r="2135" hidden="1">
      <c r="A2135" s="150" t="s">
        <v>463</v>
      </c>
      <c r="B2135" s="147">
        <v>1490.0</v>
      </c>
      <c r="C2135" s="147">
        <v>1591.0</v>
      </c>
      <c r="D2135" s="132">
        <f t="shared" si="228"/>
        <v>101</v>
      </c>
      <c r="E2135" s="132" t="s">
        <v>123</v>
      </c>
      <c r="F2135" s="127"/>
      <c r="G2135" s="150"/>
      <c r="H2135" s="129"/>
      <c r="I2135" s="129"/>
      <c r="J2135" s="129"/>
      <c r="K2135" s="129"/>
      <c r="L2135" s="129"/>
      <c r="M2135" s="129"/>
      <c r="N2135" s="129"/>
      <c r="O2135" s="129"/>
      <c r="P2135" s="129"/>
      <c r="Q2135" s="129"/>
      <c r="R2135" s="129"/>
      <c r="S2135" s="129"/>
      <c r="T2135" s="129"/>
      <c r="U2135" s="129"/>
      <c r="V2135" s="129"/>
      <c r="W2135" s="129"/>
      <c r="X2135" s="129"/>
      <c r="Y2135" s="129"/>
      <c r="Z2135" s="129"/>
      <c r="AA2135" s="129"/>
      <c r="AB2135" s="129"/>
    </row>
    <row r="2136" hidden="1">
      <c r="A2136" s="151" t="s">
        <v>447</v>
      </c>
      <c r="B2136" s="132">
        <v>1090.0</v>
      </c>
      <c r="C2136" s="147">
        <v>1203.0</v>
      </c>
      <c r="D2136" s="132">
        <f t="shared" si="228"/>
        <v>113</v>
      </c>
      <c r="E2136" s="132" t="s">
        <v>123</v>
      </c>
      <c r="F2136" s="139"/>
      <c r="G2136" s="129"/>
      <c r="H2136" s="129"/>
      <c r="I2136" s="129"/>
      <c r="J2136" s="129"/>
      <c r="K2136" s="129"/>
      <c r="L2136" s="129"/>
      <c r="M2136" s="129"/>
      <c r="N2136" s="129"/>
      <c r="O2136" s="129"/>
      <c r="P2136" s="129"/>
      <c r="Q2136" s="129"/>
      <c r="R2136" s="129"/>
      <c r="S2136" s="129"/>
      <c r="T2136" s="129"/>
      <c r="U2136" s="129"/>
      <c r="V2136" s="129"/>
      <c r="W2136" s="129"/>
      <c r="X2136" s="129"/>
      <c r="Y2136" s="129"/>
      <c r="Z2136" s="129"/>
      <c r="AA2136" s="129"/>
      <c r="AB2136" s="129"/>
    </row>
    <row r="2137" hidden="1">
      <c r="A2137" s="150" t="s">
        <v>1212</v>
      </c>
      <c r="B2137" s="147">
        <v>2780.0</v>
      </c>
      <c r="C2137" s="147">
        <v>2994.0</v>
      </c>
      <c r="D2137" s="132">
        <f t="shared" si="228"/>
        <v>214</v>
      </c>
      <c r="E2137" s="132" t="s">
        <v>123</v>
      </c>
      <c r="F2137" s="139"/>
      <c r="G2137" s="129"/>
      <c r="H2137" s="129"/>
      <c r="I2137" s="129"/>
      <c r="J2137" s="129"/>
      <c r="K2137" s="129"/>
      <c r="L2137" s="129"/>
      <c r="M2137" s="129"/>
      <c r="N2137" s="129"/>
      <c r="O2137" s="129"/>
      <c r="P2137" s="129"/>
      <c r="Q2137" s="129"/>
      <c r="R2137" s="129"/>
      <c r="S2137" s="129"/>
      <c r="T2137" s="129"/>
      <c r="U2137" s="129"/>
      <c r="V2137" s="129"/>
      <c r="W2137" s="129"/>
      <c r="X2137" s="129"/>
      <c r="Y2137" s="129"/>
      <c r="Z2137" s="129"/>
      <c r="AA2137" s="129"/>
      <c r="AB2137" s="129"/>
    </row>
    <row r="2138" hidden="1">
      <c r="A2138" s="128" t="s">
        <v>1314</v>
      </c>
      <c r="B2138" s="147">
        <v>0.0</v>
      </c>
      <c r="C2138" s="147">
        <v>0.0</v>
      </c>
      <c r="D2138" s="132">
        <f t="shared" si="228"/>
        <v>0</v>
      </c>
      <c r="E2138" s="132" t="s">
        <v>123</v>
      </c>
      <c r="F2138" s="139"/>
      <c r="G2138" s="129"/>
      <c r="H2138" s="129"/>
      <c r="I2138" s="129"/>
      <c r="J2138" s="129"/>
      <c r="K2138" s="129"/>
      <c r="L2138" s="129"/>
      <c r="M2138" s="129"/>
      <c r="N2138" s="129"/>
      <c r="O2138" s="129"/>
      <c r="P2138" s="129"/>
      <c r="Q2138" s="129"/>
      <c r="R2138" s="129"/>
      <c r="S2138" s="129"/>
      <c r="T2138" s="129"/>
      <c r="U2138" s="129"/>
      <c r="V2138" s="129"/>
      <c r="W2138" s="129"/>
      <c r="X2138" s="129"/>
      <c r="Y2138" s="129"/>
      <c r="Z2138" s="129"/>
      <c r="AA2138" s="129"/>
      <c r="AB2138" s="129"/>
    </row>
    <row r="2139" hidden="1">
      <c r="A2139" s="128" t="s">
        <v>1314</v>
      </c>
      <c r="B2139" s="147">
        <v>1390.0</v>
      </c>
      <c r="C2139" s="147">
        <v>1542.0</v>
      </c>
      <c r="D2139" s="132">
        <f t="shared" si="228"/>
        <v>152</v>
      </c>
      <c r="E2139" s="132" t="s">
        <v>123</v>
      </c>
      <c r="F2139" s="139"/>
      <c r="G2139" s="129"/>
      <c r="H2139" s="129"/>
      <c r="I2139" s="129"/>
      <c r="J2139" s="129"/>
      <c r="K2139" s="129"/>
      <c r="L2139" s="129"/>
      <c r="M2139" s="129"/>
      <c r="N2139" s="129"/>
      <c r="O2139" s="129"/>
      <c r="P2139" s="129"/>
      <c r="Q2139" s="129"/>
      <c r="R2139" s="129"/>
      <c r="S2139" s="129"/>
      <c r="T2139" s="129"/>
      <c r="U2139" s="129"/>
      <c r="V2139" s="129"/>
      <c r="W2139" s="129"/>
      <c r="X2139" s="129"/>
      <c r="Y2139" s="129"/>
      <c r="Z2139" s="129"/>
      <c r="AA2139" s="129"/>
      <c r="AB2139" s="129"/>
    </row>
    <row r="2140" hidden="1">
      <c r="A2140" s="128" t="s">
        <v>1301</v>
      </c>
      <c r="B2140" s="147">
        <v>1490.0</v>
      </c>
      <c r="C2140" s="147">
        <v>1592.0</v>
      </c>
      <c r="D2140" s="132">
        <f t="shared" si="228"/>
        <v>102</v>
      </c>
      <c r="E2140" s="132" t="s">
        <v>123</v>
      </c>
      <c r="F2140" s="127"/>
      <c r="G2140" s="129"/>
      <c r="H2140" s="129"/>
      <c r="I2140" s="129"/>
      <c r="J2140" s="129"/>
      <c r="K2140" s="129"/>
      <c r="L2140" s="129"/>
      <c r="M2140" s="129"/>
      <c r="N2140" s="129"/>
      <c r="O2140" s="129"/>
      <c r="P2140" s="129"/>
      <c r="Q2140" s="129"/>
      <c r="R2140" s="129"/>
      <c r="S2140" s="129"/>
      <c r="T2140" s="129"/>
      <c r="U2140" s="129"/>
      <c r="V2140" s="129"/>
      <c r="W2140" s="129"/>
      <c r="X2140" s="129"/>
      <c r="Y2140" s="129"/>
      <c r="Z2140" s="129"/>
      <c r="AA2140" s="129"/>
      <c r="AB2140" s="129"/>
    </row>
    <row r="2141" hidden="1">
      <c r="A2141" s="143"/>
      <c r="B2141" s="139"/>
      <c r="C2141" s="139"/>
      <c r="D2141" s="139"/>
      <c r="E2141" s="129"/>
      <c r="F2141" s="129"/>
      <c r="G2141" s="129"/>
      <c r="H2141" s="129"/>
      <c r="I2141" s="129"/>
      <c r="J2141" s="129"/>
      <c r="K2141" s="129"/>
      <c r="L2141" s="129"/>
      <c r="M2141" s="129"/>
      <c r="N2141" s="129"/>
      <c r="O2141" s="129"/>
      <c r="P2141" s="129"/>
      <c r="Q2141" s="129"/>
      <c r="R2141" s="129"/>
      <c r="S2141" s="129"/>
      <c r="T2141" s="129"/>
      <c r="U2141" s="129"/>
      <c r="V2141" s="129"/>
      <c r="W2141" s="129"/>
      <c r="X2141" s="129"/>
      <c r="Y2141" s="129"/>
      <c r="Z2141" s="129"/>
      <c r="AA2141" s="129"/>
      <c r="AB2141" s="129"/>
    </row>
    <row r="2142" hidden="1">
      <c r="A2142" s="122" t="s">
        <v>57</v>
      </c>
      <c r="B2142" s="133">
        <f t="shared" ref="B2142:D2142" si="229">SUM(B2075:B2141)</f>
        <v>109030</v>
      </c>
      <c r="C2142" s="133">
        <f t="shared" si="229"/>
        <v>129838</v>
      </c>
      <c r="D2142" s="133">
        <f t="shared" si="229"/>
        <v>20808</v>
      </c>
      <c r="E2142" s="135">
        <f>D2142/(C2142/100)</f>
        <v>16.02612486</v>
      </c>
    </row>
    <row r="2143" hidden="1">
      <c r="A2143" s="154"/>
      <c r="B2143" s="124"/>
      <c r="C2143" s="124"/>
      <c r="D2143" s="124"/>
    </row>
    <row r="2144" hidden="1">
      <c r="A2144" s="154">
        <v>44378.0</v>
      </c>
      <c r="B2144" s="124"/>
      <c r="C2144" s="124"/>
      <c r="D2144" s="124"/>
    </row>
    <row r="2145" hidden="1">
      <c r="A2145" s="179" t="s">
        <v>1315</v>
      </c>
      <c r="B2145" s="333">
        <v>1500.0</v>
      </c>
      <c r="C2145" s="333">
        <v>2250.0</v>
      </c>
      <c r="D2145" s="404">
        <f t="shared" ref="D2145:D2223" si="230">C2145-B2145</f>
        <v>750</v>
      </c>
      <c r="E2145" s="300" t="s">
        <v>123</v>
      </c>
      <c r="F2145" s="333"/>
      <c r="G2145" s="121"/>
      <c r="H2145" s="121"/>
      <c r="I2145" s="121"/>
      <c r="J2145" s="121"/>
      <c r="K2145" s="121"/>
      <c r="L2145" s="121"/>
      <c r="M2145" s="121"/>
      <c r="N2145" s="121"/>
      <c r="O2145" s="121"/>
      <c r="P2145" s="121"/>
      <c r="Q2145" s="121"/>
      <c r="R2145" s="121"/>
      <c r="S2145" s="121"/>
      <c r="T2145" s="121"/>
      <c r="U2145" s="121"/>
      <c r="V2145" s="121"/>
      <c r="W2145" s="121"/>
      <c r="X2145" s="121"/>
      <c r="Y2145" s="121"/>
      <c r="Z2145" s="121"/>
      <c r="AA2145" s="121"/>
      <c r="AB2145" s="121"/>
    </row>
    <row r="2146" hidden="1">
      <c r="A2146" s="150" t="s">
        <v>1209</v>
      </c>
      <c r="B2146" s="132">
        <v>1390.0</v>
      </c>
      <c r="C2146" s="147">
        <v>1494.0</v>
      </c>
      <c r="D2146" s="132">
        <f t="shared" si="230"/>
        <v>104</v>
      </c>
      <c r="E2146" s="132" t="s">
        <v>123</v>
      </c>
      <c r="F2146" s="132"/>
      <c r="G2146" s="129"/>
      <c r="H2146" s="129"/>
      <c r="I2146" s="129"/>
      <c r="J2146" s="129"/>
      <c r="K2146" s="129"/>
      <c r="L2146" s="129"/>
      <c r="M2146" s="129"/>
      <c r="N2146" s="129"/>
      <c r="O2146" s="129"/>
      <c r="P2146" s="129"/>
      <c r="Q2146" s="129"/>
      <c r="R2146" s="129"/>
      <c r="S2146" s="129"/>
      <c r="T2146" s="129"/>
      <c r="U2146" s="129"/>
      <c r="V2146" s="129"/>
      <c r="W2146" s="129"/>
      <c r="X2146" s="129"/>
      <c r="Y2146" s="129"/>
      <c r="Z2146" s="129"/>
      <c r="AA2146" s="129"/>
      <c r="AB2146" s="129"/>
    </row>
    <row r="2147" hidden="1">
      <c r="A2147" s="123" t="s">
        <v>393</v>
      </c>
      <c r="B2147" s="124">
        <v>4490.0</v>
      </c>
      <c r="C2147" s="124">
        <v>5490.0</v>
      </c>
      <c r="D2147" s="125">
        <f t="shared" si="230"/>
        <v>1000</v>
      </c>
      <c r="E2147" s="126" t="s">
        <v>123</v>
      </c>
      <c r="F2147" s="132"/>
      <c r="G2147" s="123"/>
    </row>
    <row r="2148" hidden="1">
      <c r="A2148" s="123" t="s">
        <v>393</v>
      </c>
      <c r="B2148" s="124">
        <v>4490.0</v>
      </c>
      <c r="C2148" s="124">
        <v>5490.0</v>
      </c>
      <c r="D2148" s="125">
        <f t="shared" si="230"/>
        <v>1000</v>
      </c>
      <c r="E2148" s="126" t="s">
        <v>123</v>
      </c>
      <c r="F2148" s="132"/>
      <c r="G2148" s="123"/>
    </row>
    <row r="2149" hidden="1">
      <c r="A2149" s="150" t="s">
        <v>1209</v>
      </c>
      <c r="B2149" s="132">
        <v>1390.0</v>
      </c>
      <c r="C2149" s="147">
        <v>1494.0</v>
      </c>
      <c r="D2149" s="132">
        <f t="shared" si="230"/>
        <v>104</v>
      </c>
      <c r="E2149" s="132" t="s">
        <v>123</v>
      </c>
      <c r="F2149" s="132"/>
      <c r="G2149" s="129"/>
      <c r="H2149" s="129"/>
      <c r="I2149" s="129"/>
      <c r="J2149" s="129"/>
      <c r="K2149" s="129"/>
      <c r="L2149" s="129"/>
      <c r="M2149" s="129"/>
      <c r="N2149" s="129"/>
      <c r="O2149" s="129"/>
      <c r="P2149" s="129"/>
      <c r="Q2149" s="129"/>
      <c r="R2149" s="129"/>
      <c r="S2149" s="129"/>
      <c r="T2149" s="129"/>
      <c r="U2149" s="129"/>
      <c r="V2149" s="129"/>
      <c r="W2149" s="129"/>
      <c r="X2149" s="129"/>
      <c r="Y2149" s="129"/>
      <c r="Z2149" s="129"/>
      <c r="AA2149" s="129"/>
      <c r="AB2149" s="129"/>
    </row>
    <row r="2150" hidden="1">
      <c r="A2150" s="142" t="s">
        <v>480</v>
      </c>
      <c r="B2150" s="147">
        <v>1290.0</v>
      </c>
      <c r="C2150" s="124">
        <v>1500.0</v>
      </c>
      <c r="D2150" s="132">
        <f t="shared" si="230"/>
        <v>210</v>
      </c>
      <c r="E2150" s="126" t="s">
        <v>123</v>
      </c>
      <c r="F2150" s="139"/>
      <c r="G2150" s="129"/>
      <c r="H2150" s="129"/>
      <c r="I2150" s="129"/>
      <c r="J2150" s="129"/>
      <c r="K2150" s="129"/>
      <c r="L2150" s="129"/>
      <c r="M2150" s="129"/>
      <c r="N2150" s="129"/>
      <c r="O2150" s="129"/>
      <c r="P2150" s="129"/>
      <c r="Q2150" s="129"/>
      <c r="R2150" s="129"/>
      <c r="S2150" s="129"/>
      <c r="T2150" s="129"/>
      <c r="U2150" s="129"/>
      <c r="V2150" s="129"/>
      <c r="W2150" s="129"/>
      <c r="X2150" s="129"/>
      <c r="Y2150" s="129"/>
      <c r="Z2150" s="129"/>
      <c r="AA2150" s="129"/>
      <c r="AB2150" s="129"/>
    </row>
    <row r="2151" hidden="1">
      <c r="A2151" s="123" t="s">
        <v>438</v>
      </c>
      <c r="B2151" s="147">
        <v>1690.0</v>
      </c>
      <c r="C2151" s="124">
        <v>1750.0</v>
      </c>
      <c r="D2151" s="125">
        <f t="shared" si="230"/>
        <v>60</v>
      </c>
      <c r="E2151" s="126" t="s">
        <v>123</v>
      </c>
      <c r="F2151" s="147"/>
      <c r="G2151" s="123"/>
    </row>
    <row r="2152" hidden="1">
      <c r="A2152" s="150" t="s">
        <v>460</v>
      </c>
      <c r="B2152" s="147">
        <v>1590.0</v>
      </c>
      <c r="C2152" s="147">
        <v>1750.0</v>
      </c>
      <c r="D2152" s="132">
        <f t="shared" si="230"/>
        <v>160</v>
      </c>
      <c r="E2152" s="132" t="s">
        <v>123</v>
      </c>
      <c r="F2152" s="132"/>
      <c r="G2152" s="129"/>
      <c r="H2152" s="129"/>
      <c r="I2152" s="129"/>
      <c r="J2152" s="129"/>
      <c r="K2152" s="129"/>
      <c r="L2152" s="129"/>
      <c r="M2152" s="129"/>
      <c r="N2152" s="129"/>
      <c r="O2152" s="129"/>
      <c r="P2152" s="129"/>
      <c r="Q2152" s="129"/>
      <c r="R2152" s="129"/>
      <c r="S2152" s="129"/>
      <c r="T2152" s="129"/>
      <c r="U2152" s="129"/>
      <c r="V2152" s="129"/>
      <c r="W2152" s="129"/>
      <c r="X2152" s="129"/>
      <c r="Y2152" s="129"/>
      <c r="Z2152" s="129"/>
      <c r="AA2152" s="129"/>
      <c r="AB2152" s="129"/>
    </row>
    <row r="2153" hidden="1">
      <c r="A2153" s="128" t="s">
        <v>553</v>
      </c>
      <c r="B2153" s="147">
        <v>990.0</v>
      </c>
      <c r="C2153" s="147">
        <v>1250.0</v>
      </c>
      <c r="D2153" s="132">
        <f t="shared" si="230"/>
        <v>260</v>
      </c>
      <c r="E2153" s="147" t="s">
        <v>120</v>
      </c>
      <c r="F2153" s="139"/>
      <c r="G2153" s="150"/>
      <c r="H2153" s="129"/>
      <c r="I2153" s="129"/>
      <c r="J2153" s="129"/>
      <c r="K2153" s="129"/>
      <c r="L2153" s="129"/>
      <c r="M2153" s="129"/>
      <c r="N2153" s="129"/>
      <c r="O2153" s="129"/>
      <c r="P2153" s="129"/>
      <c r="Q2153" s="129"/>
      <c r="R2153" s="129"/>
      <c r="S2153" s="129"/>
      <c r="T2153" s="129"/>
      <c r="U2153" s="129"/>
      <c r="V2153" s="129"/>
      <c r="W2153" s="129"/>
      <c r="X2153" s="129"/>
      <c r="Y2153" s="129"/>
      <c r="Z2153" s="129"/>
      <c r="AA2153" s="129"/>
      <c r="AB2153" s="129"/>
    </row>
    <row r="2154" hidden="1">
      <c r="A2154" s="150" t="s">
        <v>446</v>
      </c>
      <c r="B2154" s="147">
        <v>1440.0</v>
      </c>
      <c r="C2154" s="124">
        <v>1500.0</v>
      </c>
      <c r="D2154" s="132">
        <f t="shared" si="230"/>
        <v>60</v>
      </c>
      <c r="E2154" s="126" t="s">
        <v>123</v>
      </c>
      <c r="F2154" s="139"/>
      <c r="G2154" s="129"/>
      <c r="H2154" s="129"/>
      <c r="I2154" s="129"/>
      <c r="J2154" s="129"/>
      <c r="K2154" s="129"/>
      <c r="L2154" s="129"/>
      <c r="M2154" s="129"/>
      <c r="N2154" s="129"/>
      <c r="O2154" s="129"/>
      <c r="P2154" s="129"/>
      <c r="Q2154" s="129"/>
      <c r="R2154" s="129"/>
      <c r="S2154" s="129"/>
      <c r="T2154" s="129"/>
      <c r="U2154" s="129"/>
      <c r="V2154" s="129"/>
      <c r="W2154" s="129"/>
      <c r="X2154" s="129"/>
      <c r="Y2154" s="129"/>
      <c r="Z2154" s="129"/>
      <c r="AA2154" s="129"/>
      <c r="AB2154" s="129"/>
    </row>
    <row r="2155" hidden="1">
      <c r="A2155" s="150" t="s">
        <v>446</v>
      </c>
      <c r="B2155" s="147">
        <v>1440.0</v>
      </c>
      <c r="C2155" s="124">
        <v>1500.0</v>
      </c>
      <c r="D2155" s="132">
        <f t="shared" si="230"/>
        <v>60</v>
      </c>
      <c r="E2155" s="132" t="s">
        <v>123</v>
      </c>
      <c r="F2155" s="139"/>
      <c r="G2155" s="129"/>
      <c r="H2155" s="129"/>
      <c r="I2155" s="129"/>
      <c r="J2155" s="129"/>
      <c r="K2155" s="129"/>
      <c r="L2155" s="129"/>
      <c r="M2155" s="129"/>
      <c r="N2155" s="129"/>
      <c r="O2155" s="129"/>
      <c r="P2155" s="129"/>
      <c r="Q2155" s="129"/>
      <c r="R2155" s="129"/>
      <c r="S2155" s="129"/>
      <c r="T2155" s="129"/>
      <c r="U2155" s="129"/>
      <c r="V2155" s="129"/>
      <c r="W2155" s="129"/>
      <c r="X2155" s="129"/>
      <c r="Y2155" s="129"/>
      <c r="Z2155" s="129"/>
      <c r="AA2155" s="129"/>
      <c r="AB2155" s="129"/>
    </row>
    <row r="2156" hidden="1">
      <c r="A2156" s="150" t="s">
        <v>1209</v>
      </c>
      <c r="B2156" s="132">
        <v>1390.0</v>
      </c>
      <c r="C2156" s="147">
        <v>1494.0</v>
      </c>
      <c r="D2156" s="132">
        <f t="shared" si="230"/>
        <v>104</v>
      </c>
      <c r="E2156" s="132" t="s">
        <v>123</v>
      </c>
      <c r="F2156" s="132"/>
      <c r="G2156" s="129"/>
      <c r="H2156" s="129"/>
      <c r="I2156" s="129"/>
      <c r="J2156" s="129"/>
      <c r="K2156" s="129"/>
      <c r="L2156" s="129"/>
      <c r="M2156" s="129"/>
      <c r="N2156" s="129"/>
      <c r="O2156" s="129"/>
      <c r="P2156" s="129"/>
      <c r="Q2156" s="129"/>
      <c r="R2156" s="129"/>
      <c r="S2156" s="129"/>
      <c r="T2156" s="129"/>
      <c r="U2156" s="129"/>
      <c r="V2156" s="129"/>
      <c r="W2156" s="129"/>
      <c r="X2156" s="129"/>
      <c r="Y2156" s="129"/>
      <c r="Z2156" s="129"/>
      <c r="AA2156" s="129"/>
      <c r="AB2156" s="129"/>
    </row>
    <row r="2157" hidden="1">
      <c r="A2157" s="150" t="s">
        <v>1061</v>
      </c>
      <c r="B2157" s="167">
        <v>1190.0</v>
      </c>
      <c r="C2157" s="167">
        <v>1300.0</v>
      </c>
      <c r="D2157" s="168">
        <f t="shared" si="230"/>
        <v>110</v>
      </c>
      <c r="E2157" s="132" t="s">
        <v>123</v>
      </c>
      <c r="F2157" s="139"/>
      <c r="G2157" s="150"/>
      <c r="H2157" s="129"/>
      <c r="I2157" s="129"/>
      <c r="J2157" s="129"/>
      <c r="K2157" s="129"/>
      <c r="L2157" s="129"/>
      <c r="M2157" s="129"/>
      <c r="N2157" s="129"/>
      <c r="O2157" s="129"/>
      <c r="P2157" s="129"/>
      <c r="Q2157" s="129"/>
      <c r="R2157" s="129"/>
      <c r="S2157" s="129"/>
      <c r="T2157" s="129"/>
      <c r="U2157" s="129"/>
      <c r="V2157" s="129"/>
      <c r="W2157" s="129"/>
      <c r="X2157" s="129"/>
      <c r="Y2157" s="129"/>
      <c r="Z2157" s="129"/>
      <c r="AA2157" s="129"/>
      <c r="AB2157" s="129"/>
    </row>
    <row r="2158" hidden="1">
      <c r="A2158" s="150" t="s">
        <v>446</v>
      </c>
      <c r="B2158" s="147">
        <v>1440.0</v>
      </c>
      <c r="C2158" s="124">
        <v>1542.0</v>
      </c>
      <c r="D2158" s="132">
        <f t="shared" si="230"/>
        <v>102</v>
      </c>
      <c r="E2158" s="132" t="s">
        <v>123</v>
      </c>
      <c r="F2158" s="139"/>
      <c r="G2158" s="129"/>
      <c r="H2158" s="129"/>
      <c r="I2158" s="129"/>
      <c r="J2158" s="129"/>
      <c r="K2158" s="129"/>
      <c r="L2158" s="129"/>
      <c r="M2158" s="129"/>
      <c r="N2158" s="129"/>
      <c r="O2158" s="129"/>
      <c r="P2158" s="129"/>
      <c r="Q2158" s="129"/>
      <c r="R2158" s="129"/>
      <c r="S2158" s="129"/>
      <c r="T2158" s="129"/>
      <c r="U2158" s="129"/>
      <c r="V2158" s="129"/>
      <c r="W2158" s="129"/>
      <c r="X2158" s="129"/>
      <c r="Y2158" s="129"/>
      <c r="Z2158" s="129"/>
      <c r="AA2158" s="129"/>
      <c r="AB2158" s="129"/>
    </row>
    <row r="2159" hidden="1">
      <c r="A2159" s="123" t="s">
        <v>1316</v>
      </c>
      <c r="B2159" s="147">
        <v>1390.0</v>
      </c>
      <c r="C2159" s="147">
        <v>1542.0</v>
      </c>
      <c r="D2159" s="125">
        <f t="shared" si="230"/>
        <v>152</v>
      </c>
      <c r="E2159" s="126" t="s">
        <v>123</v>
      </c>
      <c r="F2159" s="147"/>
      <c r="G2159" s="123"/>
    </row>
    <row r="2160" hidden="1">
      <c r="A2160" s="150" t="s">
        <v>446</v>
      </c>
      <c r="B2160" s="147">
        <v>1440.0</v>
      </c>
      <c r="C2160" s="124">
        <v>1543.0</v>
      </c>
      <c r="D2160" s="132">
        <f t="shared" si="230"/>
        <v>103</v>
      </c>
      <c r="E2160" s="132" t="s">
        <v>123</v>
      </c>
      <c r="F2160" s="139"/>
      <c r="G2160" s="129"/>
      <c r="H2160" s="129"/>
      <c r="I2160" s="129"/>
      <c r="J2160" s="129"/>
      <c r="K2160" s="129"/>
      <c r="L2160" s="129"/>
      <c r="M2160" s="129"/>
      <c r="N2160" s="129"/>
      <c r="O2160" s="129"/>
      <c r="P2160" s="129"/>
      <c r="Q2160" s="129"/>
      <c r="R2160" s="129"/>
      <c r="S2160" s="129"/>
      <c r="T2160" s="129"/>
      <c r="U2160" s="129"/>
      <c r="V2160" s="129"/>
      <c r="W2160" s="129"/>
      <c r="X2160" s="129"/>
      <c r="Y2160" s="129"/>
      <c r="Z2160" s="129"/>
      <c r="AA2160" s="129"/>
      <c r="AB2160" s="129"/>
    </row>
    <row r="2161" hidden="1">
      <c r="A2161" s="159" t="s">
        <v>403</v>
      </c>
      <c r="B2161" s="124">
        <v>2730.0</v>
      </c>
      <c r="C2161" s="147">
        <v>3860.0</v>
      </c>
      <c r="D2161" s="270">
        <f t="shared" si="230"/>
        <v>1130</v>
      </c>
      <c r="E2161" s="126" t="s">
        <v>123</v>
      </c>
      <c r="F2161" s="139"/>
      <c r="G2161" s="129"/>
      <c r="H2161" s="129"/>
      <c r="I2161" s="129"/>
      <c r="J2161" s="129"/>
      <c r="K2161" s="129"/>
      <c r="L2161" s="129"/>
      <c r="M2161" s="129"/>
      <c r="N2161" s="129"/>
      <c r="O2161" s="129"/>
      <c r="P2161" s="129"/>
      <c r="Q2161" s="129"/>
      <c r="R2161" s="129"/>
      <c r="S2161" s="129"/>
      <c r="T2161" s="129"/>
      <c r="U2161" s="129"/>
      <c r="V2161" s="129"/>
      <c r="W2161" s="129"/>
      <c r="X2161" s="129"/>
      <c r="Y2161" s="129"/>
      <c r="Z2161" s="129"/>
      <c r="AA2161" s="129"/>
      <c r="AB2161" s="129"/>
    </row>
    <row r="2162" hidden="1">
      <c r="A2162" s="128" t="s">
        <v>404</v>
      </c>
      <c r="B2162" s="147">
        <v>0.0</v>
      </c>
      <c r="C2162" s="124">
        <v>0.0</v>
      </c>
      <c r="D2162" s="132">
        <f t="shared" si="230"/>
        <v>0</v>
      </c>
      <c r="E2162" s="126" t="s">
        <v>123</v>
      </c>
      <c r="F2162" s="124"/>
      <c r="G2162" s="129"/>
      <c r="H2162" s="129"/>
      <c r="I2162" s="129"/>
      <c r="J2162" s="129"/>
      <c r="K2162" s="129"/>
      <c r="L2162" s="129"/>
      <c r="M2162" s="129"/>
      <c r="N2162" s="129"/>
      <c r="O2162" s="129"/>
      <c r="P2162" s="129"/>
      <c r="Q2162" s="129"/>
      <c r="R2162" s="129"/>
      <c r="S2162" s="129"/>
      <c r="T2162" s="129"/>
      <c r="U2162" s="129"/>
      <c r="V2162" s="129"/>
      <c r="W2162" s="129"/>
      <c r="X2162" s="129"/>
      <c r="Y2162" s="129"/>
      <c r="Z2162" s="129"/>
      <c r="AA2162" s="129"/>
      <c r="AB2162" s="129"/>
    </row>
    <row r="2163" hidden="1">
      <c r="A2163" s="128" t="s">
        <v>1317</v>
      </c>
      <c r="B2163" s="147">
        <v>1490.0</v>
      </c>
      <c r="C2163" s="147">
        <v>1639.0</v>
      </c>
      <c r="D2163" s="132">
        <f t="shared" si="230"/>
        <v>149</v>
      </c>
      <c r="E2163" s="126" t="s">
        <v>123</v>
      </c>
      <c r="F2163" s="132"/>
      <c r="G2163" s="129"/>
      <c r="H2163" s="129"/>
      <c r="I2163" s="129"/>
      <c r="J2163" s="129"/>
      <c r="K2163" s="129"/>
      <c r="L2163" s="129"/>
      <c r="M2163" s="129"/>
      <c r="N2163" s="129"/>
      <c r="O2163" s="129"/>
      <c r="P2163" s="129"/>
      <c r="Q2163" s="129"/>
      <c r="R2163" s="129"/>
      <c r="S2163" s="129"/>
      <c r="T2163" s="129"/>
      <c r="U2163" s="129"/>
      <c r="V2163" s="129"/>
      <c r="W2163" s="129"/>
      <c r="X2163" s="129"/>
      <c r="Y2163" s="129"/>
      <c r="Z2163" s="129"/>
      <c r="AA2163" s="129"/>
      <c r="AB2163" s="129"/>
    </row>
    <row r="2164" hidden="1">
      <c r="A2164" s="128" t="s">
        <v>1318</v>
      </c>
      <c r="B2164" s="147">
        <v>890.0</v>
      </c>
      <c r="C2164" s="147">
        <v>965.0</v>
      </c>
      <c r="D2164" s="132">
        <f t="shared" si="230"/>
        <v>75</v>
      </c>
      <c r="E2164" s="394" t="s">
        <v>120</v>
      </c>
      <c r="F2164" s="139"/>
      <c r="G2164" s="129"/>
      <c r="H2164" s="129"/>
      <c r="I2164" s="129"/>
      <c r="J2164" s="129"/>
      <c r="K2164" s="129"/>
      <c r="L2164" s="129"/>
      <c r="M2164" s="129"/>
      <c r="N2164" s="129"/>
      <c r="O2164" s="129"/>
      <c r="P2164" s="129"/>
      <c r="Q2164" s="129"/>
      <c r="R2164" s="129"/>
      <c r="S2164" s="129"/>
      <c r="T2164" s="129"/>
      <c r="U2164" s="129"/>
      <c r="V2164" s="129"/>
      <c r="W2164" s="129"/>
      <c r="X2164" s="129"/>
      <c r="Y2164" s="129"/>
      <c r="Z2164" s="129"/>
      <c r="AA2164" s="129"/>
      <c r="AB2164" s="129"/>
    </row>
    <row r="2165" hidden="1">
      <c r="A2165" s="151" t="s">
        <v>447</v>
      </c>
      <c r="B2165" s="132">
        <v>1090.0</v>
      </c>
      <c r="C2165" s="147">
        <v>1251.0</v>
      </c>
      <c r="D2165" s="132">
        <f t="shared" si="230"/>
        <v>161</v>
      </c>
      <c r="E2165" s="132" t="s">
        <v>123</v>
      </c>
      <c r="F2165" s="139"/>
      <c r="G2165" s="129"/>
      <c r="H2165" s="129"/>
      <c r="I2165" s="129"/>
      <c r="J2165" s="129"/>
      <c r="K2165" s="129"/>
      <c r="L2165" s="129"/>
      <c r="M2165" s="129"/>
      <c r="N2165" s="129"/>
      <c r="O2165" s="129"/>
      <c r="P2165" s="129"/>
      <c r="Q2165" s="129"/>
      <c r="R2165" s="129"/>
      <c r="S2165" s="129"/>
      <c r="T2165" s="129"/>
      <c r="U2165" s="129"/>
      <c r="V2165" s="129"/>
      <c r="W2165" s="129"/>
      <c r="X2165" s="129"/>
      <c r="Y2165" s="129"/>
      <c r="Z2165" s="129"/>
      <c r="AA2165" s="129"/>
      <c r="AB2165" s="129"/>
    </row>
    <row r="2166" hidden="1">
      <c r="A2166" s="128" t="s">
        <v>1319</v>
      </c>
      <c r="B2166" s="147">
        <v>290.0</v>
      </c>
      <c r="C2166" s="147">
        <v>478.0</v>
      </c>
      <c r="D2166" s="132">
        <f t="shared" si="230"/>
        <v>188</v>
      </c>
      <c r="E2166" s="147" t="s">
        <v>120</v>
      </c>
      <c r="F2166" s="139"/>
      <c r="G2166" s="129"/>
      <c r="H2166" s="129"/>
      <c r="I2166" s="129"/>
      <c r="J2166" s="129"/>
      <c r="K2166" s="129"/>
      <c r="L2166" s="129"/>
      <c r="M2166" s="129"/>
      <c r="N2166" s="129"/>
      <c r="O2166" s="129"/>
      <c r="S2166" s="129"/>
      <c r="T2166" s="129"/>
      <c r="U2166" s="129"/>
      <c r="V2166" s="129"/>
      <c r="W2166" s="129"/>
      <c r="X2166" s="129"/>
      <c r="Y2166" s="129"/>
      <c r="Z2166" s="129"/>
      <c r="AA2166" s="129"/>
      <c r="AB2166" s="129"/>
    </row>
    <row r="2167" hidden="1">
      <c r="A2167" s="128" t="s">
        <v>1320</v>
      </c>
      <c r="B2167" s="147">
        <v>1490.0</v>
      </c>
      <c r="C2167" s="147">
        <v>1639.0</v>
      </c>
      <c r="D2167" s="132">
        <f t="shared" si="230"/>
        <v>149</v>
      </c>
      <c r="E2167" s="132" t="s">
        <v>123</v>
      </c>
      <c r="F2167" s="132"/>
      <c r="G2167" s="129"/>
      <c r="H2167" s="129"/>
      <c r="I2167" s="129"/>
      <c r="J2167" s="129"/>
      <c r="K2167" s="129"/>
      <c r="L2167" s="129"/>
      <c r="M2167" s="129"/>
      <c r="N2167" s="129"/>
      <c r="O2167" s="129"/>
      <c r="P2167" s="129"/>
      <c r="Q2167" s="129"/>
      <c r="R2167" s="129"/>
      <c r="S2167" s="129"/>
      <c r="T2167" s="129"/>
      <c r="U2167" s="129"/>
      <c r="V2167" s="129"/>
      <c r="W2167" s="129"/>
      <c r="X2167" s="129"/>
      <c r="Y2167" s="129"/>
      <c r="Z2167" s="129"/>
      <c r="AA2167" s="129"/>
      <c r="AB2167" s="129"/>
    </row>
    <row r="2168" hidden="1">
      <c r="A2168" s="150" t="s">
        <v>1226</v>
      </c>
      <c r="B2168" s="132">
        <v>1090.0</v>
      </c>
      <c r="C2168" s="147">
        <v>1251.0</v>
      </c>
      <c r="D2168" s="132">
        <f t="shared" si="230"/>
        <v>161</v>
      </c>
      <c r="E2168" s="132" t="s">
        <v>123</v>
      </c>
      <c r="F2168" s="132"/>
      <c r="G2168" s="129"/>
      <c r="H2168" s="129"/>
      <c r="I2168" s="129"/>
      <c r="J2168" s="129"/>
      <c r="K2168" s="129"/>
      <c r="L2168" s="129"/>
      <c r="M2168" s="129"/>
      <c r="N2168" s="129"/>
      <c r="O2168" s="129"/>
      <c r="P2168" s="129"/>
      <c r="Q2168" s="129"/>
      <c r="R2168" s="129"/>
      <c r="S2168" s="129"/>
      <c r="T2168" s="129"/>
      <c r="U2168" s="129"/>
      <c r="V2168" s="129"/>
      <c r="W2168" s="129"/>
      <c r="X2168" s="129"/>
      <c r="Y2168" s="129"/>
      <c r="Z2168" s="129"/>
      <c r="AA2168" s="129"/>
      <c r="AB2168" s="129"/>
    </row>
    <row r="2169" hidden="1">
      <c r="A2169" s="128" t="s">
        <v>379</v>
      </c>
      <c r="B2169" s="147">
        <v>1790.0</v>
      </c>
      <c r="C2169" s="147">
        <v>1698.0</v>
      </c>
      <c r="D2169" s="132">
        <f t="shared" si="230"/>
        <v>-92</v>
      </c>
      <c r="E2169" s="147" t="s">
        <v>120</v>
      </c>
      <c r="F2169" s="139"/>
      <c r="G2169" s="150"/>
      <c r="H2169" s="129"/>
      <c r="I2169" s="129"/>
      <c r="J2169" s="129"/>
      <c r="K2169" s="129"/>
      <c r="L2169" s="129"/>
      <c r="M2169" s="129"/>
      <c r="N2169" s="129"/>
      <c r="O2169" s="129"/>
      <c r="P2169" s="129"/>
      <c r="Q2169" s="129"/>
      <c r="R2169" s="129"/>
      <c r="S2169" s="129"/>
      <c r="T2169" s="129"/>
      <c r="U2169" s="129"/>
      <c r="V2169" s="129"/>
      <c r="W2169" s="129"/>
      <c r="X2169" s="129"/>
      <c r="Y2169" s="129"/>
      <c r="Z2169" s="129"/>
      <c r="AA2169" s="129"/>
      <c r="AB2169" s="129"/>
    </row>
    <row r="2170" hidden="1">
      <c r="A2170" s="128" t="s">
        <v>1318</v>
      </c>
      <c r="B2170" s="147">
        <v>890.0</v>
      </c>
      <c r="C2170" s="147">
        <v>960.0</v>
      </c>
      <c r="D2170" s="132">
        <f t="shared" si="230"/>
        <v>70</v>
      </c>
      <c r="E2170" s="394" t="s">
        <v>120</v>
      </c>
      <c r="F2170" s="139"/>
      <c r="G2170" s="129"/>
      <c r="H2170" s="129"/>
      <c r="I2170" s="129"/>
      <c r="J2170" s="129"/>
      <c r="K2170" s="129"/>
      <c r="L2170" s="129"/>
      <c r="M2170" s="129"/>
      <c r="N2170" s="129"/>
      <c r="O2170" s="129"/>
      <c r="P2170" s="129"/>
      <c r="Q2170" s="129"/>
      <c r="R2170" s="129"/>
      <c r="S2170" s="129"/>
      <c r="T2170" s="129"/>
      <c r="U2170" s="129"/>
      <c r="V2170" s="129"/>
      <c r="W2170" s="129"/>
      <c r="X2170" s="129"/>
      <c r="Y2170" s="129"/>
      <c r="Z2170" s="129"/>
      <c r="AA2170" s="129"/>
      <c r="AB2170" s="129"/>
    </row>
    <row r="2171" hidden="1">
      <c r="A2171" s="128" t="s">
        <v>1314</v>
      </c>
      <c r="B2171" s="147">
        <v>2380.0</v>
      </c>
      <c r="C2171" s="147">
        <v>2648.0</v>
      </c>
      <c r="D2171" s="132">
        <f t="shared" si="230"/>
        <v>268</v>
      </c>
      <c r="E2171" s="132" t="s">
        <v>123</v>
      </c>
      <c r="F2171" s="139"/>
      <c r="G2171" s="129"/>
      <c r="H2171" s="129"/>
      <c r="I2171" s="129"/>
      <c r="J2171" s="129"/>
      <c r="K2171" s="129"/>
      <c r="L2171" s="129"/>
      <c r="M2171" s="129"/>
      <c r="N2171" s="129"/>
      <c r="O2171" s="129"/>
      <c r="P2171" s="129"/>
      <c r="Q2171" s="129"/>
      <c r="R2171" s="129"/>
      <c r="S2171" s="129"/>
      <c r="T2171" s="129"/>
      <c r="U2171" s="129"/>
      <c r="V2171" s="129"/>
      <c r="W2171" s="129"/>
      <c r="X2171" s="129"/>
      <c r="Y2171" s="129"/>
      <c r="Z2171" s="129"/>
      <c r="AA2171" s="129"/>
      <c r="AB2171" s="129"/>
    </row>
    <row r="2172" hidden="1">
      <c r="A2172" s="128" t="s">
        <v>1144</v>
      </c>
      <c r="B2172" s="147">
        <v>0.0</v>
      </c>
      <c r="C2172" s="147">
        <v>0.0</v>
      </c>
      <c r="D2172" s="132">
        <f t="shared" si="230"/>
        <v>0</v>
      </c>
      <c r="E2172" s="132" t="s">
        <v>123</v>
      </c>
      <c r="F2172" s="139"/>
      <c r="G2172" s="129"/>
      <c r="H2172" s="129"/>
      <c r="I2172" s="129"/>
      <c r="J2172" s="129"/>
      <c r="K2172" s="129"/>
      <c r="L2172" s="129"/>
      <c r="M2172" s="129"/>
      <c r="N2172" s="129"/>
      <c r="O2172" s="129"/>
      <c r="P2172" s="129"/>
      <c r="Q2172" s="129"/>
      <c r="R2172" s="129"/>
      <c r="S2172" s="129"/>
      <c r="T2172" s="129"/>
      <c r="U2172" s="129"/>
      <c r="V2172" s="129"/>
      <c r="W2172" s="129"/>
      <c r="X2172" s="129"/>
      <c r="Y2172" s="129"/>
      <c r="Z2172" s="129"/>
      <c r="AA2172" s="129"/>
      <c r="AB2172" s="129"/>
    </row>
    <row r="2173" hidden="1">
      <c r="A2173" s="150" t="s">
        <v>1212</v>
      </c>
      <c r="B2173" s="147">
        <v>1390.0</v>
      </c>
      <c r="C2173" s="147">
        <v>1494.0</v>
      </c>
      <c r="D2173" s="132">
        <f t="shared" si="230"/>
        <v>104</v>
      </c>
      <c r="E2173" s="132" t="s">
        <v>123</v>
      </c>
      <c r="F2173" s="139"/>
      <c r="G2173" s="129"/>
      <c r="H2173" s="129"/>
      <c r="I2173" s="129"/>
      <c r="J2173" s="129"/>
      <c r="K2173" s="129"/>
      <c r="L2173" s="129"/>
      <c r="M2173" s="129"/>
      <c r="N2173" s="129"/>
      <c r="O2173" s="129"/>
      <c r="P2173" s="129"/>
      <c r="Q2173" s="129"/>
      <c r="R2173" s="129"/>
      <c r="S2173" s="129"/>
      <c r="T2173" s="129"/>
      <c r="U2173" s="129"/>
      <c r="V2173" s="129"/>
      <c r="W2173" s="129"/>
      <c r="X2173" s="129"/>
      <c r="Y2173" s="129"/>
      <c r="Z2173" s="129"/>
      <c r="AA2173" s="129"/>
      <c r="AB2173" s="129"/>
    </row>
    <row r="2174" hidden="1">
      <c r="A2174" s="159" t="s">
        <v>1321</v>
      </c>
      <c r="B2174" s="147">
        <v>1090.0</v>
      </c>
      <c r="C2174" s="147">
        <v>1254.0</v>
      </c>
      <c r="D2174" s="132">
        <f t="shared" si="230"/>
        <v>164</v>
      </c>
      <c r="E2174" s="126" t="s">
        <v>123</v>
      </c>
      <c r="F2174" s="147"/>
      <c r="G2174" s="129"/>
      <c r="H2174" s="129"/>
      <c r="I2174" s="129"/>
      <c r="J2174" s="129"/>
      <c r="K2174" s="129"/>
      <c r="L2174" s="129"/>
      <c r="M2174" s="129"/>
      <c r="N2174" s="129"/>
      <c r="O2174" s="129"/>
      <c r="P2174" s="129"/>
      <c r="Q2174" s="129"/>
      <c r="R2174" s="129"/>
      <c r="S2174" s="129"/>
      <c r="T2174" s="129"/>
      <c r="U2174" s="129"/>
      <c r="V2174" s="129"/>
      <c r="W2174" s="129"/>
      <c r="X2174" s="129"/>
      <c r="Y2174" s="129"/>
      <c r="Z2174" s="129"/>
      <c r="AA2174" s="129"/>
      <c r="AB2174" s="129"/>
    </row>
    <row r="2175" hidden="1">
      <c r="A2175" s="123" t="s">
        <v>1322</v>
      </c>
      <c r="B2175" s="124">
        <v>1540.0</v>
      </c>
      <c r="C2175" s="124">
        <v>1688.0</v>
      </c>
      <c r="D2175" s="125">
        <f t="shared" si="230"/>
        <v>148</v>
      </c>
      <c r="E2175" s="126" t="s">
        <v>123</v>
      </c>
      <c r="F2175" s="124"/>
    </row>
    <row r="2176" hidden="1">
      <c r="A2176" s="150" t="s">
        <v>1212</v>
      </c>
      <c r="B2176" s="147">
        <v>1390.0</v>
      </c>
      <c r="C2176" s="147">
        <v>1498.0</v>
      </c>
      <c r="D2176" s="132">
        <f t="shared" si="230"/>
        <v>108</v>
      </c>
      <c r="E2176" s="132" t="s">
        <v>123</v>
      </c>
      <c r="F2176" s="139"/>
      <c r="G2176" s="129"/>
      <c r="H2176" s="129"/>
      <c r="I2176" s="129"/>
      <c r="J2176" s="129"/>
      <c r="K2176" s="129"/>
      <c r="L2176" s="129"/>
      <c r="M2176" s="129"/>
      <c r="N2176" s="129"/>
      <c r="O2176" s="129"/>
      <c r="P2176" s="129"/>
      <c r="Q2176" s="129"/>
      <c r="R2176" s="129"/>
      <c r="S2176" s="129"/>
      <c r="T2176" s="129"/>
      <c r="U2176" s="129"/>
      <c r="V2176" s="129"/>
      <c r="W2176" s="129"/>
      <c r="X2176" s="129"/>
      <c r="Y2176" s="129"/>
      <c r="Z2176" s="129"/>
      <c r="AA2176" s="129"/>
      <c r="AB2176" s="129"/>
    </row>
    <row r="2177" hidden="1">
      <c r="A2177" s="128" t="s">
        <v>1321</v>
      </c>
      <c r="B2177" s="126">
        <v>990.0</v>
      </c>
      <c r="C2177" s="126">
        <v>1251.0</v>
      </c>
      <c r="D2177" s="132">
        <f t="shared" si="230"/>
        <v>261</v>
      </c>
      <c r="E2177" s="126" t="s">
        <v>123</v>
      </c>
      <c r="F2177" s="147"/>
      <c r="G2177" s="129"/>
      <c r="H2177" s="129"/>
      <c r="I2177" s="129"/>
      <c r="J2177" s="129"/>
      <c r="K2177" s="129"/>
      <c r="L2177" s="129"/>
      <c r="M2177" s="129"/>
      <c r="N2177" s="129"/>
      <c r="O2177" s="129"/>
      <c r="P2177" s="129"/>
      <c r="Q2177" s="129"/>
      <c r="R2177" s="129"/>
      <c r="S2177" s="129"/>
      <c r="T2177" s="129"/>
      <c r="U2177" s="129"/>
      <c r="V2177" s="129"/>
      <c r="W2177" s="129"/>
      <c r="X2177" s="129"/>
      <c r="Y2177" s="129"/>
      <c r="Z2177" s="129"/>
      <c r="AA2177" s="129"/>
      <c r="AB2177" s="129"/>
    </row>
    <row r="2178" hidden="1">
      <c r="A2178" s="142" t="s">
        <v>1214</v>
      </c>
      <c r="B2178" s="147">
        <v>1290.0</v>
      </c>
      <c r="C2178" s="124">
        <v>1449.0</v>
      </c>
      <c r="D2178" s="132">
        <f t="shared" si="230"/>
        <v>159</v>
      </c>
      <c r="E2178" s="126" t="s">
        <v>123</v>
      </c>
      <c r="F2178" s="139"/>
      <c r="G2178" s="129"/>
      <c r="H2178" s="129"/>
      <c r="I2178" s="129"/>
      <c r="J2178" s="129"/>
      <c r="K2178" s="129"/>
      <c r="L2178" s="129"/>
      <c r="M2178" s="129"/>
      <c r="N2178" s="129"/>
      <c r="O2178" s="129"/>
      <c r="P2178" s="129"/>
      <c r="Q2178" s="129"/>
      <c r="R2178" s="129"/>
      <c r="S2178" s="129"/>
      <c r="T2178" s="129"/>
      <c r="U2178" s="129"/>
      <c r="V2178" s="129"/>
      <c r="W2178" s="129"/>
      <c r="X2178" s="129"/>
      <c r="Y2178" s="129"/>
      <c r="Z2178" s="129"/>
      <c r="AA2178" s="129"/>
      <c r="AB2178" s="129"/>
    </row>
    <row r="2179" hidden="1">
      <c r="A2179" s="123" t="s">
        <v>1323</v>
      </c>
      <c r="B2179" s="124">
        <v>1990.0</v>
      </c>
      <c r="C2179" s="124">
        <v>1936.0</v>
      </c>
      <c r="D2179" s="125">
        <f t="shared" si="230"/>
        <v>-54</v>
      </c>
      <c r="E2179" s="126" t="s">
        <v>123</v>
      </c>
      <c r="F2179" s="132"/>
      <c r="G2179" s="123"/>
    </row>
    <row r="2180" hidden="1">
      <c r="A2180" s="123" t="s">
        <v>1220</v>
      </c>
      <c r="B2180" s="147">
        <v>790.0</v>
      </c>
      <c r="C2180" s="147">
        <v>968.0</v>
      </c>
      <c r="D2180" s="132">
        <f t="shared" si="230"/>
        <v>178</v>
      </c>
      <c r="E2180" s="126" t="s">
        <v>123</v>
      </c>
    </row>
    <row r="2181" hidden="1">
      <c r="A2181" s="123" t="s">
        <v>1220</v>
      </c>
      <c r="B2181" s="147">
        <v>790.0</v>
      </c>
      <c r="C2181" s="147">
        <v>960.0</v>
      </c>
      <c r="D2181" s="132">
        <f t="shared" si="230"/>
        <v>170</v>
      </c>
      <c r="E2181" s="126" t="s">
        <v>123</v>
      </c>
    </row>
    <row r="2182" hidden="1">
      <c r="A2182" s="150" t="s">
        <v>402</v>
      </c>
      <c r="B2182" s="132">
        <v>1490.0</v>
      </c>
      <c r="C2182" s="147">
        <v>1930.0</v>
      </c>
      <c r="D2182" s="132">
        <f t="shared" si="230"/>
        <v>440</v>
      </c>
      <c r="E2182" s="132" t="s">
        <v>123</v>
      </c>
      <c r="F2182" s="139"/>
      <c r="G2182" s="129"/>
      <c r="H2182" s="129"/>
      <c r="I2182" s="129"/>
      <c r="J2182" s="129"/>
      <c r="K2182" s="129"/>
      <c r="L2182" s="129"/>
      <c r="M2182" s="129"/>
      <c r="N2182" s="129"/>
      <c r="O2182" s="129"/>
      <c r="P2182" s="129"/>
      <c r="Q2182" s="129"/>
      <c r="R2182" s="129"/>
      <c r="S2182" s="129"/>
      <c r="T2182" s="129"/>
      <c r="U2182" s="129"/>
      <c r="V2182" s="129"/>
      <c r="W2182" s="129"/>
      <c r="X2182" s="129"/>
      <c r="Y2182" s="129"/>
      <c r="Z2182" s="129"/>
      <c r="AA2182" s="129"/>
      <c r="AB2182" s="129"/>
    </row>
    <row r="2183" hidden="1">
      <c r="A2183" s="128" t="s">
        <v>1209</v>
      </c>
      <c r="B2183" s="147">
        <v>1390.0</v>
      </c>
      <c r="C2183" s="147">
        <v>1498.0</v>
      </c>
      <c r="D2183" s="132">
        <f t="shared" si="230"/>
        <v>108</v>
      </c>
      <c r="E2183" s="132" t="s">
        <v>123</v>
      </c>
      <c r="F2183" s="132"/>
      <c r="G2183" s="129"/>
      <c r="H2183" s="129"/>
      <c r="I2183" s="129"/>
      <c r="J2183" s="129"/>
      <c r="K2183" s="129"/>
      <c r="L2183" s="129"/>
      <c r="M2183" s="129"/>
      <c r="N2183" s="129"/>
      <c r="O2183" s="129"/>
      <c r="P2183" s="129"/>
      <c r="Q2183" s="129"/>
      <c r="R2183" s="129"/>
      <c r="S2183" s="129"/>
      <c r="T2183" s="129"/>
      <c r="U2183" s="129"/>
      <c r="V2183" s="129"/>
      <c r="W2183" s="129"/>
      <c r="X2183" s="129"/>
      <c r="Y2183" s="129"/>
      <c r="Z2183" s="129"/>
      <c r="AA2183" s="129"/>
      <c r="AB2183" s="129"/>
    </row>
    <row r="2184" hidden="1">
      <c r="A2184" s="128" t="s">
        <v>1209</v>
      </c>
      <c r="B2184" s="147">
        <v>1390.0</v>
      </c>
      <c r="C2184" s="147">
        <v>1499.0</v>
      </c>
      <c r="D2184" s="132">
        <f t="shared" si="230"/>
        <v>109</v>
      </c>
      <c r="E2184" s="132" t="s">
        <v>123</v>
      </c>
      <c r="F2184" s="132"/>
      <c r="G2184" s="129"/>
      <c r="H2184" s="129"/>
      <c r="I2184" s="129"/>
      <c r="J2184" s="129"/>
      <c r="K2184" s="129"/>
      <c r="L2184" s="129"/>
      <c r="M2184" s="129"/>
      <c r="N2184" s="129"/>
      <c r="O2184" s="129"/>
      <c r="P2184" s="129"/>
      <c r="Q2184" s="129"/>
      <c r="R2184" s="129"/>
      <c r="S2184" s="129"/>
      <c r="T2184" s="129"/>
      <c r="U2184" s="129"/>
      <c r="V2184" s="129"/>
      <c r="W2184" s="129"/>
      <c r="X2184" s="129"/>
      <c r="Y2184" s="129"/>
      <c r="Z2184" s="129"/>
      <c r="AA2184" s="129"/>
      <c r="AB2184" s="129"/>
    </row>
    <row r="2185" hidden="1">
      <c r="A2185" s="150" t="s">
        <v>1300</v>
      </c>
      <c r="B2185" s="147">
        <v>1440.0</v>
      </c>
      <c r="C2185" s="147">
        <v>1591.0</v>
      </c>
      <c r="D2185" s="132">
        <f t="shared" si="230"/>
        <v>151</v>
      </c>
      <c r="E2185" s="132" t="s">
        <v>123</v>
      </c>
      <c r="F2185" s="139"/>
      <c r="G2185" s="150"/>
      <c r="H2185" s="129"/>
      <c r="I2185" s="129"/>
      <c r="J2185" s="129"/>
      <c r="K2185" s="129"/>
      <c r="L2185" s="129"/>
      <c r="M2185" s="129"/>
      <c r="N2185" s="129"/>
      <c r="O2185" s="129"/>
      <c r="P2185" s="129"/>
      <c r="Q2185" s="129"/>
      <c r="R2185" s="129"/>
      <c r="S2185" s="129"/>
      <c r="T2185" s="129"/>
      <c r="U2185" s="129"/>
      <c r="V2185" s="129"/>
      <c r="W2185" s="129"/>
      <c r="X2185" s="129"/>
      <c r="Y2185" s="129"/>
      <c r="Z2185" s="129"/>
      <c r="AA2185" s="129"/>
      <c r="AB2185" s="129"/>
    </row>
    <row r="2186" hidden="1">
      <c r="A2186" s="128" t="s">
        <v>1324</v>
      </c>
      <c r="B2186" s="127">
        <v>1090.0</v>
      </c>
      <c r="C2186" s="126">
        <v>1208.0</v>
      </c>
      <c r="D2186" s="132">
        <f t="shared" si="230"/>
        <v>118</v>
      </c>
      <c r="E2186" s="394" t="s">
        <v>120</v>
      </c>
      <c r="F2186" s="147"/>
      <c r="G2186" s="129"/>
      <c r="H2186" s="129"/>
      <c r="I2186" s="129"/>
      <c r="J2186" s="129"/>
      <c r="K2186" s="129"/>
      <c r="L2186" s="129"/>
      <c r="M2186" s="129"/>
      <c r="N2186" s="129"/>
      <c r="O2186" s="129"/>
      <c r="P2186" s="129"/>
      <c r="Q2186" s="129"/>
      <c r="R2186" s="129"/>
      <c r="S2186" s="129"/>
      <c r="T2186" s="129"/>
      <c r="U2186" s="129"/>
      <c r="V2186" s="129"/>
      <c r="W2186" s="129"/>
      <c r="X2186" s="129"/>
      <c r="Y2186" s="129"/>
      <c r="Z2186" s="129"/>
      <c r="AA2186" s="129"/>
      <c r="AB2186" s="129"/>
    </row>
    <row r="2187" hidden="1">
      <c r="A2187" s="128" t="s">
        <v>1325</v>
      </c>
      <c r="B2187" s="147">
        <v>1390.0</v>
      </c>
      <c r="C2187" s="147">
        <v>1547.0</v>
      </c>
      <c r="D2187" s="132">
        <f t="shared" si="230"/>
        <v>157</v>
      </c>
      <c r="E2187" s="126" t="s">
        <v>123</v>
      </c>
      <c r="F2187" s="127"/>
      <c r="G2187" s="129"/>
      <c r="H2187" s="129"/>
      <c r="I2187" s="129"/>
      <c r="J2187" s="129"/>
      <c r="K2187" s="129"/>
      <c r="L2187" s="129"/>
      <c r="M2187" s="129"/>
      <c r="N2187" s="129"/>
      <c r="O2187" s="129"/>
      <c r="P2187" s="129"/>
      <c r="Q2187" s="129"/>
      <c r="R2187" s="129"/>
      <c r="S2187" s="129"/>
      <c r="T2187" s="129"/>
      <c r="U2187" s="129"/>
      <c r="V2187" s="129"/>
      <c r="W2187" s="129"/>
      <c r="X2187" s="129"/>
      <c r="Y2187" s="129"/>
      <c r="Z2187" s="129"/>
      <c r="AA2187" s="129"/>
      <c r="AB2187" s="129"/>
    </row>
    <row r="2188" hidden="1">
      <c r="A2188" s="128" t="s">
        <v>1176</v>
      </c>
      <c r="B2188" s="147">
        <v>1340.0</v>
      </c>
      <c r="C2188" s="147">
        <v>1499.0</v>
      </c>
      <c r="D2188" s="132">
        <f t="shared" si="230"/>
        <v>159</v>
      </c>
      <c r="E2188" s="394" t="s">
        <v>120</v>
      </c>
      <c r="F2188" s="139"/>
      <c r="G2188" s="129"/>
      <c r="H2188" s="129"/>
      <c r="I2188" s="129"/>
      <c r="J2188" s="129"/>
      <c r="K2188" s="129"/>
      <c r="L2188" s="129"/>
      <c r="M2188" s="129"/>
      <c r="N2188" s="129"/>
      <c r="O2188" s="129"/>
      <c r="P2188" s="129"/>
      <c r="Q2188" s="129"/>
      <c r="R2188" s="129"/>
      <c r="S2188" s="129"/>
      <c r="T2188" s="129"/>
      <c r="U2188" s="129"/>
      <c r="V2188" s="129"/>
      <c r="W2188" s="129"/>
      <c r="X2188" s="129"/>
      <c r="Y2188" s="129"/>
      <c r="Z2188" s="129"/>
      <c r="AA2188" s="129"/>
      <c r="AB2188" s="129"/>
    </row>
    <row r="2189" hidden="1">
      <c r="A2189" s="128" t="s">
        <v>1325</v>
      </c>
      <c r="B2189" s="147">
        <v>1390.0</v>
      </c>
      <c r="C2189" s="147">
        <v>1548.0</v>
      </c>
      <c r="D2189" s="132">
        <f t="shared" si="230"/>
        <v>158</v>
      </c>
      <c r="E2189" s="126" t="s">
        <v>123</v>
      </c>
      <c r="F2189" s="127"/>
      <c r="G2189" s="129"/>
      <c r="H2189" s="129"/>
      <c r="I2189" s="129"/>
      <c r="J2189" s="129"/>
      <c r="K2189" s="129"/>
      <c r="L2189" s="129"/>
      <c r="M2189" s="129"/>
      <c r="N2189" s="129"/>
      <c r="O2189" s="129"/>
      <c r="P2189" s="129"/>
      <c r="Q2189" s="129"/>
      <c r="R2189" s="129"/>
      <c r="S2189" s="129"/>
      <c r="T2189" s="129"/>
      <c r="U2189" s="129"/>
      <c r="V2189" s="129"/>
      <c r="W2189" s="129"/>
      <c r="X2189" s="129"/>
      <c r="Y2189" s="129"/>
      <c r="Z2189" s="129"/>
      <c r="AA2189" s="129"/>
      <c r="AB2189" s="129"/>
    </row>
    <row r="2190" hidden="1">
      <c r="A2190" s="128" t="s">
        <v>1325</v>
      </c>
      <c r="B2190" s="147">
        <v>1390.0</v>
      </c>
      <c r="C2190" s="147">
        <v>1550.0</v>
      </c>
      <c r="D2190" s="132">
        <f t="shared" si="230"/>
        <v>160</v>
      </c>
      <c r="E2190" s="126" t="s">
        <v>123</v>
      </c>
      <c r="F2190" s="127"/>
      <c r="G2190" s="129"/>
      <c r="H2190" s="129"/>
      <c r="I2190" s="129"/>
      <c r="J2190" s="129"/>
      <c r="K2190" s="129"/>
      <c r="L2190" s="129"/>
      <c r="M2190" s="129"/>
      <c r="N2190" s="129"/>
      <c r="O2190" s="129"/>
      <c r="P2190" s="129"/>
      <c r="Q2190" s="129"/>
      <c r="R2190" s="129"/>
      <c r="S2190" s="129"/>
      <c r="T2190" s="129"/>
      <c r="U2190" s="129"/>
      <c r="V2190" s="129"/>
      <c r="W2190" s="129"/>
      <c r="X2190" s="129"/>
      <c r="Y2190" s="129"/>
      <c r="Z2190" s="129"/>
      <c r="AA2190" s="129"/>
      <c r="AB2190" s="129"/>
    </row>
    <row r="2191" hidden="1">
      <c r="A2191" s="151" t="s">
        <v>1214</v>
      </c>
      <c r="B2191" s="147">
        <v>1290.0</v>
      </c>
      <c r="C2191" s="147">
        <v>1408.0</v>
      </c>
      <c r="D2191" s="132">
        <f t="shared" si="230"/>
        <v>118</v>
      </c>
      <c r="E2191" s="132" t="s">
        <v>123</v>
      </c>
      <c r="F2191" s="127"/>
      <c r="G2191" s="129"/>
      <c r="H2191" s="129"/>
      <c r="I2191" s="129"/>
      <c r="J2191" s="129"/>
      <c r="K2191" s="129"/>
      <c r="L2191" s="129"/>
      <c r="M2191" s="129"/>
      <c r="N2191" s="129"/>
      <c r="O2191" s="129"/>
      <c r="P2191" s="129"/>
      <c r="Q2191" s="129"/>
      <c r="R2191" s="129"/>
      <c r="S2191" s="129"/>
      <c r="T2191" s="129"/>
      <c r="U2191" s="129"/>
      <c r="V2191" s="129"/>
      <c r="W2191" s="129"/>
      <c r="X2191" s="129"/>
      <c r="Y2191" s="129"/>
      <c r="Z2191" s="129"/>
      <c r="AA2191" s="129"/>
      <c r="AB2191" s="129"/>
    </row>
    <row r="2192" hidden="1">
      <c r="A2192" s="150" t="s">
        <v>459</v>
      </c>
      <c r="B2192" s="147">
        <v>890.0</v>
      </c>
      <c r="C2192" s="147">
        <v>1064.0</v>
      </c>
      <c r="D2192" s="132">
        <f t="shared" si="230"/>
        <v>174</v>
      </c>
      <c r="E2192" s="147" t="s">
        <v>123</v>
      </c>
      <c r="F2192" s="127"/>
      <c r="G2192" s="129"/>
      <c r="H2192" s="129"/>
      <c r="I2192" s="129"/>
      <c r="J2192" s="129"/>
      <c r="K2192" s="129"/>
      <c r="L2192" s="129"/>
      <c r="M2192" s="129"/>
      <c r="N2192" s="129"/>
      <c r="O2192" s="129"/>
      <c r="P2192" s="129"/>
      <c r="Q2192" s="129"/>
      <c r="R2192" s="129"/>
      <c r="S2192" s="129"/>
      <c r="T2192" s="129"/>
      <c r="U2192" s="129"/>
      <c r="V2192" s="129"/>
      <c r="W2192" s="129"/>
      <c r="X2192" s="129"/>
      <c r="Y2192" s="129"/>
      <c r="Z2192" s="129"/>
      <c r="AA2192" s="129"/>
      <c r="AB2192" s="129"/>
    </row>
    <row r="2193" hidden="1">
      <c r="A2193" s="123" t="s">
        <v>1094</v>
      </c>
      <c r="B2193" s="147">
        <v>1990.0</v>
      </c>
      <c r="C2193" s="147">
        <v>2173.0</v>
      </c>
      <c r="D2193" s="125">
        <f t="shared" si="230"/>
        <v>183</v>
      </c>
      <c r="E2193" s="126" t="s">
        <v>123</v>
      </c>
      <c r="F2193" s="124"/>
      <c r="G2193" s="123"/>
    </row>
    <row r="2194" hidden="1">
      <c r="A2194" s="123" t="s">
        <v>425</v>
      </c>
      <c r="B2194" s="124">
        <v>1540.0</v>
      </c>
      <c r="C2194" s="124">
        <v>1688.0</v>
      </c>
      <c r="D2194" s="125">
        <f t="shared" si="230"/>
        <v>148</v>
      </c>
      <c r="E2194" s="126" t="s">
        <v>123</v>
      </c>
      <c r="F2194" s="124"/>
    </row>
    <row r="2195" hidden="1">
      <c r="A2195" s="128" t="s">
        <v>1301</v>
      </c>
      <c r="B2195" s="147">
        <v>1490.0</v>
      </c>
      <c r="C2195" s="147">
        <v>1644.0</v>
      </c>
      <c r="D2195" s="132">
        <f t="shared" si="230"/>
        <v>154</v>
      </c>
      <c r="E2195" s="132" t="s">
        <v>123</v>
      </c>
      <c r="F2195" s="127"/>
      <c r="G2195" s="129"/>
      <c r="H2195" s="129"/>
      <c r="I2195" s="129"/>
      <c r="J2195" s="129"/>
      <c r="K2195" s="129"/>
      <c r="L2195" s="129"/>
      <c r="M2195" s="129"/>
      <c r="N2195" s="129"/>
      <c r="O2195" s="129"/>
      <c r="P2195" s="129"/>
      <c r="Q2195" s="129"/>
      <c r="R2195" s="129"/>
      <c r="S2195" s="129"/>
      <c r="T2195" s="129"/>
      <c r="U2195" s="129"/>
      <c r="V2195" s="129"/>
      <c r="W2195" s="129"/>
      <c r="X2195" s="129"/>
      <c r="Y2195" s="129"/>
      <c r="Z2195" s="129"/>
      <c r="AA2195" s="129"/>
      <c r="AB2195" s="129"/>
    </row>
    <row r="2196" hidden="1">
      <c r="A2196" s="128" t="s">
        <v>1216</v>
      </c>
      <c r="B2196" s="147">
        <v>1340.0</v>
      </c>
      <c r="C2196" s="147">
        <v>1499.0</v>
      </c>
      <c r="D2196" s="132">
        <f t="shared" si="230"/>
        <v>159</v>
      </c>
      <c r="E2196" s="394" t="s">
        <v>120</v>
      </c>
      <c r="F2196" s="139"/>
      <c r="G2196" s="129"/>
      <c r="H2196" s="129"/>
      <c r="I2196" s="129"/>
      <c r="J2196" s="129"/>
      <c r="K2196" s="129"/>
      <c r="L2196" s="129"/>
      <c r="M2196" s="129"/>
      <c r="N2196" s="129"/>
      <c r="O2196" s="129"/>
      <c r="P2196" s="129"/>
      <c r="Q2196" s="129"/>
      <c r="R2196" s="129"/>
      <c r="S2196" s="129"/>
      <c r="T2196" s="129"/>
      <c r="U2196" s="129"/>
      <c r="V2196" s="129"/>
      <c r="W2196" s="129"/>
      <c r="X2196" s="129"/>
      <c r="Y2196" s="129"/>
      <c r="Z2196" s="129"/>
      <c r="AA2196" s="129"/>
      <c r="AB2196" s="129"/>
    </row>
    <row r="2197" hidden="1">
      <c r="A2197" s="159" t="s">
        <v>437</v>
      </c>
      <c r="B2197" s="124">
        <v>990.0</v>
      </c>
      <c r="C2197" s="124">
        <v>1159.0</v>
      </c>
      <c r="D2197" s="125">
        <f t="shared" si="230"/>
        <v>169</v>
      </c>
      <c r="E2197" s="147" t="s">
        <v>123</v>
      </c>
      <c r="F2197" s="124"/>
    </row>
    <row r="2198" hidden="1">
      <c r="A2198" s="128" t="s">
        <v>1110</v>
      </c>
      <c r="B2198" s="126">
        <v>1090.0</v>
      </c>
      <c r="C2198" s="126">
        <v>1300.0</v>
      </c>
      <c r="D2198" s="132">
        <f t="shared" si="230"/>
        <v>210</v>
      </c>
      <c r="E2198" s="132" t="s">
        <v>123</v>
      </c>
      <c r="F2198" s="139"/>
      <c r="G2198" s="150"/>
      <c r="H2198" s="129"/>
      <c r="I2198" s="129"/>
      <c r="J2198" s="129"/>
      <c r="K2198" s="129"/>
      <c r="L2198" s="129"/>
      <c r="M2198" s="129"/>
      <c r="N2198" s="129"/>
      <c r="O2198" s="129"/>
      <c r="P2198" s="129"/>
      <c r="Q2198" s="129"/>
      <c r="R2198" s="129"/>
      <c r="S2198" s="129"/>
      <c r="T2198" s="129"/>
      <c r="U2198" s="129"/>
      <c r="V2198" s="129"/>
      <c r="W2198" s="129"/>
      <c r="X2198" s="129"/>
      <c r="Y2198" s="129"/>
      <c r="Z2198" s="129"/>
      <c r="AA2198" s="129"/>
      <c r="AB2198" s="129"/>
    </row>
    <row r="2199" hidden="1">
      <c r="A2199" s="179" t="s">
        <v>1326</v>
      </c>
      <c r="B2199" s="333">
        <v>3000.0</v>
      </c>
      <c r="C2199" s="333">
        <v>9000.0</v>
      </c>
      <c r="D2199" s="404">
        <f t="shared" si="230"/>
        <v>6000</v>
      </c>
      <c r="E2199" s="302" t="s">
        <v>123</v>
      </c>
      <c r="F2199" s="333"/>
      <c r="G2199" s="121"/>
      <c r="H2199" s="121"/>
      <c r="I2199" s="121"/>
      <c r="J2199" s="121"/>
      <c r="K2199" s="121"/>
      <c r="L2199" s="121"/>
      <c r="M2199" s="121"/>
      <c r="N2199" s="121"/>
      <c r="O2199" s="121"/>
      <c r="P2199" s="121"/>
      <c r="Q2199" s="121"/>
      <c r="R2199" s="121"/>
      <c r="S2199" s="121"/>
      <c r="T2199" s="121"/>
      <c r="U2199" s="121"/>
      <c r="V2199" s="121"/>
      <c r="W2199" s="121"/>
      <c r="X2199" s="121"/>
      <c r="Y2199" s="121"/>
      <c r="Z2199" s="121"/>
      <c r="AA2199" s="121"/>
      <c r="AB2199" s="121"/>
    </row>
    <row r="2200" hidden="1">
      <c r="A2200" s="128" t="s">
        <v>1176</v>
      </c>
      <c r="B2200" s="147">
        <v>1340.0</v>
      </c>
      <c r="C2200" s="147">
        <v>1494.0</v>
      </c>
      <c r="D2200" s="132">
        <f t="shared" si="230"/>
        <v>154</v>
      </c>
      <c r="E2200" s="394" t="s">
        <v>120</v>
      </c>
      <c r="F2200" s="139"/>
      <c r="G2200" s="129"/>
      <c r="H2200" s="129"/>
      <c r="I2200" s="129"/>
      <c r="J2200" s="129"/>
      <c r="K2200" s="129"/>
      <c r="L2200" s="129"/>
      <c r="M2200" s="129"/>
      <c r="N2200" s="129"/>
      <c r="O2200" s="129"/>
      <c r="P2200" s="129"/>
      <c r="Q2200" s="129"/>
      <c r="R2200" s="129"/>
      <c r="S2200" s="129"/>
      <c r="T2200" s="129"/>
      <c r="U2200" s="129"/>
      <c r="V2200" s="129"/>
      <c r="W2200" s="129"/>
      <c r="X2200" s="129"/>
      <c r="Y2200" s="129"/>
      <c r="Z2200" s="129"/>
      <c r="AA2200" s="129"/>
      <c r="AB2200" s="129"/>
    </row>
    <row r="2201" hidden="1">
      <c r="A2201" s="128" t="s">
        <v>1208</v>
      </c>
      <c r="B2201" s="147">
        <v>1340.0</v>
      </c>
      <c r="C2201" s="147">
        <v>1494.0</v>
      </c>
      <c r="D2201" s="132">
        <f t="shared" si="230"/>
        <v>154</v>
      </c>
      <c r="E2201" s="394" t="s">
        <v>120</v>
      </c>
      <c r="F2201" s="139"/>
      <c r="G2201" s="129"/>
      <c r="H2201" s="129"/>
      <c r="I2201" s="129"/>
      <c r="J2201" s="129"/>
      <c r="K2201" s="129"/>
      <c r="L2201" s="129"/>
      <c r="M2201" s="129"/>
      <c r="N2201" s="129"/>
      <c r="O2201" s="129"/>
      <c r="P2201" s="129"/>
      <c r="Q2201" s="129"/>
      <c r="R2201" s="129"/>
      <c r="S2201" s="129"/>
      <c r="T2201" s="129"/>
      <c r="U2201" s="129"/>
      <c r="V2201" s="129"/>
      <c r="W2201" s="129"/>
      <c r="X2201" s="129"/>
      <c r="Y2201" s="129"/>
      <c r="Z2201" s="129"/>
      <c r="AA2201" s="129"/>
      <c r="AB2201" s="129"/>
    </row>
    <row r="2202" hidden="1">
      <c r="A2202" s="150" t="s">
        <v>1212</v>
      </c>
      <c r="B2202" s="147">
        <v>1390.0</v>
      </c>
      <c r="C2202" s="147">
        <v>1542.0</v>
      </c>
      <c r="D2202" s="132">
        <f t="shared" si="230"/>
        <v>152</v>
      </c>
      <c r="E2202" s="132" t="s">
        <v>123</v>
      </c>
      <c r="F2202" s="139"/>
      <c r="G2202" s="129"/>
      <c r="H2202" s="129"/>
      <c r="I2202" s="129"/>
      <c r="J2202" s="129"/>
      <c r="K2202" s="129"/>
      <c r="L2202" s="129"/>
      <c r="M2202" s="129"/>
      <c r="N2202" s="129"/>
      <c r="O2202" s="129"/>
      <c r="P2202" s="129"/>
      <c r="Q2202" s="129"/>
      <c r="R2202" s="129"/>
      <c r="S2202" s="129"/>
      <c r="T2202" s="129"/>
      <c r="U2202" s="129"/>
      <c r="V2202" s="129"/>
      <c r="W2202" s="129"/>
      <c r="X2202" s="129"/>
      <c r="Y2202" s="129"/>
      <c r="Z2202" s="129"/>
      <c r="AA2202" s="129"/>
      <c r="AB2202" s="129"/>
    </row>
    <row r="2203" hidden="1">
      <c r="A2203" s="128" t="s">
        <v>1215</v>
      </c>
      <c r="B2203" s="147">
        <v>1340.0</v>
      </c>
      <c r="C2203" s="147">
        <v>1500.0</v>
      </c>
      <c r="D2203" s="132">
        <f t="shared" si="230"/>
        <v>160</v>
      </c>
      <c r="E2203" s="394" t="s">
        <v>120</v>
      </c>
      <c r="F2203" s="139"/>
      <c r="G2203" s="129"/>
      <c r="H2203" s="129"/>
      <c r="I2203" s="129"/>
      <c r="J2203" s="129"/>
      <c r="K2203" s="129"/>
      <c r="L2203" s="129"/>
      <c r="M2203" s="129"/>
      <c r="N2203" s="129"/>
      <c r="O2203" s="129"/>
      <c r="P2203" s="129"/>
      <c r="Q2203" s="129"/>
      <c r="R2203" s="129"/>
      <c r="S2203" s="129"/>
      <c r="T2203" s="129"/>
      <c r="U2203" s="129"/>
      <c r="V2203" s="129"/>
      <c r="W2203" s="129"/>
      <c r="X2203" s="129"/>
      <c r="Y2203" s="129"/>
      <c r="Z2203" s="129"/>
      <c r="AA2203" s="129"/>
      <c r="AB2203" s="129"/>
    </row>
    <row r="2204" hidden="1">
      <c r="A2204" s="128" t="s">
        <v>1215</v>
      </c>
      <c r="B2204" s="147">
        <v>1340.0</v>
      </c>
      <c r="C2204" s="147">
        <v>1424.0</v>
      </c>
      <c r="D2204" s="132">
        <f t="shared" si="230"/>
        <v>84</v>
      </c>
      <c r="E2204" s="394" t="s">
        <v>120</v>
      </c>
      <c r="F2204" s="139"/>
      <c r="G2204" s="129"/>
      <c r="H2204" s="129"/>
      <c r="I2204" s="129"/>
      <c r="J2204" s="129"/>
      <c r="K2204" s="129"/>
      <c r="L2204" s="129"/>
      <c r="M2204" s="129"/>
      <c r="N2204" s="129"/>
      <c r="O2204" s="129"/>
      <c r="P2204" s="129"/>
      <c r="Q2204" s="129"/>
      <c r="R2204" s="129"/>
      <c r="S2204" s="129"/>
      <c r="T2204" s="129"/>
      <c r="U2204" s="129"/>
      <c r="V2204" s="129"/>
      <c r="W2204" s="129"/>
      <c r="X2204" s="129"/>
      <c r="Y2204" s="129"/>
      <c r="Z2204" s="129"/>
      <c r="AA2204" s="129"/>
      <c r="AB2204" s="129"/>
    </row>
    <row r="2205" hidden="1">
      <c r="A2205" s="128" t="s">
        <v>1213</v>
      </c>
      <c r="B2205" s="147">
        <v>1340.0</v>
      </c>
      <c r="C2205" s="147">
        <v>1500.0</v>
      </c>
      <c r="D2205" s="132">
        <f t="shared" si="230"/>
        <v>160</v>
      </c>
      <c r="E2205" s="394" t="s">
        <v>120</v>
      </c>
      <c r="F2205" s="139"/>
      <c r="G2205" s="129"/>
      <c r="H2205" s="129"/>
      <c r="I2205" s="129"/>
      <c r="J2205" s="129"/>
      <c r="K2205" s="129"/>
      <c r="L2205" s="129"/>
      <c r="M2205" s="129"/>
      <c r="N2205" s="129"/>
      <c r="O2205" s="129"/>
      <c r="P2205" s="129"/>
      <c r="Q2205" s="129"/>
      <c r="R2205" s="129"/>
      <c r="S2205" s="129"/>
      <c r="T2205" s="129"/>
      <c r="U2205" s="129"/>
      <c r="V2205" s="129"/>
      <c r="W2205" s="129"/>
      <c r="X2205" s="129"/>
      <c r="Y2205" s="129"/>
      <c r="Z2205" s="129"/>
      <c r="AA2205" s="129"/>
      <c r="AB2205" s="129"/>
    </row>
    <row r="2206" hidden="1">
      <c r="A2206" s="128" t="s">
        <v>1216</v>
      </c>
      <c r="B2206" s="147">
        <v>2680.0</v>
      </c>
      <c r="C2206" s="147">
        <v>2811.0</v>
      </c>
      <c r="D2206" s="132">
        <f t="shared" si="230"/>
        <v>131</v>
      </c>
      <c r="E2206" s="394" t="s">
        <v>120</v>
      </c>
      <c r="F2206" s="139"/>
      <c r="G2206" s="129"/>
      <c r="H2206" s="129"/>
      <c r="I2206" s="129"/>
      <c r="J2206" s="129"/>
      <c r="K2206" s="129"/>
      <c r="L2206" s="129"/>
      <c r="M2206" s="129"/>
      <c r="N2206" s="129"/>
      <c r="O2206" s="129"/>
      <c r="P2206" s="129"/>
      <c r="Q2206" s="129"/>
      <c r="R2206" s="129"/>
      <c r="S2206" s="129"/>
      <c r="T2206" s="129"/>
      <c r="U2206" s="129"/>
      <c r="V2206" s="129"/>
      <c r="W2206" s="129"/>
      <c r="X2206" s="129"/>
      <c r="Y2206" s="129"/>
      <c r="Z2206" s="129"/>
      <c r="AA2206" s="129"/>
      <c r="AB2206" s="129"/>
    </row>
    <row r="2207" hidden="1">
      <c r="A2207" s="128" t="s">
        <v>1179</v>
      </c>
      <c r="B2207" s="147">
        <v>0.0</v>
      </c>
      <c r="C2207" s="147">
        <v>0.0</v>
      </c>
      <c r="D2207" s="132">
        <f t="shared" si="230"/>
        <v>0</v>
      </c>
      <c r="E2207" s="394" t="s">
        <v>120</v>
      </c>
      <c r="F2207" s="139"/>
      <c r="G2207" s="129"/>
      <c r="H2207" s="129"/>
      <c r="I2207" s="129"/>
      <c r="J2207" s="129"/>
      <c r="K2207" s="129"/>
      <c r="L2207" s="129"/>
      <c r="M2207" s="129"/>
      <c r="N2207" s="129"/>
      <c r="O2207" s="129"/>
      <c r="P2207" s="129"/>
      <c r="Q2207" s="129"/>
      <c r="R2207" s="129"/>
      <c r="S2207" s="129"/>
      <c r="T2207" s="129"/>
      <c r="U2207" s="129"/>
      <c r="V2207" s="129"/>
      <c r="W2207" s="129"/>
      <c r="X2207" s="129"/>
      <c r="Y2207" s="129"/>
      <c r="Z2207" s="129"/>
      <c r="AA2207" s="129"/>
      <c r="AB2207" s="129"/>
    </row>
    <row r="2208" hidden="1">
      <c r="A2208" s="128" t="s">
        <v>1213</v>
      </c>
      <c r="B2208" s="147">
        <v>1340.0</v>
      </c>
      <c r="C2208" s="147">
        <v>1500.0</v>
      </c>
      <c r="D2208" s="132">
        <f t="shared" si="230"/>
        <v>160</v>
      </c>
      <c r="E2208" s="394" t="s">
        <v>120</v>
      </c>
      <c r="F2208" s="139"/>
      <c r="G2208" s="129"/>
      <c r="H2208" s="129"/>
      <c r="I2208" s="129"/>
      <c r="J2208" s="129"/>
      <c r="K2208" s="129"/>
      <c r="L2208" s="129"/>
      <c r="M2208" s="129"/>
      <c r="N2208" s="129"/>
      <c r="O2208" s="129"/>
      <c r="P2208" s="129"/>
      <c r="Q2208" s="129"/>
      <c r="R2208" s="129"/>
      <c r="S2208" s="129"/>
      <c r="T2208" s="129"/>
      <c r="U2208" s="129"/>
      <c r="V2208" s="129"/>
      <c r="W2208" s="129"/>
      <c r="X2208" s="129"/>
      <c r="Y2208" s="129"/>
      <c r="Z2208" s="129"/>
      <c r="AA2208" s="129"/>
      <c r="AB2208" s="129"/>
    </row>
    <row r="2209" hidden="1">
      <c r="A2209" s="123" t="s">
        <v>368</v>
      </c>
      <c r="B2209" s="124">
        <v>2490.0</v>
      </c>
      <c r="C2209" s="124">
        <v>2473.0</v>
      </c>
      <c r="D2209" s="125">
        <f t="shared" si="230"/>
        <v>-17</v>
      </c>
      <c r="E2209" s="147" t="s">
        <v>120</v>
      </c>
      <c r="F2209" s="127"/>
      <c r="G2209" s="123"/>
    </row>
    <row r="2210" hidden="1">
      <c r="A2210" s="128" t="s">
        <v>1179</v>
      </c>
      <c r="B2210" s="147">
        <v>1340.0</v>
      </c>
      <c r="C2210" s="147">
        <v>1423.0</v>
      </c>
      <c r="D2210" s="132">
        <f t="shared" si="230"/>
        <v>83</v>
      </c>
      <c r="E2210" s="394" t="s">
        <v>120</v>
      </c>
      <c r="F2210" s="139"/>
      <c r="G2210" s="129"/>
      <c r="H2210" s="129"/>
      <c r="I2210" s="129"/>
      <c r="J2210" s="129"/>
      <c r="K2210" s="129"/>
      <c r="L2210" s="129"/>
      <c r="M2210" s="129"/>
      <c r="N2210" s="129"/>
      <c r="O2210" s="129"/>
      <c r="P2210" s="129"/>
      <c r="Q2210" s="129"/>
      <c r="R2210" s="129"/>
      <c r="S2210" s="129"/>
      <c r="T2210" s="129"/>
      <c r="U2210" s="129"/>
      <c r="V2210" s="129"/>
      <c r="W2210" s="129"/>
      <c r="X2210" s="129"/>
      <c r="Y2210" s="129"/>
      <c r="Z2210" s="129"/>
      <c r="AA2210" s="129"/>
      <c r="AB2210" s="129"/>
    </row>
    <row r="2211" hidden="1">
      <c r="A2211" s="128" t="s">
        <v>1327</v>
      </c>
      <c r="B2211" s="147">
        <v>1250.0</v>
      </c>
      <c r="C2211" s="124">
        <v>1348.0</v>
      </c>
      <c r="D2211" s="132">
        <f t="shared" si="230"/>
        <v>98</v>
      </c>
      <c r="E2211" s="126" t="s">
        <v>123</v>
      </c>
      <c r="F2211" s="147"/>
      <c r="G2211" s="129"/>
      <c r="H2211" s="129"/>
      <c r="I2211" s="129"/>
      <c r="J2211" s="129"/>
      <c r="K2211" s="129"/>
      <c r="L2211" s="129"/>
      <c r="M2211" s="129"/>
      <c r="N2211" s="129"/>
      <c r="O2211" s="129"/>
      <c r="P2211" s="129"/>
      <c r="Q2211" s="129"/>
      <c r="R2211" s="129"/>
      <c r="S2211" s="129"/>
      <c r="T2211" s="129"/>
      <c r="U2211" s="129"/>
      <c r="V2211" s="129"/>
      <c r="W2211" s="129"/>
      <c r="X2211" s="129"/>
      <c r="Y2211" s="129"/>
      <c r="Z2211" s="129"/>
      <c r="AA2211" s="129"/>
      <c r="AB2211" s="129"/>
    </row>
    <row r="2212" hidden="1">
      <c r="A2212" s="150" t="s">
        <v>1209</v>
      </c>
      <c r="B2212" s="147">
        <v>1390.0</v>
      </c>
      <c r="C2212" s="147">
        <v>1549.0</v>
      </c>
      <c r="D2212" s="132">
        <f t="shared" si="230"/>
        <v>159</v>
      </c>
      <c r="E2212" s="132" t="s">
        <v>123</v>
      </c>
      <c r="F2212" s="132"/>
      <c r="G2212" s="129"/>
      <c r="H2212" s="129"/>
      <c r="I2212" s="129"/>
      <c r="J2212" s="129"/>
      <c r="K2212" s="129"/>
      <c r="L2212" s="129"/>
      <c r="M2212" s="129"/>
      <c r="N2212" s="129"/>
      <c r="O2212" s="129"/>
      <c r="P2212" s="129"/>
      <c r="Q2212" s="129"/>
      <c r="R2212" s="129"/>
      <c r="S2212" s="129"/>
      <c r="T2212" s="129"/>
      <c r="U2212" s="129"/>
      <c r="V2212" s="129"/>
      <c r="W2212" s="129"/>
      <c r="X2212" s="129"/>
      <c r="Y2212" s="129"/>
      <c r="Z2212" s="129"/>
      <c r="AA2212" s="129"/>
      <c r="AB2212" s="129"/>
    </row>
    <row r="2213" hidden="1">
      <c r="A2213" s="150" t="s">
        <v>1209</v>
      </c>
      <c r="B2213" s="147">
        <v>1390.0</v>
      </c>
      <c r="C2213" s="147">
        <v>1542.0</v>
      </c>
      <c r="D2213" s="132">
        <f t="shared" si="230"/>
        <v>152</v>
      </c>
      <c r="E2213" s="132" t="s">
        <v>123</v>
      </c>
      <c r="F2213" s="132"/>
      <c r="G2213" s="129"/>
      <c r="H2213" s="129"/>
      <c r="I2213" s="129"/>
      <c r="J2213" s="129"/>
      <c r="K2213" s="129"/>
      <c r="L2213" s="129"/>
      <c r="M2213" s="129"/>
      <c r="N2213" s="129"/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</row>
    <row r="2214" hidden="1">
      <c r="A2214" s="150" t="s">
        <v>401</v>
      </c>
      <c r="B2214" s="132">
        <v>1250.0</v>
      </c>
      <c r="C2214" s="147">
        <v>1694.0</v>
      </c>
      <c r="D2214" s="132">
        <f t="shared" si="230"/>
        <v>444</v>
      </c>
      <c r="E2214" s="132" t="s">
        <v>123</v>
      </c>
      <c r="F2214" s="139"/>
      <c r="G2214" s="129"/>
      <c r="H2214" s="129"/>
      <c r="I2214" s="129"/>
      <c r="J2214" s="129"/>
      <c r="K2214" s="129"/>
      <c r="L2214" s="129"/>
      <c r="M2214" s="129"/>
      <c r="N2214" s="129"/>
      <c r="O2214" s="129"/>
      <c r="P2214" s="129"/>
      <c r="Q2214" s="129"/>
      <c r="R2214" s="129"/>
      <c r="S2214" s="129"/>
      <c r="T2214" s="129"/>
      <c r="U2214" s="129"/>
      <c r="V2214" s="129"/>
      <c r="W2214" s="129"/>
      <c r="X2214" s="129"/>
      <c r="Y2214" s="129"/>
      <c r="Z2214" s="129"/>
      <c r="AA2214" s="129"/>
      <c r="AB2214" s="129"/>
    </row>
    <row r="2215" hidden="1">
      <c r="A2215" s="128" t="s">
        <v>1328</v>
      </c>
      <c r="B2215" s="126">
        <v>1290.0</v>
      </c>
      <c r="C2215" s="126">
        <v>1451.0</v>
      </c>
      <c r="D2215" s="132">
        <f t="shared" si="230"/>
        <v>161</v>
      </c>
      <c r="E2215" s="126" t="s">
        <v>123</v>
      </c>
      <c r="F2215" s="147"/>
      <c r="G2215" s="129"/>
      <c r="H2215" s="129"/>
      <c r="I2215" s="129"/>
      <c r="J2215" s="129"/>
      <c r="K2215" s="129"/>
      <c r="L2215" s="129"/>
      <c r="M2215" s="129"/>
      <c r="N2215" s="129"/>
      <c r="O2215" s="129"/>
      <c r="P2215" s="129"/>
      <c r="Q2215" s="129"/>
      <c r="R2215" s="129"/>
      <c r="S2215" s="129"/>
      <c r="T2215" s="129"/>
      <c r="U2215" s="129"/>
      <c r="V2215" s="129"/>
      <c r="W2215" s="129"/>
      <c r="X2215" s="129"/>
      <c r="Y2215" s="129"/>
      <c r="Z2215" s="129"/>
      <c r="AA2215" s="129"/>
      <c r="AB2215" s="129"/>
    </row>
    <row r="2216" hidden="1">
      <c r="A2216" s="128" t="s">
        <v>1213</v>
      </c>
      <c r="B2216" s="147">
        <v>1340.0</v>
      </c>
      <c r="C2216" s="147">
        <v>1501.0</v>
      </c>
      <c r="D2216" s="132">
        <f t="shared" si="230"/>
        <v>161</v>
      </c>
      <c r="E2216" s="394" t="s">
        <v>120</v>
      </c>
      <c r="F2216" s="139"/>
      <c r="G2216" s="129"/>
      <c r="H2216" s="129"/>
      <c r="I2216" s="129"/>
      <c r="J2216" s="129"/>
      <c r="K2216" s="129"/>
      <c r="L2216" s="129"/>
      <c r="M2216" s="129"/>
      <c r="N2216" s="129"/>
      <c r="O2216" s="129"/>
      <c r="P2216" s="129"/>
      <c r="Q2216" s="129"/>
      <c r="R2216" s="129"/>
      <c r="S2216" s="129"/>
      <c r="T2216" s="129"/>
      <c r="U2216" s="129"/>
      <c r="V2216" s="129"/>
      <c r="W2216" s="129"/>
      <c r="X2216" s="129"/>
      <c r="Y2216" s="129"/>
      <c r="Z2216" s="129"/>
      <c r="AA2216" s="129"/>
      <c r="AB2216" s="129"/>
    </row>
    <row r="2217" hidden="1">
      <c r="A2217" s="151" t="s">
        <v>1214</v>
      </c>
      <c r="B2217" s="147">
        <v>1290.0</v>
      </c>
      <c r="C2217" s="147">
        <v>1375.0</v>
      </c>
      <c r="D2217" s="132">
        <f t="shared" si="230"/>
        <v>85</v>
      </c>
      <c r="E2217" s="132" t="s">
        <v>123</v>
      </c>
      <c r="F2217" s="127"/>
      <c r="G2217" s="129"/>
      <c r="H2217" s="129"/>
      <c r="I2217" s="129"/>
      <c r="J2217" s="129"/>
      <c r="K2217" s="129"/>
      <c r="L2217" s="129"/>
      <c r="M2217" s="129"/>
      <c r="N2217" s="129"/>
      <c r="O2217" s="129"/>
      <c r="P2217" s="129"/>
      <c r="Q2217" s="129"/>
      <c r="R2217" s="129"/>
      <c r="S2217" s="129"/>
      <c r="T2217" s="129"/>
      <c r="U2217" s="129"/>
      <c r="V2217" s="129"/>
      <c r="W2217" s="129"/>
      <c r="X2217" s="129"/>
      <c r="Y2217" s="129"/>
      <c r="Z2217" s="129"/>
      <c r="AA2217" s="129"/>
      <c r="AB2217" s="129"/>
    </row>
    <row r="2218" hidden="1">
      <c r="A2218" s="150" t="s">
        <v>1274</v>
      </c>
      <c r="B2218" s="167">
        <v>1190.0</v>
      </c>
      <c r="C2218" s="167">
        <v>1349.0</v>
      </c>
      <c r="D2218" s="168">
        <f t="shared" si="230"/>
        <v>159</v>
      </c>
      <c r="E2218" s="132" t="s">
        <v>123</v>
      </c>
      <c r="F2218" s="139"/>
      <c r="G2218" s="150"/>
      <c r="H2218" s="129"/>
      <c r="I2218" s="129"/>
      <c r="J2218" s="129"/>
      <c r="K2218" s="129"/>
      <c r="L2218" s="129"/>
      <c r="M2218" s="129"/>
      <c r="N2218" s="129"/>
      <c r="O2218" s="129"/>
      <c r="P2218" s="129"/>
      <c r="Q2218" s="129"/>
      <c r="R2218" s="129"/>
      <c r="S2218" s="129"/>
      <c r="T2218" s="129"/>
      <c r="U2218" s="129"/>
      <c r="V2218" s="129"/>
      <c r="W2218" s="129"/>
      <c r="X2218" s="129"/>
      <c r="Y2218" s="129"/>
      <c r="Z2218" s="129"/>
      <c r="AA2218" s="129"/>
      <c r="AB2218" s="129"/>
    </row>
    <row r="2219" hidden="1">
      <c r="A2219" s="150" t="s">
        <v>396</v>
      </c>
      <c r="B2219" s="147">
        <v>1990.0</v>
      </c>
      <c r="C2219" s="147">
        <v>2173.0</v>
      </c>
      <c r="D2219" s="132">
        <f t="shared" si="230"/>
        <v>183</v>
      </c>
      <c r="E2219" s="126" t="s">
        <v>123</v>
      </c>
      <c r="F2219" s="139"/>
      <c r="G2219" s="150"/>
      <c r="H2219" s="129"/>
      <c r="I2219" s="129"/>
      <c r="J2219" s="129"/>
      <c r="K2219" s="129"/>
      <c r="L2219" s="129"/>
      <c r="M2219" s="129"/>
      <c r="N2219" s="129"/>
      <c r="O2219" s="129"/>
      <c r="P2219" s="129"/>
      <c r="Q2219" s="129"/>
      <c r="R2219" s="129"/>
      <c r="S2219" s="129"/>
      <c r="T2219" s="129"/>
      <c r="U2219" s="129"/>
      <c r="V2219" s="129"/>
      <c r="W2219" s="129"/>
      <c r="X2219" s="129"/>
      <c r="Y2219" s="129"/>
      <c r="Z2219" s="129"/>
      <c r="AA2219" s="129"/>
      <c r="AB2219" s="129"/>
    </row>
    <row r="2220" hidden="1">
      <c r="A2220" s="150" t="s">
        <v>1209</v>
      </c>
      <c r="B2220" s="147">
        <v>1390.0</v>
      </c>
      <c r="C2220" s="147">
        <v>1542.0</v>
      </c>
      <c r="D2220" s="132">
        <f t="shared" si="230"/>
        <v>152</v>
      </c>
      <c r="E2220" s="132" t="s">
        <v>123</v>
      </c>
      <c r="F2220" s="132"/>
      <c r="G2220" s="129"/>
      <c r="H2220" s="129"/>
      <c r="I2220" s="129"/>
      <c r="J2220" s="129"/>
      <c r="K2220" s="129"/>
      <c r="L2220" s="129"/>
      <c r="M2220" s="129"/>
      <c r="N2220" s="129"/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</row>
    <row r="2221" hidden="1">
      <c r="A2221" s="128" t="s">
        <v>429</v>
      </c>
      <c r="B2221" s="124">
        <v>1090.0</v>
      </c>
      <c r="C2221" s="124">
        <v>1290.0</v>
      </c>
      <c r="D2221" s="125">
        <f t="shared" si="230"/>
        <v>200</v>
      </c>
      <c r="E2221" s="126" t="s">
        <v>123</v>
      </c>
      <c r="F2221" s="139"/>
      <c r="G2221" s="129"/>
      <c r="H2221" s="129"/>
      <c r="I2221" s="129"/>
      <c r="J2221" s="129"/>
      <c r="K2221" s="129"/>
      <c r="L2221" s="129"/>
      <c r="M2221" s="129"/>
      <c r="N2221" s="129"/>
      <c r="O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</row>
    <row r="2222" hidden="1">
      <c r="A2222" s="401" t="s">
        <v>516</v>
      </c>
      <c r="B2222" s="300">
        <v>2250.0</v>
      </c>
      <c r="C2222" s="300">
        <v>3000.0</v>
      </c>
      <c r="D2222" s="301">
        <f t="shared" si="230"/>
        <v>750</v>
      </c>
      <c r="E2222" s="300" t="s">
        <v>123</v>
      </c>
      <c r="F2222" s="301"/>
      <c r="G2222" s="217"/>
      <c r="H2222" s="217"/>
      <c r="I2222" s="217"/>
      <c r="J2222" s="217"/>
      <c r="K2222" s="217"/>
      <c r="L2222" s="217"/>
      <c r="M2222" s="217"/>
      <c r="N2222" s="217"/>
      <c r="O2222" s="217"/>
      <c r="P2222" s="217"/>
      <c r="Q2222" s="217"/>
      <c r="R2222" s="217"/>
      <c r="S2222" s="217"/>
      <c r="T2222" s="217"/>
      <c r="U2222" s="217"/>
      <c r="V2222" s="217"/>
      <c r="W2222" s="217"/>
      <c r="X2222" s="217"/>
      <c r="Y2222" s="217"/>
      <c r="Z2222" s="217"/>
      <c r="AA2222" s="217"/>
      <c r="AB2222" s="217"/>
    </row>
    <row r="2223" hidden="1">
      <c r="A2223" s="128" t="s">
        <v>1262</v>
      </c>
      <c r="B2223" s="147">
        <v>1390.0</v>
      </c>
      <c r="C2223" s="147">
        <v>1591.0</v>
      </c>
      <c r="D2223" s="125">
        <f t="shared" si="230"/>
        <v>201</v>
      </c>
      <c r="E2223" s="126" t="s">
        <v>123</v>
      </c>
      <c r="F2223" s="147"/>
      <c r="G2223" s="123"/>
    </row>
    <row r="2224" hidden="1">
      <c r="A2224" s="143"/>
      <c r="B2224" s="139"/>
      <c r="C2224" s="139"/>
      <c r="D2224" s="139"/>
      <c r="E2224" s="129"/>
      <c r="F2224" s="129"/>
      <c r="G2224" s="129"/>
      <c r="H2224" s="129"/>
      <c r="I2224" s="129"/>
      <c r="J2224" s="129"/>
      <c r="K2224" s="129"/>
      <c r="L2224" s="129"/>
      <c r="M2224" s="129"/>
      <c r="N2224" s="129"/>
      <c r="O2224" s="129"/>
      <c r="P2224" s="129"/>
      <c r="Q2224" s="129"/>
      <c r="R2224" s="129"/>
      <c r="S2224" s="129"/>
      <c r="T2224" s="129"/>
      <c r="U2224" s="129"/>
      <c r="V2224" s="129"/>
      <c r="W2224" s="129"/>
      <c r="X2224" s="129"/>
      <c r="Y2224" s="129"/>
      <c r="Z2224" s="129"/>
      <c r="AA2224" s="129"/>
      <c r="AB2224" s="129"/>
    </row>
    <row r="2225" hidden="1">
      <c r="A2225" s="122" t="s">
        <v>57</v>
      </c>
      <c r="B2225" s="133">
        <f t="shared" ref="B2225:D2225" si="231">SUM(B2144:B2224)</f>
        <v>114310</v>
      </c>
      <c r="C2225" s="133">
        <f t="shared" si="231"/>
        <v>135147</v>
      </c>
      <c r="D2225" s="133">
        <f t="shared" si="231"/>
        <v>20837</v>
      </c>
      <c r="E2225" s="135">
        <f>D2225/(C2225/100)</f>
        <v>15.4180263</v>
      </c>
    </row>
    <row r="2226" hidden="1">
      <c r="A2226" s="154"/>
      <c r="B2226" s="124"/>
      <c r="C2226" s="124"/>
      <c r="D2226" s="124"/>
    </row>
    <row r="2227" hidden="1">
      <c r="A2227" s="154">
        <v>44348.0</v>
      </c>
      <c r="B2227" s="124"/>
      <c r="C2227" s="124"/>
      <c r="D2227" s="124"/>
    </row>
    <row r="2228" hidden="1">
      <c r="A2228" s="142" t="s">
        <v>444</v>
      </c>
      <c r="B2228" s="147">
        <v>1490.0</v>
      </c>
      <c r="C2228" s="147">
        <v>1690.0</v>
      </c>
      <c r="D2228" s="132">
        <f t="shared" ref="D2228:D2261" si="232">C2228-B2228</f>
        <v>200</v>
      </c>
      <c r="E2228" s="132" t="s">
        <v>123</v>
      </c>
      <c r="F2228" s="139"/>
      <c r="G2228" s="150"/>
      <c r="H2228" s="129"/>
      <c r="I2228" s="129"/>
      <c r="J2228" s="129"/>
      <c r="K2228" s="129"/>
      <c r="L2228" s="129"/>
      <c r="M2228" s="129"/>
      <c r="N2228" s="129"/>
      <c r="O2228" s="129"/>
      <c r="P2228" s="129"/>
      <c r="Q2228" s="129"/>
      <c r="R2228" s="129"/>
      <c r="S2228" s="129"/>
      <c r="T2228" s="129"/>
      <c r="U2228" s="129"/>
      <c r="V2228" s="129"/>
      <c r="W2228" s="129"/>
      <c r="X2228" s="129"/>
      <c r="Y2228" s="129"/>
      <c r="Z2228" s="129"/>
      <c r="AA2228" s="129"/>
      <c r="AB2228" s="129"/>
    </row>
    <row r="2229" hidden="1">
      <c r="A2229" s="128" t="s">
        <v>1226</v>
      </c>
      <c r="B2229" s="147">
        <v>1090.0</v>
      </c>
      <c r="C2229" s="147">
        <v>1209.0</v>
      </c>
      <c r="D2229" s="132">
        <f t="shared" si="232"/>
        <v>119</v>
      </c>
      <c r="E2229" s="132" t="s">
        <v>123</v>
      </c>
      <c r="F2229" s="132"/>
      <c r="G2229" s="129"/>
      <c r="H2229" s="129"/>
      <c r="I2229" s="129"/>
      <c r="J2229" s="129"/>
      <c r="K2229" s="129"/>
      <c r="L2229" s="129"/>
      <c r="M2229" s="129"/>
      <c r="N2229" s="129"/>
      <c r="O2229" s="129"/>
      <c r="P2229" s="129"/>
      <c r="Q2229" s="129"/>
      <c r="R2229" s="129"/>
      <c r="S2229" s="129"/>
      <c r="T2229" s="129"/>
      <c r="U2229" s="129"/>
      <c r="V2229" s="129"/>
      <c r="W2229" s="129"/>
      <c r="X2229" s="129"/>
      <c r="Y2229" s="129"/>
      <c r="Z2229" s="129"/>
      <c r="AA2229" s="129"/>
      <c r="AB2229" s="129"/>
    </row>
    <row r="2230" hidden="1">
      <c r="A2230" s="150" t="s">
        <v>446</v>
      </c>
      <c r="B2230" s="147">
        <v>1390.0</v>
      </c>
      <c r="C2230" s="124">
        <v>1591.0</v>
      </c>
      <c r="D2230" s="132">
        <f t="shared" si="232"/>
        <v>201</v>
      </c>
      <c r="E2230" s="132" t="s">
        <v>123</v>
      </c>
      <c r="F2230" s="139"/>
      <c r="G2230" s="129"/>
      <c r="H2230" s="129"/>
      <c r="I2230" s="129"/>
      <c r="J2230" s="129"/>
      <c r="K2230" s="129"/>
      <c r="L2230" s="129"/>
      <c r="M2230" s="129"/>
      <c r="N2230" s="129"/>
      <c r="O2230" s="129"/>
      <c r="P2230" s="129"/>
      <c r="Q2230" s="129"/>
      <c r="R2230" s="129"/>
      <c r="S2230" s="129"/>
      <c r="T2230" s="129"/>
      <c r="U2230" s="129"/>
      <c r="V2230" s="129"/>
      <c r="W2230" s="129"/>
      <c r="X2230" s="129"/>
      <c r="Y2230" s="129"/>
      <c r="Z2230" s="129"/>
      <c r="AA2230" s="129"/>
      <c r="AB2230" s="129"/>
    </row>
    <row r="2231" hidden="1">
      <c r="A2231" s="128" t="s">
        <v>1318</v>
      </c>
      <c r="B2231" s="147">
        <v>690.0</v>
      </c>
      <c r="C2231" s="147">
        <v>912.0</v>
      </c>
      <c r="D2231" s="132">
        <f t="shared" si="232"/>
        <v>222</v>
      </c>
      <c r="E2231" s="394" t="s">
        <v>120</v>
      </c>
      <c r="F2231" s="139"/>
      <c r="G2231" s="129"/>
      <c r="H2231" s="129"/>
      <c r="I2231" s="129"/>
      <c r="J2231" s="129"/>
      <c r="K2231" s="129"/>
      <c r="L2231" s="129"/>
      <c r="M2231" s="129"/>
      <c r="N2231" s="129"/>
      <c r="O2231" s="129"/>
      <c r="P2231" s="129"/>
      <c r="Q2231" s="129"/>
      <c r="R2231" s="129"/>
      <c r="S2231" s="129"/>
      <c r="T2231" s="129"/>
      <c r="U2231" s="129"/>
      <c r="V2231" s="129"/>
      <c r="W2231" s="129"/>
      <c r="X2231" s="129"/>
      <c r="Y2231" s="129"/>
      <c r="Z2231" s="129"/>
      <c r="AA2231" s="129"/>
      <c r="AB2231" s="129"/>
    </row>
    <row r="2232" hidden="1">
      <c r="A2232" s="150" t="s">
        <v>1300</v>
      </c>
      <c r="B2232" s="132">
        <v>1390.0</v>
      </c>
      <c r="C2232" s="147">
        <v>1601.0</v>
      </c>
      <c r="D2232" s="132">
        <f t="shared" si="232"/>
        <v>211</v>
      </c>
      <c r="E2232" s="132" t="s">
        <v>123</v>
      </c>
      <c r="F2232" s="139"/>
      <c r="G2232" s="150"/>
      <c r="H2232" s="129"/>
      <c r="I2232" s="129"/>
      <c r="J2232" s="129"/>
      <c r="K2232" s="129"/>
      <c r="L2232" s="129"/>
      <c r="M2232" s="129"/>
      <c r="N2232" s="129"/>
      <c r="O2232" s="129"/>
      <c r="P2232" s="129"/>
      <c r="Q2232" s="129"/>
      <c r="R2232" s="129"/>
      <c r="S2232" s="129"/>
      <c r="T2232" s="129"/>
      <c r="U2232" s="129"/>
      <c r="V2232" s="129"/>
      <c r="W2232" s="129"/>
      <c r="X2232" s="129"/>
      <c r="Y2232" s="129"/>
      <c r="Z2232" s="129"/>
      <c r="AA2232" s="129"/>
      <c r="AB2232" s="129"/>
    </row>
    <row r="2233" hidden="1">
      <c r="A2233" s="123" t="s">
        <v>1329</v>
      </c>
      <c r="B2233" s="167">
        <v>2980.0</v>
      </c>
      <c r="C2233" s="167">
        <v>2995.0</v>
      </c>
      <c r="D2233" s="168">
        <f t="shared" si="232"/>
        <v>15</v>
      </c>
      <c r="E2233" s="132" t="s">
        <v>123</v>
      </c>
      <c r="F2233" s="147"/>
      <c r="G2233" s="123"/>
    </row>
    <row r="2234" hidden="1">
      <c r="A2234" s="123" t="s">
        <v>1329</v>
      </c>
      <c r="B2234" s="147">
        <v>0.0</v>
      </c>
      <c r="C2234" s="147">
        <v>0.0</v>
      </c>
      <c r="D2234" s="132">
        <f t="shared" si="232"/>
        <v>0</v>
      </c>
      <c r="E2234" s="132" t="s">
        <v>123</v>
      </c>
      <c r="F2234" s="147"/>
      <c r="G2234" s="123"/>
    </row>
    <row r="2235" hidden="1">
      <c r="A2235" s="159" t="s">
        <v>1310</v>
      </c>
      <c r="B2235" s="147">
        <v>1500.0</v>
      </c>
      <c r="C2235" s="147">
        <v>2598.0</v>
      </c>
      <c r="D2235" s="132">
        <f t="shared" si="232"/>
        <v>1098</v>
      </c>
      <c r="E2235" s="147" t="s">
        <v>123</v>
      </c>
      <c r="F2235" s="147"/>
      <c r="G2235" s="129"/>
      <c r="H2235" s="129"/>
      <c r="I2235" s="129"/>
      <c r="J2235" s="129"/>
      <c r="K2235" s="129"/>
      <c r="L2235" s="129"/>
      <c r="M2235" s="129"/>
      <c r="N2235" s="129"/>
      <c r="O2235" s="129"/>
      <c r="P2235" s="129"/>
      <c r="Q2235" s="129"/>
      <c r="R2235" s="129"/>
      <c r="S2235" s="129"/>
      <c r="T2235" s="129"/>
      <c r="U2235" s="129"/>
      <c r="V2235" s="129"/>
      <c r="W2235" s="129"/>
      <c r="X2235" s="129"/>
      <c r="Y2235" s="129"/>
      <c r="Z2235" s="129"/>
      <c r="AA2235" s="129"/>
      <c r="AB2235" s="129"/>
    </row>
    <row r="2236" hidden="1">
      <c r="A2236" s="123" t="s">
        <v>443</v>
      </c>
      <c r="B2236" s="147">
        <v>1390.0</v>
      </c>
      <c r="C2236" s="124">
        <v>1596.0</v>
      </c>
      <c r="D2236" s="125">
        <f t="shared" si="232"/>
        <v>206</v>
      </c>
      <c r="E2236" s="126" t="s">
        <v>123</v>
      </c>
      <c r="F2236" s="124"/>
      <c r="G2236" s="123"/>
    </row>
    <row r="2237" hidden="1">
      <c r="A2237" s="150" t="s">
        <v>446</v>
      </c>
      <c r="B2237" s="147">
        <v>1390.0</v>
      </c>
      <c r="C2237" s="124">
        <v>1591.0</v>
      </c>
      <c r="D2237" s="132">
        <f t="shared" si="232"/>
        <v>201</v>
      </c>
      <c r="E2237" s="126" t="s">
        <v>123</v>
      </c>
      <c r="F2237" s="139"/>
      <c r="G2237" s="129"/>
      <c r="H2237" s="129"/>
      <c r="I2237" s="129"/>
      <c r="J2237" s="129"/>
      <c r="K2237" s="129"/>
      <c r="L2237" s="129"/>
      <c r="M2237" s="129"/>
      <c r="N2237" s="129"/>
      <c r="O2237" s="129"/>
      <c r="P2237" s="129"/>
      <c r="Q2237" s="129"/>
      <c r="R2237" s="129"/>
      <c r="S2237" s="129"/>
      <c r="T2237" s="129"/>
      <c r="U2237" s="129"/>
      <c r="V2237" s="129"/>
      <c r="W2237" s="129"/>
      <c r="X2237" s="129"/>
      <c r="Y2237" s="129"/>
      <c r="Z2237" s="129"/>
      <c r="AA2237" s="129"/>
      <c r="AB2237" s="129"/>
    </row>
    <row r="2238" hidden="1">
      <c r="A2238" s="401" t="s">
        <v>1095</v>
      </c>
      <c r="B2238" s="300">
        <v>2500.0</v>
      </c>
      <c r="C2238" s="300">
        <v>3750.0</v>
      </c>
      <c r="D2238" s="301">
        <f t="shared" si="232"/>
        <v>1250</v>
      </c>
      <c r="E2238" s="300" t="s">
        <v>123</v>
      </c>
      <c r="F2238" s="400"/>
      <c r="G2238" s="217"/>
      <c r="H2238" s="217"/>
      <c r="I2238" s="217"/>
      <c r="J2238" s="217"/>
      <c r="K2238" s="217"/>
      <c r="L2238" s="217"/>
      <c r="M2238" s="217"/>
      <c r="N2238" s="217"/>
      <c r="O2238" s="217"/>
      <c r="P2238" s="217"/>
      <c r="Q2238" s="217"/>
      <c r="R2238" s="217"/>
      <c r="S2238" s="217"/>
      <c r="T2238" s="217"/>
      <c r="U2238" s="217"/>
      <c r="V2238" s="217"/>
      <c r="W2238" s="217"/>
      <c r="X2238" s="217"/>
      <c r="Y2238" s="217"/>
      <c r="Z2238" s="217"/>
      <c r="AA2238" s="217"/>
      <c r="AB2238" s="217"/>
    </row>
    <row r="2239" hidden="1">
      <c r="A2239" s="128" t="s">
        <v>1330</v>
      </c>
      <c r="B2239" s="127">
        <v>777.0</v>
      </c>
      <c r="C2239" s="127">
        <v>753.0</v>
      </c>
      <c r="D2239" s="132">
        <f t="shared" si="232"/>
        <v>-24</v>
      </c>
      <c r="E2239" s="126" t="s">
        <v>123</v>
      </c>
      <c r="F2239" s="139"/>
      <c r="G2239" s="129"/>
      <c r="H2239" s="129"/>
      <c r="I2239" s="129"/>
      <c r="J2239" s="129"/>
      <c r="K2239" s="129"/>
      <c r="L2239" s="129"/>
      <c r="M2239" s="129"/>
      <c r="N2239" s="129"/>
      <c r="O2239" s="129"/>
      <c r="P2239" s="129"/>
      <c r="Q2239" s="129"/>
      <c r="R2239" s="129"/>
      <c r="S2239" s="129"/>
      <c r="T2239" s="129"/>
      <c r="U2239" s="129"/>
      <c r="V2239" s="129"/>
      <c r="W2239" s="129"/>
      <c r="X2239" s="129"/>
      <c r="Y2239" s="129"/>
      <c r="Z2239" s="129"/>
      <c r="AA2239" s="129"/>
      <c r="AB2239" s="129"/>
    </row>
    <row r="2240" hidden="1">
      <c r="A2240" s="123" t="s">
        <v>1331</v>
      </c>
      <c r="B2240" s="126">
        <v>888.0</v>
      </c>
      <c r="C2240" s="126">
        <v>869.0</v>
      </c>
      <c r="D2240" s="125">
        <f t="shared" si="232"/>
        <v>-19</v>
      </c>
      <c r="E2240" s="148" t="s">
        <v>120</v>
      </c>
      <c r="F2240" s="124"/>
    </row>
    <row r="2241" hidden="1">
      <c r="A2241" s="128" t="s">
        <v>1332</v>
      </c>
      <c r="B2241" s="127">
        <v>777.0</v>
      </c>
      <c r="C2241" s="127">
        <v>758.0</v>
      </c>
      <c r="D2241" s="132">
        <f t="shared" si="232"/>
        <v>-19</v>
      </c>
      <c r="E2241" s="148" t="s">
        <v>120</v>
      </c>
      <c r="F2241" s="139"/>
      <c r="G2241" s="129"/>
      <c r="H2241" s="129"/>
      <c r="I2241" s="129"/>
      <c r="J2241" s="129"/>
      <c r="K2241" s="129"/>
      <c r="L2241" s="129"/>
      <c r="M2241" s="129"/>
      <c r="N2241" s="129"/>
      <c r="O2241" s="129"/>
      <c r="P2241" s="129"/>
      <c r="Q2241" s="129"/>
      <c r="R2241" s="129"/>
      <c r="S2241" s="129"/>
      <c r="T2241" s="129"/>
      <c r="U2241" s="129"/>
      <c r="V2241" s="129"/>
      <c r="W2241" s="129"/>
      <c r="X2241" s="129"/>
      <c r="Y2241" s="129"/>
      <c r="Z2241" s="129"/>
      <c r="AA2241" s="129"/>
      <c r="AB2241" s="129"/>
    </row>
    <row r="2242" hidden="1">
      <c r="A2242" s="142" t="s">
        <v>447</v>
      </c>
      <c r="B2242" s="147">
        <v>1250.0</v>
      </c>
      <c r="C2242" s="147">
        <v>1261.0</v>
      </c>
      <c r="D2242" s="132">
        <f t="shared" si="232"/>
        <v>11</v>
      </c>
      <c r="E2242" s="132" t="s">
        <v>123</v>
      </c>
      <c r="F2242" s="139"/>
      <c r="G2242" s="129"/>
      <c r="H2242" s="129"/>
      <c r="I2242" s="129"/>
      <c r="J2242" s="129"/>
      <c r="K2242" s="129"/>
      <c r="L2242" s="129"/>
      <c r="M2242" s="129"/>
      <c r="N2242" s="129"/>
      <c r="O2242" s="129"/>
      <c r="P2242" s="129"/>
      <c r="Q2242" s="129"/>
      <c r="R2242" s="129"/>
      <c r="S2242" s="129"/>
      <c r="T2242" s="129"/>
      <c r="U2242" s="129"/>
      <c r="V2242" s="129"/>
      <c r="W2242" s="129"/>
      <c r="X2242" s="129"/>
      <c r="Y2242" s="129"/>
      <c r="Z2242" s="129"/>
      <c r="AA2242" s="129"/>
      <c r="AB2242" s="129"/>
    </row>
    <row r="2243" hidden="1">
      <c r="A2243" s="128" t="s">
        <v>1274</v>
      </c>
      <c r="B2243" s="167">
        <v>2080.0</v>
      </c>
      <c r="C2243" s="167">
        <v>2417.0</v>
      </c>
      <c r="D2243" s="168">
        <f t="shared" si="232"/>
        <v>337</v>
      </c>
      <c r="E2243" s="132" t="s">
        <v>123</v>
      </c>
      <c r="F2243" s="139"/>
      <c r="G2243" s="150"/>
      <c r="H2243" s="129"/>
      <c r="I2243" s="129"/>
      <c r="J2243" s="129"/>
      <c r="K2243" s="129"/>
      <c r="L2243" s="129"/>
      <c r="M2243" s="129"/>
      <c r="N2243" s="129"/>
      <c r="O2243" s="129"/>
      <c r="P2243" s="129"/>
      <c r="Q2243" s="129"/>
      <c r="R2243" s="129"/>
      <c r="S2243" s="129"/>
      <c r="T2243" s="129"/>
      <c r="U2243" s="129"/>
      <c r="V2243" s="129"/>
      <c r="W2243" s="129"/>
      <c r="X2243" s="129"/>
      <c r="Y2243" s="129"/>
      <c r="Z2243" s="129"/>
      <c r="AA2243" s="129"/>
      <c r="AB2243" s="129"/>
    </row>
    <row r="2244" hidden="1">
      <c r="A2244" s="150" t="s">
        <v>1219</v>
      </c>
      <c r="B2244" s="147">
        <v>0.0</v>
      </c>
      <c r="C2244" s="147">
        <v>0.0</v>
      </c>
      <c r="D2244" s="132">
        <f t="shared" si="232"/>
        <v>0</v>
      </c>
      <c r="E2244" s="126" t="s">
        <v>123</v>
      </c>
      <c r="F2244" s="124"/>
      <c r="G2244" s="129"/>
      <c r="H2244" s="129"/>
      <c r="I2244" s="129"/>
      <c r="J2244" s="129"/>
      <c r="K2244" s="129"/>
      <c r="L2244" s="129"/>
      <c r="M2244" s="129"/>
      <c r="N2244" s="129"/>
      <c r="O2244" s="129"/>
      <c r="P2244" s="129"/>
      <c r="Q2244" s="129"/>
      <c r="R2244" s="129"/>
      <c r="S2244" s="129"/>
      <c r="T2244" s="129"/>
      <c r="U2244" s="129"/>
      <c r="V2244" s="129"/>
      <c r="W2244" s="129"/>
      <c r="X2244" s="129"/>
      <c r="Y2244" s="129"/>
      <c r="Z2244" s="129"/>
      <c r="AA2244" s="129"/>
      <c r="AB2244" s="129"/>
    </row>
    <row r="2245" hidden="1">
      <c r="A2245" s="123" t="s">
        <v>1312</v>
      </c>
      <c r="B2245" s="386">
        <v>1590.0</v>
      </c>
      <c r="C2245" s="386">
        <v>1790.0</v>
      </c>
      <c r="D2245" s="170">
        <f t="shared" si="232"/>
        <v>200</v>
      </c>
      <c r="E2245" s="126" t="s">
        <v>123</v>
      </c>
      <c r="F2245" s="147"/>
      <c r="G2245" s="123"/>
    </row>
    <row r="2246" hidden="1">
      <c r="A2246" s="123" t="s">
        <v>508</v>
      </c>
      <c r="B2246" s="167">
        <v>1490.0</v>
      </c>
      <c r="C2246" s="167">
        <v>1690.0</v>
      </c>
      <c r="D2246" s="168">
        <f t="shared" si="232"/>
        <v>200</v>
      </c>
      <c r="E2246" s="132" t="s">
        <v>123</v>
      </c>
      <c r="F2246" s="147"/>
      <c r="G2246" s="123"/>
    </row>
    <row r="2247" hidden="1">
      <c r="A2247" s="150" t="s">
        <v>1212</v>
      </c>
      <c r="B2247" s="147">
        <v>2680.0</v>
      </c>
      <c r="C2247" s="147">
        <v>3184.0</v>
      </c>
      <c r="D2247" s="132">
        <f t="shared" si="232"/>
        <v>504</v>
      </c>
      <c r="E2247" s="132" t="s">
        <v>123</v>
      </c>
      <c r="F2247" s="139"/>
      <c r="G2247" s="129"/>
      <c r="H2247" s="129"/>
      <c r="I2247" s="129"/>
      <c r="J2247" s="129"/>
      <c r="K2247" s="129"/>
      <c r="L2247" s="129"/>
      <c r="M2247" s="129"/>
      <c r="N2247" s="129"/>
      <c r="O2247" s="129"/>
      <c r="P2247" s="129"/>
      <c r="Q2247" s="129"/>
      <c r="R2247" s="129"/>
      <c r="S2247" s="129"/>
      <c r="T2247" s="129"/>
      <c r="U2247" s="129"/>
      <c r="V2247" s="129"/>
      <c r="W2247" s="129"/>
      <c r="X2247" s="129"/>
      <c r="Y2247" s="129"/>
      <c r="Z2247" s="129"/>
      <c r="AA2247" s="129"/>
      <c r="AB2247" s="129"/>
    </row>
    <row r="2248" hidden="1">
      <c r="A2248" s="142" t="s">
        <v>464</v>
      </c>
      <c r="B2248" s="147">
        <v>0.0</v>
      </c>
      <c r="C2248" s="124">
        <v>0.0</v>
      </c>
      <c r="D2248" s="132">
        <f t="shared" si="232"/>
        <v>0</v>
      </c>
      <c r="E2248" s="126" t="s">
        <v>123</v>
      </c>
      <c r="F2248" s="139"/>
      <c r="G2248" s="129"/>
      <c r="H2248" s="129"/>
      <c r="I2248" s="129"/>
      <c r="J2248" s="129"/>
      <c r="K2248" s="129"/>
      <c r="L2248" s="129"/>
      <c r="M2248" s="129"/>
      <c r="N2248" s="129"/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</row>
    <row r="2249" hidden="1">
      <c r="A2249" s="299" t="s">
        <v>1333</v>
      </c>
      <c r="B2249" s="300">
        <v>1250.0</v>
      </c>
      <c r="C2249" s="300">
        <v>2750.0</v>
      </c>
      <c r="D2249" s="301">
        <f t="shared" si="232"/>
        <v>1500</v>
      </c>
      <c r="E2249" s="402" t="s">
        <v>120</v>
      </c>
      <c r="F2249" s="217"/>
      <c r="G2249" s="217"/>
      <c r="H2249" s="217"/>
      <c r="I2249" s="217"/>
      <c r="J2249" s="217"/>
      <c r="K2249" s="217"/>
      <c r="L2249" s="217"/>
      <c r="M2249" s="217"/>
      <c r="N2249" s="217"/>
      <c r="O2249" s="217"/>
      <c r="P2249" s="217"/>
      <c r="Q2249" s="217"/>
      <c r="R2249" s="217"/>
      <c r="S2249" s="217"/>
      <c r="T2249" s="217"/>
      <c r="U2249" s="217"/>
      <c r="V2249" s="217"/>
      <c r="W2249" s="217"/>
      <c r="X2249" s="217"/>
      <c r="Y2249" s="217"/>
      <c r="Z2249" s="217"/>
      <c r="AA2249" s="217"/>
      <c r="AB2249" s="217"/>
    </row>
    <row r="2250" hidden="1">
      <c r="A2250" s="123" t="s">
        <v>479</v>
      </c>
      <c r="B2250" s="167">
        <v>1490.0</v>
      </c>
      <c r="C2250" s="167">
        <v>1644.0</v>
      </c>
      <c r="D2250" s="168">
        <f t="shared" si="232"/>
        <v>154</v>
      </c>
      <c r="E2250" s="132" t="s">
        <v>123</v>
      </c>
      <c r="F2250" s="147"/>
      <c r="G2250" s="123"/>
    </row>
    <row r="2251" hidden="1">
      <c r="A2251" s="128" t="s">
        <v>467</v>
      </c>
      <c r="B2251" s="147">
        <v>990.0</v>
      </c>
      <c r="C2251" s="127">
        <v>1159.0</v>
      </c>
      <c r="D2251" s="132">
        <f t="shared" si="232"/>
        <v>169</v>
      </c>
      <c r="E2251" s="147" t="s">
        <v>123</v>
      </c>
      <c r="F2251" s="147"/>
      <c r="G2251" s="129"/>
      <c r="H2251" s="129"/>
      <c r="I2251" s="129"/>
      <c r="J2251" s="129"/>
      <c r="K2251" s="129"/>
      <c r="L2251" s="129"/>
      <c r="M2251" s="129"/>
      <c r="N2251" s="129"/>
      <c r="O2251" s="129"/>
      <c r="P2251" s="129"/>
      <c r="Q2251" s="129"/>
      <c r="R2251" s="129"/>
      <c r="S2251" s="129"/>
      <c r="T2251" s="129"/>
      <c r="U2251" s="129"/>
      <c r="V2251" s="129"/>
      <c r="W2251" s="129"/>
      <c r="X2251" s="129"/>
      <c r="Y2251" s="129"/>
      <c r="Z2251" s="129"/>
      <c r="AA2251" s="129"/>
      <c r="AB2251" s="129"/>
    </row>
    <row r="2252" hidden="1">
      <c r="A2252" s="299" t="s">
        <v>1334</v>
      </c>
      <c r="B2252" s="300">
        <v>3750.0</v>
      </c>
      <c r="C2252" s="300">
        <v>6000.0</v>
      </c>
      <c r="D2252" s="301">
        <f t="shared" si="232"/>
        <v>2250</v>
      </c>
      <c r="E2252" s="300" t="s">
        <v>123</v>
      </c>
      <c r="F2252" s="400"/>
      <c r="G2252" s="217"/>
      <c r="H2252" s="217"/>
      <c r="I2252" s="217"/>
      <c r="J2252" s="217"/>
      <c r="K2252" s="217"/>
      <c r="L2252" s="217"/>
      <c r="M2252" s="217"/>
      <c r="N2252" s="217"/>
      <c r="O2252" s="217"/>
      <c r="P2252" s="217"/>
      <c r="Q2252" s="217"/>
      <c r="R2252" s="217"/>
      <c r="S2252" s="217"/>
      <c r="T2252" s="217"/>
      <c r="U2252" s="217"/>
      <c r="V2252" s="217"/>
      <c r="W2252" s="217"/>
      <c r="X2252" s="217"/>
      <c r="Y2252" s="217"/>
      <c r="Z2252" s="217"/>
      <c r="AA2252" s="217"/>
      <c r="AB2252" s="217"/>
    </row>
    <row r="2253" hidden="1">
      <c r="A2253" s="159" t="s">
        <v>403</v>
      </c>
      <c r="B2253" s="124">
        <v>1750.0</v>
      </c>
      <c r="C2253" s="147">
        <v>2333.0</v>
      </c>
      <c r="D2253" s="270">
        <f t="shared" si="232"/>
        <v>583</v>
      </c>
      <c r="E2253" s="126" t="s">
        <v>123</v>
      </c>
      <c r="F2253" s="139"/>
      <c r="G2253" s="129"/>
      <c r="H2253" s="129"/>
      <c r="I2253" s="129"/>
      <c r="J2253" s="129"/>
      <c r="K2253" s="129"/>
      <c r="L2253" s="129"/>
      <c r="M2253" s="129"/>
      <c r="N2253" s="129"/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</row>
    <row r="2254" hidden="1">
      <c r="A2254" s="150" t="s">
        <v>1219</v>
      </c>
      <c r="B2254" s="147">
        <v>890.0</v>
      </c>
      <c r="C2254" s="147">
        <v>1058.0</v>
      </c>
      <c r="D2254" s="132">
        <f t="shared" si="232"/>
        <v>168</v>
      </c>
      <c r="E2254" s="132" t="s">
        <v>123</v>
      </c>
      <c r="F2254" s="139"/>
      <c r="G2254" s="129"/>
      <c r="H2254" s="129"/>
      <c r="I2254" s="129"/>
      <c r="J2254" s="129"/>
      <c r="K2254" s="129"/>
      <c r="L2254" s="129"/>
      <c r="M2254" s="129"/>
      <c r="N2254" s="129"/>
      <c r="O2254" s="129"/>
      <c r="P2254" s="129"/>
      <c r="Q2254" s="129"/>
      <c r="R2254" s="129"/>
      <c r="S2254" s="129"/>
      <c r="T2254" s="129"/>
      <c r="U2254" s="129"/>
      <c r="V2254" s="129"/>
      <c r="W2254" s="129"/>
      <c r="X2254" s="129"/>
      <c r="Y2254" s="129"/>
      <c r="Z2254" s="129"/>
      <c r="AA2254" s="129"/>
      <c r="AB2254" s="129"/>
    </row>
    <row r="2255" hidden="1">
      <c r="A2255" s="128" t="s">
        <v>1335</v>
      </c>
      <c r="B2255" s="147">
        <v>1690.0</v>
      </c>
      <c r="C2255" s="147">
        <v>1767.0</v>
      </c>
      <c r="D2255" s="132">
        <f t="shared" si="232"/>
        <v>77</v>
      </c>
      <c r="E2255" s="132" t="s">
        <v>123</v>
      </c>
      <c r="F2255" s="127"/>
      <c r="G2255" s="150"/>
      <c r="H2255" s="129"/>
      <c r="I2255" s="129"/>
      <c r="J2255" s="129"/>
      <c r="K2255" s="129"/>
      <c r="L2255" s="129"/>
      <c r="M2255" s="129"/>
      <c r="N2255" s="129"/>
      <c r="O2255" s="129"/>
      <c r="P2255" s="129"/>
      <c r="Q2255" s="129"/>
      <c r="R2255" s="129"/>
      <c r="S2255" s="129"/>
      <c r="T2255" s="129"/>
      <c r="U2255" s="129"/>
      <c r="V2255" s="129"/>
      <c r="W2255" s="129"/>
      <c r="X2255" s="129"/>
      <c r="Y2255" s="129"/>
      <c r="Z2255" s="129"/>
      <c r="AA2255" s="129"/>
      <c r="AB2255" s="129"/>
    </row>
    <row r="2256" hidden="1">
      <c r="A2256" s="159" t="s">
        <v>437</v>
      </c>
      <c r="B2256" s="124">
        <v>1250.0</v>
      </c>
      <c r="C2256" s="124">
        <v>1108.0</v>
      </c>
      <c r="D2256" s="125">
        <f t="shared" si="232"/>
        <v>-142</v>
      </c>
      <c r="E2256" s="132" t="s">
        <v>123</v>
      </c>
      <c r="F2256" s="124"/>
    </row>
    <row r="2257" hidden="1">
      <c r="A2257" s="150" t="s">
        <v>1300</v>
      </c>
      <c r="B2257" s="132">
        <v>1390.0</v>
      </c>
      <c r="C2257" s="147">
        <v>1517.0</v>
      </c>
      <c r="D2257" s="132">
        <f t="shared" si="232"/>
        <v>127</v>
      </c>
      <c r="E2257" s="132" t="s">
        <v>123</v>
      </c>
      <c r="F2257" s="139"/>
      <c r="G2257" s="150"/>
      <c r="H2257" s="129"/>
      <c r="I2257" s="129"/>
      <c r="J2257" s="129"/>
      <c r="K2257" s="129"/>
      <c r="L2257" s="129"/>
      <c r="M2257" s="129"/>
      <c r="N2257" s="129"/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</row>
    <row r="2258" hidden="1">
      <c r="A2258" s="150" t="s">
        <v>1219</v>
      </c>
      <c r="B2258" s="147">
        <v>890.0</v>
      </c>
      <c r="C2258" s="147">
        <v>1009.0</v>
      </c>
      <c r="D2258" s="132">
        <f t="shared" si="232"/>
        <v>119</v>
      </c>
      <c r="E2258" s="132" t="s">
        <v>123</v>
      </c>
      <c r="F2258" s="139"/>
      <c r="G2258" s="129"/>
      <c r="H2258" s="129"/>
      <c r="I2258" s="129"/>
      <c r="J2258" s="129"/>
      <c r="K2258" s="129"/>
      <c r="L2258" s="129"/>
      <c r="M2258" s="129"/>
      <c r="N2258" s="129"/>
      <c r="O2258" s="129"/>
      <c r="P2258" s="129"/>
      <c r="Q2258" s="129"/>
      <c r="R2258" s="129"/>
      <c r="S2258" s="129"/>
      <c r="T2258" s="129"/>
      <c r="U2258" s="129"/>
      <c r="V2258" s="129"/>
      <c r="W2258" s="129"/>
      <c r="X2258" s="129"/>
      <c r="Y2258" s="129"/>
      <c r="Z2258" s="129"/>
      <c r="AA2258" s="129"/>
      <c r="AB2258" s="129"/>
    </row>
    <row r="2259" hidden="1">
      <c r="A2259" s="123" t="s">
        <v>1336</v>
      </c>
      <c r="B2259" s="147">
        <v>1500.0</v>
      </c>
      <c r="C2259" s="147">
        <v>1500.0</v>
      </c>
      <c r="D2259" s="125">
        <f t="shared" si="232"/>
        <v>0</v>
      </c>
      <c r="E2259" s="147" t="s">
        <v>123</v>
      </c>
      <c r="F2259" s="124"/>
    </row>
    <row r="2260" hidden="1">
      <c r="A2260" s="128" t="s">
        <v>401</v>
      </c>
      <c r="B2260" s="147">
        <v>1250.0</v>
      </c>
      <c r="C2260" s="147">
        <v>1750.0</v>
      </c>
      <c r="D2260" s="132">
        <f t="shared" si="232"/>
        <v>500</v>
      </c>
      <c r="E2260" s="147" t="s">
        <v>123</v>
      </c>
      <c r="F2260" s="139"/>
      <c r="G2260" s="129"/>
      <c r="H2260" s="129"/>
      <c r="I2260" s="129"/>
      <c r="J2260" s="129"/>
      <c r="K2260" s="129"/>
      <c r="L2260" s="129"/>
      <c r="M2260" s="129"/>
      <c r="N2260" s="129"/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</row>
    <row r="2261" hidden="1">
      <c r="A2261" s="123" t="s">
        <v>1337</v>
      </c>
      <c r="B2261" s="386">
        <v>1390.0</v>
      </c>
      <c r="C2261" s="386">
        <v>1429.0</v>
      </c>
      <c r="D2261" s="170">
        <f t="shared" si="232"/>
        <v>39</v>
      </c>
      <c r="E2261" s="126" t="s">
        <v>123</v>
      </c>
      <c r="F2261" s="147"/>
      <c r="G2261" s="123"/>
    </row>
    <row r="2262" hidden="1">
      <c r="A2262" s="143"/>
      <c r="B2262" s="139"/>
      <c r="C2262" s="139"/>
      <c r="D2262" s="139"/>
      <c r="E2262" s="129"/>
      <c r="F2262" s="129"/>
      <c r="G2262" s="129"/>
      <c r="H2262" s="129"/>
      <c r="I2262" s="129"/>
      <c r="J2262" s="129"/>
      <c r="K2262" s="129"/>
      <c r="L2262" s="129"/>
      <c r="M2262" s="129"/>
      <c r="N2262" s="129"/>
      <c r="O2262" s="129"/>
      <c r="P2262" s="129"/>
      <c r="Q2262" s="129"/>
      <c r="R2262" s="129"/>
      <c r="S2262" s="129"/>
      <c r="T2262" s="129"/>
      <c r="U2262" s="129"/>
      <c r="V2262" s="129"/>
      <c r="W2262" s="129"/>
      <c r="X2262" s="129"/>
      <c r="Y2262" s="129"/>
      <c r="Z2262" s="129"/>
      <c r="AA2262" s="129"/>
      <c r="AB2262" s="129"/>
    </row>
    <row r="2263" hidden="1">
      <c r="A2263" s="122" t="s">
        <v>57</v>
      </c>
      <c r="B2263" s="133">
        <f t="shared" ref="B2263:D2263" si="233">SUM(B2227:B2262)</f>
        <v>46822</v>
      </c>
      <c r="C2263" s="133">
        <f t="shared" si="233"/>
        <v>57279</v>
      </c>
      <c r="D2263" s="133">
        <f t="shared" si="233"/>
        <v>10457</v>
      </c>
      <c r="E2263" s="135">
        <f>D2263/(C2263/100)</f>
        <v>18.25625447</v>
      </c>
    </row>
    <row r="2264" hidden="1">
      <c r="A2264" s="154"/>
      <c r="B2264" s="124"/>
      <c r="C2264" s="124"/>
      <c r="D2264" s="124"/>
    </row>
    <row r="2265" hidden="1">
      <c r="A2265" s="154">
        <v>44317.0</v>
      </c>
      <c r="B2265" s="124"/>
      <c r="C2265" s="124"/>
      <c r="D2265" s="124"/>
    </row>
    <row r="2266" hidden="1">
      <c r="A2266" s="401" t="s">
        <v>516</v>
      </c>
      <c r="B2266" s="300">
        <v>2250.0</v>
      </c>
      <c r="C2266" s="300">
        <v>3000.0</v>
      </c>
      <c r="D2266" s="301">
        <f t="shared" ref="D2266:D2322" si="234">C2266-B2266</f>
        <v>750</v>
      </c>
      <c r="E2266" s="300" t="s">
        <v>123</v>
      </c>
      <c r="F2266" s="301"/>
      <c r="G2266" s="217"/>
      <c r="H2266" s="217"/>
      <c r="I2266" s="217"/>
      <c r="J2266" s="217"/>
      <c r="K2266" s="217"/>
      <c r="L2266" s="217"/>
      <c r="M2266" s="217"/>
      <c r="N2266" s="217"/>
      <c r="O2266" s="217"/>
      <c r="P2266" s="217"/>
      <c r="Q2266" s="217"/>
      <c r="R2266" s="217"/>
      <c r="S2266" s="217"/>
      <c r="T2266" s="217"/>
      <c r="U2266" s="217"/>
      <c r="V2266" s="217"/>
      <c r="W2266" s="217"/>
      <c r="X2266" s="217"/>
      <c r="Y2266" s="217"/>
      <c r="Z2266" s="217"/>
      <c r="AA2266" s="217"/>
      <c r="AB2266" s="217"/>
    </row>
    <row r="2267" hidden="1">
      <c r="A2267" s="142" t="s">
        <v>447</v>
      </c>
      <c r="B2267" s="147">
        <v>1250.0</v>
      </c>
      <c r="C2267" s="147">
        <v>1208.0</v>
      </c>
      <c r="D2267" s="132">
        <f t="shared" si="234"/>
        <v>-42</v>
      </c>
      <c r="E2267" s="126" t="s">
        <v>123</v>
      </c>
      <c r="F2267" s="139"/>
      <c r="G2267" s="129"/>
      <c r="H2267" s="129"/>
      <c r="I2267" s="129"/>
      <c r="J2267" s="129"/>
      <c r="K2267" s="129"/>
      <c r="L2267" s="129"/>
      <c r="M2267" s="129"/>
      <c r="N2267" s="129"/>
      <c r="O2267" s="129"/>
      <c r="P2267" s="129"/>
      <c r="Q2267" s="129"/>
      <c r="R2267" s="129"/>
      <c r="S2267" s="129"/>
      <c r="T2267" s="129"/>
      <c r="U2267" s="129"/>
      <c r="V2267" s="129"/>
      <c r="W2267" s="129"/>
      <c r="X2267" s="129"/>
      <c r="Y2267" s="129"/>
      <c r="Z2267" s="129"/>
      <c r="AA2267" s="129"/>
      <c r="AB2267" s="129"/>
    </row>
    <row r="2268" hidden="1">
      <c r="A2268" s="150" t="s">
        <v>446</v>
      </c>
      <c r="B2268" s="147">
        <v>1390.0</v>
      </c>
      <c r="C2268" s="124">
        <v>1517.0</v>
      </c>
      <c r="D2268" s="132">
        <f t="shared" si="234"/>
        <v>127</v>
      </c>
      <c r="E2268" s="126" t="s">
        <v>123</v>
      </c>
      <c r="F2268" s="139"/>
      <c r="G2268" s="129"/>
      <c r="H2268" s="129"/>
      <c r="I2268" s="129"/>
      <c r="J2268" s="129"/>
      <c r="K2268" s="129"/>
      <c r="L2268" s="129"/>
      <c r="M2268" s="129"/>
      <c r="N2268" s="129"/>
      <c r="O2268" s="129"/>
      <c r="P2268" s="129"/>
      <c r="Q2268" s="129"/>
      <c r="R2268" s="129"/>
      <c r="S2268" s="129"/>
      <c r="T2268" s="129"/>
      <c r="U2268" s="129"/>
      <c r="V2268" s="129"/>
      <c r="W2268" s="129"/>
      <c r="X2268" s="129"/>
      <c r="Y2268" s="129"/>
      <c r="Z2268" s="129"/>
      <c r="AA2268" s="129"/>
      <c r="AB2268" s="129"/>
    </row>
    <row r="2269" hidden="1">
      <c r="A2269" s="150" t="s">
        <v>1061</v>
      </c>
      <c r="B2269" s="168">
        <v>1190.0</v>
      </c>
      <c r="C2269" s="167">
        <v>1251.0</v>
      </c>
      <c r="D2269" s="168">
        <f t="shared" si="234"/>
        <v>61</v>
      </c>
      <c r="E2269" s="132" t="s">
        <v>123</v>
      </c>
      <c r="F2269" s="139"/>
      <c r="G2269" s="150"/>
      <c r="H2269" s="129"/>
      <c r="I2269" s="129"/>
      <c r="J2269" s="129"/>
      <c r="K2269" s="129"/>
      <c r="L2269" s="129"/>
      <c r="M2269" s="129"/>
      <c r="N2269" s="129"/>
      <c r="O2269" s="129"/>
      <c r="P2269" s="129"/>
      <c r="Q2269" s="129"/>
      <c r="R2269" s="129"/>
      <c r="S2269" s="129"/>
      <c r="T2269" s="129"/>
      <c r="U2269" s="129"/>
      <c r="V2269" s="129"/>
      <c r="W2269" s="129"/>
      <c r="X2269" s="129"/>
      <c r="Y2269" s="129"/>
      <c r="Z2269" s="129"/>
      <c r="AA2269" s="129"/>
      <c r="AB2269" s="129"/>
    </row>
    <row r="2270" hidden="1">
      <c r="A2270" s="299" t="s">
        <v>1333</v>
      </c>
      <c r="B2270" s="300">
        <v>1250.0</v>
      </c>
      <c r="C2270" s="300">
        <v>2750.0</v>
      </c>
      <c r="D2270" s="301">
        <f t="shared" si="234"/>
        <v>1500</v>
      </c>
      <c r="E2270" s="402" t="s">
        <v>120</v>
      </c>
      <c r="F2270" s="217"/>
      <c r="G2270" s="217"/>
      <c r="H2270" s="217"/>
      <c r="I2270" s="217"/>
      <c r="J2270" s="217"/>
      <c r="K2270" s="217"/>
      <c r="L2270" s="217"/>
      <c r="M2270" s="217"/>
      <c r="N2270" s="217"/>
      <c r="O2270" s="217"/>
      <c r="P2270" s="217"/>
      <c r="Q2270" s="217"/>
      <c r="R2270" s="217"/>
      <c r="S2270" s="217"/>
      <c r="T2270" s="217"/>
      <c r="U2270" s="217"/>
      <c r="V2270" s="217"/>
      <c r="W2270" s="217"/>
      <c r="X2270" s="217"/>
      <c r="Y2270" s="217"/>
      <c r="Z2270" s="217"/>
      <c r="AA2270" s="217"/>
      <c r="AB2270" s="217"/>
    </row>
    <row r="2271" hidden="1">
      <c r="A2271" s="299" t="s">
        <v>1338</v>
      </c>
      <c r="B2271" s="300">
        <v>2500.0</v>
      </c>
      <c r="C2271" s="300">
        <v>3000.0</v>
      </c>
      <c r="D2271" s="301">
        <f t="shared" si="234"/>
        <v>500</v>
      </c>
      <c r="E2271" s="300" t="s">
        <v>123</v>
      </c>
      <c r="F2271" s="301"/>
      <c r="G2271" s="217"/>
      <c r="H2271" s="217"/>
      <c r="I2271" s="217"/>
      <c r="J2271" s="217"/>
      <c r="K2271" s="217"/>
      <c r="L2271" s="217"/>
      <c r="M2271" s="217"/>
      <c r="N2271" s="217"/>
      <c r="O2271" s="217"/>
      <c r="P2271" s="217"/>
      <c r="Q2271" s="217"/>
      <c r="R2271" s="217"/>
      <c r="S2271" s="217"/>
      <c r="T2271" s="217"/>
      <c r="U2271" s="217"/>
      <c r="V2271" s="217"/>
      <c r="W2271" s="217"/>
      <c r="X2271" s="217"/>
      <c r="Y2271" s="217"/>
      <c r="Z2271" s="217"/>
      <c r="AA2271" s="217"/>
      <c r="AB2271" s="217"/>
    </row>
    <row r="2272" hidden="1">
      <c r="A2272" s="128" t="s">
        <v>122</v>
      </c>
      <c r="B2272" s="147">
        <v>790.0</v>
      </c>
      <c r="C2272" s="147">
        <v>912.0</v>
      </c>
      <c r="D2272" s="132">
        <f t="shared" si="234"/>
        <v>122</v>
      </c>
      <c r="E2272" s="171" t="s">
        <v>123</v>
      </c>
      <c r="F2272" s="139"/>
      <c r="G2272" s="128"/>
      <c r="H2272" s="129"/>
      <c r="I2272" s="129"/>
      <c r="J2272" s="129"/>
      <c r="K2272" s="129"/>
      <c r="L2272" s="129"/>
      <c r="M2272" s="129"/>
      <c r="N2272" s="129"/>
      <c r="O2272" s="129"/>
      <c r="P2272" s="129"/>
      <c r="Q2272" s="129"/>
      <c r="R2272" s="129"/>
      <c r="S2272" s="129"/>
      <c r="T2272" s="129"/>
      <c r="U2272" s="129"/>
      <c r="V2272" s="129"/>
      <c r="W2272" s="129"/>
      <c r="X2272" s="129"/>
      <c r="Y2272" s="129"/>
      <c r="Z2272" s="129"/>
      <c r="AA2272" s="129"/>
      <c r="AB2272" s="129"/>
    </row>
    <row r="2273" hidden="1">
      <c r="A2273" s="128" t="s">
        <v>1093</v>
      </c>
      <c r="B2273" s="147">
        <v>1490.0</v>
      </c>
      <c r="C2273" s="147">
        <v>1522.0</v>
      </c>
      <c r="D2273" s="132">
        <f t="shared" si="234"/>
        <v>32</v>
      </c>
      <c r="E2273" s="171" t="s">
        <v>120</v>
      </c>
      <c r="F2273" s="139"/>
      <c r="G2273" s="129"/>
      <c r="H2273" s="129"/>
      <c r="I2273" s="129"/>
      <c r="J2273" s="129"/>
      <c r="K2273" s="129"/>
      <c r="L2273" s="129"/>
      <c r="M2273" s="129"/>
      <c r="N2273" s="129"/>
      <c r="O2273" s="129"/>
      <c r="P2273" s="129"/>
      <c r="Q2273" s="129"/>
      <c r="R2273" s="129"/>
      <c r="S2273" s="129"/>
      <c r="T2273" s="129"/>
      <c r="U2273" s="129"/>
      <c r="V2273" s="129"/>
      <c r="W2273" s="129"/>
      <c r="X2273" s="129"/>
      <c r="Y2273" s="129"/>
      <c r="Z2273" s="129"/>
      <c r="AA2273" s="129"/>
      <c r="AB2273" s="129"/>
    </row>
    <row r="2274" hidden="1">
      <c r="A2274" s="150" t="s">
        <v>1335</v>
      </c>
      <c r="B2274" s="147">
        <v>1690.0</v>
      </c>
      <c r="C2274" s="147">
        <v>1761.0</v>
      </c>
      <c r="D2274" s="132">
        <f t="shared" si="234"/>
        <v>71</v>
      </c>
      <c r="E2274" s="132" t="s">
        <v>123</v>
      </c>
      <c r="F2274" s="127"/>
      <c r="G2274" s="150"/>
      <c r="H2274" s="129"/>
      <c r="I2274" s="129"/>
      <c r="J2274" s="129"/>
      <c r="K2274" s="129"/>
      <c r="L2274" s="129"/>
      <c r="M2274" s="129"/>
      <c r="N2274" s="129"/>
      <c r="O2274" s="129"/>
      <c r="P2274" s="129"/>
      <c r="Q2274" s="129"/>
      <c r="R2274" s="129"/>
      <c r="S2274" s="129"/>
      <c r="T2274" s="129"/>
      <c r="U2274" s="129"/>
      <c r="V2274" s="129"/>
      <c r="W2274" s="129"/>
      <c r="X2274" s="129"/>
      <c r="Y2274" s="129"/>
      <c r="Z2274" s="129"/>
      <c r="AA2274" s="129"/>
      <c r="AB2274" s="129"/>
    </row>
    <row r="2275" hidden="1">
      <c r="A2275" s="128" t="s">
        <v>1093</v>
      </c>
      <c r="B2275" s="147">
        <v>1490.0</v>
      </c>
      <c r="C2275" s="147">
        <v>1597.0</v>
      </c>
      <c r="D2275" s="132">
        <f t="shared" si="234"/>
        <v>107</v>
      </c>
      <c r="E2275" s="171" t="s">
        <v>120</v>
      </c>
      <c r="F2275" s="139"/>
      <c r="G2275" s="129"/>
      <c r="H2275" s="129"/>
      <c r="I2275" s="129"/>
      <c r="J2275" s="129"/>
      <c r="K2275" s="129"/>
      <c r="L2275" s="129"/>
      <c r="M2275" s="129"/>
      <c r="N2275" s="129"/>
      <c r="O2275" s="129"/>
      <c r="P2275" s="129"/>
      <c r="Q2275" s="129"/>
      <c r="R2275" s="129"/>
      <c r="S2275" s="129"/>
      <c r="T2275" s="129"/>
      <c r="U2275" s="129"/>
      <c r="V2275" s="129"/>
      <c r="W2275" s="129"/>
      <c r="X2275" s="129"/>
      <c r="Y2275" s="129"/>
      <c r="Z2275" s="129"/>
      <c r="AA2275" s="129"/>
      <c r="AB2275" s="129"/>
    </row>
    <row r="2276" hidden="1">
      <c r="A2276" s="299" t="s">
        <v>1339</v>
      </c>
      <c r="B2276" s="333">
        <v>2500.0</v>
      </c>
      <c r="C2276" s="333">
        <v>3000.0</v>
      </c>
      <c r="D2276" s="301">
        <f t="shared" si="234"/>
        <v>500</v>
      </c>
      <c r="E2276" s="300" t="s">
        <v>123</v>
      </c>
      <c r="F2276" s="400"/>
      <c r="G2276" s="217"/>
      <c r="H2276" s="217"/>
      <c r="I2276" s="217"/>
      <c r="J2276" s="217"/>
      <c r="K2276" s="217"/>
      <c r="L2276" s="217"/>
      <c r="M2276" s="217"/>
      <c r="N2276" s="217"/>
      <c r="O2276" s="217"/>
      <c r="P2276" s="217"/>
      <c r="Q2276" s="217"/>
      <c r="R2276" s="217"/>
      <c r="S2276" s="217"/>
      <c r="T2276" s="217"/>
      <c r="U2276" s="217"/>
      <c r="V2276" s="217"/>
      <c r="W2276" s="217"/>
      <c r="X2276" s="217"/>
      <c r="Y2276" s="217"/>
      <c r="Z2276" s="217"/>
      <c r="AA2276" s="217"/>
      <c r="AB2276" s="217"/>
    </row>
    <row r="2277" hidden="1">
      <c r="A2277" s="406" t="s">
        <v>1340</v>
      </c>
      <c r="B2277" s="300">
        <v>1000.0</v>
      </c>
      <c r="C2277" s="300">
        <v>6000.0</v>
      </c>
      <c r="D2277" s="301">
        <f t="shared" si="234"/>
        <v>5000</v>
      </c>
      <c r="E2277" s="300" t="s">
        <v>123</v>
      </c>
      <c r="F2277" s="400"/>
      <c r="G2277" s="217"/>
      <c r="H2277" s="217"/>
      <c r="I2277" s="217"/>
      <c r="J2277" s="217"/>
      <c r="K2277" s="217"/>
      <c r="L2277" s="217"/>
      <c r="M2277" s="217"/>
      <c r="N2277" s="217"/>
      <c r="O2277" s="217"/>
      <c r="P2277" s="217"/>
      <c r="Q2277" s="217"/>
      <c r="R2277" s="217"/>
      <c r="S2277" s="217"/>
      <c r="T2277" s="217"/>
      <c r="U2277" s="217"/>
      <c r="V2277" s="217"/>
      <c r="W2277" s="217"/>
      <c r="X2277" s="217"/>
      <c r="Y2277" s="217"/>
      <c r="Z2277" s="217"/>
      <c r="AA2277" s="217"/>
      <c r="AB2277" s="217"/>
    </row>
    <row r="2278" hidden="1">
      <c r="A2278" s="299" t="s">
        <v>1341</v>
      </c>
      <c r="B2278" s="300">
        <v>2500.0</v>
      </c>
      <c r="C2278" s="300">
        <v>6000.0</v>
      </c>
      <c r="D2278" s="301">
        <f t="shared" si="234"/>
        <v>3500</v>
      </c>
      <c r="E2278" s="300" t="s">
        <v>123</v>
      </c>
      <c r="F2278" s="301"/>
      <c r="G2278" s="217"/>
      <c r="H2278" s="217"/>
      <c r="I2278" s="217"/>
      <c r="J2278" s="217"/>
      <c r="K2278" s="217"/>
      <c r="L2278" s="217"/>
      <c r="M2278" s="217"/>
      <c r="N2278" s="217"/>
      <c r="O2278" s="217"/>
      <c r="P2278" s="217"/>
      <c r="Q2278" s="217"/>
      <c r="R2278" s="217"/>
      <c r="S2278" s="217"/>
      <c r="T2278" s="217"/>
      <c r="U2278" s="217"/>
      <c r="V2278" s="217"/>
      <c r="W2278" s="217"/>
      <c r="X2278" s="217"/>
      <c r="Y2278" s="217"/>
      <c r="Z2278" s="217"/>
      <c r="AA2278" s="217"/>
      <c r="AB2278" s="217"/>
    </row>
    <row r="2279" hidden="1">
      <c r="A2279" s="123" t="s">
        <v>516</v>
      </c>
      <c r="B2279" s="147">
        <v>1990.0</v>
      </c>
      <c r="C2279" s="124">
        <v>2490.0</v>
      </c>
      <c r="D2279" s="125">
        <f t="shared" si="234"/>
        <v>500</v>
      </c>
      <c r="E2279" s="126" t="s">
        <v>123</v>
      </c>
      <c r="F2279" s="124"/>
    </row>
    <row r="2280" hidden="1">
      <c r="A2280" s="123" t="s">
        <v>516</v>
      </c>
      <c r="B2280" s="147">
        <v>1990.0</v>
      </c>
      <c r="C2280" s="124">
        <v>2490.0</v>
      </c>
      <c r="D2280" s="125">
        <f t="shared" si="234"/>
        <v>500</v>
      </c>
      <c r="E2280" s="126" t="s">
        <v>123</v>
      </c>
      <c r="F2280" s="124"/>
    </row>
    <row r="2281" hidden="1">
      <c r="A2281" s="123" t="s">
        <v>404</v>
      </c>
      <c r="B2281" s="147">
        <v>990.0</v>
      </c>
      <c r="C2281" s="124">
        <v>1450.0</v>
      </c>
      <c r="D2281" s="125">
        <f t="shared" si="234"/>
        <v>460</v>
      </c>
      <c r="E2281" s="126" t="s">
        <v>123</v>
      </c>
      <c r="F2281" s="124"/>
    </row>
    <row r="2282" hidden="1">
      <c r="A2282" s="128" t="s">
        <v>1148</v>
      </c>
      <c r="B2282" s="147">
        <v>1000.0</v>
      </c>
      <c r="C2282" s="147">
        <v>1163.0</v>
      </c>
      <c r="D2282" s="132">
        <f t="shared" si="234"/>
        <v>163</v>
      </c>
      <c r="E2282" s="171" t="s">
        <v>123</v>
      </c>
      <c r="F2282" s="147"/>
      <c r="G2282" s="129"/>
      <c r="H2282" s="129"/>
      <c r="I2282" s="129"/>
      <c r="J2282" s="129"/>
      <c r="K2282" s="129"/>
      <c r="L2282" s="129"/>
      <c r="M2282" s="129"/>
      <c r="N2282" s="129"/>
      <c r="O2282" s="129"/>
      <c r="P2282" s="129"/>
      <c r="Q2282" s="129"/>
      <c r="R2282" s="129"/>
      <c r="S2282" s="129"/>
      <c r="T2282" s="129"/>
      <c r="U2282" s="129"/>
      <c r="V2282" s="129"/>
      <c r="W2282" s="129"/>
      <c r="X2282" s="129"/>
      <c r="Y2282" s="129"/>
      <c r="Z2282" s="129"/>
      <c r="AA2282" s="129"/>
      <c r="AB2282" s="129"/>
    </row>
    <row r="2283" hidden="1">
      <c r="A2283" s="123" t="s">
        <v>1342</v>
      </c>
      <c r="B2283" s="167">
        <v>1490.0</v>
      </c>
      <c r="C2283" s="167">
        <v>1629.0</v>
      </c>
      <c r="D2283" s="168">
        <f t="shared" si="234"/>
        <v>139</v>
      </c>
      <c r="E2283" s="132" t="s">
        <v>123</v>
      </c>
      <c r="F2283" s="147"/>
      <c r="G2283" s="123"/>
    </row>
    <row r="2284" hidden="1">
      <c r="A2284" s="123" t="s">
        <v>1342</v>
      </c>
      <c r="B2284" s="167">
        <v>1490.0</v>
      </c>
      <c r="C2284" s="167">
        <v>1628.0</v>
      </c>
      <c r="D2284" s="168">
        <f t="shared" si="234"/>
        <v>138</v>
      </c>
      <c r="E2284" s="132" t="s">
        <v>123</v>
      </c>
      <c r="F2284" s="147"/>
      <c r="G2284" s="123"/>
    </row>
    <row r="2285" hidden="1">
      <c r="A2285" s="128" t="s">
        <v>1148</v>
      </c>
      <c r="B2285" s="147">
        <v>1000.0</v>
      </c>
      <c r="C2285" s="147">
        <v>1159.0</v>
      </c>
      <c r="D2285" s="132">
        <f t="shared" si="234"/>
        <v>159</v>
      </c>
      <c r="E2285" s="171" t="s">
        <v>123</v>
      </c>
      <c r="F2285" s="147"/>
      <c r="G2285" s="129"/>
      <c r="H2285" s="129"/>
      <c r="I2285" s="129"/>
      <c r="J2285" s="129"/>
      <c r="K2285" s="129"/>
      <c r="L2285" s="129"/>
      <c r="M2285" s="129"/>
      <c r="N2285" s="129"/>
      <c r="O2285" s="129"/>
      <c r="P2285" s="129"/>
      <c r="Q2285" s="129"/>
      <c r="R2285" s="129"/>
      <c r="S2285" s="129"/>
      <c r="T2285" s="129"/>
      <c r="U2285" s="129"/>
      <c r="V2285" s="129"/>
      <c r="W2285" s="129"/>
      <c r="X2285" s="129"/>
      <c r="Y2285" s="129"/>
      <c r="Z2285" s="129"/>
      <c r="AA2285" s="129"/>
      <c r="AB2285" s="129"/>
    </row>
    <row r="2286" hidden="1">
      <c r="A2286" s="150" t="s">
        <v>122</v>
      </c>
      <c r="B2286" s="147">
        <v>1280.0</v>
      </c>
      <c r="C2286" s="147">
        <v>1629.0</v>
      </c>
      <c r="D2286" s="132">
        <f t="shared" si="234"/>
        <v>349</v>
      </c>
      <c r="E2286" s="171" t="s">
        <v>123</v>
      </c>
      <c r="F2286" s="132"/>
      <c r="G2286" s="152"/>
      <c r="H2286" s="129"/>
      <c r="I2286" s="129"/>
      <c r="J2286" s="129"/>
      <c r="K2286" s="129"/>
      <c r="L2286" s="129"/>
      <c r="M2286" s="129"/>
      <c r="N2286" s="129"/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</row>
    <row r="2287" hidden="1">
      <c r="A2287" s="128" t="s">
        <v>408</v>
      </c>
      <c r="B2287" s="147">
        <v>0.0</v>
      </c>
      <c r="C2287" s="147">
        <v>0.0</v>
      </c>
      <c r="D2287" s="132">
        <f t="shared" si="234"/>
        <v>0</v>
      </c>
      <c r="E2287" s="126" t="s">
        <v>123</v>
      </c>
      <c r="F2287" s="127"/>
      <c r="G2287" s="129"/>
      <c r="H2287" s="129"/>
      <c r="I2287" s="129"/>
      <c r="J2287" s="129"/>
      <c r="K2287" s="129"/>
      <c r="L2287" s="129"/>
      <c r="M2287" s="129"/>
      <c r="N2287" s="129"/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</row>
    <row r="2288" hidden="1">
      <c r="A2288" s="128" t="s">
        <v>1343</v>
      </c>
      <c r="B2288" s="167">
        <v>1490.0</v>
      </c>
      <c r="C2288" s="167">
        <v>1617.0</v>
      </c>
      <c r="D2288" s="168">
        <f t="shared" si="234"/>
        <v>127</v>
      </c>
      <c r="E2288" s="132" t="s">
        <v>123</v>
      </c>
      <c r="F2288" s="139"/>
      <c r="G2288" s="150"/>
      <c r="H2288" s="129"/>
      <c r="I2288" s="129"/>
      <c r="J2288" s="129"/>
      <c r="K2288" s="129"/>
      <c r="L2288" s="129"/>
      <c r="M2288" s="129"/>
      <c r="N2288" s="129"/>
      <c r="O2288" s="129"/>
      <c r="P2288" s="129"/>
      <c r="Q2288" s="129"/>
      <c r="R2288" s="129"/>
      <c r="S2288" s="129"/>
      <c r="T2288" s="129"/>
      <c r="U2288" s="129"/>
      <c r="V2288" s="129"/>
      <c r="W2288" s="129"/>
      <c r="X2288" s="129"/>
      <c r="Y2288" s="129"/>
      <c r="Z2288" s="129"/>
      <c r="AA2288" s="129"/>
      <c r="AB2288" s="129"/>
    </row>
    <row r="2289" hidden="1">
      <c r="A2289" s="128" t="s">
        <v>1344</v>
      </c>
      <c r="B2289" s="147">
        <v>1490.0</v>
      </c>
      <c r="C2289" s="147">
        <v>1838.0</v>
      </c>
      <c r="D2289" s="132">
        <f t="shared" si="234"/>
        <v>348</v>
      </c>
      <c r="E2289" s="126" t="s">
        <v>123</v>
      </c>
      <c r="F2289" s="132"/>
      <c r="G2289" s="129"/>
      <c r="H2289" s="129"/>
      <c r="I2289" s="129"/>
      <c r="J2289" s="129"/>
      <c r="K2289" s="129"/>
      <c r="L2289" s="129"/>
      <c r="M2289" s="129"/>
      <c r="N2289" s="129"/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</row>
    <row r="2290" hidden="1">
      <c r="A2290" s="128" t="s">
        <v>1138</v>
      </c>
      <c r="B2290" s="147">
        <v>1390.0</v>
      </c>
      <c r="C2290" s="147">
        <v>1590.0</v>
      </c>
      <c r="D2290" s="132">
        <f t="shared" si="234"/>
        <v>200</v>
      </c>
      <c r="E2290" s="132" t="s">
        <v>123</v>
      </c>
      <c r="F2290" s="139"/>
      <c r="G2290" s="129"/>
      <c r="H2290" s="129"/>
      <c r="I2290" s="129"/>
      <c r="J2290" s="129"/>
      <c r="K2290" s="129"/>
      <c r="L2290" s="129"/>
      <c r="M2290" s="129"/>
      <c r="N2290" s="129"/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</row>
    <row r="2291" hidden="1">
      <c r="A2291" s="150" t="s">
        <v>1345</v>
      </c>
      <c r="B2291" s="147">
        <v>1490.0</v>
      </c>
      <c r="C2291" s="147">
        <v>1616.0</v>
      </c>
      <c r="D2291" s="132">
        <f t="shared" si="234"/>
        <v>126</v>
      </c>
      <c r="E2291" s="147" t="s">
        <v>123</v>
      </c>
      <c r="F2291" s="139"/>
      <c r="G2291" s="150"/>
      <c r="H2291" s="129"/>
      <c r="I2291" s="129"/>
      <c r="J2291" s="129"/>
      <c r="K2291" s="129"/>
      <c r="L2291" s="129"/>
      <c r="M2291" s="129"/>
      <c r="N2291" s="129"/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</row>
    <row r="2292" hidden="1">
      <c r="A2292" s="128" t="s">
        <v>1343</v>
      </c>
      <c r="B2292" s="167">
        <v>1490.0</v>
      </c>
      <c r="C2292" s="167">
        <v>1617.0</v>
      </c>
      <c r="D2292" s="168">
        <f t="shared" si="234"/>
        <v>127</v>
      </c>
      <c r="E2292" s="132" t="s">
        <v>123</v>
      </c>
      <c r="F2292" s="139"/>
      <c r="G2292" s="150"/>
      <c r="H2292" s="129"/>
      <c r="I2292" s="129"/>
      <c r="J2292" s="129"/>
      <c r="K2292" s="129"/>
      <c r="L2292" s="129"/>
      <c r="M2292" s="129"/>
      <c r="N2292" s="129"/>
      <c r="O2292" s="129"/>
      <c r="P2292" s="129"/>
      <c r="Q2292" s="129"/>
      <c r="R2292" s="129"/>
      <c r="S2292" s="129"/>
      <c r="T2292" s="129"/>
      <c r="U2292" s="129"/>
      <c r="V2292" s="129"/>
      <c r="W2292" s="129"/>
      <c r="X2292" s="129"/>
      <c r="Y2292" s="129"/>
      <c r="Z2292" s="129"/>
      <c r="AA2292" s="129"/>
      <c r="AB2292" s="129"/>
    </row>
    <row r="2293" hidden="1">
      <c r="A2293" s="142" t="s">
        <v>1346</v>
      </c>
      <c r="B2293" s="147">
        <v>990.0</v>
      </c>
      <c r="C2293" s="147">
        <v>1154.0</v>
      </c>
      <c r="D2293" s="132">
        <f t="shared" si="234"/>
        <v>164</v>
      </c>
      <c r="E2293" s="132" t="s">
        <v>123</v>
      </c>
      <c r="F2293" s="139"/>
      <c r="G2293" s="129"/>
      <c r="H2293" s="129"/>
      <c r="I2293" s="129"/>
      <c r="J2293" s="129"/>
      <c r="K2293" s="129"/>
      <c r="L2293" s="129"/>
      <c r="M2293" s="129"/>
      <c r="N2293" s="129"/>
      <c r="O2293" s="129"/>
      <c r="P2293" s="129"/>
      <c r="Q2293" s="129"/>
      <c r="R2293" s="129"/>
      <c r="S2293" s="129"/>
      <c r="T2293" s="129"/>
      <c r="U2293" s="129"/>
      <c r="V2293" s="129"/>
      <c r="W2293" s="129"/>
      <c r="X2293" s="129"/>
      <c r="Y2293" s="129"/>
      <c r="Z2293" s="129"/>
      <c r="AA2293" s="129"/>
      <c r="AB2293" s="129"/>
    </row>
    <row r="2294" hidden="1">
      <c r="A2294" s="128" t="s">
        <v>1347</v>
      </c>
      <c r="B2294" s="147">
        <v>1090.0</v>
      </c>
      <c r="C2294" s="147">
        <v>1348.0</v>
      </c>
      <c r="D2294" s="132">
        <f t="shared" si="234"/>
        <v>258</v>
      </c>
      <c r="E2294" s="171" t="s">
        <v>120</v>
      </c>
      <c r="F2294" s="132"/>
      <c r="G2294" s="129"/>
      <c r="H2294" s="129"/>
      <c r="I2294" s="129"/>
      <c r="J2294" s="129"/>
      <c r="K2294" s="129"/>
      <c r="L2294" s="129"/>
      <c r="M2294" s="129"/>
      <c r="N2294" s="129"/>
      <c r="O2294" s="129"/>
      <c r="P2294" s="129"/>
      <c r="Q2294" s="129"/>
      <c r="R2294" s="129"/>
      <c r="S2294" s="129"/>
      <c r="T2294" s="129"/>
      <c r="U2294" s="129"/>
      <c r="V2294" s="129"/>
      <c r="W2294" s="129"/>
      <c r="X2294" s="129"/>
      <c r="Y2294" s="129"/>
      <c r="Z2294" s="129"/>
      <c r="AA2294" s="129"/>
      <c r="AB2294" s="129"/>
    </row>
    <row r="2295" hidden="1">
      <c r="A2295" s="123" t="s">
        <v>1188</v>
      </c>
      <c r="B2295" s="147">
        <v>890.0</v>
      </c>
      <c r="C2295" s="147">
        <v>1090.0</v>
      </c>
      <c r="D2295" s="132">
        <f t="shared" si="234"/>
        <v>200</v>
      </c>
      <c r="E2295" s="126" t="s">
        <v>123</v>
      </c>
      <c r="F2295" s="313"/>
    </row>
    <row r="2296" hidden="1">
      <c r="A2296" s="123" t="s">
        <v>1191</v>
      </c>
      <c r="B2296" s="147">
        <v>690.0</v>
      </c>
      <c r="C2296" s="147">
        <v>890.0</v>
      </c>
      <c r="D2296" s="132">
        <f t="shared" si="234"/>
        <v>200</v>
      </c>
      <c r="E2296" s="126" t="s">
        <v>123</v>
      </c>
      <c r="F2296" s="313"/>
    </row>
    <row r="2297" hidden="1">
      <c r="A2297" s="123" t="s">
        <v>1192</v>
      </c>
      <c r="B2297" s="147">
        <v>690.0</v>
      </c>
      <c r="C2297" s="147">
        <v>890.0</v>
      </c>
      <c r="D2297" s="132">
        <f t="shared" si="234"/>
        <v>200</v>
      </c>
      <c r="E2297" s="126" t="s">
        <v>123</v>
      </c>
      <c r="F2297" s="313"/>
    </row>
    <row r="2298" hidden="1">
      <c r="A2298" s="128" t="s">
        <v>1082</v>
      </c>
      <c r="B2298" s="132">
        <v>1390.0</v>
      </c>
      <c r="C2298" s="132">
        <v>1590.0</v>
      </c>
      <c r="D2298" s="132">
        <f t="shared" si="234"/>
        <v>200</v>
      </c>
      <c r="E2298" s="132" t="s">
        <v>123</v>
      </c>
      <c r="F2298" s="139"/>
      <c r="G2298" s="150"/>
      <c r="H2298" s="129"/>
      <c r="I2298" s="129"/>
      <c r="J2298" s="129"/>
      <c r="K2298" s="129"/>
      <c r="L2298" s="129"/>
      <c r="M2298" s="129"/>
      <c r="N2298" s="129"/>
      <c r="O2298" s="129"/>
      <c r="P2298" s="129"/>
      <c r="Q2298" s="129"/>
      <c r="R2298" s="129"/>
      <c r="S2298" s="129"/>
      <c r="T2298" s="129"/>
      <c r="U2298" s="129"/>
      <c r="V2298" s="129"/>
      <c r="W2298" s="129"/>
      <c r="X2298" s="129"/>
      <c r="Y2298" s="129"/>
      <c r="Z2298" s="129"/>
      <c r="AA2298" s="129"/>
      <c r="AB2298" s="129"/>
    </row>
    <row r="2299" hidden="1">
      <c r="A2299" s="123" t="s">
        <v>1082</v>
      </c>
      <c r="B2299" s="147">
        <v>1390.0</v>
      </c>
      <c r="C2299" s="124">
        <v>1590.0</v>
      </c>
      <c r="D2299" s="125">
        <f t="shared" si="234"/>
        <v>200</v>
      </c>
      <c r="E2299" s="126" t="s">
        <v>123</v>
      </c>
      <c r="F2299" s="124"/>
      <c r="G2299" s="123"/>
    </row>
    <row r="2300" hidden="1">
      <c r="A2300" s="150" t="s">
        <v>1345</v>
      </c>
      <c r="B2300" s="132">
        <v>1490.0</v>
      </c>
      <c r="C2300" s="147">
        <v>1528.0</v>
      </c>
      <c r="D2300" s="132">
        <f t="shared" si="234"/>
        <v>38</v>
      </c>
      <c r="E2300" s="132" t="s">
        <v>123</v>
      </c>
      <c r="F2300" s="139"/>
      <c r="G2300" s="150"/>
      <c r="H2300" s="129"/>
      <c r="I2300" s="129"/>
      <c r="J2300" s="129"/>
      <c r="K2300" s="129"/>
      <c r="L2300" s="129"/>
      <c r="M2300" s="129"/>
      <c r="N2300" s="129"/>
      <c r="O2300" s="129"/>
      <c r="P2300" s="129"/>
      <c r="Q2300" s="129"/>
      <c r="R2300" s="129"/>
      <c r="S2300" s="129"/>
      <c r="T2300" s="129"/>
      <c r="U2300" s="129"/>
      <c r="V2300" s="129"/>
      <c r="W2300" s="129"/>
      <c r="X2300" s="129"/>
      <c r="Y2300" s="129"/>
      <c r="Z2300" s="129"/>
      <c r="AA2300" s="129"/>
      <c r="AB2300" s="129"/>
    </row>
    <row r="2301" hidden="1">
      <c r="A2301" s="150" t="s">
        <v>1337</v>
      </c>
      <c r="B2301" s="167">
        <v>1390.0</v>
      </c>
      <c r="C2301" s="167">
        <v>1399.0</v>
      </c>
      <c r="D2301" s="168">
        <f t="shared" si="234"/>
        <v>9</v>
      </c>
      <c r="E2301" s="132" t="s">
        <v>123</v>
      </c>
      <c r="F2301" s="139"/>
      <c r="G2301" s="150"/>
      <c r="H2301" s="129"/>
      <c r="I2301" s="129"/>
      <c r="J2301" s="129"/>
      <c r="K2301" s="129"/>
      <c r="L2301" s="129"/>
      <c r="M2301" s="129"/>
      <c r="N2301" s="129"/>
      <c r="O2301" s="129"/>
      <c r="P2301" s="129"/>
      <c r="Q2301" s="129"/>
      <c r="R2301" s="129"/>
      <c r="S2301" s="129"/>
      <c r="T2301" s="129"/>
      <c r="U2301" s="129"/>
      <c r="V2301" s="129"/>
      <c r="W2301" s="129"/>
      <c r="X2301" s="129"/>
      <c r="Y2301" s="129"/>
      <c r="Z2301" s="129"/>
      <c r="AA2301" s="129"/>
      <c r="AB2301" s="129"/>
    </row>
    <row r="2302" hidden="1">
      <c r="A2302" s="401" t="s">
        <v>1348</v>
      </c>
      <c r="B2302" s="333">
        <v>1500.0</v>
      </c>
      <c r="C2302" s="333">
        <v>3750.0</v>
      </c>
      <c r="D2302" s="301">
        <f t="shared" si="234"/>
        <v>2250</v>
      </c>
      <c r="E2302" s="300" t="s">
        <v>123</v>
      </c>
      <c r="F2302" s="400"/>
      <c r="G2302" s="217"/>
      <c r="H2302" s="217"/>
      <c r="I2302" s="217"/>
      <c r="J2302" s="217"/>
      <c r="K2302" s="217"/>
      <c r="L2302" s="217"/>
      <c r="M2302" s="217"/>
      <c r="N2302" s="217"/>
      <c r="O2302" s="217"/>
      <c r="P2302" s="217"/>
      <c r="Q2302" s="217"/>
      <c r="R2302" s="217"/>
      <c r="S2302" s="217"/>
      <c r="T2302" s="217"/>
      <c r="U2302" s="217"/>
      <c r="V2302" s="217"/>
      <c r="W2302" s="217"/>
      <c r="X2302" s="217"/>
      <c r="Y2302" s="217"/>
      <c r="Z2302" s="217"/>
      <c r="AA2302" s="217"/>
      <c r="AB2302" s="217"/>
    </row>
    <row r="2303" hidden="1">
      <c r="A2303" s="159" t="s">
        <v>403</v>
      </c>
      <c r="B2303" s="124">
        <v>1750.0</v>
      </c>
      <c r="C2303" s="147">
        <v>2225.0</v>
      </c>
      <c r="D2303" s="270">
        <f t="shared" si="234"/>
        <v>475</v>
      </c>
      <c r="E2303" s="126" t="s">
        <v>123</v>
      </c>
      <c r="F2303" s="139"/>
      <c r="G2303" s="129"/>
      <c r="H2303" s="129"/>
      <c r="I2303" s="129"/>
      <c r="J2303" s="129"/>
      <c r="K2303" s="129"/>
      <c r="L2303" s="129"/>
      <c r="M2303" s="129"/>
      <c r="N2303" s="129"/>
      <c r="O2303" s="129"/>
      <c r="P2303" s="129"/>
      <c r="Q2303" s="129"/>
      <c r="R2303" s="129"/>
      <c r="S2303" s="129"/>
      <c r="T2303" s="129"/>
      <c r="U2303" s="129"/>
      <c r="V2303" s="129"/>
      <c r="W2303" s="129"/>
      <c r="X2303" s="129"/>
      <c r="Y2303" s="129"/>
      <c r="Z2303" s="129"/>
      <c r="AA2303" s="129"/>
      <c r="AB2303" s="129"/>
    </row>
    <row r="2304" hidden="1">
      <c r="A2304" s="150" t="s">
        <v>1095</v>
      </c>
      <c r="B2304" s="147">
        <v>2500.0</v>
      </c>
      <c r="C2304" s="147">
        <v>3272.0</v>
      </c>
      <c r="D2304" s="132">
        <f t="shared" si="234"/>
        <v>772</v>
      </c>
      <c r="E2304" s="126" t="s">
        <v>123</v>
      </c>
      <c r="F2304" s="139"/>
      <c r="G2304" s="129"/>
      <c r="H2304" s="129"/>
      <c r="I2304" s="129"/>
      <c r="J2304" s="129"/>
      <c r="K2304" s="129"/>
      <c r="L2304" s="129"/>
      <c r="M2304" s="129"/>
      <c r="N2304" s="129"/>
      <c r="O2304" s="129"/>
      <c r="P2304" s="129"/>
      <c r="Q2304" s="129"/>
      <c r="R2304" s="129"/>
      <c r="S2304" s="129"/>
      <c r="T2304" s="129"/>
      <c r="U2304" s="129"/>
      <c r="V2304" s="129"/>
      <c r="W2304" s="129"/>
      <c r="X2304" s="129"/>
      <c r="Y2304" s="129"/>
      <c r="Z2304" s="129"/>
      <c r="AA2304" s="129"/>
      <c r="AB2304" s="129"/>
    </row>
    <row r="2305" hidden="1">
      <c r="A2305" s="142" t="s">
        <v>464</v>
      </c>
      <c r="B2305" s="147">
        <v>1290.0</v>
      </c>
      <c r="C2305" s="124">
        <v>1445.0</v>
      </c>
      <c r="D2305" s="132">
        <f t="shared" si="234"/>
        <v>155</v>
      </c>
      <c r="E2305" s="126" t="s">
        <v>123</v>
      </c>
      <c r="F2305" s="139"/>
      <c r="G2305" s="129"/>
      <c r="H2305" s="129"/>
      <c r="I2305" s="129"/>
      <c r="J2305" s="129"/>
      <c r="K2305" s="129"/>
      <c r="L2305" s="129"/>
      <c r="M2305" s="129"/>
      <c r="N2305" s="129"/>
      <c r="O2305" s="129"/>
      <c r="P2305" s="129"/>
      <c r="Q2305" s="129"/>
      <c r="R2305" s="129"/>
      <c r="S2305" s="129"/>
      <c r="T2305" s="129"/>
      <c r="U2305" s="129"/>
      <c r="V2305" s="129"/>
      <c r="W2305" s="129"/>
      <c r="X2305" s="129"/>
      <c r="Y2305" s="129"/>
      <c r="Z2305" s="129"/>
      <c r="AA2305" s="129"/>
      <c r="AB2305" s="129"/>
    </row>
    <row r="2306" hidden="1">
      <c r="A2306" s="150" t="s">
        <v>1336</v>
      </c>
      <c r="B2306" s="147">
        <v>1490.0</v>
      </c>
      <c r="C2306" s="132">
        <v>1990.0</v>
      </c>
      <c r="D2306" s="132">
        <f t="shared" si="234"/>
        <v>500</v>
      </c>
      <c r="E2306" s="126" t="s">
        <v>123</v>
      </c>
      <c r="F2306" s="139"/>
      <c r="G2306" s="129"/>
      <c r="H2306" s="129"/>
      <c r="I2306" s="129"/>
      <c r="J2306" s="129"/>
      <c r="K2306" s="129"/>
      <c r="L2306" s="129"/>
      <c r="M2306" s="129"/>
      <c r="N2306" s="129"/>
      <c r="O2306" s="129"/>
      <c r="P2306" s="129"/>
      <c r="Q2306" s="129"/>
      <c r="R2306" s="129"/>
      <c r="S2306" s="129"/>
      <c r="T2306" s="129"/>
      <c r="U2306" s="129"/>
      <c r="V2306" s="129"/>
      <c r="W2306" s="129"/>
      <c r="X2306" s="129"/>
      <c r="Y2306" s="129"/>
      <c r="Z2306" s="129"/>
      <c r="AA2306" s="129"/>
      <c r="AB2306" s="129"/>
    </row>
    <row r="2307" hidden="1">
      <c r="A2307" s="150" t="s">
        <v>400</v>
      </c>
      <c r="B2307" s="147">
        <v>5990.0</v>
      </c>
      <c r="C2307" s="147">
        <v>7390.0</v>
      </c>
      <c r="D2307" s="132">
        <f t="shared" si="234"/>
        <v>1400</v>
      </c>
      <c r="E2307" s="147" t="s">
        <v>123</v>
      </c>
      <c r="F2307" s="139"/>
      <c r="G2307" s="129"/>
      <c r="H2307" s="129"/>
      <c r="I2307" s="129"/>
      <c r="J2307" s="129"/>
      <c r="K2307" s="129"/>
      <c r="L2307" s="129"/>
      <c r="M2307" s="129"/>
      <c r="N2307" s="129"/>
      <c r="O2307" s="129"/>
      <c r="P2307" s="129"/>
      <c r="Q2307" s="129"/>
      <c r="R2307" s="129"/>
      <c r="S2307" s="129"/>
      <c r="T2307" s="129"/>
      <c r="U2307" s="129"/>
      <c r="V2307" s="129"/>
      <c r="W2307" s="129"/>
      <c r="X2307" s="129"/>
      <c r="Y2307" s="129"/>
      <c r="Z2307" s="129"/>
      <c r="AA2307" s="129"/>
      <c r="AB2307" s="129"/>
    </row>
    <row r="2308" hidden="1">
      <c r="A2308" s="150" t="s">
        <v>1336</v>
      </c>
      <c r="B2308" s="147">
        <v>0.0</v>
      </c>
      <c r="C2308" s="147">
        <v>0.0</v>
      </c>
      <c r="D2308" s="132">
        <f t="shared" si="234"/>
        <v>0</v>
      </c>
      <c r="E2308" s="147" t="s">
        <v>123</v>
      </c>
      <c r="F2308" s="139"/>
      <c r="G2308" s="129"/>
      <c r="H2308" s="129"/>
      <c r="I2308" s="129"/>
      <c r="J2308" s="129"/>
      <c r="K2308" s="129"/>
      <c r="L2308" s="129"/>
      <c r="M2308" s="129"/>
      <c r="N2308" s="129"/>
      <c r="O2308" s="129"/>
      <c r="P2308" s="129"/>
      <c r="Q2308" s="129"/>
      <c r="R2308" s="129"/>
      <c r="S2308" s="129"/>
      <c r="T2308" s="129"/>
      <c r="U2308" s="129"/>
      <c r="V2308" s="129"/>
      <c r="W2308" s="129"/>
      <c r="X2308" s="129"/>
      <c r="Y2308" s="129"/>
      <c r="Z2308" s="129"/>
      <c r="AA2308" s="129"/>
      <c r="AB2308" s="129"/>
    </row>
    <row r="2309" hidden="1">
      <c r="A2309" s="123" t="s">
        <v>402</v>
      </c>
      <c r="B2309" s="147">
        <v>0.0</v>
      </c>
      <c r="C2309" s="124">
        <v>0.0</v>
      </c>
      <c r="D2309" s="125">
        <f t="shared" si="234"/>
        <v>0</v>
      </c>
      <c r="E2309" s="126" t="s">
        <v>123</v>
      </c>
      <c r="F2309" s="124"/>
    </row>
    <row r="2310" hidden="1">
      <c r="A2310" s="150" t="s">
        <v>401</v>
      </c>
      <c r="B2310" s="147">
        <v>0.0</v>
      </c>
      <c r="C2310" s="147">
        <v>0.0</v>
      </c>
      <c r="D2310" s="132">
        <f t="shared" si="234"/>
        <v>0</v>
      </c>
      <c r="E2310" s="147" t="s">
        <v>123</v>
      </c>
      <c r="F2310" s="139"/>
      <c r="G2310" s="129"/>
      <c r="H2310" s="129"/>
      <c r="I2310" s="129"/>
      <c r="J2310" s="129"/>
      <c r="K2310" s="129"/>
      <c r="L2310" s="129"/>
      <c r="M2310" s="129"/>
      <c r="N2310" s="129"/>
      <c r="O2310" s="129"/>
      <c r="P2310" s="129"/>
      <c r="Q2310" s="129"/>
      <c r="R2310" s="129"/>
      <c r="S2310" s="129"/>
      <c r="T2310" s="129"/>
      <c r="U2310" s="129"/>
      <c r="V2310" s="129"/>
      <c r="W2310" s="129"/>
      <c r="X2310" s="129"/>
      <c r="Y2310" s="129"/>
      <c r="Z2310" s="129"/>
      <c r="AA2310" s="129"/>
      <c r="AB2310" s="129"/>
    </row>
    <row r="2311" hidden="1">
      <c r="A2311" s="128" t="s">
        <v>1140</v>
      </c>
      <c r="B2311" s="147">
        <v>1490.0</v>
      </c>
      <c r="C2311" s="147">
        <v>1517.0</v>
      </c>
      <c r="D2311" s="132">
        <f t="shared" si="234"/>
        <v>27</v>
      </c>
      <c r="E2311" s="171" t="s">
        <v>120</v>
      </c>
      <c r="F2311" s="139"/>
      <c r="G2311" s="129"/>
      <c r="H2311" s="129"/>
      <c r="I2311" s="129"/>
      <c r="J2311" s="129"/>
      <c r="K2311" s="129"/>
      <c r="L2311" s="129"/>
      <c r="M2311" s="129"/>
      <c r="N2311" s="129"/>
      <c r="O2311" s="129"/>
      <c r="P2311" s="129"/>
      <c r="Q2311" s="129"/>
      <c r="R2311" s="129"/>
      <c r="S2311" s="129"/>
      <c r="T2311" s="129"/>
      <c r="U2311" s="129"/>
      <c r="V2311" s="129"/>
      <c r="W2311" s="129"/>
      <c r="X2311" s="129"/>
      <c r="Y2311" s="129"/>
      <c r="Z2311" s="129"/>
      <c r="AA2311" s="129"/>
      <c r="AB2311" s="129"/>
    </row>
    <row r="2312" hidden="1">
      <c r="A2312" s="128" t="s">
        <v>1335</v>
      </c>
      <c r="B2312" s="147">
        <v>1690.0</v>
      </c>
      <c r="C2312" s="147">
        <v>1716.0</v>
      </c>
      <c r="D2312" s="132">
        <f t="shared" si="234"/>
        <v>26</v>
      </c>
      <c r="E2312" s="132" t="s">
        <v>123</v>
      </c>
      <c r="F2312" s="127"/>
      <c r="G2312" s="150"/>
      <c r="H2312" s="129"/>
      <c r="I2312" s="129"/>
      <c r="J2312" s="129"/>
      <c r="K2312" s="129"/>
      <c r="L2312" s="129"/>
      <c r="M2312" s="129"/>
      <c r="N2312" s="129"/>
      <c r="O2312" s="129"/>
      <c r="P2312" s="129"/>
      <c r="Q2312" s="129"/>
      <c r="R2312" s="129"/>
      <c r="S2312" s="129"/>
      <c r="T2312" s="129"/>
      <c r="U2312" s="129"/>
      <c r="V2312" s="129"/>
      <c r="W2312" s="129"/>
      <c r="X2312" s="129"/>
      <c r="Y2312" s="129"/>
      <c r="Z2312" s="129"/>
      <c r="AA2312" s="129"/>
      <c r="AB2312" s="129"/>
    </row>
    <row r="2313" hidden="1">
      <c r="A2313" s="123" t="s">
        <v>404</v>
      </c>
      <c r="B2313" s="147">
        <v>990.0</v>
      </c>
      <c r="C2313" s="124">
        <v>1251.0</v>
      </c>
      <c r="D2313" s="125">
        <f t="shared" si="234"/>
        <v>261</v>
      </c>
      <c r="E2313" s="126" t="s">
        <v>123</v>
      </c>
      <c r="F2313" s="124"/>
    </row>
    <row r="2314" hidden="1">
      <c r="A2314" s="128" t="s">
        <v>449</v>
      </c>
      <c r="B2314" s="147">
        <v>890.0</v>
      </c>
      <c r="C2314" s="147">
        <v>1203.0</v>
      </c>
      <c r="D2314" s="132">
        <f t="shared" si="234"/>
        <v>313</v>
      </c>
      <c r="E2314" s="132" t="s">
        <v>123</v>
      </c>
      <c r="F2314" s="147"/>
      <c r="G2314" s="129"/>
      <c r="H2314" s="129"/>
      <c r="I2314" s="129"/>
      <c r="J2314" s="129"/>
      <c r="K2314" s="129"/>
      <c r="L2314" s="129"/>
      <c r="M2314" s="129"/>
      <c r="N2314" s="129"/>
      <c r="O2314" s="129"/>
      <c r="P2314" s="129"/>
      <c r="Q2314" s="129"/>
      <c r="R2314" s="129"/>
      <c r="S2314" s="129"/>
      <c r="T2314" s="129"/>
      <c r="U2314" s="129"/>
      <c r="V2314" s="129"/>
      <c r="W2314" s="129"/>
      <c r="X2314" s="129"/>
      <c r="Y2314" s="129"/>
      <c r="Z2314" s="129"/>
      <c r="AA2314" s="129"/>
      <c r="AB2314" s="129"/>
    </row>
    <row r="2315" hidden="1">
      <c r="A2315" s="128" t="s">
        <v>1140</v>
      </c>
      <c r="B2315" s="147">
        <v>1490.0</v>
      </c>
      <c r="C2315" s="147">
        <v>1519.0</v>
      </c>
      <c r="D2315" s="132">
        <f t="shared" si="234"/>
        <v>29</v>
      </c>
      <c r="E2315" s="171" t="s">
        <v>120</v>
      </c>
      <c r="F2315" s="139"/>
      <c r="G2315" s="129"/>
      <c r="H2315" s="129"/>
      <c r="I2315" s="129"/>
      <c r="J2315" s="129"/>
      <c r="K2315" s="129"/>
      <c r="L2315" s="129"/>
      <c r="M2315" s="129"/>
      <c r="N2315" s="129"/>
      <c r="O2315" s="129"/>
      <c r="P2315" s="129"/>
      <c r="Q2315" s="129"/>
      <c r="R2315" s="129"/>
      <c r="S2315" s="129"/>
      <c r="T2315" s="129"/>
      <c r="U2315" s="129"/>
      <c r="V2315" s="129"/>
      <c r="W2315" s="129"/>
      <c r="X2315" s="129"/>
      <c r="Y2315" s="129"/>
      <c r="Z2315" s="129"/>
      <c r="AA2315" s="129"/>
      <c r="AB2315" s="129"/>
    </row>
    <row r="2316" hidden="1">
      <c r="A2316" s="128" t="s">
        <v>1349</v>
      </c>
      <c r="B2316" s="147">
        <v>4370.0</v>
      </c>
      <c r="C2316" s="147">
        <v>4533.0</v>
      </c>
      <c r="D2316" s="132">
        <f t="shared" si="234"/>
        <v>163</v>
      </c>
      <c r="E2316" s="171" t="s">
        <v>120</v>
      </c>
      <c r="F2316" s="139"/>
      <c r="G2316" s="129"/>
      <c r="H2316" s="129"/>
      <c r="I2316" s="129"/>
      <c r="J2316" s="129"/>
      <c r="K2316" s="129"/>
      <c r="L2316" s="129"/>
      <c r="M2316" s="129"/>
      <c r="N2316" s="129"/>
      <c r="O2316" s="129"/>
      <c r="P2316" s="129"/>
      <c r="Q2316" s="129"/>
      <c r="R2316" s="129"/>
      <c r="S2316" s="129"/>
      <c r="T2316" s="129"/>
      <c r="U2316" s="129"/>
      <c r="V2316" s="129"/>
      <c r="W2316" s="129"/>
      <c r="X2316" s="129"/>
      <c r="Y2316" s="129"/>
      <c r="Z2316" s="129"/>
      <c r="AA2316" s="129"/>
      <c r="AB2316" s="129"/>
    </row>
    <row r="2317" hidden="1">
      <c r="A2317" s="123" t="s">
        <v>1342</v>
      </c>
      <c r="B2317" s="124">
        <v>0.0</v>
      </c>
      <c r="C2317" s="124">
        <v>0.0</v>
      </c>
      <c r="D2317" s="125">
        <f t="shared" si="234"/>
        <v>0</v>
      </c>
      <c r="E2317" s="126" t="s">
        <v>123</v>
      </c>
      <c r="F2317" s="147"/>
      <c r="G2317" s="123"/>
    </row>
    <row r="2318" hidden="1">
      <c r="A2318" s="123" t="s">
        <v>1342</v>
      </c>
      <c r="B2318" s="124">
        <v>0.0</v>
      </c>
      <c r="C2318" s="124">
        <v>0.0</v>
      </c>
      <c r="D2318" s="125">
        <f t="shared" si="234"/>
        <v>0</v>
      </c>
      <c r="E2318" s="126" t="s">
        <v>123</v>
      </c>
      <c r="F2318" s="147"/>
      <c r="G2318" s="123"/>
    </row>
    <row r="2319" hidden="1">
      <c r="A2319" s="123" t="s">
        <v>1209</v>
      </c>
      <c r="B2319" s="147">
        <v>2780.0</v>
      </c>
      <c r="C2319" s="124">
        <v>2963.0</v>
      </c>
      <c r="D2319" s="125">
        <f t="shared" si="234"/>
        <v>183</v>
      </c>
      <c r="E2319" s="126" t="s">
        <v>123</v>
      </c>
      <c r="F2319" s="124"/>
      <c r="G2319" s="123"/>
    </row>
    <row r="2320" hidden="1">
      <c r="A2320" s="128" t="s">
        <v>1325</v>
      </c>
      <c r="B2320" s="147">
        <v>0.0</v>
      </c>
      <c r="C2320" s="147">
        <v>0.0</v>
      </c>
      <c r="D2320" s="132">
        <f t="shared" si="234"/>
        <v>0</v>
      </c>
      <c r="E2320" s="126" t="s">
        <v>123</v>
      </c>
      <c r="F2320" s="139"/>
      <c r="G2320" s="129"/>
      <c r="H2320" s="129"/>
      <c r="I2320" s="129"/>
      <c r="J2320" s="129"/>
      <c r="K2320" s="129"/>
      <c r="L2320" s="129"/>
      <c r="M2320" s="129"/>
      <c r="N2320" s="129"/>
      <c r="O2320" s="129"/>
      <c r="P2320" s="129"/>
      <c r="Q2320" s="129"/>
      <c r="R2320" s="129"/>
      <c r="S2320" s="129"/>
      <c r="T2320" s="129"/>
      <c r="U2320" s="129"/>
      <c r="V2320" s="129"/>
      <c r="W2320" s="129"/>
      <c r="X2320" s="129"/>
      <c r="Y2320" s="129"/>
      <c r="Z2320" s="129"/>
      <c r="AA2320" s="129"/>
      <c r="AB2320" s="129"/>
    </row>
    <row r="2321" hidden="1">
      <c r="A2321" s="142" t="s">
        <v>1346</v>
      </c>
      <c r="B2321" s="147">
        <v>990.0</v>
      </c>
      <c r="C2321" s="147">
        <v>1106.0</v>
      </c>
      <c r="D2321" s="132">
        <f t="shared" si="234"/>
        <v>116</v>
      </c>
      <c r="E2321" s="132" t="s">
        <v>123</v>
      </c>
      <c r="F2321" s="139"/>
      <c r="G2321" s="129"/>
      <c r="H2321" s="129"/>
      <c r="I2321" s="129"/>
      <c r="J2321" s="129"/>
      <c r="K2321" s="129"/>
      <c r="L2321" s="129"/>
      <c r="M2321" s="129"/>
      <c r="N2321" s="129"/>
      <c r="O2321" s="129"/>
      <c r="P2321" s="129"/>
      <c r="Q2321" s="129"/>
      <c r="R2321" s="129"/>
      <c r="S2321" s="129"/>
      <c r="T2321" s="129"/>
      <c r="U2321" s="129"/>
      <c r="V2321" s="129"/>
      <c r="W2321" s="129"/>
      <c r="X2321" s="129"/>
      <c r="Y2321" s="129"/>
      <c r="Z2321" s="129"/>
      <c r="AA2321" s="129"/>
      <c r="AB2321" s="129"/>
    </row>
    <row r="2322" hidden="1">
      <c r="A2322" s="128" t="s">
        <v>1350</v>
      </c>
      <c r="B2322" s="132">
        <v>1390.0</v>
      </c>
      <c r="C2322" s="147">
        <v>1494.0</v>
      </c>
      <c r="D2322" s="132">
        <f t="shared" si="234"/>
        <v>104</v>
      </c>
      <c r="E2322" s="171" t="s">
        <v>120</v>
      </c>
      <c r="F2322" s="139"/>
      <c r="G2322" s="129"/>
      <c r="H2322" s="129"/>
      <c r="I2322" s="129"/>
      <c r="J2322" s="129"/>
      <c r="K2322" s="129"/>
      <c r="L2322" s="129"/>
      <c r="M2322" s="129"/>
      <c r="N2322" s="129"/>
      <c r="O2322" s="129"/>
      <c r="P2322" s="129"/>
      <c r="Q2322" s="129"/>
      <c r="R2322" s="129"/>
      <c r="S2322" s="129"/>
      <c r="T2322" s="129"/>
      <c r="U2322" s="129"/>
      <c r="V2322" s="129"/>
      <c r="W2322" s="129"/>
      <c r="X2322" s="129"/>
      <c r="Y2322" s="129"/>
      <c r="Z2322" s="129"/>
      <c r="AA2322" s="129"/>
      <c r="AB2322" s="129"/>
    </row>
    <row r="2323" hidden="1">
      <c r="A2323" s="143"/>
      <c r="B2323" s="139"/>
      <c r="C2323" s="139"/>
      <c r="D2323" s="139"/>
      <c r="E2323" s="129"/>
      <c r="F2323" s="129"/>
      <c r="G2323" s="129"/>
      <c r="H2323" s="129"/>
      <c r="I2323" s="129"/>
      <c r="J2323" s="129"/>
      <c r="K2323" s="129"/>
      <c r="L2323" s="129"/>
      <c r="M2323" s="129"/>
      <c r="N2323" s="129"/>
      <c r="O2323" s="129"/>
      <c r="P2323" s="129"/>
      <c r="Q2323" s="129"/>
      <c r="R2323" s="129"/>
      <c r="S2323" s="129"/>
      <c r="T2323" s="129"/>
      <c r="U2323" s="129"/>
      <c r="V2323" s="129"/>
      <c r="W2323" s="129"/>
      <c r="X2323" s="129"/>
      <c r="Y2323" s="129"/>
      <c r="Z2323" s="129"/>
      <c r="AA2323" s="129"/>
      <c r="AB2323" s="129"/>
    </row>
    <row r="2324" hidden="1">
      <c r="A2324" s="122" t="s">
        <v>57</v>
      </c>
      <c r="B2324" s="133">
        <f t="shared" ref="B2324:D2324" si="235">SUM(B2265:B2323)</f>
        <v>80480</v>
      </c>
      <c r="C2324" s="133">
        <f t="shared" si="235"/>
        <v>104287</v>
      </c>
      <c r="D2324" s="133">
        <f t="shared" si="235"/>
        <v>23807</v>
      </c>
      <c r="E2324" s="135">
        <f>D2324/(C2324/100)</f>
        <v>22.82834869</v>
      </c>
    </row>
    <row r="2325" hidden="1">
      <c r="A2325" s="154"/>
      <c r="B2325" s="124"/>
      <c r="C2325" s="124"/>
      <c r="D2325" s="124"/>
    </row>
    <row r="2326" hidden="1">
      <c r="A2326" s="154">
        <v>44287.0</v>
      </c>
      <c r="B2326" s="124"/>
      <c r="C2326" s="124"/>
      <c r="D2326" s="124"/>
    </row>
    <row r="2327" hidden="1">
      <c r="A2327" s="150" t="s">
        <v>1351</v>
      </c>
      <c r="B2327" s="147">
        <v>1290.0</v>
      </c>
      <c r="C2327" s="147">
        <v>1429.0</v>
      </c>
      <c r="D2327" s="132">
        <f t="shared" ref="D2327:D2394" si="236">C2327-B2327</f>
        <v>139</v>
      </c>
      <c r="E2327" s="132" t="s">
        <v>123</v>
      </c>
      <c r="F2327" s="139"/>
      <c r="G2327" s="150"/>
      <c r="H2327" s="129"/>
      <c r="I2327" s="129"/>
      <c r="J2327" s="129"/>
      <c r="K2327" s="129"/>
      <c r="L2327" s="129"/>
      <c r="M2327" s="129"/>
      <c r="N2327" s="129"/>
      <c r="O2327" s="129"/>
      <c r="P2327" s="129"/>
      <c r="Q2327" s="129"/>
      <c r="R2327" s="129"/>
      <c r="S2327" s="129"/>
      <c r="T2327" s="129"/>
      <c r="U2327" s="129"/>
      <c r="V2327" s="129"/>
      <c r="W2327" s="129"/>
      <c r="X2327" s="129"/>
      <c r="Y2327" s="129"/>
      <c r="Z2327" s="129"/>
      <c r="AA2327" s="129"/>
      <c r="AB2327" s="129"/>
    </row>
    <row r="2328" hidden="1">
      <c r="A2328" s="142" t="s">
        <v>464</v>
      </c>
      <c r="B2328" s="147">
        <v>1290.0</v>
      </c>
      <c r="C2328" s="124">
        <v>1420.0</v>
      </c>
      <c r="D2328" s="132">
        <f t="shared" si="236"/>
        <v>130</v>
      </c>
      <c r="E2328" s="126" t="s">
        <v>123</v>
      </c>
      <c r="F2328" s="139"/>
      <c r="G2328" s="129"/>
      <c r="H2328" s="129"/>
      <c r="I2328" s="129"/>
      <c r="J2328" s="129"/>
      <c r="K2328" s="129"/>
      <c r="L2328" s="129"/>
      <c r="M2328" s="129"/>
      <c r="N2328" s="129"/>
      <c r="O2328" s="129"/>
      <c r="P2328" s="129"/>
      <c r="Q2328" s="129"/>
      <c r="R2328" s="129"/>
      <c r="S2328" s="129"/>
      <c r="T2328" s="129"/>
      <c r="U2328" s="129"/>
      <c r="V2328" s="129"/>
      <c r="W2328" s="129"/>
      <c r="X2328" s="129"/>
      <c r="Y2328" s="129"/>
      <c r="Z2328" s="129"/>
      <c r="AA2328" s="129"/>
      <c r="AB2328" s="129"/>
    </row>
    <row r="2329" hidden="1">
      <c r="A2329" s="128" t="s">
        <v>449</v>
      </c>
      <c r="B2329" s="147">
        <v>890.0</v>
      </c>
      <c r="C2329" s="147">
        <v>1090.0</v>
      </c>
      <c r="D2329" s="132">
        <f t="shared" si="236"/>
        <v>200</v>
      </c>
      <c r="E2329" s="132" t="s">
        <v>123</v>
      </c>
      <c r="F2329" s="147"/>
      <c r="G2329" s="129"/>
      <c r="H2329" s="129"/>
      <c r="I2329" s="129"/>
      <c r="J2329" s="129"/>
      <c r="K2329" s="129"/>
      <c r="L2329" s="129"/>
      <c r="M2329" s="129"/>
      <c r="N2329" s="129"/>
      <c r="O2329" s="129"/>
      <c r="P2329" s="129"/>
      <c r="Q2329" s="129"/>
      <c r="R2329" s="129"/>
      <c r="S2329" s="129"/>
      <c r="T2329" s="129"/>
      <c r="U2329" s="129"/>
      <c r="V2329" s="129"/>
      <c r="W2329" s="129"/>
      <c r="X2329" s="129"/>
      <c r="Y2329" s="129"/>
      <c r="Z2329" s="129"/>
      <c r="AA2329" s="129"/>
      <c r="AB2329" s="129"/>
    </row>
    <row r="2330" hidden="1">
      <c r="A2330" s="142" t="s">
        <v>1182</v>
      </c>
      <c r="B2330" s="147">
        <v>1490.0</v>
      </c>
      <c r="C2330" s="147">
        <v>1690.0</v>
      </c>
      <c r="D2330" s="132">
        <f t="shared" si="236"/>
        <v>200</v>
      </c>
      <c r="E2330" s="132" t="s">
        <v>123</v>
      </c>
      <c r="F2330" s="139"/>
      <c r="G2330" s="150"/>
      <c r="H2330" s="129"/>
      <c r="I2330" s="129"/>
      <c r="J2330" s="129"/>
      <c r="K2330" s="129"/>
      <c r="L2330" s="129"/>
      <c r="M2330" s="129"/>
      <c r="N2330" s="129"/>
      <c r="O2330" s="129"/>
      <c r="P2330" s="129"/>
      <c r="Q2330" s="129"/>
      <c r="R2330" s="129"/>
      <c r="S2330" s="129"/>
      <c r="T2330" s="129"/>
      <c r="U2330" s="129"/>
      <c r="V2330" s="129"/>
      <c r="W2330" s="129"/>
      <c r="X2330" s="129"/>
      <c r="Y2330" s="129"/>
      <c r="Z2330" s="129"/>
      <c r="AA2330" s="129"/>
      <c r="AB2330" s="129"/>
    </row>
    <row r="2331" hidden="1">
      <c r="A2331" s="150" t="s">
        <v>396</v>
      </c>
      <c r="B2331" s="147">
        <v>2000.0</v>
      </c>
      <c r="C2331" s="147">
        <v>2345.0</v>
      </c>
      <c r="D2331" s="132">
        <f t="shared" si="236"/>
        <v>345</v>
      </c>
      <c r="E2331" s="147" t="s">
        <v>123</v>
      </c>
      <c r="F2331" s="139"/>
      <c r="G2331" s="150"/>
      <c r="H2331" s="129"/>
      <c r="I2331" s="129"/>
      <c r="J2331" s="129"/>
      <c r="K2331" s="129"/>
      <c r="L2331" s="129"/>
      <c r="M2331" s="129"/>
      <c r="N2331" s="129"/>
      <c r="O2331" s="129"/>
      <c r="P2331" s="129"/>
      <c r="Q2331" s="129"/>
      <c r="R2331" s="129"/>
      <c r="S2331" s="129"/>
      <c r="T2331" s="129"/>
      <c r="U2331" s="129"/>
      <c r="V2331" s="129"/>
      <c r="W2331" s="129"/>
      <c r="X2331" s="129"/>
      <c r="Y2331" s="129"/>
      <c r="Z2331" s="129"/>
      <c r="AA2331" s="129"/>
      <c r="AB2331" s="129"/>
    </row>
    <row r="2332" hidden="1">
      <c r="A2332" s="128" t="s">
        <v>1216</v>
      </c>
      <c r="B2332" s="147">
        <v>4170.0</v>
      </c>
      <c r="C2332" s="147">
        <v>4278.0</v>
      </c>
      <c r="D2332" s="132">
        <f t="shared" si="236"/>
        <v>108</v>
      </c>
      <c r="E2332" s="171" t="s">
        <v>120</v>
      </c>
      <c r="F2332" s="139"/>
      <c r="G2332" s="129"/>
      <c r="H2332" s="129"/>
      <c r="I2332" s="129"/>
      <c r="J2332" s="129"/>
      <c r="K2332" s="129"/>
      <c r="L2332" s="129"/>
      <c r="M2332" s="129"/>
      <c r="N2332" s="129"/>
      <c r="O2332" s="129"/>
      <c r="P2332" s="129"/>
      <c r="Q2332" s="129"/>
      <c r="R2332" s="129"/>
      <c r="S2332" s="129"/>
      <c r="T2332" s="129"/>
      <c r="U2332" s="129"/>
      <c r="V2332" s="129"/>
      <c r="W2332" s="129"/>
      <c r="X2332" s="129"/>
      <c r="Y2332" s="129"/>
      <c r="Z2332" s="129"/>
      <c r="AA2332" s="129"/>
      <c r="AB2332" s="129"/>
    </row>
    <row r="2333" hidden="1">
      <c r="A2333" s="128" t="s">
        <v>1208</v>
      </c>
      <c r="B2333" s="147">
        <v>0.0</v>
      </c>
      <c r="C2333" s="147">
        <v>0.0</v>
      </c>
      <c r="D2333" s="132">
        <f t="shared" si="236"/>
        <v>0</v>
      </c>
      <c r="E2333" s="171" t="s">
        <v>120</v>
      </c>
      <c r="F2333" s="139"/>
      <c r="G2333" s="129"/>
      <c r="H2333" s="129"/>
      <c r="I2333" s="129"/>
      <c r="J2333" s="129"/>
      <c r="K2333" s="129"/>
      <c r="L2333" s="129"/>
      <c r="M2333" s="129"/>
      <c r="N2333" s="129"/>
      <c r="O2333" s="129"/>
      <c r="P2333" s="129"/>
      <c r="Q2333" s="129"/>
      <c r="R2333" s="129"/>
      <c r="S2333" s="129"/>
      <c r="T2333" s="129"/>
      <c r="U2333" s="129"/>
      <c r="V2333" s="129"/>
      <c r="W2333" s="129"/>
      <c r="X2333" s="129"/>
      <c r="Y2333" s="129"/>
      <c r="Z2333" s="129"/>
      <c r="AA2333" s="129"/>
      <c r="AB2333" s="129"/>
    </row>
    <row r="2334" hidden="1">
      <c r="A2334" s="128" t="s">
        <v>1208</v>
      </c>
      <c r="B2334" s="147">
        <v>0.0</v>
      </c>
      <c r="C2334" s="147">
        <v>0.0</v>
      </c>
      <c r="D2334" s="132">
        <f t="shared" si="236"/>
        <v>0</v>
      </c>
      <c r="E2334" s="171" t="s">
        <v>120</v>
      </c>
      <c r="F2334" s="139"/>
      <c r="G2334" s="129"/>
      <c r="H2334" s="129"/>
      <c r="I2334" s="129"/>
      <c r="J2334" s="129"/>
      <c r="K2334" s="129"/>
      <c r="L2334" s="129"/>
      <c r="M2334" s="129"/>
      <c r="N2334" s="129"/>
      <c r="O2334" s="129"/>
      <c r="P2334" s="129"/>
      <c r="Q2334" s="129"/>
      <c r="R2334" s="129"/>
      <c r="S2334" s="129"/>
      <c r="T2334" s="129"/>
      <c r="U2334" s="129"/>
      <c r="V2334" s="129"/>
      <c r="W2334" s="129"/>
      <c r="X2334" s="129"/>
      <c r="Y2334" s="129"/>
      <c r="Z2334" s="129"/>
      <c r="AA2334" s="129"/>
      <c r="AB2334" s="129"/>
    </row>
    <row r="2335" hidden="1">
      <c r="A2335" s="150" t="s">
        <v>1345</v>
      </c>
      <c r="B2335" s="147">
        <v>1490.0</v>
      </c>
      <c r="C2335" s="147">
        <v>1570.0</v>
      </c>
      <c r="D2335" s="132">
        <f t="shared" si="236"/>
        <v>80</v>
      </c>
      <c r="E2335" s="147" t="s">
        <v>123</v>
      </c>
      <c r="F2335" s="139"/>
      <c r="G2335" s="150"/>
      <c r="H2335" s="129"/>
      <c r="I2335" s="129"/>
      <c r="J2335" s="129"/>
      <c r="K2335" s="129"/>
      <c r="L2335" s="129"/>
      <c r="M2335" s="129"/>
      <c r="N2335" s="129"/>
      <c r="O2335" s="129"/>
      <c r="P2335" s="129"/>
      <c r="Q2335" s="129"/>
      <c r="R2335" s="129"/>
      <c r="S2335" s="129"/>
      <c r="T2335" s="129"/>
      <c r="U2335" s="129"/>
      <c r="V2335" s="129"/>
      <c r="W2335" s="129"/>
      <c r="X2335" s="129"/>
      <c r="Y2335" s="129"/>
      <c r="Z2335" s="129"/>
      <c r="AA2335" s="129"/>
      <c r="AB2335" s="129"/>
    </row>
    <row r="2336" hidden="1">
      <c r="A2336" s="123" t="s">
        <v>400</v>
      </c>
      <c r="B2336" s="124">
        <v>1750.0</v>
      </c>
      <c r="C2336" s="124">
        <v>2270.0</v>
      </c>
      <c r="D2336" s="125">
        <f t="shared" si="236"/>
        <v>520</v>
      </c>
      <c r="E2336" s="126" t="s">
        <v>123</v>
      </c>
      <c r="F2336" s="124"/>
    </row>
    <row r="2337" hidden="1">
      <c r="A2337" s="128" t="s">
        <v>1179</v>
      </c>
      <c r="B2337" s="147">
        <v>5560.0</v>
      </c>
      <c r="C2337" s="147">
        <v>5662.0</v>
      </c>
      <c r="D2337" s="132">
        <f t="shared" si="236"/>
        <v>102</v>
      </c>
      <c r="E2337" s="171" t="s">
        <v>120</v>
      </c>
      <c r="F2337" s="139"/>
      <c r="G2337" s="129"/>
      <c r="H2337" s="129"/>
      <c r="I2337" s="129"/>
      <c r="J2337" s="129"/>
      <c r="K2337" s="129"/>
      <c r="L2337" s="129"/>
      <c r="M2337" s="129"/>
      <c r="N2337" s="129"/>
      <c r="O2337" s="129"/>
      <c r="P2337" s="129"/>
      <c r="Q2337" s="129"/>
      <c r="R2337" s="129"/>
      <c r="S2337" s="129"/>
      <c r="T2337" s="129"/>
      <c r="U2337" s="129"/>
      <c r="V2337" s="129"/>
      <c r="W2337" s="129"/>
      <c r="X2337" s="129"/>
      <c r="Y2337" s="129"/>
      <c r="Z2337" s="129"/>
      <c r="AA2337" s="129"/>
      <c r="AB2337" s="129"/>
    </row>
    <row r="2338" hidden="1">
      <c r="A2338" s="128" t="s">
        <v>1213</v>
      </c>
      <c r="B2338" s="147">
        <v>0.0</v>
      </c>
      <c r="C2338" s="147">
        <v>0.0</v>
      </c>
      <c r="D2338" s="132">
        <f t="shared" si="236"/>
        <v>0</v>
      </c>
      <c r="E2338" s="171" t="s">
        <v>120</v>
      </c>
      <c r="F2338" s="139"/>
      <c r="G2338" s="129"/>
      <c r="H2338" s="129"/>
      <c r="I2338" s="129"/>
      <c r="J2338" s="129"/>
      <c r="K2338" s="129"/>
      <c r="L2338" s="129"/>
      <c r="M2338" s="129"/>
      <c r="N2338" s="129"/>
      <c r="O2338" s="129"/>
      <c r="P2338" s="129"/>
      <c r="Q2338" s="129"/>
      <c r="R2338" s="129"/>
      <c r="S2338" s="129"/>
      <c r="T2338" s="129"/>
      <c r="U2338" s="129"/>
      <c r="V2338" s="129"/>
      <c r="W2338" s="129"/>
      <c r="X2338" s="129"/>
      <c r="Y2338" s="129"/>
      <c r="Z2338" s="129"/>
      <c r="AA2338" s="129"/>
      <c r="AB2338" s="129"/>
    </row>
    <row r="2339" hidden="1">
      <c r="A2339" s="128" t="s">
        <v>1213</v>
      </c>
      <c r="B2339" s="147">
        <v>0.0</v>
      </c>
      <c r="C2339" s="147">
        <v>0.0</v>
      </c>
      <c r="D2339" s="132">
        <f t="shared" si="236"/>
        <v>0</v>
      </c>
      <c r="E2339" s="171" t="s">
        <v>120</v>
      </c>
      <c r="F2339" s="139"/>
      <c r="G2339" s="129"/>
      <c r="H2339" s="129"/>
      <c r="I2339" s="129"/>
      <c r="J2339" s="129"/>
      <c r="K2339" s="129"/>
      <c r="L2339" s="129"/>
      <c r="M2339" s="129"/>
      <c r="N2339" s="129"/>
      <c r="O2339" s="129"/>
      <c r="P2339" s="129"/>
      <c r="Q2339" s="129"/>
      <c r="R2339" s="129"/>
      <c r="S2339" s="129"/>
      <c r="T2339" s="129"/>
      <c r="U2339" s="129"/>
      <c r="V2339" s="129"/>
      <c r="W2339" s="129"/>
      <c r="X2339" s="129"/>
      <c r="Y2339" s="129"/>
      <c r="Z2339" s="129"/>
      <c r="AA2339" s="129"/>
      <c r="AB2339" s="129"/>
    </row>
    <row r="2340" hidden="1">
      <c r="A2340" s="128" t="s">
        <v>1216</v>
      </c>
      <c r="B2340" s="147">
        <v>0.0</v>
      </c>
      <c r="C2340" s="147">
        <v>0.0</v>
      </c>
      <c r="D2340" s="132">
        <f t="shared" si="236"/>
        <v>0</v>
      </c>
      <c r="E2340" s="171" t="s">
        <v>120</v>
      </c>
      <c r="F2340" s="139"/>
      <c r="G2340" s="129"/>
      <c r="H2340" s="129"/>
      <c r="I2340" s="129"/>
      <c r="J2340" s="129"/>
      <c r="K2340" s="129"/>
      <c r="L2340" s="129"/>
      <c r="M2340" s="129"/>
      <c r="N2340" s="129"/>
      <c r="O2340" s="129"/>
      <c r="P2340" s="129"/>
      <c r="Q2340" s="129"/>
      <c r="R2340" s="129"/>
      <c r="S2340" s="129"/>
      <c r="T2340" s="129"/>
      <c r="U2340" s="129"/>
      <c r="V2340" s="129"/>
      <c r="W2340" s="129"/>
      <c r="X2340" s="129"/>
      <c r="Y2340" s="129"/>
      <c r="Z2340" s="129"/>
      <c r="AA2340" s="129"/>
      <c r="AB2340" s="129"/>
    </row>
    <row r="2341" hidden="1">
      <c r="A2341" s="128" t="s">
        <v>1327</v>
      </c>
      <c r="B2341" s="147">
        <v>1090.0</v>
      </c>
      <c r="C2341" s="124">
        <v>1290.0</v>
      </c>
      <c r="D2341" s="132">
        <f t="shared" si="236"/>
        <v>200</v>
      </c>
      <c r="E2341" s="126" t="s">
        <v>123</v>
      </c>
      <c r="F2341" s="147"/>
      <c r="G2341" s="129"/>
      <c r="H2341" s="129"/>
      <c r="I2341" s="129"/>
      <c r="J2341" s="129"/>
      <c r="K2341" s="129"/>
      <c r="L2341" s="129"/>
      <c r="M2341" s="129"/>
      <c r="N2341" s="129"/>
      <c r="O2341" s="129"/>
      <c r="P2341" s="129"/>
      <c r="Q2341" s="129"/>
      <c r="R2341" s="129"/>
      <c r="S2341" s="129"/>
      <c r="T2341" s="129"/>
      <c r="U2341" s="129"/>
      <c r="V2341" s="129"/>
      <c r="W2341" s="129"/>
      <c r="X2341" s="129"/>
      <c r="Y2341" s="129"/>
      <c r="Z2341" s="129"/>
      <c r="AA2341" s="129"/>
      <c r="AB2341" s="129"/>
    </row>
    <row r="2342" hidden="1">
      <c r="A2342" s="128" t="s">
        <v>968</v>
      </c>
      <c r="B2342" s="147">
        <v>2000.0</v>
      </c>
      <c r="C2342" s="147">
        <v>2500.0</v>
      </c>
      <c r="D2342" s="132">
        <f t="shared" si="236"/>
        <v>500</v>
      </c>
      <c r="E2342" s="147" t="s">
        <v>123</v>
      </c>
      <c r="F2342" s="132"/>
      <c r="G2342" s="129"/>
      <c r="H2342" s="129"/>
      <c r="I2342" s="129"/>
      <c r="J2342" s="129"/>
      <c r="K2342" s="129"/>
      <c r="L2342" s="129"/>
      <c r="M2342" s="129"/>
      <c r="N2342" s="129"/>
      <c r="O2342" s="129"/>
      <c r="P2342" s="129"/>
      <c r="Q2342" s="129"/>
      <c r="R2342" s="129"/>
      <c r="S2342" s="129"/>
      <c r="T2342" s="129"/>
      <c r="U2342" s="129"/>
      <c r="V2342" s="129"/>
      <c r="W2342" s="129"/>
      <c r="X2342" s="129"/>
      <c r="Y2342" s="129"/>
      <c r="Z2342" s="129"/>
      <c r="AA2342" s="129"/>
      <c r="AB2342" s="129"/>
    </row>
    <row r="2343" hidden="1">
      <c r="A2343" s="128" t="s">
        <v>1325</v>
      </c>
      <c r="B2343" s="147">
        <v>1390.0</v>
      </c>
      <c r="C2343" s="147">
        <v>1451.0</v>
      </c>
      <c r="D2343" s="132">
        <f t="shared" si="236"/>
        <v>61</v>
      </c>
      <c r="E2343" s="126" t="s">
        <v>123</v>
      </c>
      <c r="F2343" s="139"/>
      <c r="G2343" s="129"/>
      <c r="H2343" s="129"/>
      <c r="I2343" s="129"/>
      <c r="J2343" s="129"/>
      <c r="K2343" s="129"/>
      <c r="L2343" s="129"/>
      <c r="M2343" s="129"/>
      <c r="N2343" s="129"/>
      <c r="O2343" s="129"/>
      <c r="P2343" s="129"/>
      <c r="Q2343" s="129"/>
      <c r="R2343" s="129"/>
      <c r="S2343" s="129"/>
      <c r="T2343" s="129"/>
      <c r="U2343" s="129"/>
      <c r="V2343" s="129"/>
      <c r="W2343" s="129"/>
      <c r="X2343" s="129"/>
      <c r="Y2343" s="129"/>
      <c r="Z2343" s="129"/>
      <c r="AA2343" s="129"/>
      <c r="AB2343" s="129"/>
    </row>
    <row r="2344" hidden="1">
      <c r="A2344" s="128" t="s">
        <v>1352</v>
      </c>
      <c r="B2344" s="147">
        <v>1390.0</v>
      </c>
      <c r="C2344" s="147">
        <v>1513.0</v>
      </c>
      <c r="D2344" s="132">
        <f t="shared" si="236"/>
        <v>123</v>
      </c>
      <c r="E2344" s="132" t="s">
        <v>123</v>
      </c>
      <c r="F2344" s="139"/>
      <c r="G2344" s="150"/>
      <c r="H2344" s="129"/>
      <c r="I2344" s="129"/>
      <c r="J2344" s="129"/>
      <c r="K2344" s="129"/>
      <c r="L2344" s="129"/>
      <c r="M2344" s="129"/>
      <c r="N2344" s="129"/>
      <c r="O2344" s="129"/>
      <c r="P2344" s="129"/>
      <c r="Q2344" s="129"/>
      <c r="R2344" s="129"/>
      <c r="S2344" s="129"/>
      <c r="T2344" s="129"/>
      <c r="U2344" s="129"/>
      <c r="V2344" s="129"/>
      <c r="W2344" s="129"/>
      <c r="X2344" s="129"/>
      <c r="Y2344" s="129"/>
      <c r="Z2344" s="129"/>
      <c r="AA2344" s="129"/>
      <c r="AB2344" s="129"/>
    </row>
    <row r="2345" hidden="1">
      <c r="A2345" s="150" t="s">
        <v>1095</v>
      </c>
      <c r="B2345" s="147">
        <v>2500.0</v>
      </c>
      <c r="C2345" s="147">
        <v>3268.0</v>
      </c>
      <c r="D2345" s="132">
        <f t="shared" si="236"/>
        <v>768</v>
      </c>
      <c r="E2345" s="147" t="s">
        <v>123</v>
      </c>
      <c r="F2345" s="139"/>
      <c r="G2345" s="129"/>
      <c r="H2345" s="129"/>
      <c r="I2345" s="129"/>
      <c r="J2345" s="129"/>
      <c r="K2345" s="129"/>
      <c r="L2345" s="129"/>
      <c r="M2345" s="129"/>
      <c r="N2345" s="129"/>
      <c r="O2345" s="129"/>
      <c r="P2345" s="129"/>
      <c r="Q2345" s="129"/>
      <c r="R2345" s="129"/>
      <c r="S2345" s="129"/>
      <c r="T2345" s="129"/>
      <c r="U2345" s="129"/>
      <c r="V2345" s="129"/>
      <c r="W2345" s="129"/>
      <c r="X2345" s="129"/>
      <c r="Y2345" s="129"/>
      <c r="Z2345" s="129"/>
      <c r="AA2345" s="129"/>
      <c r="AB2345" s="129"/>
    </row>
    <row r="2346" hidden="1">
      <c r="A2346" s="150" t="s">
        <v>1345</v>
      </c>
      <c r="B2346" s="147">
        <v>1490.0</v>
      </c>
      <c r="C2346" s="147">
        <v>1499.0</v>
      </c>
      <c r="D2346" s="132">
        <f t="shared" si="236"/>
        <v>9</v>
      </c>
      <c r="E2346" s="147" t="s">
        <v>123</v>
      </c>
      <c r="F2346" s="139"/>
      <c r="G2346" s="150"/>
      <c r="H2346" s="129"/>
      <c r="I2346" s="129"/>
      <c r="J2346" s="129"/>
      <c r="K2346" s="129"/>
      <c r="L2346" s="129"/>
      <c r="M2346" s="129"/>
      <c r="N2346" s="129"/>
      <c r="O2346" s="129"/>
      <c r="P2346" s="129"/>
      <c r="Q2346" s="129"/>
      <c r="R2346" s="129"/>
      <c r="S2346" s="129"/>
      <c r="T2346" s="129"/>
      <c r="U2346" s="129"/>
      <c r="V2346" s="129"/>
      <c r="W2346" s="129"/>
      <c r="X2346" s="129"/>
      <c r="Y2346" s="129"/>
      <c r="Z2346" s="129"/>
      <c r="AA2346" s="129"/>
      <c r="AB2346" s="129"/>
    </row>
    <row r="2347" hidden="1">
      <c r="A2347" s="128" t="s">
        <v>1353</v>
      </c>
      <c r="B2347" s="147">
        <v>1090.0</v>
      </c>
      <c r="C2347" s="127">
        <v>1203.0</v>
      </c>
      <c r="D2347" s="132">
        <f t="shared" si="236"/>
        <v>113</v>
      </c>
      <c r="E2347" s="126" t="s">
        <v>123</v>
      </c>
      <c r="F2347" s="147"/>
      <c r="G2347" s="129"/>
      <c r="H2347" s="129"/>
      <c r="I2347" s="129"/>
      <c r="J2347" s="129"/>
      <c r="K2347" s="129"/>
      <c r="L2347" s="129"/>
      <c r="M2347" s="129"/>
      <c r="N2347" s="129"/>
      <c r="O2347" s="129"/>
      <c r="P2347" s="129"/>
      <c r="Q2347" s="129"/>
      <c r="R2347" s="129"/>
      <c r="S2347" s="129"/>
      <c r="T2347" s="129"/>
      <c r="U2347" s="129"/>
      <c r="V2347" s="129"/>
      <c r="W2347" s="129"/>
      <c r="X2347" s="129"/>
      <c r="Y2347" s="129"/>
      <c r="Z2347" s="129"/>
      <c r="AA2347" s="129"/>
      <c r="AB2347" s="129"/>
    </row>
    <row r="2348" hidden="1">
      <c r="A2348" s="150" t="s">
        <v>1353</v>
      </c>
      <c r="B2348" s="132">
        <v>1090.0</v>
      </c>
      <c r="C2348" s="147">
        <v>1203.0</v>
      </c>
      <c r="D2348" s="132">
        <f t="shared" si="236"/>
        <v>113</v>
      </c>
      <c r="E2348" s="132" t="s">
        <v>123</v>
      </c>
      <c r="F2348" s="132"/>
      <c r="G2348" s="129"/>
      <c r="H2348" s="129"/>
      <c r="I2348" s="129"/>
      <c r="J2348" s="129"/>
      <c r="K2348" s="129"/>
      <c r="L2348" s="129"/>
      <c r="M2348" s="129"/>
      <c r="N2348" s="129"/>
      <c r="O2348" s="129"/>
      <c r="P2348" s="129"/>
      <c r="Q2348" s="129"/>
      <c r="R2348" s="129"/>
      <c r="S2348" s="129"/>
      <c r="T2348" s="129"/>
      <c r="U2348" s="129"/>
      <c r="V2348" s="129"/>
      <c r="W2348" s="129"/>
      <c r="X2348" s="129"/>
      <c r="Y2348" s="129"/>
      <c r="Z2348" s="129"/>
      <c r="AA2348" s="129"/>
      <c r="AB2348" s="129"/>
    </row>
    <row r="2349" hidden="1">
      <c r="A2349" s="159" t="s">
        <v>403</v>
      </c>
      <c r="B2349" s="124">
        <v>2740.0</v>
      </c>
      <c r="C2349" s="147">
        <v>3447.0</v>
      </c>
      <c r="D2349" s="270">
        <f t="shared" si="236"/>
        <v>707</v>
      </c>
      <c r="E2349" s="126" t="s">
        <v>123</v>
      </c>
      <c r="F2349" s="139"/>
      <c r="G2349" s="129"/>
      <c r="H2349" s="129"/>
      <c r="I2349" s="129"/>
      <c r="J2349" s="129"/>
      <c r="K2349" s="129"/>
      <c r="L2349" s="129"/>
      <c r="M2349" s="129"/>
      <c r="N2349" s="129"/>
      <c r="O2349" s="129"/>
      <c r="P2349" s="129"/>
      <c r="Q2349" s="129"/>
      <c r="R2349" s="129"/>
      <c r="S2349" s="129"/>
      <c r="T2349" s="129"/>
      <c r="U2349" s="129"/>
      <c r="V2349" s="129"/>
      <c r="W2349" s="129"/>
      <c r="X2349" s="129"/>
      <c r="Y2349" s="129"/>
      <c r="Z2349" s="129"/>
      <c r="AA2349" s="129"/>
      <c r="AB2349" s="129"/>
    </row>
    <row r="2350" hidden="1">
      <c r="A2350" s="123" t="s">
        <v>404</v>
      </c>
      <c r="B2350" s="147">
        <v>0.0</v>
      </c>
      <c r="C2350" s="124">
        <v>0.0</v>
      </c>
      <c r="D2350" s="125">
        <f t="shared" si="236"/>
        <v>0</v>
      </c>
      <c r="E2350" s="126" t="s">
        <v>123</v>
      </c>
      <c r="F2350" s="124"/>
    </row>
    <row r="2351" hidden="1">
      <c r="A2351" s="128" t="s">
        <v>1354</v>
      </c>
      <c r="B2351" s="147">
        <v>1390.0</v>
      </c>
      <c r="C2351" s="147">
        <v>1429.0</v>
      </c>
      <c r="D2351" s="132">
        <f t="shared" si="236"/>
        <v>39</v>
      </c>
      <c r="E2351" s="126" t="s">
        <v>123</v>
      </c>
      <c r="F2351" s="139"/>
      <c r="G2351" s="129"/>
      <c r="H2351" s="129"/>
      <c r="I2351" s="129"/>
      <c r="J2351" s="129"/>
      <c r="K2351" s="129"/>
      <c r="L2351" s="129"/>
      <c r="M2351" s="129"/>
      <c r="N2351" s="129"/>
      <c r="O2351" s="129"/>
      <c r="P2351" s="129"/>
      <c r="Q2351" s="129"/>
      <c r="R2351" s="129"/>
      <c r="S2351" s="129"/>
      <c r="T2351" s="129"/>
      <c r="U2351" s="129"/>
      <c r="V2351" s="129"/>
      <c r="W2351" s="129"/>
      <c r="X2351" s="129"/>
      <c r="Y2351" s="129"/>
      <c r="Z2351" s="129"/>
      <c r="AA2351" s="129"/>
      <c r="AB2351" s="129"/>
    </row>
    <row r="2352" hidden="1">
      <c r="A2352" s="128" t="s">
        <v>1354</v>
      </c>
      <c r="B2352" s="147">
        <v>1390.0</v>
      </c>
      <c r="C2352" s="147">
        <v>1445.0</v>
      </c>
      <c r="D2352" s="132">
        <f t="shared" si="236"/>
        <v>55</v>
      </c>
      <c r="E2352" s="126" t="s">
        <v>123</v>
      </c>
      <c r="F2352" s="139"/>
      <c r="G2352" s="129"/>
      <c r="H2352" s="129"/>
      <c r="I2352" s="129"/>
      <c r="J2352" s="129"/>
      <c r="K2352" s="129"/>
      <c r="L2352" s="129"/>
      <c r="M2352" s="129"/>
      <c r="N2352" s="129"/>
      <c r="O2352" s="129"/>
      <c r="P2352" s="129"/>
      <c r="Q2352" s="129"/>
      <c r="R2352" s="129"/>
      <c r="S2352" s="129"/>
      <c r="T2352" s="129"/>
      <c r="U2352" s="129"/>
      <c r="V2352" s="129"/>
      <c r="W2352" s="129"/>
      <c r="X2352" s="129"/>
      <c r="Y2352" s="129"/>
      <c r="Z2352" s="129"/>
      <c r="AA2352" s="129"/>
      <c r="AB2352" s="129"/>
    </row>
    <row r="2353" hidden="1">
      <c r="A2353" s="179" t="s">
        <v>1355</v>
      </c>
      <c r="B2353" s="333">
        <v>2000.0</v>
      </c>
      <c r="C2353" s="333">
        <v>4500.0</v>
      </c>
      <c r="D2353" s="404">
        <f t="shared" si="236"/>
        <v>2500</v>
      </c>
      <c r="E2353" s="300" t="s">
        <v>123</v>
      </c>
      <c r="F2353" s="333"/>
      <c r="G2353" s="121"/>
      <c r="H2353" s="121"/>
      <c r="I2353" s="121"/>
      <c r="J2353" s="121"/>
      <c r="K2353" s="121"/>
      <c r="L2353" s="121"/>
      <c r="M2353" s="121"/>
      <c r="N2353" s="121"/>
      <c r="O2353" s="121"/>
      <c r="P2353" s="121"/>
      <c r="Q2353" s="121"/>
      <c r="R2353" s="121"/>
      <c r="S2353" s="121"/>
      <c r="T2353" s="121"/>
      <c r="U2353" s="121"/>
      <c r="V2353" s="121"/>
      <c r="W2353" s="121"/>
      <c r="X2353" s="121"/>
      <c r="Y2353" s="121"/>
      <c r="Z2353" s="121"/>
      <c r="AA2353" s="121"/>
      <c r="AB2353" s="121"/>
    </row>
    <row r="2354" hidden="1">
      <c r="A2354" s="179" t="s">
        <v>1356</v>
      </c>
      <c r="B2354" s="333">
        <v>2000.0</v>
      </c>
      <c r="C2354" s="333">
        <v>4500.0</v>
      </c>
      <c r="D2354" s="404">
        <f t="shared" si="236"/>
        <v>2500</v>
      </c>
      <c r="E2354" s="300" t="s">
        <v>123</v>
      </c>
      <c r="F2354" s="333"/>
      <c r="G2354" s="121"/>
      <c r="H2354" s="121"/>
      <c r="I2354" s="121"/>
      <c r="J2354" s="121"/>
      <c r="K2354" s="121"/>
      <c r="L2354" s="121"/>
      <c r="M2354" s="121"/>
      <c r="N2354" s="121"/>
      <c r="O2354" s="121"/>
      <c r="P2354" s="121"/>
      <c r="Q2354" s="121"/>
      <c r="R2354" s="121"/>
      <c r="S2354" s="121"/>
      <c r="T2354" s="121"/>
      <c r="U2354" s="121"/>
      <c r="V2354" s="121"/>
      <c r="W2354" s="121"/>
      <c r="X2354" s="121"/>
      <c r="Y2354" s="121"/>
      <c r="Z2354" s="121"/>
      <c r="AA2354" s="121"/>
      <c r="AB2354" s="121"/>
    </row>
    <row r="2355" hidden="1">
      <c r="A2355" s="128" t="s">
        <v>1357</v>
      </c>
      <c r="B2355" s="147">
        <v>590.0</v>
      </c>
      <c r="C2355" s="147">
        <v>718.0</v>
      </c>
      <c r="D2355" s="132">
        <f t="shared" si="236"/>
        <v>128</v>
      </c>
      <c r="E2355" s="147" t="s">
        <v>120</v>
      </c>
      <c r="F2355" s="139"/>
      <c r="G2355" s="128"/>
      <c r="H2355" s="129"/>
      <c r="I2355" s="129"/>
      <c r="J2355" s="129"/>
      <c r="K2355" s="129"/>
      <c r="L2355" s="129"/>
      <c r="M2355" s="129"/>
      <c r="N2355" s="129"/>
      <c r="O2355" s="129"/>
      <c r="S2355" s="129"/>
      <c r="T2355" s="129"/>
      <c r="U2355" s="129"/>
      <c r="V2355" s="129"/>
      <c r="W2355" s="129"/>
      <c r="X2355" s="129"/>
      <c r="Y2355" s="129"/>
      <c r="Z2355" s="129"/>
      <c r="AA2355" s="129"/>
      <c r="AB2355" s="129"/>
    </row>
    <row r="2356" hidden="1">
      <c r="A2356" s="150" t="s">
        <v>122</v>
      </c>
      <c r="B2356" s="132">
        <v>790.0</v>
      </c>
      <c r="C2356" s="147">
        <v>960.0</v>
      </c>
      <c r="D2356" s="132">
        <f t="shared" si="236"/>
        <v>170</v>
      </c>
      <c r="E2356" s="171" t="s">
        <v>123</v>
      </c>
      <c r="F2356" s="132"/>
      <c r="G2356" s="150"/>
      <c r="H2356" s="129"/>
      <c r="I2356" s="129"/>
      <c r="J2356" s="129"/>
      <c r="K2356" s="129"/>
      <c r="L2356" s="129"/>
      <c r="M2356" s="129"/>
      <c r="N2356" s="129"/>
      <c r="O2356" s="129"/>
      <c r="P2356" s="129"/>
      <c r="Q2356" s="129"/>
      <c r="R2356" s="129"/>
      <c r="S2356" s="129"/>
      <c r="T2356" s="129"/>
      <c r="U2356" s="129"/>
      <c r="V2356" s="129"/>
      <c r="W2356" s="129"/>
      <c r="X2356" s="129"/>
      <c r="Y2356" s="129"/>
      <c r="Z2356" s="129"/>
      <c r="AA2356" s="129"/>
      <c r="AB2356" s="129"/>
    </row>
    <row r="2357" hidden="1">
      <c r="A2357" s="150" t="s">
        <v>1335</v>
      </c>
      <c r="B2357" s="147">
        <v>1690.0</v>
      </c>
      <c r="C2357" s="147">
        <v>1890.0</v>
      </c>
      <c r="D2357" s="132">
        <f t="shared" si="236"/>
        <v>200</v>
      </c>
      <c r="E2357" s="132" t="s">
        <v>123</v>
      </c>
      <c r="F2357" s="127"/>
      <c r="G2357" s="150"/>
      <c r="H2357" s="129"/>
      <c r="I2357" s="129"/>
      <c r="J2357" s="129"/>
      <c r="K2357" s="129"/>
      <c r="L2357" s="129"/>
      <c r="M2357" s="129"/>
      <c r="N2357" s="129"/>
      <c r="O2357" s="129"/>
      <c r="P2357" s="129"/>
      <c r="Q2357" s="129"/>
      <c r="R2357" s="129"/>
      <c r="S2357" s="129"/>
      <c r="T2357" s="129"/>
      <c r="U2357" s="129"/>
      <c r="V2357" s="129"/>
      <c r="W2357" s="129"/>
      <c r="X2357" s="129"/>
      <c r="Y2357" s="129"/>
      <c r="Z2357" s="129"/>
      <c r="AA2357" s="129"/>
      <c r="AB2357" s="129"/>
    </row>
    <row r="2358" hidden="1">
      <c r="A2358" s="128" t="s">
        <v>1262</v>
      </c>
      <c r="B2358" s="147">
        <v>1390.0</v>
      </c>
      <c r="C2358" s="147">
        <v>1640.0</v>
      </c>
      <c r="D2358" s="125">
        <f t="shared" si="236"/>
        <v>250</v>
      </c>
      <c r="E2358" s="126" t="s">
        <v>123</v>
      </c>
      <c r="F2358" s="147"/>
      <c r="G2358" s="123"/>
    </row>
    <row r="2359" hidden="1">
      <c r="A2359" s="128" t="s">
        <v>126</v>
      </c>
      <c r="B2359" s="124">
        <v>1750.0</v>
      </c>
      <c r="C2359" s="147">
        <v>2420.0</v>
      </c>
      <c r="D2359" s="132">
        <f t="shared" si="236"/>
        <v>670</v>
      </c>
      <c r="E2359" s="126" t="s">
        <v>123</v>
      </c>
      <c r="F2359" s="139"/>
      <c r="G2359" s="128"/>
      <c r="H2359" s="129"/>
      <c r="I2359" s="129"/>
      <c r="J2359" s="129"/>
      <c r="K2359" s="129"/>
      <c r="L2359" s="129"/>
      <c r="M2359" s="129"/>
      <c r="N2359" s="129"/>
      <c r="O2359" s="129"/>
      <c r="P2359" s="129"/>
      <c r="Q2359" s="129"/>
      <c r="R2359" s="129"/>
      <c r="S2359" s="129"/>
      <c r="T2359" s="129"/>
      <c r="U2359" s="129"/>
      <c r="V2359" s="129"/>
      <c r="W2359" s="129"/>
      <c r="X2359" s="129"/>
      <c r="Y2359" s="129"/>
      <c r="Z2359" s="129"/>
      <c r="AA2359" s="129"/>
      <c r="AB2359" s="129"/>
    </row>
    <row r="2360" hidden="1">
      <c r="A2360" s="123" t="s">
        <v>396</v>
      </c>
      <c r="B2360" s="147">
        <v>2000.0</v>
      </c>
      <c r="C2360" s="124">
        <v>2161.0</v>
      </c>
      <c r="D2360" s="125">
        <f t="shared" si="236"/>
        <v>161</v>
      </c>
      <c r="E2360" s="126" t="s">
        <v>123</v>
      </c>
      <c r="F2360" s="132"/>
      <c r="G2360" s="123"/>
    </row>
    <row r="2361" hidden="1">
      <c r="A2361" s="128" t="s">
        <v>428</v>
      </c>
      <c r="B2361" s="147">
        <v>990.0</v>
      </c>
      <c r="C2361" s="148">
        <v>1490.0</v>
      </c>
      <c r="D2361" s="270">
        <f t="shared" si="236"/>
        <v>500</v>
      </c>
      <c r="E2361" s="149" t="s">
        <v>123</v>
      </c>
      <c r="F2361" s="271"/>
      <c r="G2361" s="129"/>
      <c r="H2361" s="129"/>
      <c r="I2361" s="129"/>
      <c r="J2361" s="129"/>
      <c r="K2361" s="129"/>
      <c r="L2361" s="129"/>
      <c r="M2361" s="129"/>
      <c r="N2361" s="129"/>
      <c r="O2361" s="129"/>
      <c r="P2361" s="129"/>
      <c r="Q2361" s="129"/>
      <c r="R2361" s="129"/>
      <c r="S2361" s="129"/>
      <c r="T2361" s="129"/>
      <c r="U2361" s="129"/>
      <c r="V2361" s="129"/>
      <c r="W2361" s="129"/>
      <c r="X2361" s="129"/>
      <c r="Y2361" s="129"/>
      <c r="Z2361" s="129"/>
      <c r="AA2361" s="129"/>
      <c r="AB2361" s="129"/>
    </row>
    <row r="2362" hidden="1">
      <c r="A2362" s="128" t="s">
        <v>428</v>
      </c>
      <c r="B2362" s="147">
        <v>990.0</v>
      </c>
      <c r="C2362" s="148">
        <v>1455.0</v>
      </c>
      <c r="D2362" s="270">
        <f t="shared" si="236"/>
        <v>465</v>
      </c>
      <c r="E2362" s="149" t="s">
        <v>123</v>
      </c>
      <c r="F2362" s="271"/>
      <c r="G2362" s="129"/>
      <c r="H2362" s="129"/>
      <c r="I2362" s="129"/>
      <c r="J2362" s="129"/>
      <c r="K2362" s="129"/>
      <c r="L2362" s="129"/>
      <c r="M2362" s="129"/>
      <c r="N2362" s="129"/>
      <c r="O2362" s="129"/>
      <c r="P2362" s="129"/>
      <c r="Q2362" s="129"/>
      <c r="R2362" s="129"/>
      <c r="S2362" s="129"/>
      <c r="T2362" s="129"/>
      <c r="U2362" s="129"/>
      <c r="V2362" s="129"/>
      <c r="W2362" s="129"/>
      <c r="X2362" s="129"/>
      <c r="Y2362" s="129"/>
      <c r="Z2362" s="129"/>
      <c r="AA2362" s="129"/>
      <c r="AB2362" s="129"/>
    </row>
    <row r="2363" hidden="1">
      <c r="A2363" s="128" t="s">
        <v>1325</v>
      </c>
      <c r="B2363" s="147">
        <v>1390.0</v>
      </c>
      <c r="C2363" s="147">
        <v>1542.0</v>
      </c>
      <c r="D2363" s="132">
        <f t="shared" si="236"/>
        <v>152</v>
      </c>
      <c r="E2363" s="126" t="s">
        <v>123</v>
      </c>
      <c r="F2363" s="139"/>
      <c r="G2363" s="129"/>
      <c r="H2363" s="129"/>
      <c r="I2363" s="129"/>
      <c r="J2363" s="129"/>
      <c r="K2363" s="129"/>
      <c r="L2363" s="129"/>
      <c r="M2363" s="129"/>
      <c r="N2363" s="129"/>
      <c r="O2363" s="129"/>
      <c r="P2363" s="129"/>
      <c r="Q2363" s="129"/>
      <c r="R2363" s="129"/>
      <c r="S2363" s="129"/>
      <c r="T2363" s="129"/>
      <c r="U2363" s="129"/>
      <c r="V2363" s="129"/>
      <c r="W2363" s="129"/>
      <c r="X2363" s="129"/>
      <c r="Y2363" s="129"/>
      <c r="Z2363" s="129"/>
      <c r="AA2363" s="129"/>
      <c r="AB2363" s="129"/>
    </row>
    <row r="2364" hidden="1">
      <c r="A2364" s="123" t="s">
        <v>396</v>
      </c>
      <c r="B2364" s="147">
        <v>2000.0</v>
      </c>
      <c r="C2364" s="124">
        <v>2250.0</v>
      </c>
      <c r="D2364" s="125">
        <f t="shared" si="236"/>
        <v>250</v>
      </c>
      <c r="E2364" s="126" t="s">
        <v>123</v>
      </c>
      <c r="F2364" s="132"/>
      <c r="G2364" s="123"/>
      <c r="AB2364" s="129"/>
    </row>
    <row r="2365" hidden="1">
      <c r="A2365" s="128" t="s">
        <v>428</v>
      </c>
      <c r="B2365" s="147">
        <v>990.0</v>
      </c>
      <c r="C2365" s="148">
        <v>1445.0</v>
      </c>
      <c r="D2365" s="270">
        <f t="shared" si="236"/>
        <v>455</v>
      </c>
      <c r="E2365" s="149" t="s">
        <v>123</v>
      </c>
      <c r="F2365" s="271"/>
      <c r="G2365" s="129"/>
      <c r="H2365" s="129"/>
      <c r="I2365" s="129"/>
      <c r="J2365" s="129"/>
      <c r="K2365" s="129"/>
      <c r="L2365" s="129"/>
      <c r="M2365" s="129"/>
      <c r="N2365" s="129"/>
      <c r="O2365" s="129"/>
      <c r="P2365" s="129"/>
      <c r="Q2365" s="129"/>
      <c r="R2365" s="129"/>
      <c r="S2365" s="129"/>
      <c r="T2365" s="129"/>
      <c r="U2365" s="129"/>
      <c r="V2365" s="129"/>
      <c r="W2365" s="129"/>
      <c r="X2365" s="129"/>
      <c r="Y2365" s="129"/>
      <c r="Z2365" s="129"/>
      <c r="AA2365" s="129"/>
      <c r="AB2365" s="129"/>
    </row>
    <row r="2366" hidden="1">
      <c r="A2366" s="123" t="s">
        <v>1095</v>
      </c>
      <c r="B2366" s="124">
        <v>2250.0</v>
      </c>
      <c r="C2366" s="124">
        <v>2910.0</v>
      </c>
      <c r="D2366" s="125">
        <f t="shared" si="236"/>
        <v>660</v>
      </c>
      <c r="E2366" s="126" t="s">
        <v>123</v>
      </c>
      <c r="F2366" s="124"/>
      <c r="AB2366" s="129"/>
    </row>
    <row r="2367" hidden="1">
      <c r="A2367" s="128" t="s">
        <v>1358</v>
      </c>
      <c r="B2367" s="147">
        <v>490.0</v>
      </c>
      <c r="C2367" s="147">
        <v>670.0</v>
      </c>
      <c r="D2367" s="132">
        <f t="shared" si="236"/>
        <v>180</v>
      </c>
      <c r="E2367" s="132" t="s">
        <v>123</v>
      </c>
      <c r="F2367" s="132"/>
      <c r="G2367" s="129"/>
      <c r="H2367" s="129"/>
      <c r="I2367" s="129"/>
      <c r="J2367" s="129"/>
      <c r="K2367" s="129"/>
      <c r="L2367" s="129"/>
      <c r="M2367" s="129"/>
      <c r="N2367" s="129"/>
      <c r="O2367" s="129"/>
      <c r="P2367" s="129"/>
      <c r="Q2367" s="129"/>
      <c r="R2367" s="129"/>
      <c r="S2367" s="129"/>
      <c r="T2367" s="129"/>
      <c r="U2367" s="129"/>
      <c r="V2367" s="129"/>
      <c r="W2367" s="129"/>
      <c r="X2367" s="129"/>
      <c r="Y2367" s="129"/>
      <c r="Z2367" s="129"/>
      <c r="AA2367" s="129"/>
      <c r="AB2367" s="129"/>
    </row>
    <row r="2368" hidden="1">
      <c r="A2368" s="123" t="s">
        <v>1094</v>
      </c>
      <c r="B2368" s="124">
        <v>1890.0</v>
      </c>
      <c r="C2368" s="124">
        <v>2182.0</v>
      </c>
      <c r="D2368" s="125">
        <f t="shared" si="236"/>
        <v>292</v>
      </c>
      <c r="E2368" s="126" t="s">
        <v>123</v>
      </c>
      <c r="F2368" s="124"/>
      <c r="G2368" s="123"/>
    </row>
    <row r="2369" hidden="1">
      <c r="A2369" s="128" t="s">
        <v>1301</v>
      </c>
      <c r="B2369" s="147">
        <v>1590.0</v>
      </c>
      <c r="C2369" s="124">
        <v>1735.0</v>
      </c>
      <c r="D2369" s="132">
        <f t="shared" si="236"/>
        <v>145</v>
      </c>
      <c r="E2369" s="126" t="s">
        <v>123</v>
      </c>
      <c r="F2369" s="147"/>
      <c r="G2369" s="129"/>
      <c r="H2369" s="129"/>
      <c r="I2369" s="129"/>
      <c r="J2369" s="129"/>
      <c r="K2369" s="129"/>
      <c r="L2369" s="129"/>
      <c r="M2369" s="129"/>
      <c r="N2369" s="129"/>
      <c r="O2369" s="129"/>
      <c r="P2369" s="129"/>
      <c r="Q2369" s="129"/>
      <c r="R2369" s="129"/>
      <c r="S2369" s="129"/>
      <c r="T2369" s="129"/>
      <c r="U2369" s="129"/>
      <c r="V2369" s="129"/>
      <c r="W2369" s="129"/>
      <c r="X2369" s="129"/>
      <c r="Y2369" s="129"/>
      <c r="Z2369" s="129"/>
      <c r="AA2369" s="129"/>
      <c r="AB2369" s="129"/>
    </row>
    <row r="2370" hidden="1">
      <c r="A2370" s="142" t="s">
        <v>464</v>
      </c>
      <c r="B2370" s="147">
        <v>1290.0</v>
      </c>
      <c r="C2370" s="124">
        <v>1445.0</v>
      </c>
      <c r="D2370" s="132">
        <f t="shared" si="236"/>
        <v>155</v>
      </c>
      <c r="E2370" s="126" t="s">
        <v>123</v>
      </c>
      <c r="F2370" s="139"/>
      <c r="G2370" s="129"/>
      <c r="H2370" s="129"/>
      <c r="I2370" s="129"/>
      <c r="J2370" s="129"/>
      <c r="K2370" s="129"/>
      <c r="L2370" s="129"/>
      <c r="M2370" s="129"/>
      <c r="N2370" s="129"/>
      <c r="O2370" s="129"/>
      <c r="P2370" s="129"/>
      <c r="Q2370" s="129"/>
      <c r="R2370" s="129"/>
      <c r="S2370" s="129"/>
      <c r="T2370" s="129"/>
      <c r="U2370" s="129"/>
      <c r="V2370" s="129"/>
      <c r="W2370" s="129"/>
      <c r="X2370" s="129"/>
      <c r="Y2370" s="129"/>
      <c r="Z2370" s="129"/>
      <c r="AA2370" s="129"/>
      <c r="AB2370" s="129"/>
    </row>
    <row r="2371" hidden="1">
      <c r="A2371" s="128" t="s">
        <v>1359</v>
      </c>
      <c r="B2371" s="147">
        <v>6000.0</v>
      </c>
      <c r="C2371" s="147">
        <v>6000.0</v>
      </c>
      <c r="D2371" s="132">
        <f t="shared" si="236"/>
        <v>0</v>
      </c>
      <c r="E2371" s="147" t="s">
        <v>1311</v>
      </c>
      <c r="F2371" s="139"/>
      <c r="G2371" s="129"/>
      <c r="H2371" s="129"/>
      <c r="I2371" s="129"/>
      <c r="J2371" s="129"/>
      <c r="K2371" s="129"/>
      <c r="L2371" s="129"/>
      <c r="M2371" s="129"/>
      <c r="N2371" s="129"/>
      <c r="O2371" s="129"/>
      <c r="P2371" s="129"/>
      <c r="Q2371" s="129"/>
      <c r="R2371" s="129"/>
      <c r="S2371" s="129"/>
      <c r="T2371" s="129"/>
      <c r="U2371" s="129"/>
      <c r="V2371" s="129"/>
      <c r="W2371" s="129"/>
      <c r="X2371" s="129"/>
      <c r="Y2371" s="129"/>
      <c r="Z2371" s="129"/>
      <c r="AA2371" s="129"/>
      <c r="AB2371" s="129"/>
    </row>
    <row r="2372" hidden="1">
      <c r="A2372" s="150" t="s">
        <v>1061</v>
      </c>
      <c r="B2372" s="168">
        <v>1190.0</v>
      </c>
      <c r="C2372" s="167">
        <v>1450.0</v>
      </c>
      <c r="D2372" s="168">
        <f t="shared" si="236"/>
        <v>260</v>
      </c>
      <c r="E2372" s="132" t="s">
        <v>123</v>
      </c>
      <c r="F2372" s="139"/>
      <c r="G2372" s="150"/>
      <c r="H2372" s="129"/>
      <c r="I2372" s="129"/>
      <c r="J2372" s="129"/>
      <c r="K2372" s="129"/>
      <c r="L2372" s="129"/>
      <c r="M2372" s="129"/>
      <c r="N2372" s="129"/>
      <c r="O2372" s="129"/>
      <c r="P2372" s="129"/>
      <c r="Q2372" s="129"/>
      <c r="R2372" s="129"/>
      <c r="S2372" s="129"/>
      <c r="T2372" s="129"/>
      <c r="U2372" s="129"/>
      <c r="V2372" s="129"/>
      <c r="W2372" s="129"/>
      <c r="X2372" s="129"/>
      <c r="Y2372" s="129"/>
      <c r="Z2372" s="129"/>
      <c r="AA2372" s="129"/>
      <c r="AB2372" s="129"/>
    </row>
    <row r="2373" hidden="1">
      <c r="A2373" s="128" t="s">
        <v>1325</v>
      </c>
      <c r="B2373" s="147">
        <v>1390.0</v>
      </c>
      <c r="C2373" s="147">
        <v>1547.0</v>
      </c>
      <c r="D2373" s="132">
        <f t="shared" si="236"/>
        <v>157</v>
      </c>
      <c r="E2373" s="126" t="s">
        <v>123</v>
      </c>
      <c r="F2373" s="139"/>
      <c r="G2373" s="129"/>
      <c r="H2373" s="129"/>
      <c r="I2373" s="129"/>
      <c r="J2373" s="129"/>
      <c r="K2373" s="129"/>
      <c r="L2373" s="129"/>
      <c r="M2373" s="129"/>
      <c r="N2373" s="129"/>
      <c r="O2373" s="129"/>
      <c r="P2373" s="129"/>
      <c r="Q2373" s="129"/>
      <c r="R2373" s="129"/>
      <c r="S2373" s="129"/>
      <c r="T2373" s="129"/>
      <c r="U2373" s="129"/>
      <c r="V2373" s="129"/>
      <c r="W2373" s="129"/>
      <c r="X2373" s="129"/>
      <c r="Y2373" s="129"/>
      <c r="Z2373" s="129"/>
      <c r="AA2373" s="129"/>
      <c r="AB2373" s="129"/>
    </row>
    <row r="2374" hidden="1">
      <c r="A2374" s="128" t="s">
        <v>1360</v>
      </c>
      <c r="B2374" s="147">
        <v>690.0</v>
      </c>
      <c r="C2374" s="147">
        <v>863.0</v>
      </c>
      <c r="D2374" s="132">
        <f t="shared" si="236"/>
        <v>173</v>
      </c>
      <c r="E2374" s="132" t="s">
        <v>123</v>
      </c>
      <c r="F2374" s="132"/>
      <c r="G2374" s="129"/>
      <c r="H2374" s="129"/>
      <c r="I2374" s="129"/>
      <c r="J2374" s="129"/>
      <c r="K2374" s="129"/>
      <c r="L2374" s="129"/>
      <c r="M2374" s="129"/>
      <c r="N2374" s="129"/>
      <c r="O2374" s="129"/>
      <c r="P2374" s="129"/>
      <c r="Q2374" s="129"/>
      <c r="R2374" s="129"/>
      <c r="S2374" s="129"/>
      <c r="T2374" s="129"/>
      <c r="U2374" s="129"/>
      <c r="V2374" s="129"/>
      <c r="W2374" s="129"/>
      <c r="X2374" s="129"/>
      <c r="Y2374" s="129"/>
      <c r="Z2374" s="129"/>
      <c r="AA2374" s="129"/>
      <c r="AB2374" s="129"/>
    </row>
    <row r="2375" hidden="1">
      <c r="A2375" s="128" t="s">
        <v>1361</v>
      </c>
      <c r="B2375" s="147">
        <v>290.0</v>
      </c>
      <c r="C2375" s="147">
        <v>475.0</v>
      </c>
      <c r="D2375" s="132">
        <f t="shared" si="236"/>
        <v>185</v>
      </c>
      <c r="E2375" s="171" t="s">
        <v>120</v>
      </c>
      <c r="F2375" s="139"/>
      <c r="G2375" s="129"/>
      <c r="H2375" s="129"/>
      <c r="I2375" s="129"/>
      <c r="J2375" s="129"/>
      <c r="K2375" s="129"/>
      <c r="L2375" s="129"/>
      <c r="M2375" s="129"/>
      <c r="N2375" s="129"/>
      <c r="O2375" s="129"/>
      <c r="S2375" s="129"/>
      <c r="T2375" s="129"/>
      <c r="U2375" s="129"/>
      <c r="V2375" s="129"/>
      <c r="W2375" s="129"/>
      <c r="X2375" s="129"/>
      <c r="Y2375" s="129"/>
      <c r="Z2375" s="129"/>
      <c r="AA2375" s="129"/>
      <c r="AB2375" s="129"/>
    </row>
    <row r="2376" hidden="1">
      <c r="A2376" s="179" t="s">
        <v>1362</v>
      </c>
      <c r="B2376" s="300">
        <v>5250.0</v>
      </c>
      <c r="C2376" s="333">
        <v>9750.0</v>
      </c>
      <c r="D2376" s="404">
        <f t="shared" si="236"/>
        <v>4500</v>
      </c>
      <c r="E2376" s="302" t="s">
        <v>123</v>
      </c>
      <c r="F2376" s="333"/>
      <c r="G2376" s="121"/>
      <c r="H2376" s="121"/>
      <c r="I2376" s="121"/>
      <c r="J2376" s="121"/>
      <c r="K2376" s="121"/>
      <c r="L2376" s="121"/>
      <c r="M2376" s="121"/>
      <c r="N2376" s="121"/>
      <c r="O2376" s="121"/>
      <c r="P2376" s="121"/>
      <c r="Q2376" s="121"/>
      <c r="R2376" s="121"/>
      <c r="S2376" s="121"/>
      <c r="T2376" s="121"/>
      <c r="U2376" s="121"/>
      <c r="V2376" s="121"/>
      <c r="W2376" s="121"/>
      <c r="X2376" s="121"/>
      <c r="Y2376" s="121"/>
      <c r="Z2376" s="121"/>
      <c r="AA2376" s="121"/>
      <c r="AB2376" s="217"/>
    </row>
    <row r="2377" hidden="1">
      <c r="A2377" s="128" t="s">
        <v>1301</v>
      </c>
      <c r="B2377" s="147">
        <v>1590.0</v>
      </c>
      <c r="C2377" s="124">
        <v>1745.0</v>
      </c>
      <c r="D2377" s="132">
        <f t="shared" si="236"/>
        <v>155</v>
      </c>
      <c r="E2377" s="126" t="s">
        <v>123</v>
      </c>
      <c r="F2377" s="147"/>
      <c r="G2377" s="129"/>
      <c r="H2377" s="129"/>
      <c r="I2377" s="129"/>
      <c r="J2377" s="129"/>
      <c r="K2377" s="129"/>
      <c r="L2377" s="129"/>
      <c r="M2377" s="129"/>
      <c r="N2377" s="129"/>
      <c r="O2377" s="129"/>
      <c r="P2377" s="129"/>
      <c r="Q2377" s="129"/>
      <c r="R2377" s="129"/>
      <c r="S2377" s="129"/>
      <c r="T2377" s="129"/>
      <c r="U2377" s="129"/>
      <c r="V2377" s="129"/>
      <c r="W2377" s="129"/>
      <c r="X2377" s="129"/>
      <c r="Y2377" s="129"/>
      <c r="Z2377" s="129"/>
      <c r="AA2377" s="129"/>
      <c r="AB2377" s="129"/>
    </row>
    <row r="2378" hidden="1">
      <c r="A2378" s="128" t="s">
        <v>1208</v>
      </c>
      <c r="B2378" s="147">
        <v>1390.0</v>
      </c>
      <c r="C2378" s="147">
        <v>1425.0</v>
      </c>
      <c r="D2378" s="132">
        <f t="shared" si="236"/>
        <v>35</v>
      </c>
      <c r="E2378" s="394" t="s">
        <v>120</v>
      </c>
      <c r="F2378" s="139"/>
      <c r="G2378" s="129"/>
      <c r="H2378" s="129"/>
      <c r="I2378" s="129"/>
      <c r="J2378" s="129"/>
      <c r="K2378" s="129"/>
      <c r="L2378" s="129"/>
      <c r="M2378" s="129"/>
      <c r="N2378" s="129"/>
      <c r="O2378" s="129"/>
      <c r="P2378" s="129"/>
      <c r="Q2378" s="129"/>
      <c r="R2378" s="129"/>
      <c r="S2378" s="129"/>
      <c r="T2378" s="129"/>
      <c r="U2378" s="129"/>
      <c r="V2378" s="129"/>
      <c r="W2378" s="129"/>
      <c r="X2378" s="129"/>
      <c r="Y2378" s="129"/>
      <c r="Z2378" s="129"/>
      <c r="AA2378" s="129"/>
      <c r="AB2378" s="129"/>
    </row>
    <row r="2379" hidden="1">
      <c r="A2379" s="150" t="s">
        <v>1148</v>
      </c>
      <c r="B2379" s="147">
        <v>1000.0</v>
      </c>
      <c r="C2379" s="147">
        <v>1159.0</v>
      </c>
      <c r="D2379" s="132">
        <f t="shared" si="236"/>
        <v>159</v>
      </c>
      <c r="E2379" s="147" t="s">
        <v>123</v>
      </c>
      <c r="F2379" s="132"/>
      <c r="G2379" s="129"/>
      <c r="H2379" s="129"/>
      <c r="I2379" s="129"/>
      <c r="J2379" s="129"/>
      <c r="K2379" s="129"/>
      <c r="L2379" s="129"/>
      <c r="M2379" s="129"/>
      <c r="N2379" s="129"/>
      <c r="O2379" s="129"/>
      <c r="P2379" s="129"/>
      <c r="Q2379" s="129"/>
      <c r="R2379" s="129"/>
      <c r="S2379" s="129"/>
      <c r="T2379" s="129"/>
      <c r="U2379" s="129"/>
      <c r="V2379" s="129"/>
      <c r="W2379" s="129"/>
      <c r="X2379" s="129"/>
      <c r="Y2379" s="129"/>
      <c r="Z2379" s="129"/>
      <c r="AA2379" s="129"/>
      <c r="AB2379" s="129"/>
    </row>
    <row r="2380" hidden="1">
      <c r="A2380" s="128" t="s">
        <v>1352</v>
      </c>
      <c r="B2380" s="147">
        <v>1390.0</v>
      </c>
      <c r="C2380" s="147">
        <v>1569.0</v>
      </c>
      <c r="D2380" s="132">
        <f t="shared" si="236"/>
        <v>179</v>
      </c>
      <c r="E2380" s="132" t="s">
        <v>123</v>
      </c>
      <c r="F2380" s="139"/>
      <c r="G2380" s="150"/>
      <c r="H2380" s="129"/>
      <c r="I2380" s="129"/>
      <c r="J2380" s="129"/>
      <c r="K2380" s="129"/>
      <c r="L2380" s="129"/>
      <c r="M2380" s="129"/>
      <c r="N2380" s="129"/>
      <c r="O2380" s="129"/>
      <c r="P2380" s="129"/>
      <c r="Q2380" s="129"/>
      <c r="R2380" s="129"/>
      <c r="S2380" s="129"/>
      <c r="T2380" s="129"/>
      <c r="U2380" s="129"/>
      <c r="V2380" s="129"/>
      <c r="W2380" s="129"/>
      <c r="X2380" s="129"/>
      <c r="Y2380" s="129"/>
      <c r="Z2380" s="129"/>
      <c r="AA2380" s="129"/>
      <c r="AB2380" s="129"/>
    </row>
    <row r="2381" hidden="1">
      <c r="A2381" s="128" t="s">
        <v>466</v>
      </c>
      <c r="B2381" s="147">
        <v>890.0</v>
      </c>
      <c r="C2381" s="147">
        <v>1009.0</v>
      </c>
      <c r="D2381" s="132">
        <f t="shared" si="236"/>
        <v>119</v>
      </c>
      <c r="E2381" s="132" t="s">
        <v>123</v>
      </c>
      <c r="F2381" s="132"/>
      <c r="G2381" s="129"/>
      <c r="H2381" s="129"/>
      <c r="I2381" s="129"/>
      <c r="J2381" s="129"/>
      <c r="K2381" s="129"/>
      <c r="L2381" s="129"/>
      <c r="M2381" s="129"/>
      <c r="N2381" s="129"/>
      <c r="O2381" s="129"/>
      <c r="P2381" s="129"/>
      <c r="Q2381" s="129"/>
      <c r="R2381" s="129"/>
      <c r="S2381" s="129"/>
      <c r="T2381" s="129"/>
      <c r="U2381" s="129"/>
      <c r="V2381" s="129"/>
      <c r="W2381" s="129"/>
      <c r="X2381" s="129"/>
      <c r="Y2381" s="129"/>
      <c r="Z2381" s="129"/>
      <c r="AA2381" s="129"/>
      <c r="AB2381" s="129"/>
    </row>
    <row r="2382" hidden="1">
      <c r="A2382" s="123" t="s">
        <v>1094</v>
      </c>
      <c r="B2382" s="124">
        <v>1890.0</v>
      </c>
      <c r="C2382" s="124">
        <v>2103.0</v>
      </c>
      <c r="D2382" s="125">
        <f t="shared" si="236"/>
        <v>213</v>
      </c>
      <c r="E2382" s="126" t="s">
        <v>123</v>
      </c>
      <c r="F2382" s="124"/>
      <c r="G2382" s="123"/>
    </row>
    <row r="2383" hidden="1">
      <c r="A2383" s="128" t="s">
        <v>1363</v>
      </c>
      <c r="B2383" s="132">
        <v>1390.0</v>
      </c>
      <c r="C2383" s="147">
        <v>1425.0</v>
      </c>
      <c r="D2383" s="132">
        <f t="shared" si="236"/>
        <v>35</v>
      </c>
      <c r="E2383" s="394" t="s">
        <v>120</v>
      </c>
      <c r="F2383" s="139"/>
      <c r="G2383" s="129"/>
      <c r="H2383" s="129"/>
      <c r="I2383" s="129"/>
      <c r="J2383" s="129"/>
      <c r="K2383" s="129"/>
      <c r="L2383" s="129"/>
      <c r="M2383" s="129"/>
      <c r="N2383" s="129"/>
      <c r="O2383" s="129"/>
      <c r="P2383" s="129"/>
      <c r="Q2383" s="129"/>
      <c r="R2383" s="129"/>
      <c r="S2383" s="129"/>
      <c r="T2383" s="129"/>
      <c r="U2383" s="129"/>
      <c r="V2383" s="129"/>
      <c r="W2383" s="129"/>
      <c r="X2383" s="129"/>
      <c r="Y2383" s="129"/>
      <c r="Z2383" s="129"/>
      <c r="AA2383" s="129"/>
      <c r="AB2383" s="129"/>
    </row>
    <row r="2384" hidden="1">
      <c r="A2384" s="128" t="s">
        <v>1208</v>
      </c>
      <c r="B2384" s="132">
        <v>1390.0</v>
      </c>
      <c r="C2384" s="147">
        <v>1500.0</v>
      </c>
      <c r="D2384" s="132">
        <f t="shared" si="236"/>
        <v>110</v>
      </c>
      <c r="E2384" s="394" t="s">
        <v>120</v>
      </c>
      <c r="F2384" s="139"/>
      <c r="G2384" s="129"/>
      <c r="H2384" s="129"/>
      <c r="I2384" s="129"/>
      <c r="J2384" s="129"/>
      <c r="K2384" s="129"/>
      <c r="L2384" s="129"/>
      <c r="M2384" s="129"/>
      <c r="N2384" s="129"/>
      <c r="O2384" s="129"/>
      <c r="P2384" s="129"/>
      <c r="Q2384" s="129"/>
      <c r="R2384" s="129"/>
      <c r="S2384" s="129"/>
      <c r="T2384" s="129"/>
      <c r="U2384" s="129"/>
      <c r="V2384" s="129"/>
      <c r="W2384" s="129"/>
      <c r="X2384" s="129"/>
      <c r="Y2384" s="129"/>
      <c r="Z2384" s="129"/>
      <c r="AA2384" s="129"/>
      <c r="AB2384" s="129"/>
    </row>
    <row r="2385" hidden="1">
      <c r="A2385" s="123" t="s">
        <v>400</v>
      </c>
      <c r="B2385" s="124">
        <v>1750.0</v>
      </c>
      <c r="C2385" s="124">
        <v>2215.0</v>
      </c>
      <c r="D2385" s="125">
        <f t="shared" si="236"/>
        <v>465</v>
      </c>
      <c r="E2385" s="126" t="s">
        <v>123</v>
      </c>
      <c r="F2385" s="124"/>
    </row>
    <row r="2386" hidden="1">
      <c r="A2386" s="159" t="s">
        <v>403</v>
      </c>
      <c r="B2386" s="124">
        <v>1750.0</v>
      </c>
      <c r="C2386" s="147">
        <v>2127.0</v>
      </c>
      <c r="D2386" s="270">
        <f t="shared" si="236"/>
        <v>377</v>
      </c>
      <c r="E2386" s="126" t="s">
        <v>123</v>
      </c>
      <c r="F2386" s="139"/>
      <c r="G2386" s="129"/>
      <c r="H2386" s="129"/>
      <c r="I2386" s="129"/>
      <c r="J2386" s="129"/>
      <c r="K2386" s="129"/>
      <c r="L2386" s="129"/>
      <c r="M2386" s="129"/>
      <c r="N2386" s="129"/>
      <c r="O2386" s="129"/>
      <c r="P2386" s="129"/>
      <c r="Q2386" s="129"/>
      <c r="R2386" s="129"/>
      <c r="S2386" s="129"/>
      <c r="T2386" s="129"/>
      <c r="U2386" s="129"/>
      <c r="V2386" s="129"/>
      <c r="W2386" s="129"/>
      <c r="X2386" s="129"/>
      <c r="Y2386" s="129"/>
      <c r="Z2386" s="129"/>
      <c r="AA2386" s="129"/>
      <c r="AB2386" s="129"/>
    </row>
    <row r="2387" hidden="1">
      <c r="A2387" s="150" t="s">
        <v>122</v>
      </c>
      <c r="B2387" s="132">
        <v>790.0</v>
      </c>
      <c r="C2387" s="147">
        <v>917.0</v>
      </c>
      <c r="D2387" s="132">
        <f t="shared" si="236"/>
        <v>127</v>
      </c>
      <c r="E2387" s="171" t="s">
        <v>123</v>
      </c>
      <c r="F2387" s="132"/>
      <c r="G2387" s="150"/>
      <c r="H2387" s="129"/>
      <c r="I2387" s="129"/>
      <c r="J2387" s="129"/>
      <c r="K2387" s="129"/>
      <c r="L2387" s="129"/>
      <c r="M2387" s="129"/>
      <c r="N2387" s="129"/>
      <c r="O2387" s="129"/>
      <c r="P2387" s="129"/>
      <c r="Q2387" s="129"/>
      <c r="R2387" s="129"/>
      <c r="S2387" s="129"/>
      <c r="T2387" s="129"/>
      <c r="U2387" s="129"/>
      <c r="V2387" s="129"/>
      <c r="W2387" s="129"/>
      <c r="X2387" s="129"/>
      <c r="Y2387" s="129"/>
      <c r="Z2387" s="129"/>
      <c r="AA2387" s="129"/>
      <c r="AB2387" s="129"/>
    </row>
    <row r="2388" hidden="1">
      <c r="A2388" s="123" t="s">
        <v>443</v>
      </c>
      <c r="B2388" s="147">
        <v>1390.0</v>
      </c>
      <c r="C2388" s="124">
        <v>1596.0</v>
      </c>
      <c r="D2388" s="125">
        <f t="shared" si="236"/>
        <v>206</v>
      </c>
      <c r="E2388" s="126" t="s">
        <v>123</v>
      </c>
      <c r="F2388" s="124"/>
      <c r="G2388" s="123"/>
    </row>
    <row r="2389" hidden="1">
      <c r="A2389" s="142" t="s">
        <v>464</v>
      </c>
      <c r="B2389" s="147">
        <v>1290.0</v>
      </c>
      <c r="C2389" s="124">
        <v>1340.0</v>
      </c>
      <c r="D2389" s="132">
        <f t="shared" si="236"/>
        <v>50</v>
      </c>
      <c r="E2389" s="126" t="s">
        <v>123</v>
      </c>
      <c r="F2389" s="139"/>
      <c r="G2389" s="129"/>
      <c r="H2389" s="129"/>
      <c r="I2389" s="129"/>
      <c r="J2389" s="129"/>
      <c r="K2389" s="129"/>
      <c r="L2389" s="129"/>
      <c r="M2389" s="129"/>
      <c r="N2389" s="129"/>
      <c r="O2389" s="129"/>
      <c r="P2389" s="129"/>
      <c r="Q2389" s="129"/>
      <c r="R2389" s="129"/>
      <c r="S2389" s="129"/>
      <c r="T2389" s="129"/>
      <c r="U2389" s="129"/>
      <c r="V2389" s="129"/>
      <c r="W2389" s="129"/>
      <c r="X2389" s="129"/>
      <c r="Y2389" s="129"/>
      <c r="Z2389" s="129"/>
      <c r="AA2389" s="129"/>
      <c r="AB2389" s="129"/>
    </row>
    <row r="2390" hidden="1">
      <c r="A2390" s="128" t="s">
        <v>126</v>
      </c>
      <c r="B2390" s="147">
        <v>1750.0</v>
      </c>
      <c r="C2390" s="147">
        <v>2095.0</v>
      </c>
      <c r="D2390" s="132">
        <f t="shared" si="236"/>
        <v>345</v>
      </c>
      <c r="E2390" s="126" t="s">
        <v>123</v>
      </c>
      <c r="F2390" s="139"/>
      <c r="G2390" s="129"/>
      <c r="H2390" s="129"/>
      <c r="I2390" s="129"/>
      <c r="J2390" s="129"/>
      <c r="K2390" s="129"/>
      <c r="L2390" s="129"/>
      <c r="M2390" s="129"/>
      <c r="N2390" s="129"/>
      <c r="O2390" s="129"/>
      <c r="P2390" s="129"/>
      <c r="Q2390" s="129"/>
      <c r="R2390" s="129"/>
      <c r="S2390" s="129"/>
      <c r="T2390" s="129"/>
      <c r="U2390" s="129"/>
      <c r="V2390" s="129"/>
      <c r="W2390" s="129"/>
      <c r="X2390" s="129"/>
      <c r="Y2390" s="129"/>
      <c r="Z2390" s="129"/>
      <c r="AA2390" s="129"/>
      <c r="AB2390" s="129"/>
    </row>
    <row r="2391" hidden="1">
      <c r="A2391" s="128" t="s">
        <v>1343</v>
      </c>
      <c r="B2391" s="167">
        <v>1490.0</v>
      </c>
      <c r="C2391" s="167">
        <v>1690.0</v>
      </c>
      <c r="D2391" s="168">
        <f t="shared" si="236"/>
        <v>200</v>
      </c>
      <c r="E2391" s="132" t="s">
        <v>123</v>
      </c>
      <c r="F2391" s="139"/>
      <c r="G2391" s="150"/>
      <c r="H2391" s="129"/>
      <c r="I2391" s="129"/>
      <c r="J2391" s="129"/>
      <c r="K2391" s="129"/>
      <c r="L2391" s="129"/>
      <c r="M2391" s="129"/>
      <c r="N2391" s="129"/>
      <c r="O2391" s="129"/>
      <c r="P2391" s="129"/>
      <c r="Q2391" s="129"/>
      <c r="R2391" s="129"/>
      <c r="S2391" s="129"/>
      <c r="T2391" s="129"/>
      <c r="U2391" s="129"/>
      <c r="V2391" s="129"/>
      <c r="W2391" s="129"/>
      <c r="X2391" s="129"/>
      <c r="Y2391" s="129"/>
      <c r="Z2391" s="129"/>
      <c r="AA2391" s="129"/>
      <c r="AB2391" s="129"/>
    </row>
    <row r="2392" hidden="1">
      <c r="A2392" s="142" t="s">
        <v>461</v>
      </c>
      <c r="B2392" s="147">
        <v>890.0</v>
      </c>
      <c r="C2392" s="147">
        <v>815.0</v>
      </c>
      <c r="D2392" s="132">
        <f t="shared" si="236"/>
        <v>-75</v>
      </c>
      <c r="E2392" s="126" t="s">
        <v>123</v>
      </c>
      <c r="F2392" s="124"/>
      <c r="G2392" s="129"/>
      <c r="H2392" s="129"/>
      <c r="I2392" s="129"/>
      <c r="J2392" s="129"/>
      <c r="K2392" s="129"/>
      <c r="L2392" s="129"/>
      <c r="M2392" s="129"/>
      <c r="N2392" s="129"/>
      <c r="O2392" s="129"/>
      <c r="P2392" s="129"/>
      <c r="Q2392" s="129"/>
      <c r="R2392" s="129"/>
      <c r="S2392" s="129"/>
      <c r="T2392" s="129"/>
      <c r="U2392" s="129"/>
      <c r="V2392" s="129"/>
      <c r="W2392" s="129"/>
      <c r="X2392" s="129"/>
      <c r="Y2392" s="129"/>
      <c r="Z2392" s="129"/>
      <c r="AA2392" s="129"/>
      <c r="AB2392" s="129"/>
    </row>
    <row r="2393" hidden="1">
      <c r="A2393" s="128" t="s">
        <v>1343</v>
      </c>
      <c r="B2393" s="167">
        <v>1490.0</v>
      </c>
      <c r="C2393" s="167">
        <v>1599.0</v>
      </c>
      <c r="D2393" s="168">
        <f t="shared" si="236"/>
        <v>109</v>
      </c>
      <c r="E2393" s="132" t="s">
        <v>123</v>
      </c>
      <c r="F2393" s="139"/>
      <c r="G2393" s="150"/>
      <c r="H2393" s="129"/>
      <c r="I2393" s="129"/>
      <c r="J2393" s="129"/>
      <c r="K2393" s="129"/>
      <c r="L2393" s="129"/>
      <c r="M2393" s="129"/>
      <c r="N2393" s="129"/>
      <c r="O2393" s="129"/>
      <c r="P2393" s="129"/>
      <c r="Q2393" s="129"/>
      <c r="R2393" s="129"/>
      <c r="S2393" s="129"/>
      <c r="T2393" s="129"/>
      <c r="U2393" s="129"/>
      <c r="V2393" s="129"/>
      <c r="W2393" s="129"/>
      <c r="X2393" s="129"/>
      <c r="Y2393" s="129"/>
      <c r="Z2393" s="129"/>
      <c r="AA2393" s="129"/>
      <c r="AB2393" s="129"/>
    </row>
    <row r="2394" hidden="1">
      <c r="A2394" s="123" t="s">
        <v>1061</v>
      </c>
      <c r="B2394" s="386">
        <v>1190.0</v>
      </c>
      <c r="C2394" s="386">
        <v>1256.0</v>
      </c>
      <c r="D2394" s="170">
        <f t="shared" si="236"/>
        <v>66</v>
      </c>
      <c r="E2394" s="126" t="s">
        <v>123</v>
      </c>
      <c r="F2394" s="147"/>
      <c r="G2394" s="123"/>
    </row>
    <row r="2395" hidden="1">
      <c r="A2395" s="143"/>
      <c r="B2395" s="139"/>
      <c r="C2395" s="139"/>
      <c r="D2395" s="139"/>
      <c r="E2395" s="129"/>
      <c r="F2395" s="129"/>
      <c r="G2395" s="129"/>
      <c r="H2395" s="129"/>
      <c r="I2395" s="129"/>
      <c r="J2395" s="129"/>
      <c r="K2395" s="129"/>
      <c r="L2395" s="129"/>
      <c r="M2395" s="129"/>
      <c r="N2395" s="129"/>
      <c r="O2395" s="129"/>
      <c r="P2395" s="129"/>
      <c r="Q2395" s="129"/>
      <c r="R2395" s="129"/>
      <c r="S2395" s="129"/>
      <c r="T2395" s="129"/>
      <c r="U2395" s="129"/>
      <c r="V2395" s="129"/>
      <c r="W2395" s="129"/>
      <c r="X2395" s="129"/>
      <c r="Y2395" s="129"/>
      <c r="Z2395" s="129"/>
      <c r="AA2395" s="129"/>
      <c r="AB2395" s="129"/>
    </row>
    <row r="2396" hidden="1">
      <c r="A2396" s="122" t="s">
        <v>57</v>
      </c>
      <c r="B2396" s="133">
        <f t="shared" ref="B2396:D2396" si="237">SUM(B2326:B2395)</f>
        <v>103090</v>
      </c>
      <c r="C2396" s="133">
        <f t="shared" si="237"/>
        <v>125585</v>
      </c>
      <c r="D2396" s="133">
        <f t="shared" si="237"/>
        <v>22495</v>
      </c>
      <c r="E2396" s="135">
        <f>D2396/(C2396/100)</f>
        <v>17.91217104</v>
      </c>
    </row>
    <row r="2397" hidden="1">
      <c r="A2397" s="154"/>
      <c r="B2397" s="124"/>
      <c r="C2397" s="124"/>
      <c r="D2397" s="124"/>
    </row>
    <row r="2398" hidden="1">
      <c r="A2398" s="154">
        <v>44256.0</v>
      </c>
      <c r="B2398" s="124"/>
      <c r="C2398" s="124"/>
      <c r="D2398" s="124"/>
    </row>
    <row r="2399" hidden="1">
      <c r="A2399" s="123" t="s">
        <v>1061</v>
      </c>
      <c r="B2399" s="386">
        <v>1190.0</v>
      </c>
      <c r="C2399" s="386">
        <v>1247.0</v>
      </c>
      <c r="D2399" s="170">
        <f t="shared" ref="D2399:D2496" si="238">C2399-B2399</f>
        <v>57</v>
      </c>
      <c r="E2399" s="126" t="s">
        <v>123</v>
      </c>
      <c r="F2399" s="147"/>
      <c r="G2399" s="123"/>
    </row>
    <row r="2400" hidden="1">
      <c r="A2400" s="123" t="s">
        <v>1364</v>
      </c>
      <c r="B2400" s="124">
        <v>1490.0</v>
      </c>
      <c r="C2400" s="124">
        <v>1690.0</v>
      </c>
      <c r="D2400" s="125">
        <f t="shared" si="238"/>
        <v>200</v>
      </c>
      <c r="E2400" s="126" t="s">
        <v>123</v>
      </c>
      <c r="F2400" s="147"/>
      <c r="G2400" s="123"/>
    </row>
    <row r="2401" hidden="1">
      <c r="A2401" s="123" t="s">
        <v>1365</v>
      </c>
      <c r="B2401" s="124">
        <v>1790.0</v>
      </c>
      <c r="C2401" s="124">
        <v>1777.0</v>
      </c>
      <c r="D2401" s="125">
        <f t="shared" si="238"/>
        <v>-13</v>
      </c>
      <c r="E2401" s="126" t="s">
        <v>123</v>
      </c>
      <c r="F2401" s="132"/>
      <c r="G2401" s="123"/>
    </row>
    <row r="2402" hidden="1">
      <c r="A2402" s="150" t="s">
        <v>122</v>
      </c>
      <c r="B2402" s="132">
        <v>790.0</v>
      </c>
      <c r="C2402" s="147">
        <v>875.0</v>
      </c>
      <c r="D2402" s="132">
        <f t="shared" si="238"/>
        <v>85</v>
      </c>
      <c r="E2402" s="171" t="s">
        <v>123</v>
      </c>
      <c r="F2402" s="139"/>
      <c r="G2402" s="150"/>
      <c r="H2402" s="129"/>
      <c r="I2402" s="129"/>
      <c r="J2402" s="129"/>
      <c r="K2402" s="129"/>
      <c r="L2402" s="129"/>
      <c r="M2402" s="129"/>
      <c r="N2402" s="129"/>
      <c r="O2402" s="129"/>
      <c r="P2402" s="129"/>
      <c r="Q2402" s="129"/>
      <c r="R2402" s="129"/>
      <c r="S2402" s="129"/>
      <c r="T2402" s="129"/>
      <c r="U2402" s="129"/>
      <c r="V2402" s="129"/>
      <c r="W2402" s="129"/>
      <c r="X2402" s="129"/>
      <c r="Y2402" s="129"/>
      <c r="Z2402" s="129"/>
      <c r="AA2402" s="129"/>
      <c r="AB2402" s="129"/>
    </row>
    <row r="2403" hidden="1">
      <c r="A2403" s="128" t="s">
        <v>1274</v>
      </c>
      <c r="B2403" s="147">
        <v>1090.0</v>
      </c>
      <c r="C2403" s="147">
        <v>1154.0</v>
      </c>
      <c r="D2403" s="132">
        <f t="shared" si="238"/>
        <v>64</v>
      </c>
      <c r="E2403" s="126" t="s">
        <v>123</v>
      </c>
      <c r="F2403" s="147"/>
      <c r="G2403" s="129"/>
      <c r="H2403" s="129"/>
      <c r="I2403" s="129"/>
      <c r="J2403" s="129"/>
      <c r="K2403" s="129"/>
      <c r="L2403" s="129"/>
      <c r="M2403" s="129"/>
      <c r="N2403" s="129"/>
      <c r="O2403" s="129"/>
      <c r="P2403" s="129"/>
      <c r="Q2403" s="129"/>
      <c r="R2403" s="129"/>
      <c r="S2403" s="129"/>
      <c r="T2403" s="129"/>
      <c r="U2403" s="129"/>
      <c r="V2403" s="129"/>
      <c r="W2403" s="129"/>
      <c r="X2403" s="129"/>
      <c r="Y2403" s="129"/>
      <c r="Z2403" s="129"/>
      <c r="AA2403" s="129"/>
      <c r="AB2403" s="129"/>
    </row>
    <row r="2404" hidden="1">
      <c r="A2404" s="128" t="s">
        <v>1301</v>
      </c>
      <c r="B2404" s="147">
        <v>3870.0</v>
      </c>
      <c r="C2404" s="124">
        <v>4023.0</v>
      </c>
      <c r="D2404" s="132">
        <f t="shared" si="238"/>
        <v>153</v>
      </c>
      <c r="E2404" s="126" t="s">
        <v>123</v>
      </c>
      <c r="F2404" s="147"/>
      <c r="G2404" s="129"/>
      <c r="H2404" s="129"/>
      <c r="I2404" s="129"/>
      <c r="J2404" s="129"/>
      <c r="K2404" s="129"/>
      <c r="L2404" s="129"/>
      <c r="M2404" s="129"/>
      <c r="N2404" s="129"/>
      <c r="O2404" s="129"/>
      <c r="P2404" s="129"/>
      <c r="Q2404" s="129"/>
      <c r="R2404" s="129"/>
      <c r="S2404" s="129"/>
      <c r="T2404" s="129"/>
      <c r="U2404" s="129"/>
      <c r="V2404" s="129"/>
      <c r="W2404" s="129"/>
      <c r="X2404" s="129"/>
      <c r="Y2404" s="129"/>
      <c r="Z2404" s="129"/>
      <c r="AA2404" s="129"/>
      <c r="AB2404" s="129"/>
    </row>
    <row r="2405" hidden="1">
      <c r="A2405" s="150" t="s">
        <v>1212</v>
      </c>
      <c r="B2405" s="147">
        <v>0.0</v>
      </c>
      <c r="C2405" s="147">
        <v>0.0</v>
      </c>
      <c r="D2405" s="132">
        <f t="shared" si="238"/>
        <v>0</v>
      </c>
      <c r="E2405" s="132" t="s">
        <v>123</v>
      </c>
      <c r="F2405" s="139"/>
      <c r="G2405" s="150"/>
      <c r="H2405" s="129"/>
      <c r="I2405" s="129"/>
      <c r="J2405" s="129"/>
      <c r="K2405" s="129"/>
      <c r="L2405" s="129"/>
      <c r="M2405" s="129"/>
      <c r="N2405" s="129"/>
      <c r="O2405" s="129"/>
      <c r="P2405" s="129"/>
      <c r="Q2405" s="129"/>
      <c r="R2405" s="129"/>
      <c r="S2405" s="129"/>
      <c r="T2405" s="129"/>
      <c r="U2405" s="129"/>
      <c r="V2405" s="129"/>
      <c r="W2405" s="129"/>
      <c r="X2405" s="129"/>
      <c r="Y2405" s="129"/>
      <c r="Z2405" s="129"/>
      <c r="AA2405" s="129"/>
      <c r="AB2405" s="129"/>
    </row>
    <row r="2406" hidden="1">
      <c r="A2406" s="128" t="s">
        <v>466</v>
      </c>
      <c r="B2406" s="147">
        <v>0.0</v>
      </c>
      <c r="C2406" s="147">
        <v>0.0</v>
      </c>
      <c r="D2406" s="132">
        <f t="shared" si="238"/>
        <v>0</v>
      </c>
      <c r="E2406" s="132" t="s">
        <v>123</v>
      </c>
      <c r="F2406" s="132"/>
      <c r="G2406" s="129"/>
      <c r="H2406" s="129"/>
      <c r="I2406" s="129"/>
      <c r="J2406" s="129"/>
      <c r="K2406" s="129"/>
      <c r="L2406" s="129"/>
      <c r="M2406" s="129"/>
      <c r="N2406" s="129"/>
      <c r="O2406" s="129"/>
      <c r="P2406" s="129"/>
      <c r="Q2406" s="129"/>
      <c r="R2406" s="129"/>
      <c r="S2406" s="129"/>
      <c r="T2406" s="129"/>
      <c r="U2406" s="129"/>
      <c r="V2406" s="129"/>
      <c r="W2406" s="129"/>
      <c r="X2406" s="129"/>
      <c r="Y2406" s="129"/>
      <c r="Z2406" s="129"/>
      <c r="AA2406" s="129"/>
      <c r="AB2406" s="129"/>
    </row>
    <row r="2407" hidden="1">
      <c r="A2407" s="150" t="s">
        <v>1351</v>
      </c>
      <c r="B2407" s="147">
        <v>1290.0</v>
      </c>
      <c r="C2407" s="147">
        <v>1399.0</v>
      </c>
      <c r="D2407" s="132">
        <f t="shared" si="238"/>
        <v>109</v>
      </c>
      <c r="E2407" s="132" t="s">
        <v>123</v>
      </c>
      <c r="F2407" s="139"/>
      <c r="G2407" s="150"/>
      <c r="H2407" s="129"/>
      <c r="I2407" s="129"/>
      <c r="J2407" s="129"/>
      <c r="K2407" s="129"/>
      <c r="L2407" s="129"/>
      <c r="M2407" s="129"/>
      <c r="N2407" s="129"/>
      <c r="O2407" s="129"/>
      <c r="P2407" s="129"/>
      <c r="Q2407" s="129"/>
      <c r="R2407" s="129"/>
      <c r="S2407" s="129"/>
      <c r="T2407" s="129"/>
      <c r="U2407" s="129"/>
      <c r="V2407" s="129"/>
      <c r="W2407" s="129"/>
      <c r="X2407" s="129"/>
      <c r="Y2407" s="129"/>
      <c r="Z2407" s="129"/>
      <c r="AA2407" s="129"/>
      <c r="AB2407" s="129"/>
    </row>
    <row r="2408" hidden="1">
      <c r="A2408" s="128" t="s">
        <v>1366</v>
      </c>
      <c r="B2408" s="147">
        <v>1790.0</v>
      </c>
      <c r="C2408" s="147">
        <v>1990.0</v>
      </c>
      <c r="D2408" s="132">
        <f t="shared" si="238"/>
        <v>200</v>
      </c>
      <c r="E2408" s="132" t="s">
        <v>123</v>
      </c>
      <c r="F2408" s="139"/>
      <c r="G2408" s="150"/>
      <c r="H2408" s="129"/>
      <c r="I2408" s="129"/>
      <c r="J2408" s="129"/>
      <c r="K2408" s="129"/>
      <c r="L2408" s="129"/>
      <c r="M2408" s="129"/>
      <c r="N2408" s="129"/>
      <c r="O2408" s="129"/>
      <c r="P2408" s="129"/>
      <c r="Q2408" s="129"/>
      <c r="R2408" s="129"/>
      <c r="S2408" s="129"/>
      <c r="T2408" s="129"/>
      <c r="U2408" s="129"/>
      <c r="V2408" s="129"/>
      <c r="W2408" s="129"/>
      <c r="X2408" s="129"/>
      <c r="Y2408" s="129"/>
      <c r="Z2408" s="129"/>
      <c r="AA2408" s="129"/>
      <c r="AB2408" s="129"/>
    </row>
    <row r="2409" hidden="1">
      <c r="A2409" s="128" t="s">
        <v>399</v>
      </c>
      <c r="B2409" s="124">
        <v>1690.0</v>
      </c>
      <c r="C2409" s="147">
        <v>1826.0</v>
      </c>
      <c r="D2409" s="132">
        <f t="shared" si="238"/>
        <v>136</v>
      </c>
      <c r="E2409" s="126" t="s">
        <v>123</v>
      </c>
      <c r="F2409" s="127"/>
      <c r="G2409" s="128"/>
      <c r="H2409" s="129"/>
      <c r="I2409" s="129"/>
      <c r="J2409" s="129"/>
      <c r="K2409" s="129"/>
      <c r="L2409" s="129"/>
      <c r="M2409" s="129"/>
      <c r="N2409" s="129"/>
      <c r="O2409" s="129"/>
      <c r="P2409" s="129"/>
      <c r="Q2409" s="129"/>
      <c r="R2409" s="129"/>
      <c r="S2409" s="129"/>
      <c r="T2409" s="129"/>
      <c r="U2409" s="129"/>
      <c r="V2409" s="129"/>
      <c r="W2409" s="129"/>
      <c r="X2409" s="129"/>
      <c r="Y2409" s="129"/>
      <c r="Z2409" s="129"/>
      <c r="AA2409" s="129"/>
      <c r="AB2409" s="129"/>
    </row>
    <row r="2410" hidden="1">
      <c r="A2410" s="150" t="s">
        <v>1345</v>
      </c>
      <c r="B2410" s="167">
        <v>1590.0</v>
      </c>
      <c r="C2410" s="167">
        <v>1640.0</v>
      </c>
      <c r="D2410" s="168">
        <f t="shared" si="238"/>
        <v>50</v>
      </c>
      <c r="E2410" s="132" t="s">
        <v>123</v>
      </c>
      <c r="F2410" s="139"/>
      <c r="G2410" s="150"/>
      <c r="H2410" s="129"/>
      <c r="I2410" s="129"/>
      <c r="J2410" s="129"/>
      <c r="K2410" s="129"/>
      <c r="L2410" s="129"/>
      <c r="M2410" s="129"/>
      <c r="N2410" s="129"/>
      <c r="O2410" s="129"/>
      <c r="P2410" s="129"/>
      <c r="Q2410" s="129"/>
      <c r="R2410" s="129"/>
      <c r="S2410" s="129"/>
      <c r="T2410" s="129"/>
      <c r="U2410" s="129"/>
      <c r="V2410" s="129"/>
      <c r="W2410" s="129"/>
      <c r="X2410" s="129"/>
      <c r="Y2410" s="129"/>
      <c r="Z2410" s="129"/>
      <c r="AA2410" s="129"/>
      <c r="AB2410" s="129"/>
    </row>
    <row r="2411" hidden="1">
      <c r="A2411" s="128" t="s">
        <v>1343</v>
      </c>
      <c r="B2411" s="167">
        <v>3180.0</v>
      </c>
      <c r="C2411" s="167">
        <v>3358.0</v>
      </c>
      <c r="D2411" s="168">
        <f t="shared" si="238"/>
        <v>178</v>
      </c>
      <c r="E2411" s="132" t="s">
        <v>123</v>
      </c>
      <c r="F2411" s="139"/>
      <c r="G2411" s="150"/>
      <c r="H2411" s="129"/>
      <c r="I2411" s="129"/>
      <c r="J2411" s="129"/>
      <c r="K2411" s="129"/>
      <c r="L2411" s="129"/>
      <c r="M2411" s="129"/>
      <c r="N2411" s="129"/>
      <c r="O2411" s="129"/>
      <c r="P2411" s="129"/>
      <c r="Q2411" s="129"/>
      <c r="R2411" s="129"/>
      <c r="S2411" s="129"/>
      <c r="T2411" s="129"/>
      <c r="U2411" s="129"/>
      <c r="V2411" s="129"/>
      <c r="W2411" s="129"/>
      <c r="X2411" s="129"/>
      <c r="Y2411" s="129"/>
      <c r="Z2411" s="129"/>
      <c r="AA2411" s="129"/>
      <c r="AB2411" s="129"/>
    </row>
    <row r="2412" hidden="1">
      <c r="A2412" s="150" t="s">
        <v>1345</v>
      </c>
      <c r="B2412" s="147">
        <v>0.0</v>
      </c>
      <c r="C2412" s="147">
        <v>0.0</v>
      </c>
      <c r="D2412" s="132">
        <f t="shared" si="238"/>
        <v>0</v>
      </c>
      <c r="E2412" s="147" t="s">
        <v>123</v>
      </c>
      <c r="F2412" s="139"/>
      <c r="G2412" s="150"/>
      <c r="H2412" s="129"/>
      <c r="I2412" s="129"/>
      <c r="J2412" s="129"/>
      <c r="K2412" s="129"/>
      <c r="L2412" s="129"/>
      <c r="M2412" s="129"/>
      <c r="N2412" s="129"/>
      <c r="O2412" s="129"/>
      <c r="P2412" s="129"/>
      <c r="Q2412" s="129"/>
      <c r="R2412" s="129"/>
      <c r="S2412" s="129"/>
      <c r="T2412" s="129"/>
      <c r="U2412" s="129"/>
      <c r="V2412" s="129"/>
      <c r="W2412" s="129"/>
      <c r="X2412" s="129"/>
      <c r="Y2412" s="129"/>
      <c r="Z2412" s="129"/>
      <c r="AA2412" s="129"/>
      <c r="AB2412" s="129"/>
    </row>
    <row r="2413" hidden="1">
      <c r="A2413" s="128" t="s">
        <v>1366</v>
      </c>
      <c r="B2413" s="147">
        <v>1490.0</v>
      </c>
      <c r="C2413" s="147">
        <v>1990.0</v>
      </c>
      <c r="D2413" s="132">
        <f t="shared" si="238"/>
        <v>500</v>
      </c>
      <c r="E2413" s="132" t="s">
        <v>123</v>
      </c>
      <c r="F2413" s="139"/>
      <c r="G2413" s="150"/>
      <c r="H2413" s="129"/>
      <c r="I2413" s="129"/>
      <c r="J2413" s="129"/>
      <c r="K2413" s="129"/>
      <c r="L2413" s="129"/>
      <c r="M2413" s="129"/>
      <c r="N2413" s="129"/>
      <c r="O2413" s="129"/>
      <c r="P2413" s="129"/>
      <c r="Q2413" s="129"/>
      <c r="R2413" s="129"/>
      <c r="S2413" s="129"/>
      <c r="T2413" s="129"/>
      <c r="U2413" s="129"/>
      <c r="V2413" s="129"/>
      <c r="W2413" s="129"/>
      <c r="X2413" s="129"/>
      <c r="Y2413" s="129"/>
      <c r="Z2413" s="129"/>
      <c r="AA2413" s="129"/>
      <c r="AB2413" s="129"/>
    </row>
    <row r="2414" hidden="1">
      <c r="A2414" s="128" t="s">
        <v>1366</v>
      </c>
      <c r="B2414" s="147">
        <v>1490.0</v>
      </c>
      <c r="C2414" s="147">
        <v>1990.0</v>
      </c>
      <c r="D2414" s="132">
        <f t="shared" si="238"/>
        <v>500</v>
      </c>
      <c r="E2414" s="132" t="s">
        <v>123</v>
      </c>
      <c r="F2414" s="139"/>
      <c r="G2414" s="150"/>
      <c r="H2414" s="129"/>
      <c r="I2414" s="129"/>
      <c r="J2414" s="129"/>
      <c r="K2414" s="129"/>
      <c r="L2414" s="129"/>
      <c r="M2414" s="129"/>
      <c r="N2414" s="129"/>
      <c r="O2414" s="129"/>
      <c r="P2414" s="129"/>
      <c r="Q2414" s="129"/>
      <c r="R2414" s="129"/>
      <c r="S2414" s="129"/>
      <c r="T2414" s="129"/>
      <c r="U2414" s="129"/>
      <c r="V2414" s="129"/>
      <c r="W2414" s="129"/>
      <c r="X2414" s="129"/>
      <c r="Y2414" s="129"/>
      <c r="Z2414" s="129"/>
      <c r="AA2414" s="129"/>
      <c r="AB2414" s="129"/>
    </row>
    <row r="2415" hidden="1">
      <c r="A2415" s="179" t="s">
        <v>1367</v>
      </c>
      <c r="B2415" s="333">
        <v>3600.0</v>
      </c>
      <c r="C2415" s="333">
        <v>6600.0</v>
      </c>
      <c r="D2415" s="404">
        <f t="shared" si="238"/>
        <v>3000</v>
      </c>
      <c r="E2415" s="302" t="s">
        <v>123</v>
      </c>
      <c r="F2415" s="333"/>
      <c r="G2415" s="121"/>
      <c r="H2415" s="121"/>
      <c r="I2415" s="121"/>
      <c r="J2415" s="121"/>
      <c r="K2415" s="121"/>
      <c r="L2415" s="121"/>
      <c r="M2415" s="121"/>
      <c r="N2415" s="121"/>
      <c r="O2415" s="121"/>
      <c r="P2415" s="121"/>
      <c r="Q2415" s="121"/>
      <c r="R2415" s="121"/>
      <c r="S2415" s="121"/>
      <c r="T2415" s="121"/>
      <c r="U2415" s="121"/>
      <c r="V2415" s="121"/>
      <c r="W2415" s="121"/>
      <c r="X2415" s="121"/>
      <c r="Y2415" s="121"/>
      <c r="Z2415" s="121"/>
      <c r="AA2415" s="121"/>
      <c r="AB2415" s="121"/>
    </row>
    <row r="2416" hidden="1">
      <c r="A2416" s="299" t="s">
        <v>1368</v>
      </c>
      <c r="B2416" s="300">
        <v>1500.0</v>
      </c>
      <c r="C2416" s="300">
        <v>3000.0</v>
      </c>
      <c r="D2416" s="301">
        <f t="shared" si="238"/>
        <v>1500</v>
      </c>
      <c r="E2416" s="300" t="s">
        <v>123</v>
      </c>
      <c r="F2416" s="301"/>
      <c r="G2416" s="217"/>
      <c r="H2416" s="217"/>
      <c r="I2416" s="217"/>
      <c r="J2416" s="217"/>
      <c r="K2416" s="217"/>
      <c r="L2416" s="217"/>
      <c r="M2416" s="217"/>
      <c r="N2416" s="217"/>
      <c r="O2416" s="217"/>
      <c r="P2416" s="217"/>
      <c r="Q2416" s="217"/>
      <c r="R2416" s="217"/>
      <c r="S2416" s="217"/>
      <c r="T2416" s="217"/>
      <c r="U2416" s="217"/>
      <c r="V2416" s="217"/>
      <c r="W2416" s="217"/>
      <c r="X2416" s="217"/>
      <c r="Y2416" s="217"/>
      <c r="Z2416" s="217"/>
      <c r="AA2416" s="217"/>
      <c r="AB2416" s="217"/>
    </row>
    <row r="2417" hidden="1">
      <c r="A2417" s="123" t="s">
        <v>404</v>
      </c>
      <c r="B2417" s="147">
        <v>990.0</v>
      </c>
      <c r="C2417" s="124">
        <v>1338.0</v>
      </c>
      <c r="D2417" s="125">
        <f t="shared" si="238"/>
        <v>348</v>
      </c>
      <c r="E2417" s="126" t="s">
        <v>123</v>
      </c>
      <c r="F2417" s="124"/>
    </row>
    <row r="2418" hidden="1">
      <c r="A2418" s="150" t="s">
        <v>395</v>
      </c>
      <c r="B2418" s="124">
        <v>2000.0</v>
      </c>
      <c r="C2418" s="124">
        <v>2250.0</v>
      </c>
      <c r="D2418" s="132">
        <f t="shared" si="238"/>
        <v>250</v>
      </c>
      <c r="E2418" s="132" t="s">
        <v>123</v>
      </c>
      <c r="F2418" s="127"/>
      <c r="G2418" s="129"/>
      <c r="H2418" s="129"/>
      <c r="I2418" s="129"/>
      <c r="J2418" s="129"/>
      <c r="K2418" s="129"/>
      <c r="L2418" s="129"/>
      <c r="M2418" s="129"/>
      <c r="N2418" s="129"/>
      <c r="O2418" s="129"/>
      <c r="P2418" s="129"/>
      <c r="Q2418" s="129"/>
      <c r="R2418" s="129"/>
      <c r="S2418" s="129"/>
      <c r="T2418" s="129"/>
      <c r="U2418" s="129"/>
      <c r="V2418" s="129"/>
      <c r="W2418" s="129"/>
      <c r="X2418" s="129"/>
      <c r="Y2418" s="129"/>
      <c r="Z2418" s="129"/>
      <c r="AA2418" s="129"/>
      <c r="AB2418" s="129"/>
    </row>
    <row r="2419" hidden="1">
      <c r="A2419" s="123" t="s">
        <v>395</v>
      </c>
      <c r="B2419" s="124">
        <v>2000.0</v>
      </c>
      <c r="C2419" s="124">
        <v>2250.0</v>
      </c>
      <c r="D2419" s="125">
        <f t="shared" si="238"/>
        <v>250</v>
      </c>
      <c r="E2419" s="126" t="s">
        <v>123</v>
      </c>
      <c r="F2419" s="124"/>
    </row>
    <row r="2420" hidden="1">
      <c r="A2420" s="123" t="s">
        <v>395</v>
      </c>
      <c r="B2420" s="124">
        <v>2000.0</v>
      </c>
      <c r="C2420" s="124">
        <v>2250.0</v>
      </c>
      <c r="D2420" s="125">
        <f t="shared" si="238"/>
        <v>250</v>
      </c>
      <c r="E2420" s="126" t="s">
        <v>123</v>
      </c>
      <c r="F2420" s="124"/>
    </row>
    <row r="2421" hidden="1">
      <c r="A2421" s="123" t="s">
        <v>395</v>
      </c>
      <c r="B2421" s="124">
        <v>2000.0</v>
      </c>
      <c r="C2421" s="124">
        <v>2250.0</v>
      </c>
      <c r="D2421" s="125">
        <f t="shared" si="238"/>
        <v>250</v>
      </c>
      <c r="E2421" s="126" t="s">
        <v>123</v>
      </c>
      <c r="F2421" s="124"/>
    </row>
    <row r="2422" hidden="1">
      <c r="A2422" s="123" t="s">
        <v>395</v>
      </c>
      <c r="B2422" s="124">
        <v>2000.0</v>
      </c>
      <c r="C2422" s="124">
        <v>2250.0</v>
      </c>
      <c r="D2422" s="125">
        <f t="shared" si="238"/>
        <v>250</v>
      </c>
      <c r="E2422" s="126" t="s">
        <v>123</v>
      </c>
      <c r="F2422" s="124"/>
    </row>
    <row r="2423" hidden="1">
      <c r="A2423" s="128" t="s">
        <v>399</v>
      </c>
      <c r="B2423" s="124">
        <v>1690.0</v>
      </c>
      <c r="C2423" s="147">
        <v>1890.0</v>
      </c>
      <c r="D2423" s="132">
        <f t="shared" si="238"/>
        <v>200</v>
      </c>
      <c r="E2423" s="126" t="s">
        <v>123</v>
      </c>
      <c r="F2423" s="127"/>
      <c r="G2423" s="128"/>
      <c r="H2423" s="129"/>
      <c r="I2423" s="129"/>
      <c r="J2423" s="129"/>
      <c r="K2423" s="129"/>
      <c r="L2423" s="129"/>
      <c r="M2423" s="129"/>
      <c r="N2423" s="129"/>
      <c r="O2423" s="129"/>
      <c r="P2423" s="129"/>
      <c r="Q2423" s="129"/>
      <c r="R2423" s="129"/>
      <c r="S2423" s="129"/>
      <c r="T2423" s="129"/>
      <c r="U2423" s="129"/>
      <c r="V2423" s="129"/>
      <c r="W2423" s="129"/>
      <c r="X2423" s="129"/>
      <c r="Y2423" s="129"/>
      <c r="Z2423" s="129"/>
      <c r="AA2423" s="129"/>
      <c r="AB2423" s="129"/>
    </row>
    <row r="2424" hidden="1">
      <c r="A2424" s="128" t="s">
        <v>399</v>
      </c>
      <c r="B2424" s="124">
        <v>1690.0</v>
      </c>
      <c r="C2424" s="147">
        <v>1890.0</v>
      </c>
      <c r="D2424" s="132">
        <f t="shared" si="238"/>
        <v>200</v>
      </c>
      <c r="E2424" s="126" t="s">
        <v>123</v>
      </c>
      <c r="F2424" s="127"/>
      <c r="G2424" s="128"/>
      <c r="H2424" s="129"/>
      <c r="I2424" s="129"/>
      <c r="J2424" s="129"/>
      <c r="K2424" s="129"/>
      <c r="L2424" s="129"/>
      <c r="M2424" s="129"/>
      <c r="N2424" s="129"/>
      <c r="O2424" s="129"/>
      <c r="P2424" s="129"/>
      <c r="Q2424" s="129"/>
      <c r="R2424" s="129"/>
      <c r="S2424" s="129"/>
      <c r="T2424" s="129"/>
      <c r="U2424" s="129"/>
      <c r="V2424" s="129"/>
      <c r="W2424" s="129"/>
      <c r="X2424" s="129"/>
      <c r="Y2424" s="129"/>
      <c r="Z2424" s="129"/>
      <c r="AA2424" s="129"/>
      <c r="AB2424" s="129"/>
    </row>
    <row r="2425" hidden="1">
      <c r="A2425" s="128" t="s">
        <v>399</v>
      </c>
      <c r="B2425" s="124">
        <v>1690.0</v>
      </c>
      <c r="C2425" s="147">
        <v>1890.0</v>
      </c>
      <c r="D2425" s="132">
        <f t="shared" si="238"/>
        <v>200</v>
      </c>
      <c r="E2425" s="126" t="s">
        <v>123</v>
      </c>
      <c r="F2425" s="127"/>
      <c r="G2425" s="128"/>
      <c r="H2425" s="129"/>
      <c r="I2425" s="129"/>
      <c r="J2425" s="129"/>
      <c r="K2425" s="129"/>
      <c r="L2425" s="129"/>
      <c r="M2425" s="129"/>
      <c r="N2425" s="129"/>
      <c r="O2425" s="129"/>
      <c r="P2425" s="129"/>
      <c r="Q2425" s="129"/>
      <c r="R2425" s="129"/>
      <c r="S2425" s="129"/>
      <c r="T2425" s="129"/>
      <c r="U2425" s="129"/>
      <c r="V2425" s="129"/>
      <c r="W2425" s="129"/>
      <c r="X2425" s="129"/>
      <c r="Y2425" s="129"/>
      <c r="Z2425" s="129"/>
      <c r="AA2425" s="129"/>
      <c r="AB2425" s="129"/>
    </row>
    <row r="2426" hidden="1">
      <c r="A2426" s="123" t="s">
        <v>1125</v>
      </c>
      <c r="B2426" s="147">
        <v>990.0</v>
      </c>
      <c r="C2426" s="147">
        <v>1339.0</v>
      </c>
      <c r="D2426" s="125">
        <f t="shared" si="238"/>
        <v>349</v>
      </c>
      <c r="E2426" s="126" t="s">
        <v>123</v>
      </c>
      <c r="F2426" s="124"/>
    </row>
    <row r="2427" hidden="1">
      <c r="A2427" s="128" t="s">
        <v>1262</v>
      </c>
      <c r="B2427" s="147">
        <v>1390.0</v>
      </c>
      <c r="C2427" s="147">
        <v>1590.0</v>
      </c>
      <c r="D2427" s="125">
        <f t="shared" si="238"/>
        <v>200</v>
      </c>
      <c r="E2427" s="126" t="s">
        <v>123</v>
      </c>
      <c r="F2427" s="147"/>
      <c r="G2427" s="123"/>
    </row>
    <row r="2428" hidden="1">
      <c r="A2428" s="128" t="s">
        <v>1262</v>
      </c>
      <c r="B2428" s="147">
        <v>1390.0</v>
      </c>
      <c r="C2428" s="147">
        <v>1590.0</v>
      </c>
      <c r="D2428" s="125">
        <f t="shared" si="238"/>
        <v>200</v>
      </c>
      <c r="E2428" s="126" t="s">
        <v>123</v>
      </c>
      <c r="F2428" s="147"/>
      <c r="G2428" s="123"/>
    </row>
    <row r="2429" hidden="1">
      <c r="A2429" s="123" t="s">
        <v>1365</v>
      </c>
      <c r="B2429" s="124">
        <v>1790.0</v>
      </c>
      <c r="C2429" s="124">
        <v>1990.0</v>
      </c>
      <c r="D2429" s="125">
        <f t="shared" si="238"/>
        <v>200</v>
      </c>
      <c r="E2429" s="126" t="s">
        <v>123</v>
      </c>
      <c r="F2429" s="132"/>
      <c r="G2429" s="123"/>
    </row>
    <row r="2430" hidden="1">
      <c r="A2430" s="123" t="s">
        <v>1365</v>
      </c>
      <c r="B2430" s="124">
        <v>1790.0</v>
      </c>
      <c r="C2430" s="124">
        <v>1990.0</v>
      </c>
      <c r="D2430" s="125">
        <f t="shared" si="238"/>
        <v>200</v>
      </c>
      <c r="E2430" s="126" t="s">
        <v>123</v>
      </c>
      <c r="F2430" s="132"/>
      <c r="G2430" s="123"/>
    </row>
    <row r="2431" hidden="1">
      <c r="A2431" s="123" t="s">
        <v>1365</v>
      </c>
      <c r="B2431" s="124">
        <v>1790.0</v>
      </c>
      <c r="C2431" s="124">
        <v>1990.0</v>
      </c>
      <c r="D2431" s="125">
        <f t="shared" si="238"/>
        <v>200</v>
      </c>
      <c r="E2431" s="126" t="s">
        <v>123</v>
      </c>
      <c r="F2431" s="132"/>
      <c r="G2431" s="123"/>
    </row>
    <row r="2432" hidden="1">
      <c r="A2432" s="401" t="s">
        <v>1326</v>
      </c>
      <c r="B2432" s="300">
        <v>3000.0</v>
      </c>
      <c r="C2432" s="300">
        <v>6000.0</v>
      </c>
      <c r="D2432" s="301">
        <f t="shared" si="238"/>
        <v>3000</v>
      </c>
      <c r="E2432" s="300" t="s">
        <v>123</v>
      </c>
      <c r="F2432" s="400"/>
      <c r="G2432" s="217"/>
      <c r="H2432" s="217"/>
      <c r="I2432" s="217"/>
      <c r="J2432" s="217"/>
      <c r="K2432" s="217"/>
      <c r="L2432" s="217"/>
      <c r="M2432" s="217"/>
      <c r="N2432" s="217"/>
      <c r="O2432" s="217"/>
      <c r="P2432" s="217"/>
      <c r="Q2432" s="217"/>
      <c r="R2432" s="217"/>
      <c r="S2432" s="217"/>
      <c r="T2432" s="217"/>
      <c r="U2432" s="217"/>
      <c r="V2432" s="217"/>
      <c r="W2432" s="217"/>
      <c r="X2432" s="217"/>
      <c r="Y2432" s="217"/>
      <c r="Z2432" s="217"/>
      <c r="AA2432" s="217"/>
      <c r="AB2432" s="217"/>
    </row>
    <row r="2433" hidden="1">
      <c r="A2433" s="128" t="s">
        <v>1369</v>
      </c>
      <c r="B2433" s="210">
        <v>9490.0</v>
      </c>
      <c r="C2433" s="210">
        <v>9581.0</v>
      </c>
      <c r="D2433" s="208">
        <f t="shared" si="238"/>
        <v>91</v>
      </c>
      <c r="E2433" s="147" t="s">
        <v>1311</v>
      </c>
      <c r="F2433" s="139"/>
      <c r="G2433" s="129"/>
      <c r="H2433" s="129"/>
      <c r="I2433" s="129"/>
      <c r="J2433" s="129"/>
      <c r="K2433" s="129"/>
      <c r="L2433" s="129"/>
      <c r="M2433" s="129"/>
      <c r="N2433" s="129"/>
      <c r="O2433" s="129"/>
      <c r="P2433" s="129"/>
      <c r="Q2433" s="129"/>
      <c r="R2433" s="129"/>
      <c r="S2433" s="129"/>
      <c r="T2433" s="129"/>
      <c r="U2433" s="129"/>
      <c r="V2433" s="129"/>
      <c r="W2433" s="129"/>
      <c r="X2433" s="129"/>
      <c r="Y2433" s="129"/>
      <c r="Z2433" s="129"/>
      <c r="AA2433" s="129"/>
      <c r="AB2433" s="129"/>
    </row>
    <row r="2434" hidden="1">
      <c r="A2434" s="123" t="s">
        <v>1125</v>
      </c>
      <c r="B2434" s="147">
        <v>990.0</v>
      </c>
      <c r="C2434" s="147">
        <v>1338.0</v>
      </c>
      <c r="D2434" s="125">
        <f t="shared" si="238"/>
        <v>348</v>
      </c>
      <c r="E2434" s="126" t="s">
        <v>123</v>
      </c>
      <c r="F2434" s="124"/>
    </row>
    <row r="2435" hidden="1">
      <c r="A2435" s="150" t="s">
        <v>1370</v>
      </c>
      <c r="B2435" s="147">
        <v>1890.0</v>
      </c>
      <c r="C2435" s="147">
        <v>2090.0</v>
      </c>
      <c r="D2435" s="132">
        <f t="shared" si="238"/>
        <v>200</v>
      </c>
      <c r="E2435" s="132" t="s">
        <v>123</v>
      </c>
      <c r="F2435" s="139"/>
      <c r="G2435" s="150"/>
      <c r="H2435" s="129"/>
      <c r="I2435" s="129"/>
      <c r="J2435" s="129"/>
      <c r="K2435" s="129"/>
      <c r="L2435" s="129"/>
      <c r="M2435" s="129"/>
      <c r="N2435" s="129"/>
      <c r="O2435" s="129"/>
      <c r="P2435" s="129"/>
      <c r="Q2435" s="129"/>
      <c r="R2435" s="129"/>
      <c r="S2435" s="129"/>
      <c r="T2435" s="129"/>
      <c r="U2435" s="129"/>
      <c r="V2435" s="129"/>
      <c r="W2435" s="129"/>
      <c r="X2435" s="129"/>
      <c r="Y2435" s="129"/>
      <c r="Z2435" s="129"/>
      <c r="AA2435" s="129"/>
      <c r="AB2435" s="129"/>
    </row>
    <row r="2436" hidden="1">
      <c r="A2436" s="150" t="s">
        <v>1370</v>
      </c>
      <c r="B2436" s="147">
        <v>1890.0</v>
      </c>
      <c r="C2436" s="147">
        <v>2090.0</v>
      </c>
      <c r="D2436" s="132">
        <f t="shared" si="238"/>
        <v>200</v>
      </c>
      <c r="E2436" s="132" t="s">
        <v>123</v>
      </c>
      <c r="F2436" s="139"/>
      <c r="G2436" s="150"/>
      <c r="H2436" s="129"/>
      <c r="I2436" s="129"/>
      <c r="J2436" s="129"/>
      <c r="K2436" s="129"/>
      <c r="L2436" s="129"/>
      <c r="M2436" s="129"/>
      <c r="N2436" s="129"/>
      <c r="O2436" s="129"/>
      <c r="P2436" s="129"/>
      <c r="Q2436" s="129"/>
      <c r="R2436" s="129"/>
      <c r="S2436" s="129"/>
      <c r="T2436" s="129"/>
      <c r="U2436" s="129"/>
      <c r="V2436" s="129"/>
      <c r="W2436" s="129"/>
      <c r="X2436" s="129"/>
      <c r="Y2436" s="129"/>
      <c r="Z2436" s="129"/>
      <c r="AA2436" s="129"/>
      <c r="AB2436" s="129"/>
    </row>
    <row r="2437" hidden="1">
      <c r="A2437" s="150" t="s">
        <v>1370</v>
      </c>
      <c r="B2437" s="147">
        <v>1890.0</v>
      </c>
      <c r="C2437" s="147">
        <v>2090.0</v>
      </c>
      <c r="D2437" s="132">
        <f t="shared" si="238"/>
        <v>200</v>
      </c>
      <c r="E2437" s="132" t="s">
        <v>123</v>
      </c>
      <c r="F2437" s="139"/>
      <c r="G2437" s="150"/>
      <c r="H2437" s="129"/>
      <c r="I2437" s="129"/>
      <c r="J2437" s="129"/>
      <c r="K2437" s="129"/>
      <c r="L2437" s="129"/>
      <c r="M2437" s="129"/>
      <c r="N2437" s="129"/>
      <c r="O2437" s="129"/>
      <c r="P2437" s="129"/>
      <c r="Q2437" s="129"/>
      <c r="R2437" s="129"/>
      <c r="S2437" s="129"/>
      <c r="T2437" s="129"/>
      <c r="U2437" s="129"/>
      <c r="V2437" s="129"/>
      <c r="W2437" s="129"/>
      <c r="X2437" s="129"/>
      <c r="Y2437" s="129"/>
      <c r="Z2437" s="129"/>
      <c r="AA2437" s="129"/>
      <c r="AB2437" s="129"/>
    </row>
    <row r="2438" hidden="1">
      <c r="A2438" s="150" t="s">
        <v>1370</v>
      </c>
      <c r="B2438" s="147">
        <v>1890.0</v>
      </c>
      <c r="C2438" s="147">
        <v>2090.0</v>
      </c>
      <c r="D2438" s="132">
        <f t="shared" si="238"/>
        <v>200</v>
      </c>
      <c r="E2438" s="132" t="s">
        <v>123</v>
      </c>
      <c r="F2438" s="139"/>
      <c r="G2438" s="150"/>
      <c r="H2438" s="129"/>
      <c r="I2438" s="129"/>
      <c r="J2438" s="129"/>
      <c r="K2438" s="129"/>
      <c r="L2438" s="129"/>
      <c r="M2438" s="129"/>
      <c r="N2438" s="129"/>
      <c r="O2438" s="129"/>
      <c r="P2438" s="129"/>
      <c r="Q2438" s="129"/>
      <c r="R2438" s="129"/>
      <c r="S2438" s="129"/>
      <c r="T2438" s="129"/>
      <c r="U2438" s="129"/>
      <c r="V2438" s="129"/>
      <c r="W2438" s="129"/>
      <c r="X2438" s="129"/>
      <c r="Y2438" s="129"/>
      <c r="Z2438" s="129"/>
      <c r="AA2438" s="129"/>
      <c r="AB2438" s="129"/>
    </row>
    <row r="2439" hidden="1">
      <c r="A2439" s="150" t="s">
        <v>1370</v>
      </c>
      <c r="B2439" s="147">
        <v>1890.0</v>
      </c>
      <c r="C2439" s="147">
        <v>2090.0</v>
      </c>
      <c r="D2439" s="132">
        <f t="shared" si="238"/>
        <v>200</v>
      </c>
      <c r="E2439" s="132" t="s">
        <v>123</v>
      </c>
      <c r="F2439" s="139"/>
      <c r="G2439" s="150"/>
      <c r="H2439" s="129"/>
      <c r="I2439" s="129"/>
      <c r="J2439" s="129"/>
      <c r="K2439" s="129"/>
      <c r="L2439" s="129"/>
      <c r="M2439" s="129"/>
      <c r="N2439" s="129"/>
      <c r="O2439" s="129"/>
      <c r="P2439" s="129"/>
      <c r="Q2439" s="129"/>
      <c r="R2439" s="129"/>
      <c r="S2439" s="129"/>
      <c r="T2439" s="129"/>
      <c r="U2439" s="129"/>
      <c r="V2439" s="129"/>
      <c r="W2439" s="129"/>
      <c r="X2439" s="129"/>
      <c r="Y2439" s="129"/>
      <c r="Z2439" s="129"/>
      <c r="AA2439" s="129"/>
      <c r="AB2439" s="129"/>
    </row>
    <row r="2440" hidden="1">
      <c r="A2440" s="123" t="s">
        <v>1094</v>
      </c>
      <c r="B2440" s="124">
        <v>1690.0</v>
      </c>
      <c r="C2440" s="124">
        <v>2022.0</v>
      </c>
      <c r="D2440" s="125">
        <f t="shared" si="238"/>
        <v>332</v>
      </c>
      <c r="E2440" s="126" t="s">
        <v>123</v>
      </c>
      <c r="F2440" s="124"/>
      <c r="G2440" s="123"/>
    </row>
    <row r="2441" hidden="1">
      <c r="A2441" s="128" t="s">
        <v>459</v>
      </c>
      <c r="B2441" s="147">
        <v>1000.0</v>
      </c>
      <c r="C2441" s="147">
        <v>1052.0</v>
      </c>
      <c r="D2441" s="132">
        <f t="shared" si="238"/>
        <v>52</v>
      </c>
      <c r="E2441" s="126" t="s">
        <v>123</v>
      </c>
      <c r="F2441" s="124"/>
      <c r="G2441" s="129"/>
      <c r="H2441" s="129"/>
      <c r="I2441" s="129"/>
      <c r="J2441" s="129"/>
      <c r="K2441" s="129"/>
      <c r="L2441" s="129"/>
      <c r="M2441" s="129"/>
      <c r="N2441" s="129"/>
      <c r="O2441" s="129"/>
      <c r="P2441" s="129"/>
      <c r="Q2441" s="129"/>
      <c r="R2441" s="129"/>
      <c r="S2441" s="129"/>
      <c r="T2441" s="129"/>
      <c r="U2441" s="129"/>
      <c r="V2441" s="129"/>
      <c r="W2441" s="129"/>
      <c r="X2441" s="129"/>
      <c r="Y2441" s="129"/>
      <c r="Z2441" s="129"/>
      <c r="AA2441" s="129"/>
      <c r="AB2441" s="129"/>
    </row>
    <row r="2442" hidden="1">
      <c r="A2442" s="123" t="s">
        <v>1216</v>
      </c>
      <c r="B2442" s="147">
        <v>1390.0</v>
      </c>
      <c r="C2442" s="147">
        <v>1540.0</v>
      </c>
      <c r="D2442" s="132">
        <f t="shared" si="238"/>
        <v>150</v>
      </c>
      <c r="E2442" s="394" t="s">
        <v>120</v>
      </c>
      <c r="F2442" s="124"/>
    </row>
    <row r="2443" hidden="1">
      <c r="A2443" s="128" t="s">
        <v>1371</v>
      </c>
      <c r="B2443" s="147">
        <v>990.0</v>
      </c>
      <c r="C2443" s="127">
        <v>1144.0</v>
      </c>
      <c r="D2443" s="125">
        <f t="shared" si="238"/>
        <v>154</v>
      </c>
      <c r="E2443" s="147" t="s">
        <v>123</v>
      </c>
      <c r="F2443" s="124"/>
      <c r="G2443" s="129"/>
      <c r="H2443" s="129"/>
      <c r="I2443" s="129"/>
      <c r="J2443" s="129"/>
      <c r="K2443" s="129"/>
      <c r="L2443" s="129"/>
      <c r="M2443" s="129"/>
      <c r="N2443" s="129"/>
      <c r="O2443" s="129"/>
      <c r="P2443" s="129"/>
      <c r="Q2443" s="129"/>
      <c r="R2443" s="129"/>
      <c r="S2443" s="129"/>
      <c r="T2443" s="129"/>
      <c r="U2443" s="129"/>
      <c r="V2443" s="129"/>
      <c r="W2443" s="129"/>
      <c r="X2443" s="129"/>
      <c r="Y2443" s="129"/>
      <c r="Z2443" s="129"/>
      <c r="AA2443" s="129"/>
      <c r="AB2443" s="129"/>
    </row>
    <row r="2444" hidden="1">
      <c r="A2444" s="128" t="s">
        <v>399</v>
      </c>
      <c r="B2444" s="124">
        <v>1690.0</v>
      </c>
      <c r="C2444" s="147">
        <v>1825.0</v>
      </c>
      <c r="D2444" s="132">
        <f t="shared" si="238"/>
        <v>135</v>
      </c>
      <c r="E2444" s="126" t="s">
        <v>123</v>
      </c>
      <c r="F2444" s="127"/>
      <c r="G2444" s="128"/>
      <c r="H2444" s="129"/>
      <c r="I2444" s="129"/>
      <c r="J2444" s="129"/>
      <c r="K2444" s="129"/>
      <c r="L2444" s="129"/>
      <c r="M2444" s="129"/>
      <c r="N2444" s="129"/>
      <c r="O2444" s="129"/>
      <c r="P2444" s="129"/>
      <c r="Q2444" s="129"/>
      <c r="R2444" s="129"/>
      <c r="S2444" s="129"/>
      <c r="T2444" s="129"/>
      <c r="U2444" s="129"/>
      <c r="V2444" s="129"/>
      <c r="W2444" s="129"/>
      <c r="X2444" s="129"/>
      <c r="Y2444" s="129"/>
      <c r="Z2444" s="129"/>
      <c r="AA2444" s="129"/>
      <c r="AB2444" s="129"/>
    </row>
    <row r="2445" hidden="1">
      <c r="A2445" s="128" t="s">
        <v>1363</v>
      </c>
      <c r="B2445" s="147">
        <v>2780.0</v>
      </c>
      <c r="C2445" s="147">
        <v>3008.0</v>
      </c>
      <c r="D2445" s="132">
        <f t="shared" si="238"/>
        <v>228</v>
      </c>
      <c r="E2445" s="394" t="s">
        <v>120</v>
      </c>
      <c r="F2445" s="139"/>
      <c r="G2445" s="129"/>
      <c r="H2445" s="129"/>
      <c r="I2445" s="129"/>
      <c r="J2445" s="129"/>
      <c r="K2445" s="129"/>
      <c r="L2445" s="129"/>
      <c r="M2445" s="129"/>
      <c r="N2445" s="129"/>
      <c r="O2445" s="129"/>
      <c r="P2445" s="129"/>
      <c r="Q2445" s="129"/>
      <c r="R2445" s="129"/>
      <c r="S2445" s="129"/>
      <c r="T2445" s="129"/>
      <c r="U2445" s="129"/>
      <c r="V2445" s="129"/>
      <c r="W2445" s="129"/>
      <c r="X2445" s="129"/>
      <c r="Y2445" s="129"/>
      <c r="Z2445" s="129"/>
      <c r="AA2445" s="129"/>
      <c r="AB2445" s="129"/>
    </row>
    <row r="2446" hidden="1">
      <c r="A2446" s="128" t="s">
        <v>1350</v>
      </c>
      <c r="B2446" s="147">
        <v>0.0</v>
      </c>
      <c r="C2446" s="147">
        <v>0.0</v>
      </c>
      <c r="D2446" s="132">
        <f t="shared" si="238"/>
        <v>0</v>
      </c>
      <c r="E2446" s="394" t="s">
        <v>120</v>
      </c>
      <c r="F2446" s="139"/>
      <c r="G2446" s="129"/>
      <c r="H2446" s="129"/>
      <c r="I2446" s="129"/>
      <c r="J2446" s="129"/>
      <c r="K2446" s="129"/>
      <c r="L2446" s="129"/>
      <c r="M2446" s="129"/>
      <c r="N2446" s="129"/>
      <c r="O2446" s="129"/>
      <c r="P2446" s="129"/>
      <c r="Q2446" s="129"/>
      <c r="R2446" s="129"/>
      <c r="S2446" s="129"/>
      <c r="T2446" s="129"/>
      <c r="U2446" s="129"/>
      <c r="V2446" s="129"/>
      <c r="W2446" s="129"/>
      <c r="X2446" s="129"/>
      <c r="Y2446" s="129"/>
      <c r="Z2446" s="129"/>
      <c r="AA2446" s="129"/>
      <c r="AB2446" s="129"/>
    </row>
    <row r="2447" hidden="1">
      <c r="A2447" s="123" t="s">
        <v>1216</v>
      </c>
      <c r="B2447" s="147">
        <v>2780.0</v>
      </c>
      <c r="C2447" s="147">
        <v>3008.0</v>
      </c>
      <c r="D2447" s="132">
        <f t="shared" si="238"/>
        <v>228</v>
      </c>
      <c r="E2447" s="394" t="s">
        <v>120</v>
      </c>
      <c r="F2447" s="124"/>
    </row>
    <row r="2448" hidden="1">
      <c r="A2448" s="128" t="s">
        <v>1213</v>
      </c>
      <c r="B2448" s="147">
        <v>0.0</v>
      </c>
      <c r="C2448" s="147">
        <v>0.0</v>
      </c>
      <c r="D2448" s="132">
        <f t="shared" si="238"/>
        <v>0</v>
      </c>
      <c r="E2448" s="394" t="s">
        <v>120</v>
      </c>
      <c r="F2448" s="139"/>
      <c r="G2448" s="129"/>
      <c r="H2448" s="129"/>
      <c r="I2448" s="129"/>
      <c r="J2448" s="129"/>
      <c r="K2448" s="129"/>
      <c r="L2448" s="129"/>
      <c r="M2448" s="129"/>
      <c r="N2448" s="129"/>
      <c r="O2448" s="129"/>
      <c r="P2448" s="129"/>
      <c r="Q2448" s="129"/>
      <c r="R2448" s="129"/>
      <c r="S2448" s="129"/>
      <c r="T2448" s="129"/>
      <c r="U2448" s="129"/>
      <c r="V2448" s="129"/>
      <c r="W2448" s="129"/>
      <c r="X2448" s="129"/>
      <c r="Y2448" s="129"/>
      <c r="Z2448" s="129"/>
      <c r="AA2448" s="129"/>
      <c r="AB2448" s="129"/>
    </row>
    <row r="2449" hidden="1">
      <c r="A2449" s="150" t="s">
        <v>1213</v>
      </c>
      <c r="B2449" s="132">
        <v>1390.0</v>
      </c>
      <c r="C2449" s="147">
        <v>1540.0</v>
      </c>
      <c r="D2449" s="132">
        <f t="shared" si="238"/>
        <v>150</v>
      </c>
      <c r="E2449" s="394" t="s">
        <v>120</v>
      </c>
      <c r="F2449" s="139"/>
      <c r="G2449" s="129"/>
      <c r="H2449" s="129"/>
      <c r="I2449" s="129"/>
      <c r="J2449" s="129"/>
      <c r="K2449" s="129"/>
      <c r="L2449" s="129"/>
      <c r="M2449" s="129"/>
      <c r="N2449" s="129"/>
      <c r="O2449" s="129"/>
      <c r="P2449" s="129"/>
      <c r="Q2449" s="129"/>
      <c r="R2449" s="129"/>
      <c r="S2449" s="129"/>
      <c r="T2449" s="129"/>
      <c r="U2449" s="129"/>
      <c r="V2449" s="129"/>
      <c r="W2449" s="129"/>
      <c r="X2449" s="129"/>
      <c r="Y2449" s="129"/>
      <c r="Z2449" s="129"/>
      <c r="AA2449" s="129"/>
      <c r="AB2449" s="129"/>
    </row>
    <row r="2450" hidden="1">
      <c r="A2450" s="123" t="s">
        <v>1094</v>
      </c>
      <c r="B2450" s="124">
        <v>1690.0</v>
      </c>
      <c r="C2450" s="124">
        <v>2017.0</v>
      </c>
      <c r="D2450" s="125">
        <f t="shared" si="238"/>
        <v>327</v>
      </c>
      <c r="E2450" s="126" t="s">
        <v>123</v>
      </c>
      <c r="F2450" s="124"/>
      <c r="G2450" s="123"/>
    </row>
    <row r="2451" hidden="1">
      <c r="A2451" s="150" t="s">
        <v>1219</v>
      </c>
      <c r="B2451" s="147">
        <v>690.0</v>
      </c>
      <c r="C2451" s="147">
        <v>858.0</v>
      </c>
      <c r="D2451" s="132">
        <f t="shared" si="238"/>
        <v>168</v>
      </c>
      <c r="E2451" s="126" t="s">
        <v>123</v>
      </c>
      <c r="F2451" s="124"/>
      <c r="G2451" s="129"/>
      <c r="H2451" s="129"/>
      <c r="I2451" s="129"/>
      <c r="J2451" s="129"/>
      <c r="K2451" s="129"/>
      <c r="L2451" s="129"/>
      <c r="M2451" s="129"/>
      <c r="N2451" s="129"/>
      <c r="O2451" s="129"/>
      <c r="P2451" s="129"/>
      <c r="Q2451" s="129"/>
      <c r="R2451" s="129"/>
      <c r="S2451" s="129"/>
      <c r="T2451" s="129"/>
      <c r="U2451" s="129"/>
      <c r="V2451" s="129"/>
      <c r="W2451" s="129"/>
      <c r="X2451" s="129"/>
      <c r="Y2451" s="129"/>
      <c r="Z2451" s="129"/>
      <c r="AA2451" s="129"/>
      <c r="AB2451" s="129"/>
    </row>
    <row r="2452" hidden="1">
      <c r="A2452" s="123" t="s">
        <v>1094</v>
      </c>
      <c r="B2452" s="124">
        <v>2780.0</v>
      </c>
      <c r="C2452" s="124">
        <v>3258.0</v>
      </c>
      <c r="D2452" s="125">
        <f t="shared" si="238"/>
        <v>478</v>
      </c>
      <c r="E2452" s="126" t="s">
        <v>123</v>
      </c>
      <c r="F2452" s="124"/>
      <c r="G2452" s="123"/>
    </row>
    <row r="2453" hidden="1">
      <c r="A2453" s="123" t="s">
        <v>435</v>
      </c>
      <c r="B2453" s="147">
        <v>0.0</v>
      </c>
      <c r="C2453" s="126">
        <v>0.0</v>
      </c>
      <c r="D2453" s="132">
        <f t="shared" si="238"/>
        <v>0</v>
      </c>
      <c r="E2453" s="126" t="s">
        <v>123</v>
      </c>
      <c r="F2453" s="124"/>
    </row>
    <row r="2454" hidden="1">
      <c r="A2454" s="128" t="s">
        <v>1318</v>
      </c>
      <c r="B2454" s="147">
        <v>690.0</v>
      </c>
      <c r="C2454" s="147">
        <v>955.0</v>
      </c>
      <c r="D2454" s="132">
        <f t="shared" si="238"/>
        <v>265</v>
      </c>
      <c r="E2454" s="394" t="s">
        <v>120</v>
      </c>
      <c r="F2454" s="139"/>
      <c r="G2454" s="129"/>
      <c r="H2454" s="129"/>
      <c r="I2454" s="129"/>
      <c r="J2454" s="129"/>
      <c r="K2454" s="129"/>
      <c r="L2454" s="129"/>
      <c r="M2454" s="129"/>
      <c r="N2454" s="129"/>
      <c r="O2454" s="129"/>
      <c r="P2454" s="129"/>
      <c r="Q2454" s="129"/>
      <c r="R2454" s="129"/>
      <c r="S2454" s="129"/>
      <c r="T2454" s="129"/>
      <c r="U2454" s="129"/>
      <c r="V2454" s="129"/>
      <c r="W2454" s="129"/>
      <c r="X2454" s="129"/>
      <c r="Y2454" s="129"/>
      <c r="Z2454" s="129"/>
      <c r="AA2454" s="129"/>
      <c r="AB2454" s="129"/>
    </row>
    <row r="2455" hidden="1">
      <c r="A2455" s="142" t="s">
        <v>461</v>
      </c>
      <c r="B2455" s="147">
        <v>890.0</v>
      </c>
      <c r="C2455" s="147">
        <v>1052.0</v>
      </c>
      <c r="D2455" s="132">
        <f t="shared" si="238"/>
        <v>162</v>
      </c>
      <c r="E2455" s="126" t="s">
        <v>123</v>
      </c>
      <c r="F2455" s="124"/>
      <c r="G2455" s="129"/>
      <c r="H2455" s="129"/>
      <c r="I2455" s="129"/>
      <c r="J2455" s="129"/>
      <c r="K2455" s="129"/>
      <c r="L2455" s="129"/>
      <c r="M2455" s="129"/>
      <c r="N2455" s="129"/>
      <c r="O2455" s="129"/>
      <c r="P2455" s="129"/>
      <c r="Q2455" s="129"/>
      <c r="R2455" s="129"/>
      <c r="S2455" s="129"/>
      <c r="T2455" s="129"/>
      <c r="U2455" s="129"/>
      <c r="V2455" s="129"/>
      <c r="W2455" s="129"/>
      <c r="X2455" s="129"/>
      <c r="Y2455" s="129"/>
      <c r="Z2455" s="129"/>
      <c r="AA2455" s="129"/>
      <c r="AB2455" s="129"/>
    </row>
    <row r="2456" hidden="1">
      <c r="A2456" s="123" t="s">
        <v>1372</v>
      </c>
      <c r="B2456" s="386">
        <v>1390.0</v>
      </c>
      <c r="C2456" s="386">
        <v>1503.0</v>
      </c>
      <c r="D2456" s="170">
        <f t="shared" si="238"/>
        <v>113</v>
      </c>
      <c r="E2456" s="126" t="s">
        <v>123</v>
      </c>
      <c r="F2456" s="147"/>
      <c r="G2456" s="123"/>
    </row>
    <row r="2457" hidden="1">
      <c r="A2457" s="123" t="s">
        <v>1373</v>
      </c>
      <c r="B2457" s="147">
        <v>690.0</v>
      </c>
      <c r="C2457" s="147">
        <v>858.0</v>
      </c>
      <c r="D2457" s="132">
        <f t="shared" si="238"/>
        <v>168</v>
      </c>
      <c r="E2457" s="171" t="s">
        <v>120</v>
      </c>
      <c r="F2457" s="124"/>
    </row>
    <row r="2458" hidden="1">
      <c r="A2458" s="128" t="s">
        <v>399</v>
      </c>
      <c r="B2458" s="124">
        <v>1690.0</v>
      </c>
      <c r="C2458" s="147">
        <v>1763.0</v>
      </c>
      <c r="D2458" s="132">
        <f t="shared" si="238"/>
        <v>73</v>
      </c>
      <c r="E2458" s="126" t="s">
        <v>123</v>
      </c>
      <c r="F2458" s="127"/>
      <c r="G2458" s="128"/>
      <c r="H2458" s="129"/>
      <c r="I2458" s="129"/>
      <c r="J2458" s="129"/>
      <c r="K2458" s="129"/>
      <c r="L2458" s="129"/>
      <c r="M2458" s="129"/>
      <c r="N2458" s="129"/>
      <c r="O2458" s="129"/>
      <c r="P2458" s="129"/>
      <c r="Q2458" s="129"/>
      <c r="R2458" s="129"/>
      <c r="S2458" s="129"/>
      <c r="T2458" s="129"/>
      <c r="U2458" s="129"/>
      <c r="V2458" s="129"/>
      <c r="W2458" s="129"/>
      <c r="X2458" s="129"/>
      <c r="Y2458" s="129"/>
      <c r="Z2458" s="129"/>
      <c r="AA2458" s="129"/>
      <c r="AB2458" s="129"/>
    </row>
    <row r="2459" hidden="1">
      <c r="A2459" s="128" t="s">
        <v>1374</v>
      </c>
      <c r="B2459" s="147">
        <v>990.0</v>
      </c>
      <c r="C2459" s="127">
        <v>1249.0</v>
      </c>
      <c r="D2459" s="132">
        <f t="shared" si="238"/>
        <v>259</v>
      </c>
      <c r="E2459" s="126" t="s">
        <v>123</v>
      </c>
      <c r="F2459" s="147"/>
      <c r="G2459" s="129"/>
      <c r="H2459" s="129"/>
      <c r="I2459" s="129"/>
      <c r="J2459" s="129"/>
      <c r="K2459" s="129"/>
      <c r="L2459" s="129"/>
      <c r="M2459" s="129"/>
      <c r="N2459" s="129"/>
      <c r="O2459" s="129"/>
      <c r="P2459" s="129"/>
      <c r="Q2459" s="129"/>
      <c r="R2459" s="129"/>
      <c r="S2459" s="129"/>
      <c r="T2459" s="129"/>
      <c r="U2459" s="129"/>
      <c r="V2459" s="129"/>
      <c r="W2459" s="129"/>
      <c r="X2459" s="129"/>
      <c r="Y2459" s="129"/>
      <c r="Z2459" s="129"/>
      <c r="AA2459" s="129"/>
      <c r="AB2459" s="129"/>
    </row>
    <row r="2460" hidden="1">
      <c r="A2460" s="123" t="s">
        <v>1373</v>
      </c>
      <c r="B2460" s="147">
        <v>690.0</v>
      </c>
      <c r="C2460" s="147">
        <v>857.0</v>
      </c>
      <c r="D2460" s="132">
        <f t="shared" si="238"/>
        <v>167</v>
      </c>
      <c r="E2460" s="171" t="s">
        <v>120</v>
      </c>
      <c r="F2460" s="124"/>
    </row>
    <row r="2461" hidden="1">
      <c r="A2461" s="128" t="s">
        <v>1127</v>
      </c>
      <c r="B2461" s="147">
        <v>490.0</v>
      </c>
      <c r="C2461" s="147">
        <v>858.0</v>
      </c>
      <c r="D2461" s="132">
        <f t="shared" si="238"/>
        <v>368</v>
      </c>
      <c r="E2461" s="126" t="s">
        <v>123</v>
      </c>
      <c r="F2461" s="132"/>
      <c r="G2461" s="129"/>
      <c r="H2461" s="129"/>
      <c r="I2461" s="129"/>
      <c r="J2461" s="129"/>
      <c r="K2461" s="129"/>
      <c r="L2461" s="129"/>
      <c r="M2461" s="129"/>
      <c r="N2461" s="129"/>
      <c r="O2461" s="129"/>
      <c r="P2461" s="129"/>
      <c r="Q2461" s="129"/>
      <c r="R2461" s="129"/>
      <c r="S2461" s="129"/>
      <c r="T2461" s="129"/>
      <c r="U2461" s="129"/>
      <c r="V2461" s="129"/>
      <c r="W2461" s="129"/>
      <c r="X2461" s="129"/>
      <c r="Y2461" s="129"/>
      <c r="Z2461" s="129"/>
      <c r="AA2461" s="129"/>
      <c r="AB2461" s="129"/>
    </row>
    <row r="2462" hidden="1">
      <c r="A2462" s="123" t="s">
        <v>1061</v>
      </c>
      <c r="B2462" s="386">
        <v>1190.0</v>
      </c>
      <c r="C2462" s="386">
        <v>1343.0</v>
      </c>
      <c r="D2462" s="170">
        <f t="shared" si="238"/>
        <v>153</v>
      </c>
      <c r="E2462" s="126" t="s">
        <v>123</v>
      </c>
      <c r="F2462" s="147"/>
      <c r="G2462" s="123"/>
    </row>
    <row r="2463" hidden="1">
      <c r="A2463" s="128" t="s">
        <v>466</v>
      </c>
      <c r="B2463" s="147">
        <v>890.0</v>
      </c>
      <c r="C2463" s="147">
        <v>1052.0</v>
      </c>
      <c r="D2463" s="132">
        <f t="shared" si="238"/>
        <v>162</v>
      </c>
      <c r="E2463" s="132" t="s">
        <v>123</v>
      </c>
      <c r="F2463" s="132"/>
      <c r="G2463" s="129"/>
      <c r="H2463" s="129"/>
      <c r="I2463" s="129"/>
      <c r="J2463" s="129"/>
      <c r="K2463" s="129"/>
      <c r="L2463" s="129"/>
      <c r="M2463" s="129"/>
      <c r="N2463" s="129"/>
      <c r="O2463" s="129"/>
      <c r="P2463" s="129"/>
      <c r="Q2463" s="129"/>
      <c r="R2463" s="129"/>
      <c r="S2463" s="129"/>
      <c r="T2463" s="129"/>
      <c r="U2463" s="129"/>
      <c r="V2463" s="129"/>
      <c r="W2463" s="129"/>
      <c r="X2463" s="129"/>
      <c r="Y2463" s="129"/>
      <c r="Z2463" s="129"/>
      <c r="AA2463" s="129"/>
      <c r="AB2463" s="129"/>
    </row>
    <row r="2464" hidden="1">
      <c r="A2464" s="128" t="s">
        <v>1375</v>
      </c>
      <c r="B2464" s="132">
        <v>1390.0</v>
      </c>
      <c r="C2464" s="147">
        <v>1537.0</v>
      </c>
      <c r="D2464" s="132">
        <f t="shared" si="238"/>
        <v>147</v>
      </c>
      <c r="E2464" s="394" t="s">
        <v>120</v>
      </c>
      <c r="F2464" s="139"/>
      <c r="G2464" s="129"/>
      <c r="H2464" s="129"/>
      <c r="I2464" s="129"/>
      <c r="J2464" s="129"/>
      <c r="K2464" s="129"/>
      <c r="L2464" s="129"/>
      <c r="M2464" s="129"/>
      <c r="N2464" s="129"/>
      <c r="O2464" s="129"/>
      <c r="P2464" s="129"/>
      <c r="Q2464" s="129"/>
      <c r="R2464" s="129"/>
      <c r="S2464" s="129"/>
      <c r="T2464" s="129"/>
      <c r="U2464" s="129"/>
      <c r="V2464" s="129"/>
      <c r="W2464" s="129"/>
      <c r="X2464" s="129"/>
      <c r="Y2464" s="129"/>
      <c r="Z2464" s="129"/>
      <c r="AA2464" s="129"/>
      <c r="AB2464" s="129"/>
    </row>
    <row r="2465" hidden="1">
      <c r="A2465" s="128" t="s">
        <v>1375</v>
      </c>
      <c r="B2465" s="147">
        <v>1390.0</v>
      </c>
      <c r="C2465" s="147">
        <v>1537.0</v>
      </c>
      <c r="D2465" s="132">
        <f t="shared" si="238"/>
        <v>147</v>
      </c>
      <c r="E2465" s="394" t="s">
        <v>120</v>
      </c>
      <c r="F2465" s="139"/>
      <c r="G2465" s="129"/>
      <c r="H2465" s="129"/>
      <c r="I2465" s="129"/>
      <c r="J2465" s="129"/>
      <c r="K2465" s="129"/>
      <c r="L2465" s="129"/>
      <c r="M2465" s="129"/>
      <c r="N2465" s="129"/>
      <c r="O2465" s="129"/>
      <c r="P2465" s="129"/>
      <c r="Q2465" s="129"/>
      <c r="R2465" s="129"/>
      <c r="S2465" s="129"/>
      <c r="T2465" s="129"/>
      <c r="U2465" s="129"/>
      <c r="V2465" s="129"/>
      <c r="W2465" s="129"/>
      <c r="X2465" s="129"/>
      <c r="Y2465" s="129"/>
      <c r="Z2465" s="129"/>
      <c r="AA2465" s="129"/>
      <c r="AB2465" s="129"/>
    </row>
    <row r="2466" hidden="1">
      <c r="A2466" s="150" t="s">
        <v>449</v>
      </c>
      <c r="B2466" s="147">
        <v>890.0</v>
      </c>
      <c r="C2466" s="147">
        <v>1144.0</v>
      </c>
      <c r="D2466" s="132">
        <f t="shared" si="238"/>
        <v>254</v>
      </c>
      <c r="E2466" s="132" t="s">
        <v>123</v>
      </c>
      <c r="F2466" s="132"/>
      <c r="G2466" s="129"/>
      <c r="H2466" s="129"/>
      <c r="I2466" s="129"/>
      <c r="J2466" s="129"/>
      <c r="K2466" s="129"/>
      <c r="L2466" s="129"/>
      <c r="M2466" s="129"/>
      <c r="N2466" s="129"/>
      <c r="O2466" s="129"/>
      <c r="P2466" s="129"/>
      <c r="Q2466" s="129"/>
      <c r="R2466" s="129"/>
      <c r="S2466" s="129"/>
      <c r="T2466" s="129"/>
      <c r="U2466" s="129"/>
      <c r="V2466" s="129"/>
      <c r="W2466" s="129"/>
      <c r="X2466" s="129"/>
      <c r="Y2466" s="129"/>
      <c r="Z2466" s="129"/>
      <c r="AA2466" s="129"/>
      <c r="AB2466" s="129"/>
    </row>
    <row r="2467" hidden="1">
      <c r="A2467" s="123" t="s">
        <v>404</v>
      </c>
      <c r="B2467" s="147">
        <v>990.0</v>
      </c>
      <c r="C2467" s="124">
        <v>1445.0</v>
      </c>
      <c r="D2467" s="125">
        <f t="shared" si="238"/>
        <v>455</v>
      </c>
      <c r="E2467" s="126" t="s">
        <v>123</v>
      </c>
      <c r="F2467" s="124"/>
    </row>
    <row r="2468" hidden="1">
      <c r="A2468" s="150" t="s">
        <v>1345</v>
      </c>
      <c r="B2468" s="167">
        <v>1490.0</v>
      </c>
      <c r="C2468" s="167">
        <v>1704.0</v>
      </c>
      <c r="D2468" s="168">
        <f t="shared" si="238"/>
        <v>214</v>
      </c>
      <c r="E2468" s="132" t="s">
        <v>123</v>
      </c>
      <c r="F2468" s="139"/>
      <c r="G2468" s="150"/>
      <c r="H2468" s="129"/>
      <c r="I2468" s="129"/>
      <c r="J2468" s="129"/>
      <c r="K2468" s="129"/>
      <c r="L2468" s="129"/>
      <c r="M2468" s="129"/>
      <c r="N2468" s="129"/>
      <c r="O2468" s="129"/>
      <c r="P2468" s="129"/>
      <c r="Q2468" s="129"/>
      <c r="R2468" s="129"/>
      <c r="S2468" s="129"/>
      <c r="T2468" s="129"/>
      <c r="U2468" s="129"/>
      <c r="V2468" s="129"/>
      <c r="W2468" s="129"/>
      <c r="X2468" s="129"/>
      <c r="Y2468" s="129"/>
      <c r="Z2468" s="129"/>
      <c r="AA2468" s="129"/>
      <c r="AB2468" s="129"/>
    </row>
    <row r="2469" hidden="1">
      <c r="A2469" s="179" t="s">
        <v>1000</v>
      </c>
      <c r="B2469" s="300">
        <v>1000.0</v>
      </c>
      <c r="C2469" s="300">
        <v>2400.0</v>
      </c>
      <c r="D2469" s="301">
        <f t="shared" si="238"/>
        <v>1400</v>
      </c>
      <c r="E2469" s="407" t="s">
        <v>120</v>
      </c>
      <c r="F2469" s="333"/>
      <c r="G2469" s="121"/>
      <c r="H2469" s="121"/>
      <c r="I2469" s="121"/>
      <c r="J2469" s="121"/>
      <c r="K2469" s="121"/>
      <c r="L2469" s="121"/>
      <c r="M2469" s="121"/>
      <c r="N2469" s="121"/>
      <c r="O2469" s="121"/>
      <c r="P2469" s="121"/>
      <c r="Q2469" s="121"/>
      <c r="R2469" s="121"/>
      <c r="S2469" s="121"/>
      <c r="T2469" s="121"/>
      <c r="U2469" s="121"/>
      <c r="V2469" s="121"/>
      <c r="W2469" s="121"/>
      <c r="X2469" s="121"/>
      <c r="Y2469" s="121"/>
      <c r="Z2469" s="121"/>
      <c r="AA2469" s="121"/>
      <c r="AB2469" s="121"/>
    </row>
    <row r="2470" hidden="1">
      <c r="A2470" s="150" t="s">
        <v>446</v>
      </c>
      <c r="B2470" s="147">
        <v>1300.0</v>
      </c>
      <c r="C2470" s="124">
        <v>1300.0</v>
      </c>
      <c r="D2470" s="132">
        <f t="shared" si="238"/>
        <v>0</v>
      </c>
      <c r="E2470" s="132" t="s">
        <v>123</v>
      </c>
      <c r="F2470" s="139"/>
      <c r="G2470" s="129"/>
      <c r="H2470" s="129"/>
      <c r="I2470" s="129"/>
      <c r="J2470" s="129"/>
      <c r="K2470" s="129"/>
      <c r="L2470" s="129"/>
      <c r="M2470" s="129"/>
      <c r="N2470" s="129"/>
      <c r="O2470" s="129"/>
      <c r="P2470" s="129"/>
      <c r="Q2470" s="129"/>
      <c r="R2470" s="129"/>
      <c r="S2470" s="129"/>
      <c r="T2470" s="129"/>
      <c r="U2470" s="129"/>
      <c r="V2470" s="129"/>
      <c r="W2470" s="129"/>
      <c r="X2470" s="129"/>
      <c r="Y2470" s="129"/>
      <c r="Z2470" s="129"/>
      <c r="AA2470" s="129"/>
      <c r="AB2470" s="129"/>
    </row>
    <row r="2471" hidden="1">
      <c r="A2471" s="128" t="s">
        <v>1371</v>
      </c>
      <c r="B2471" s="147">
        <v>990.0</v>
      </c>
      <c r="C2471" s="127">
        <v>1144.0</v>
      </c>
      <c r="D2471" s="125">
        <f t="shared" si="238"/>
        <v>154</v>
      </c>
      <c r="E2471" s="147" t="s">
        <v>123</v>
      </c>
      <c r="F2471" s="124"/>
      <c r="G2471" s="129"/>
      <c r="H2471" s="129"/>
      <c r="I2471" s="129"/>
      <c r="J2471" s="129"/>
      <c r="K2471" s="129"/>
      <c r="L2471" s="129"/>
      <c r="M2471" s="129"/>
      <c r="N2471" s="129"/>
      <c r="O2471" s="129"/>
      <c r="P2471" s="129"/>
      <c r="Q2471" s="129"/>
      <c r="R2471" s="129"/>
      <c r="S2471" s="129"/>
      <c r="T2471" s="129"/>
      <c r="U2471" s="129"/>
      <c r="V2471" s="129"/>
      <c r="W2471" s="129"/>
      <c r="X2471" s="129"/>
      <c r="Y2471" s="129"/>
      <c r="Z2471" s="129"/>
      <c r="AA2471" s="129"/>
      <c r="AB2471" s="129"/>
    </row>
    <row r="2472" hidden="1">
      <c r="A2472" s="150" t="s">
        <v>1345</v>
      </c>
      <c r="B2472" s="167">
        <v>1490.0</v>
      </c>
      <c r="C2472" s="167">
        <v>1640.0</v>
      </c>
      <c r="D2472" s="168">
        <f t="shared" si="238"/>
        <v>150</v>
      </c>
      <c r="E2472" s="132" t="s">
        <v>123</v>
      </c>
      <c r="F2472" s="139"/>
      <c r="G2472" s="150"/>
      <c r="H2472" s="129"/>
      <c r="I2472" s="129"/>
      <c r="J2472" s="129"/>
      <c r="K2472" s="129"/>
      <c r="L2472" s="129"/>
      <c r="M2472" s="129"/>
      <c r="N2472" s="129"/>
      <c r="O2472" s="129"/>
      <c r="P2472" s="129"/>
      <c r="Q2472" s="129"/>
      <c r="R2472" s="129"/>
      <c r="S2472" s="129"/>
      <c r="T2472" s="129"/>
      <c r="U2472" s="129"/>
      <c r="V2472" s="129"/>
      <c r="W2472" s="129"/>
      <c r="X2472" s="129"/>
      <c r="Y2472" s="129"/>
      <c r="Z2472" s="129"/>
      <c r="AA2472" s="129"/>
      <c r="AB2472" s="129"/>
    </row>
    <row r="2473" hidden="1">
      <c r="A2473" s="150" t="s">
        <v>1345</v>
      </c>
      <c r="B2473" s="167">
        <v>1490.0</v>
      </c>
      <c r="C2473" s="167">
        <v>1680.0</v>
      </c>
      <c r="D2473" s="168">
        <f t="shared" si="238"/>
        <v>190</v>
      </c>
      <c r="E2473" s="132" t="s">
        <v>123</v>
      </c>
      <c r="F2473" s="139"/>
      <c r="G2473" s="150"/>
      <c r="H2473" s="129"/>
      <c r="I2473" s="129"/>
      <c r="J2473" s="129"/>
      <c r="K2473" s="129"/>
      <c r="L2473" s="129"/>
      <c r="M2473" s="129"/>
      <c r="N2473" s="129"/>
      <c r="O2473" s="129"/>
      <c r="P2473" s="129"/>
      <c r="Q2473" s="129"/>
      <c r="R2473" s="129"/>
      <c r="S2473" s="129"/>
      <c r="T2473" s="129"/>
      <c r="U2473" s="129"/>
      <c r="V2473" s="129"/>
      <c r="W2473" s="129"/>
      <c r="X2473" s="129"/>
      <c r="Y2473" s="129"/>
      <c r="Z2473" s="129"/>
      <c r="AA2473" s="129"/>
      <c r="AB2473" s="129"/>
    </row>
    <row r="2474" hidden="1">
      <c r="A2474" s="150" t="s">
        <v>1374</v>
      </c>
      <c r="B2474" s="132">
        <v>990.0</v>
      </c>
      <c r="C2474" s="147">
        <v>1241.0</v>
      </c>
      <c r="D2474" s="132">
        <f t="shared" si="238"/>
        <v>251</v>
      </c>
      <c r="E2474" s="132" t="s">
        <v>123</v>
      </c>
      <c r="F2474" s="132"/>
      <c r="G2474" s="129"/>
      <c r="H2474" s="129"/>
      <c r="I2474" s="129"/>
      <c r="J2474" s="129"/>
      <c r="K2474" s="129"/>
      <c r="L2474" s="129"/>
      <c r="M2474" s="129"/>
      <c r="N2474" s="129"/>
      <c r="O2474" s="129"/>
      <c r="P2474" s="129"/>
      <c r="Q2474" s="129"/>
      <c r="R2474" s="129"/>
      <c r="S2474" s="129"/>
      <c r="T2474" s="129"/>
      <c r="U2474" s="129"/>
      <c r="V2474" s="129"/>
      <c r="W2474" s="129"/>
      <c r="X2474" s="129"/>
      <c r="Y2474" s="129"/>
      <c r="Z2474" s="129"/>
      <c r="AA2474" s="129"/>
      <c r="AB2474" s="129"/>
    </row>
    <row r="2475" hidden="1">
      <c r="A2475" s="179" t="s">
        <v>1376</v>
      </c>
      <c r="B2475" s="300">
        <v>1250.0</v>
      </c>
      <c r="C2475" s="300">
        <v>3000.0</v>
      </c>
      <c r="D2475" s="301">
        <f t="shared" si="238"/>
        <v>1750</v>
      </c>
      <c r="E2475" s="407" t="s">
        <v>120</v>
      </c>
      <c r="F2475" s="333"/>
      <c r="G2475" s="121"/>
      <c r="H2475" s="121"/>
      <c r="I2475" s="121"/>
      <c r="J2475" s="121"/>
      <c r="K2475" s="121"/>
      <c r="L2475" s="121"/>
      <c r="M2475" s="121"/>
      <c r="N2475" s="121"/>
      <c r="O2475" s="121"/>
      <c r="P2475" s="121"/>
      <c r="Q2475" s="121"/>
      <c r="R2475" s="121"/>
      <c r="S2475" s="121"/>
      <c r="T2475" s="121"/>
      <c r="U2475" s="121"/>
      <c r="V2475" s="121"/>
      <c r="W2475" s="121"/>
      <c r="X2475" s="121"/>
      <c r="Y2475" s="121"/>
      <c r="Z2475" s="121"/>
      <c r="AA2475" s="121"/>
      <c r="AB2475" s="121"/>
    </row>
    <row r="2476" hidden="1">
      <c r="A2476" s="150" t="s">
        <v>1336</v>
      </c>
      <c r="B2476" s="147">
        <v>2980.0</v>
      </c>
      <c r="C2476" s="147">
        <v>3841.0</v>
      </c>
      <c r="D2476" s="132">
        <f t="shared" si="238"/>
        <v>861</v>
      </c>
      <c r="E2476" s="126" t="s">
        <v>123</v>
      </c>
      <c r="F2476" s="139"/>
      <c r="G2476" s="129"/>
      <c r="H2476" s="129"/>
      <c r="I2476" s="129"/>
      <c r="J2476" s="129"/>
      <c r="K2476" s="129"/>
      <c r="L2476" s="129"/>
      <c r="M2476" s="129"/>
      <c r="N2476" s="129"/>
      <c r="O2476" s="129"/>
      <c r="P2476" s="129"/>
      <c r="Q2476" s="129"/>
      <c r="R2476" s="129"/>
      <c r="S2476" s="129"/>
      <c r="T2476" s="129"/>
      <c r="U2476" s="129"/>
      <c r="V2476" s="129"/>
      <c r="W2476" s="129"/>
      <c r="X2476" s="129"/>
      <c r="Y2476" s="129"/>
      <c r="Z2476" s="129"/>
      <c r="AA2476" s="129"/>
      <c r="AB2476" s="129"/>
    </row>
    <row r="2477" hidden="1">
      <c r="A2477" s="123" t="s">
        <v>402</v>
      </c>
      <c r="B2477" s="147">
        <v>0.0</v>
      </c>
      <c r="C2477" s="124">
        <v>0.0</v>
      </c>
      <c r="D2477" s="125">
        <f t="shared" si="238"/>
        <v>0</v>
      </c>
      <c r="E2477" s="126" t="s">
        <v>123</v>
      </c>
      <c r="F2477" s="124"/>
    </row>
    <row r="2478" hidden="1">
      <c r="A2478" s="123" t="s">
        <v>1061</v>
      </c>
      <c r="B2478" s="386">
        <v>1190.0</v>
      </c>
      <c r="C2478" s="386">
        <v>1340.0</v>
      </c>
      <c r="D2478" s="170">
        <f t="shared" si="238"/>
        <v>150</v>
      </c>
      <c r="E2478" s="126" t="s">
        <v>123</v>
      </c>
      <c r="F2478" s="147"/>
      <c r="G2478" s="123"/>
    </row>
    <row r="2479" hidden="1">
      <c r="A2479" s="150" t="s">
        <v>446</v>
      </c>
      <c r="B2479" s="147">
        <v>1390.0</v>
      </c>
      <c r="C2479" s="124">
        <v>1533.0</v>
      </c>
      <c r="D2479" s="132">
        <f t="shared" si="238"/>
        <v>143</v>
      </c>
      <c r="E2479" s="126" t="s">
        <v>123</v>
      </c>
      <c r="F2479" s="127"/>
      <c r="G2479" s="129"/>
      <c r="H2479" s="129"/>
      <c r="I2479" s="129"/>
      <c r="J2479" s="129"/>
      <c r="K2479" s="129"/>
      <c r="L2479" s="129"/>
      <c r="M2479" s="129"/>
      <c r="N2479" s="129"/>
      <c r="O2479" s="129"/>
      <c r="P2479" s="129"/>
      <c r="Q2479" s="129"/>
      <c r="R2479" s="129"/>
      <c r="S2479" s="129"/>
      <c r="T2479" s="129"/>
      <c r="U2479" s="129"/>
      <c r="V2479" s="129"/>
      <c r="W2479" s="129"/>
      <c r="X2479" s="129"/>
      <c r="Y2479" s="129"/>
      <c r="Z2479" s="129"/>
      <c r="AA2479" s="129"/>
      <c r="AB2479" s="129"/>
    </row>
    <row r="2480" hidden="1">
      <c r="A2480" s="123" t="s">
        <v>443</v>
      </c>
      <c r="B2480" s="147">
        <v>1390.0</v>
      </c>
      <c r="C2480" s="124">
        <v>1634.0</v>
      </c>
      <c r="D2480" s="125">
        <f t="shared" si="238"/>
        <v>244</v>
      </c>
      <c r="E2480" s="126" t="s">
        <v>123</v>
      </c>
      <c r="F2480" s="124"/>
      <c r="G2480" s="123"/>
    </row>
    <row r="2481" hidden="1">
      <c r="A2481" s="299" t="s">
        <v>1344</v>
      </c>
      <c r="B2481" s="300">
        <v>1500.0</v>
      </c>
      <c r="C2481" s="300">
        <v>3000.0</v>
      </c>
      <c r="D2481" s="301">
        <f t="shared" si="238"/>
        <v>1500</v>
      </c>
      <c r="E2481" s="300" t="s">
        <v>123</v>
      </c>
      <c r="F2481" s="301"/>
      <c r="G2481" s="217"/>
      <c r="H2481" s="217"/>
      <c r="I2481" s="217"/>
      <c r="J2481" s="217"/>
      <c r="K2481" s="217"/>
      <c r="L2481" s="217"/>
      <c r="M2481" s="217"/>
      <c r="N2481" s="217"/>
      <c r="O2481" s="217"/>
      <c r="P2481" s="217"/>
      <c r="Q2481" s="217"/>
      <c r="R2481" s="217"/>
      <c r="S2481" s="217"/>
      <c r="T2481" s="217"/>
      <c r="U2481" s="217"/>
      <c r="V2481" s="217"/>
      <c r="W2481" s="217"/>
      <c r="X2481" s="217"/>
      <c r="Y2481" s="217"/>
      <c r="Z2481" s="217"/>
      <c r="AA2481" s="217"/>
      <c r="AB2481" s="217"/>
    </row>
    <row r="2482" hidden="1">
      <c r="A2482" s="123" t="s">
        <v>1370</v>
      </c>
      <c r="B2482" s="124">
        <v>1690.0</v>
      </c>
      <c r="C2482" s="124">
        <v>1898.0</v>
      </c>
      <c r="D2482" s="125">
        <f t="shared" si="238"/>
        <v>208</v>
      </c>
      <c r="E2482" s="126" t="s">
        <v>123</v>
      </c>
      <c r="F2482" s="147"/>
      <c r="G2482" s="123"/>
    </row>
    <row r="2483" hidden="1">
      <c r="A2483" s="150" t="s">
        <v>449</v>
      </c>
      <c r="B2483" s="147">
        <v>690.0</v>
      </c>
      <c r="C2483" s="147">
        <v>1144.0</v>
      </c>
      <c r="D2483" s="132">
        <f t="shared" si="238"/>
        <v>454</v>
      </c>
      <c r="E2483" s="132" t="s">
        <v>123</v>
      </c>
      <c r="F2483" s="132"/>
      <c r="G2483" s="129"/>
      <c r="H2483" s="129"/>
      <c r="I2483" s="129"/>
      <c r="J2483" s="129"/>
      <c r="K2483" s="129"/>
      <c r="L2483" s="129"/>
      <c r="M2483" s="129"/>
      <c r="N2483" s="129"/>
      <c r="O2483" s="129"/>
      <c r="P2483" s="129"/>
      <c r="Q2483" s="129"/>
      <c r="R2483" s="129"/>
      <c r="S2483" s="129"/>
      <c r="T2483" s="129"/>
      <c r="U2483" s="129"/>
      <c r="V2483" s="129"/>
      <c r="W2483" s="129"/>
      <c r="X2483" s="129"/>
      <c r="Y2483" s="129"/>
      <c r="Z2483" s="129"/>
      <c r="AA2483" s="129"/>
      <c r="AB2483" s="129"/>
    </row>
    <row r="2484" hidden="1">
      <c r="A2484" s="128" t="s">
        <v>1377</v>
      </c>
      <c r="B2484" s="210">
        <v>9490.0</v>
      </c>
      <c r="C2484" s="210">
        <v>9661.0</v>
      </c>
      <c r="D2484" s="208">
        <f t="shared" si="238"/>
        <v>171</v>
      </c>
      <c r="E2484" s="147" t="s">
        <v>1311</v>
      </c>
      <c r="F2484" s="139"/>
      <c r="G2484" s="129"/>
      <c r="H2484" s="129"/>
      <c r="I2484" s="129"/>
      <c r="J2484" s="129"/>
      <c r="K2484" s="129"/>
      <c r="L2484" s="129"/>
      <c r="M2484" s="129"/>
      <c r="N2484" s="129"/>
      <c r="O2484" s="129"/>
      <c r="P2484" s="129"/>
      <c r="Q2484" s="129"/>
      <c r="R2484" s="129"/>
      <c r="S2484" s="129"/>
      <c r="T2484" s="129"/>
      <c r="U2484" s="129"/>
      <c r="V2484" s="129"/>
      <c r="W2484" s="129"/>
      <c r="X2484" s="129"/>
      <c r="Y2484" s="129"/>
      <c r="Z2484" s="129"/>
      <c r="AA2484" s="129"/>
      <c r="AB2484" s="129"/>
    </row>
    <row r="2485" hidden="1">
      <c r="A2485" s="128" t="s">
        <v>1377</v>
      </c>
      <c r="B2485" s="210">
        <v>9490.0</v>
      </c>
      <c r="C2485" s="210">
        <v>9653.0</v>
      </c>
      <c r="D2485" s="208">
        <f t="shared" si="238"/>
        <v>163</v>
      </c>
      <c r="E2485" s="147" t="s">
        <v>1311</v>
      </c>
      <c r="F2485" s="139"/>
      <c r="G2485" s="129"/>
      <c r="H2485" s="129"/>
      <c r="I2485" s="129"/>
      <c r="J2485" s="129"/>
      <c r="K2485" s="129"/>
      <c r="L2485" s="129"/>
      <c r="M2485" s="129"/>
      <c r="N2485" s="129"/>
      <c r="O2485" s="129"/>
      <c r="P2485" s="129"/>
      <c r="Q2485" s="129"/>
      <c r="R2485" s="129"/>
      <c r="S2485" s="129"/>
      <c r="T2485" s="129"/>
      <c r="U2485" s="129"/>
      <c r="V2485" s="129"/>
      <c r="W2485" s="129"/>
      <c r="X2485" s="129"/>
      <c r="Y2485" s="129"/>
      <c r="Z2485" s="129"/>
      <c r="AA2485" s="129"/>
      <c r="AB2485" s="129"/>
    </row>
    <row r="2486" hidden="1">
      <c r="A2486" s="179" t="s">
        <v>1376</v>
      </c>
      <c r="B2486" s="300">
        <v>1250.0</v>
      </c>
      <c r="C2486" s="300">
        <v>3000.0</v>
      </c>
      <c r="D2486" s="301">
        <f t="shared" si="238"/>
        <v>1750</v>
      </c>
      <c r="E2486" s="407" t="s">
        <v>120</v>
      </c>
      <c r="F2486" s="333"/>
      <c r="G2486" s="121"/>
      <c r="H2486" s="121"/>
      <c r="I2486" s="121"/>
      <c r="J2486" s="121"/>
      <c r="K2486" s="121"/>
      <c r="L2486" s="121"/>
      <c r="M2486" s="121"/>
      <c r="N2486" s="121"/>
      <c r="O2486" s="121"/>
      <c r="P2486" s="121"/>
      <c r="Q2486" s="121"/>
      <c r="R2486" s="121"/>
      <c r="S2486" s="121"/>
      <c r="T2486" s="121"/>
      <c r="U2486" s="121"/>
      <c r="V2486" s="121"/>
      <c r="W2486" s="121"/>
      <c r="X2486" s="121"/>
      <c r="Y2486" s="121"/>
      <c r="Z2486" s="121"/>
      <c r="AA2486" s="121"/>
      <c r="AB2486" s="121"/>
    </row>
    <row r="2487" hidden="1">
      <c r="A2487" s="128" t="s">
        <v>399</v>
      </c>
      <c r="B2487" s="124">
        <v>1690.0</v>
      </c>
      <c r="C2487" s="147">
        <v>1823.0</v>
      </c>
      <c r="D2487" s="132">
        <f t="shared" si="238"/>
        <v>133</v>
      </c>
      <c r="E2487" s="126" t="s">
        <v>123</v>
      </c>
      <c r="F2487" s="127"/>
      <c r="G2487" s="128"/>
      <c r="H2487" s="129"/>
      <c r="I2487" s="129"/>
      <c r="J2487" s="129"/>
      <c r="K2487" s="129"/>
      <c r="L2487" s="129"/>
      <c r="M2487" s="129"/>
      <c r="N2487" s="129"/>
      <c r="O2487" s="129"/>
      <c r="P2487" s="129"/>
      <c r="Q2487" s="129"/>
      <c r="R2487" s="129"/>
      <c r="S2487" s="129"/>
      <c r="T2487" s="129"/>
      <c r="U2487" s="129"/>
      <c r="V2487" s="129"/>
      <c r="W2487" s="129"/>
      <c r="X2487" s="129"/>
      <c r="Y2487" s="129"/>
      <c r="Z2487" s="129"/>
      <c r="AA2487" s="129"/>
      <c r="AB2487" s="129"/>
    </row>
    <row r="2488" hidden="1">
      <c r="A2488" s="179" t="s">
        <v>1376</v>
      </c>
      <c r="B2488" s="300">
        <v>2250.0</v>
      </c>
      <c r="C2488" s="300">
        <v>5700.0</v>
      </c>
      <c r="D2488" s="301">
        <f t="shared" si="238"/>
        <v>3450</v>
      </c>
      <c r="E2488" s="407" t="s">
        <v>120</v>
      </c>
      <c r="F2488" s="333"/>
      <c r="G2488" s="121"/>
      <c r="H2488" s="121"/>
      <c r="I2488" s="121"/>
      <c r="J2488" s="121"/>
      <c r="K2488" s="121"/>
      <c r="L2488" s="121"/>
      <c r="M2488" s="121"/>
      <c r="N2488" s="121"/>
      <c r="O2488" s="121"/>
      <c r="P2488" s="121"/>
      <c r="Q2488" s="121"/>
      <c r="R2488" s="121"/>
      <c r="S2488" s="121"/>
      <c r="T2488" s="121"/>
      <c r="U2488" s="121"/>
      <c r="V2488" s="121"/>
      <c r="W2488" s="121"/>
      <c r="X2488" s="121"/>
      <c r="Y2488" s="121"/>
      <c r="Z2488" s="121"/>
      <c r="AA2488" s="121"/>
      <c r="AB2488" s="121"/>
    </row>
    <row r="2489" hidden="1">
      <c r="A2489" s="179" t="s">
        <v>1000</v>
      </c>
      <c r="B2489" s="300">
        <v>0.0</v>
      </c>
      <c r="C2489" s="300">
        <v>0.0</v>
      </c>
      <c r="D2489" s="301">
        <f t="shared" si="238"/>
        <v>0</v>
      </c>
      <c r="E2489" s="407" t="s">
        <v>120</v>
      </c>
      <c r="F2489" s="333"/>
      <c r="G2489" s="121"/>
      <c r="H2489" s="121"/>
      <c r="I2489" s="121"/>
      <c r="J2489" s="121"/>
      <c r="K2489" s="121"/>
      <c r="L2489" s="121"/>
      <c r="M2489" s="121"/>
      <c r="N2489" s="121"/>
      <c r="O2489" s="121"/>
      <c r="P2489" s="121"/>
      <c r="Q2489" s="121"/>
      <c r="R2489" s="121"/>
      <c r="S2489" s="121"/>
      <c r="T2489" s="121"/>
      <c r="U2489" s="121"/>
      <c r="V2489" s="121"/>
      <c r="W2489" s="121"/>
      <c r="X2489" s="121"/>
      <c r="Y2489" s="121"/>
      <c r="Z2489" s="121"/>
      <c r="AA2489" s="121"/>
      <c r="AB2489" s="121"/>
    </row>
    <row r="2490" hidden="1">
      <c r="A2490" s="150" t="s">
        <v>1370</v>
      </c>
      <c r="B2490" s="147">
        <v>1690.0</v>
      </c>
      <c r="C2490" s="147">
        <v>1896.0</v>
      </c>
      <c r="D2490" s="132">
        <f t="shared" si="238"/>
        <v>206</v>
      </c>
      <c r="E2490" s="132" t="s">
        <v>123</v>
      </c>
      <c r="F2490" s="127"/>
      <c r="G2490" s="150"/>
      <c r="H2490" s="129"/>
      <c r="I2490" s="129"/>
      <c r="J2490" s="129"/>
      <c r="K2490" s="129"/>
      <c r="L2490" s="129"/>
      <c r="M2490" s="129"/>
      <c r="N2490" s="129"/>
      <c r="O2490" s="129"/>
      <c r="P2490" s="129"/>
      <c r="Q2490" s="129"/>
      <c r="R2490" s="129"/>
      <c r="S2490" s="129"/>
      <c r="T2490" s="129"/>
      <c r="U2490" s="129"/>
      <c r="V2490" s="129"/>
      <c r="W2490" s="129"/>
      <c r="X2490" s="129"/>
      <c r="Y2490" s="129"/>
      <c r="Z2490" s="129"/>
      <c r="AA2490" s="129"/>
      <c r="AB2490" s="129"/>
    </row>
    <row r="2491" hidden="1">
      <c r="A2491" s="123" t="s">
        <v>1345</v>
      </c>
      <c r="B2491" s="386">
        <v>1590.0</v>
      </c>
      <c r="C2491" s="386">
        <v>1705.0</v>
      </c>
      <c r="D2491" s="170">
        <f t="shared" si="238"/>
        <v>115</v>
      </c>
      <c r="E2491" s="126" t="s">
        <v>123</v>
      </c>
      <c r="F2491" s="147"/>
      <c r="G2491" s="123"/>
    </row>
    <row r="2492" hidden="1">
      <c r="A2492" s="123" t="s">
        <v>1345</v>
      </c>
      <c r="B2492" s="386">
        <v>1590.0</v>
      </c>
      <c r="C2492" s="386">
        <v>1705.0</v>
      </c>
      <c r="D2492" s="170">
        <f t="shared" si="238"/>
        <v>115</v>
      </c>
      <c r="E2492" s="126" t="s">
        <v>123</v>
      </c>
      <c r="F2492" s="147"/>
      <c r="G2492" s="123"/>
    </row>
    <row r="2493" hidden="1">
      <c r="A2493" s="123" t="s">
        <v>1378</v>
      </c>
      <c r="B2493" s="147">
        <v>2180.0</v>
      </c>
      <c r="C2493" s="147">
        <v>2358.0</v>
      </c>
      <c r="D2493" s="132">
        <f t="shared" si="238"/>
        <v>178</v>
      </c>
      <c r="E2493" s="171" t="s">
        <v>120</v>
      </c>
      <c r="F2493" s="124"/>
    </row>
    <row r="2494" hidden="1">
      <c r="A2494" s="150" t="s">
        <v>413</v>
      </c>
      <c r="B2494" s="147">
        <v>0.0</v>
      </c>
      <c r="C2494" s="147">
        <v>0.0</v>
      </c>
      <c r="D2494" s="132">
        <f t="shared" si="238"/>
        <v>0</v>
      </c>
      <c r="E2494" s="126" t="s">
        <v>123</v>
      </c>
      <c r="F2494" s="127"/>
      <c r="G2494" s="129"/>
      <c r="H2494" s="129"/>
      <c r="I2494" s="129"/>
      <c r="J2494" s="129"/>
      <c r="K2494" s="129"/>
      <c r="L2494" s="129"/>
      <c r="M2494" s="129"/>
      <c r="N2494" s="129"/>
      <c r="O2494" s="129"/>
      <c r="P2494" s="129"/>
      <c r="Q2494" s="129"/>
      <c r="R2494" s="129"/>
      <c r="S2494" s="129"/>
      <c r="T2494" s="129"/>
      <c r="U2494" s="129"/>
      <c r="V2494" s="129"/>
      <c r="W2494" s="129"/>
      <c r="X2494" s="129"/>
      <c r="Y2494" s="129"/>
      <c r="Z2494" s="129"/>
      <c r="AA2494" s="129"/>
      <c r="AB2494" s="129"/>
    </row>
    <row r="2495" hidden="1">
      <c r="A2495" s="123" t="s">
        <v>443</v>
      </c>
      <c r="B2495" s="147">
        <v>1390.0</v>
      </c>
      <c r="C2495" s="124">
        <v>1595.0</v>
      </c>
      <c r="D2495" s="125">
        <f t="shared" si="238"/>
        <v>205</v>
      </c>
      <c r="E2495" s="126" t="s">
        <v>123</v>
      </c>
      <c r="F2495" s="124"/>
      <c r="G2495" s="123"/>
    </row>
    <row r="2496" hidden="1">
      <c r="A2496" s="123" t="s">
        <v>406</v>
      </c>
      <c r="B2496" s="147">
        <v>990.0</v>
      </c>
      <c r="C2496" s="124">
        <v>1338.0</v>
      </c>
      <c r="D2496" s="125">
        <f t="shared" si="238"/>
        <v>348</v>
      </c>
      <c r="E2496" s="126" t="s">
        <v>123</v>
      </c>
      <c r="F2496" s="124"/>
    </row>
    <row r="2497" hidden="1">
      <c r="A2497" s="143"/>
      <c r="B2497" s="139"/>
      <c r="C2497" s="139"/>
      <c r="D2497" s="139"/>
      <c r="E2497" s="129"/>
      <c r="F2497" s="129"/>
      <c r="G2497" s="129"/>
      <c r="H2497" s="129"/>
      <c r="I2497" s="129"/>
      <c r="J2497" s="129"/>
      <c r="K2497" s="129"/>
      <c r="L2497" s="129"/>
      <c r="M2497" s="129"/>
      <c r="N2497" s="129"/>
      <c r="O2497" s="129"/>
      <c r="P2497" s="129"/>
      <c r="Q2497" s="129"/>
      <c r="R2497" s="129"/>
      <c r="S2497" s="129"/>
      <c r="T2497" s="129"/>
      <c r="U2497" s="129"/>
      <c r="V2497" s="129"/>
      <c r="W2497" s="129"/>
      <c r="X2497" s="129"/>
      <c r="Y2497" s="129"/>
      <c r="Z2497" s="129"/>
      <c r="AA2497" s="129"/>
      <c r="AB2497" s="129"/>
    </row>
    <row r="2498" hidden="1">
      <c r="A2498" s="122" t="s">
        <v>57</v>
      </c>
      <c r="B2498" s="133">
        <f t="shared" ref="B2498:D2498" si="239">SUM(B2398:B2497)</f>
        <v>163530</v>
      </c>
      <c r="C2498" s="133">
        <f t="shared" si="239"/>
        <v>198033</v>
      </c>
      <c r="D2498" s="133">
        <f t="shared" si="239"/>
        <v>34503</v>
      </c>
      <c r="E2498" s="135">
        <f>D2498/(C2498/100)</f>
        <v>17.42285377</v>
      </c>
    </row>
    <row r="2499" hidden="1">
      <c r="A2499" s="154"/>
      <c r="B2499" s="124"/>
      <c r="C2499" s="124"/>
      <c r="D2499" s="124"/>
    </row>
    <row r="2500" hidden="1">
      <c r="A2500" s="154">
        <v>44228.0</v>
      </c>
      <c r="B2500" s="124"/>
      <c r="C2500" s="124"/>
      <c r="D2500" s="124"/>
    </row>
    <row r="2501" hidden="1">
      <c r="A2501" s="299" t="s">
        <v>126</v>
      </c>
      <c r="B2501" s="333">
        <v>1740.0</v>
      </c>
      <c r="C2501" s="300">
        <v>2400.0</v>
      </c>
      <c r="D2501" s="301">
        <f t="shared" ref="D2501:D2568" si="240">C2501-B2501</f>
        <v>660</v>
      </c>
      <c r="E2501" s="302" t="s">
        <v>123</v>
      </c>
      <c r="F2501" s="400"/>
      <c r="G2501" s="299"/>
      <c r="H2501" s="217"/>
      <c r="I2501" s="217"/>
      <c r="J2501" s="217"/>
      <c r="K2501" s="217"/>
      <c r="L2501" s="217"/>
      <c r="M2501" s="217"/>
      <c r="N2501" s="217"/>
      <c r="O2501" s="217"/>
      <c r="P2501" s="217"/>
      <c r="Q2501" s="217"/>
      <c r="R2501" s="217"/>
      <c r="S2501" s="217"/>
      <c r="T2501" s="217"/>
      <c r="U2501" s="217"/>
      <c r="V2501" s="217"/>
      <c r="W2501" s="217"/>
      <c r="X2501" s="217"/>
      <c r="Y2501" s="217"/>
      <c r="Z2501" s="217"/>
      <c r="AA2501" s="217"/>
      <c r="AB2501" s="217"/>
    </row>
    <row r="2502" hidden="1">
      <c r="A2502" s="401" t="s">
        <v>1376</v>
      </c>
      <c r="B2502" s="300">
        <v>1250.0</v>
      </c>
      <c r="C2502" s="300">
        <v>3000.0</v>
      </c>
      <c r="D2502" s="301">
        <f t="shared" si="240"/>
        <v>1750</v>
      </c>
      <c r="E2502" s="408" t="s">
        <v>120</v>
      </c>
      <c r="F2502" s="400"/>
      <c r="G2502" s="217"/>
      <c r="H2502" s="217"/>
      <c r="I2502" s="217"/>
      <c r="J2502" s="217"/>
      <c r="K2502" s="217"/>
      <c r="L2502" s="217"/>
      <c r="M2502" s="217"/>
      <c r="N2502" s="217"/>
      <c r="O2502" s="217"/>
      <c r="P2502" s="217"/>
      <c r="Q2502" s="217"/>
      <c r="R2502" s="217"/>
      <c r="S2502" s="217"/>
      <c r="T2502" s="217"/>
      <c r="U2502" s="217"/>
      <c r="V2502" s="217"/>
      <c r="W2502" s="217"/>
      <c r="X2502" s="217"/>
      <c r="Y2502" s="217"/>
      <c r="Z2502" s="217"/>
      <c r="AA2502" s="217"/>
      <c r="AB2502" s="217"/>
    </row>
    <row r="2503" hidden="1">
      <c r="A2503" s="128" t="s">
        <v>399</v>
      </c>
      <c r="B2503" s="124">
        <v>1640.0</v>
      </c>
      <c r="C2503" s="147">
        <v>1777.0</v>
      </c>
      <c r="D2503" s="132">
        <f t="shared" si="240"/>
        <v>137</v>
      </c>
      <c r="E2503" s="126" t="s">
        <v>123</v>
      </c>
      <c r="F2503" s="139"/>
      <c r="G2503" s="128"/>
      <c r="H2503" s="129"/>
      <c r="I2503" s="129"/>
      <c r="J2503" s="129"/>
      <c r="K2503" s="129"/>
      <c r="L2503" s="129"/>
      <c r="M2503" s="129"/>
      <c r="N2503" s="129"/>
      <c r="O2503" s="129"/>
      <c r="P2503" s="129"/>
      <c r="Q2503" s="129"/>
      <c r="R2503" s="129"/>
      <c r="S2503" s="129"/>
      <c r="T2503" s="129"/>
      <c r="U2503" s="129"/>
      <c r="V2503" s="129"/>
      <c r="W2503" s="129"/>
      <c r="X2503" s="129"/>
      <c r="Y2503" s="129"/>
      <c r="Z2503" s="129"/>
      <c r="AA2503" s="129"/>
      <c r="AB2503" s="129"/>
    </row>
    <row r="2504" hidden="1">
      <c r="A2504" s="128" t="s">
        <v>1379</v>
      </c>
      <c r="B2504" s="147">
        <v>1250.0</v>
      </c>
      <c r="C2504" s="147">
        <v>1500.0</v>
      </c>
      <c r="D2504" s="132">
        <f t="shared" si="240"/>
        <v>250</v>
      </c>
      <c r="E2504" s="132" t="s">
        <v>123</v>
      </c>
      <c r="F2504" s="132"/>
      <c r="G2504" s="129"/>
      <c r="H2504" s="129"/>
      <c r="I2504" s="129"/>
      <c r="J2504" s="129"/>
      <c r="K2504" s="129"/>
      <c r="L2504" s="129"/>
      <c r="M2504" s="129"/>
      <c r="N2504" s="129"/>
      <c r="O2504" s="129"/>
      <c r="P2504" s="129"/>
      <c r="Q2504" s="129"/>
      <c r="R2504" s="129"/>
      <c r="S2504" s="129"/>
      <c r="T2504" s="129"/>
      <c r="U2504" s="129"/>
      <c r="V2504" s="129"/>
      <c r="W2504" s="129"/>
      <c r="X2504" s="129"/>
      <c r="Y2504" s="129"/>
      <c r="Z2504" s="129"/>
      <c r="AA2504" s="129"/>
      <c r="AB2504" s="129"/>
    </row>
    <row r="2505" hidden="1">
      <c r="A2505" s="269" t="s">
        <v>1380</v>
      </c>
      <c r="B2505" s="147">
        <v>840.0</v>
      </c>
      <c r="C2505" s="147">
        <v>1090.0</v>
      </c>
      <c r="D2505" s="132">
        <f t="shared" si="240"/>
        <v>250</v>
      </c>
      <c r="E2505" s="132" t="s">
        <v>123</v>
      </c>
      <c r="F2505" s="132"/>
      <c r="G2505" s="129"/>
      <c r="H2505" s="129"/>
      <c r="I2505" s="129"/>
      <c r="J2505" s="129"/>
      <c r="K2505" s="129"/>
      <c r="L2505" s="129"/>
      <c r="M2505" s="129"/>
      <c r="N2505" s="129"/>
      <c r="O2505" s="129"/>
      <c r="P2505" s="129"/>
      <c r="Q2505" s="129"/>
      <c r="R2505" s="129"/>
      <c r="S2505" s="129"/>
      <c r="T2505" s="129"/>
      <c r="U2505" s="129"/>
      <c r="V2505" s="129"/>
      <c r="W2505" s="129"/>
      <c r="X2505" s="129"/>
      <c r="Y2505" s="129"/>
      <c r="Z2505" s="129"/>
      <c r="AA2505" s="129"/>
      <c r="AB2505" s="129"/>
    </row>
    <row r="2506" hidden="1">
      <c r="A2506" s="128" t="s">
        <v>1371</v>
      </c>
      <c r="B2506" s="147">
        <v>940.0</v>
      </c>
      <c r="C2506" s="127">
        <v>1144.0</v>
      </c>
      <c r="D2506" s="125">
        <f t="shared" si="240"/>
        <v>204</v>
      </c>
      <c r="E2506" s="147" t="s">
        <v>123</v>
      </c>
      <c r="F2506" s="124"/>
      <c r="G2506" s="129"/>
      <c r="H2506" s="129"/>
      <c r="I2506" s="129"/>
      <c r="J2506" s="129"/>
      <c r="K2506" s="129"/>
      <c r="L2506" s="129"/>
      <c r="M2506" s="129"/>
      <c r="N2506" s="129"/>
      <c r="O2506" s="129"/>
      <c r="P2506" s="129"/>
      <c r="Q2506" s="129"/>
      <c r="R2506" s="129"/>
      <c r="S2506" s="129"/>
      <c r="T2506" s="129"/>
      <c r="U2506" s="129"/>
      <c r="V2506" s="129"/>
      <c r="W2506" s="129"/>
      <c r="X2506" s="129"/>
      <c r="Y2506" s="129"/>
      <c r="Z2506" s="129"/>
      <c r="AA2506" s="129"/>
      <c r="AB2506" s="129"/>
    </row>
    <row r="2507" hidden="1">
      <c r="A2507" s="142" t="s">
        <v>464</v>
      </c>
      <c r="B2507" s="147">
        <v>1240.0</v>
      </c>
      <c r="C2507" s="124">
        <v>1399.0</v>
      </c>
      <c r="D2507" s="132">
        <f t="shared" si="240"/>
        <v>159</v>
      </c>
      <c r="E2507" s="126" t="s">
        <v>123</v>
      </c>
      <c r="F2507" s="139"/>
      <c r="G2507" s="129"/>
      <c r="H2507" s="129"/>
      <c r="I2507" s="129"/>
      <c r="J2507" s="129"/>
      <c r="K2507" s="129"/>
      <c r="L2507" s="129"/>
      <c r="M2507" s="129"/>
      <c r="N2507" s="129"/>
      <c r="O2507" s="129"/>
      <c r="P2507" s="129"/>
      <c r="Q2507" s="129"/>
      <c r="R2507" s="129"/>
      <c r="S2507" s="129"/>
      <c r="T2507" s="129"/>
      <c r="U2507" s="129"/>
      <c r="V2507" s="129"/>
      <c r="W2507" s="129"/>
      <c r="X2507" s="129"/>
      <c r="Y2507" s="129"/>
      <c r="Z2507" s="129"/>
      <c r="AA2507" s="129"/>
      <c r="AB2507" s="129"/>
    </row>
    <row r="2508" hidden="1">
      <c r="A2508" s="128" t="s">
        <v>1262</v>
      </c>
      <c r="B2508" s="147">
        <v>1300.0</v>
      </c>
      <c r="C2508" s="147">
        <v>1484.0</v>
      </c>
      <c r="D2508" s="125">
        <f t="shared" si="240"/>
        <v>184</v>
      </c>
      <c r="E2508" s="126" t="s">
        <v>123</v>
      </c>
      <c r="F2508" s="132"/>
      <c r="G2508" s="123"/>
    </row>
    <row r="2509" hidden="1">
      <c r="A2509" s="123" t="s">
        <v>1302</v>
      </c>
      <c r="B2509" s="124">
        <v>1240.0</v>
      </c>
      <c r="C2509" s="124">
        <v>1445.0</v>
      </c>
      <c r="D2509" s="125">
        <f t="shared" si="240"/>
        <v>205</v>
      </c>
      <c r="E2509" s="126" t="s">
        <v>123</v>
      </c>
      <c r="F2509" s="313"/>
    </row>
    <row r="2510" hidden="1">
      <c r="A2510" s="123" t="s">
        <v>1372</v>
      </c>
      <c r="B2510" s="386">
        <v>1340.0</v>
      </c>
      <c r="C2510" s="386">
        <v>1508.0</v>
      </c>
      <c r="D2510" s="170">
        <f t="shared" si="240"/>
        <v>168</v>
      </c>
      <c r="E2510" s="126" t="s">
        <v>123</v>
      </c>
      <c r="F2510" s="147"/>
      <c r="G2510" s="123"/>
    </row>
    <row r="2511" hidden="1">
      <c r="A2511" s="128" t="s">
        <v>1381</v>
      </c>
      <c r="B2511" s="124">
        <v>1040.0</v>
      </c>
      <c r="C2511" s="147">
        <v>1282.0</v>
      </c>
      <c r="D2511" s="132">
        <f t="shared" si="240"/>
        <v>242</v>
      </c>
      <c r="E2511" s="126" t="s">
        <v>123</v>
      </c>
      <c r="F2511" s="139"/>
      <c r="G2511" s="128"/>
      <c r="H2511" s="129"/>
      <c r="I2511" s="129"/>
      <c r="J2511" s="129"/>
      <c r="K2511" s="129"/>
      <c r="L2511" s="129"/>
      <c r="M2511" s="129"/>
      <c r="N2511" s="129"/>
      <c r="O2511" s="129"/>
      <c r="P2511" s="129"/>
      <c r="Q2511" s="129"/>
      <c r="R2511" s="129"/>
      <c r="S2511" s="129"/>
      <c r="T2511" s="129"/>
      <c r="U2511" s="129"/>
      <c r="V2511" s="129"/>
      <c r="W2511" s="129"/>
      <c r="X2511" s="129"/>
      <c r="Y2511" s="129"/>
      <c r="Z2511" s="129"/>
      <c r="AA2511" s="129"/>
      <c r="AB2511" s="129"/>
    </row>
    <row r="2512" hidden="1">
      <c r="A2512" s="401" t="s">
        <v>521</v>
      </c>
      <c r="B2512" s="300">
        <v>1500.0</v>
      </c>
      <c r="C2512" s="300">
        <v>3000.0</v>
      </c>
      <c r="D2512" s="404">
        <f t="shared" si="240"/>
        <v>1500</v>
      </c>
      <c r="E2512" s="302" t="s">
        <v>123</v>
      </c>
      <c r="F2512" s="301"/>
      <c r="G2512" s="217"/>
      <c r="H2512" s="217"/>
      <c r="I2512" s="217"/>
      <c r="J2512" s="217"/>
      <c r="K2512" s="217"/>
      <c r="L2512" s="217"/>
      <c r="M2512" s="217"/>
      <c r="N2512" s="217"/>
      <c r="O2512" s="217"/>
      <c r="P2512" s="217"/>
      <c r="Q2512" s="217"/>
      <c r="R2512" s="217"/>
      <c r="S2512" s="217"/>
      <c r="T2512" s="217"/>
      <c r="U2512" s="217"/>
      <c r="V2512" s="217"/>
      <c r="W2512" s="217"/>
      <c r="X2512" s="217"/>
      <c r="Y2512" s="217"/>
      <c r="Z2512" s="217"/>
      <c r="AA2512" s="217"/>
      <c r="AB2512" s="217"/>
    </row>
    <row r="2513" hidden="1">
      <c r="A2513" s="142" t="s">
        <v>447</v>
      </c>
      <c r="B2513" s="147">
        <v>1040.0</v>
      </c>
      <c r="C2513" s="147">
        <v>1290.0</v>
      </c>
      <c r="D2513" s="132">
        <f t="shared" si="240"/>
        <v>250</v>
      </c>
      <c r="E2513" s="147" t="s">
        <v>123</v>
      </c>
      <c r="F2513" s="139"/>
      <c r="G2513" s="129"/>
      <c r="H2513" s="129"/>
      <c r="I2513" s="129"/>
      <c r="J2513" s="129"/>
      <c r="K2513" s="129"/>
      <c r="L2513" s="129"/>
      <c r="M2513" s="129"/>
      <c r="N2513" s="129"/>
      <c r="O2513" s="129"/>
      <c r="P2513" s="129"/>
      <c r="Q2513" s="129"/>
      <c r="R2513" s="129"/>
      <c r="S2513" s="129"/>
      <c r="T2513" s="129"/>
      <c r="U2513" s="129"/>
      <c r="V2513" s="129"/>
      <c r="W2513" s="129"/>
      <c r="X2513" s="129"/>
      <c r="Y2513" s="129"/>
      <c r="Z2513" s="129"/>
      <c r="AA2513" s="129"/>
      <c r="AB2513" s="129"/>
    </row>
    <row r="2514" hidden="1">
      <c r="A2514" s="142" t="s">
        <v>447</v>
      </c>
      <c r="B2514" s="147">
        <v>1040.0</v>
      </c>
      <c r="C2514" s="147">
        <v>1290.0</v>
      </c>
      <c r="D2514" s="132">
        <f t="shared" si="240"/>
        <v>250</v>
      </c>
      <c r="E2514" s="147" t="s">
        <v>123</v>
      </c>
      <c r="F2514" s="139"/>
      <c r="G2514" s="129"/>
      <c r="H2514" s="129"/>
      <c r="I2514" s="129"/>
      <c r="J2514" s="129"/>
      <c r="K2514" s="129"/>
      <c r="L2514" s="129"/>
      <c r="M2514" s="129"/>
      <c r="N2514" s="129"/>
      <c r="O2514" s="129"/>
      <c r="P2514" s="129"/>
      <c r="Q2514" s="129"/>
      <c r="R2514" s="129"/>
      <c r="S2514" s="129"/>
      <c r="T2514" s="129"/>
      <c r="U2514" s="129"/>
      <c r="V2514" s="129"/>
      <c r="W2514" s="129"/>
      <c r="X2514" s="129"/>
      <c r="Y2514" s="129"/>
      <c r="Z2514" s="129"/>
      <c r="AA2514" s="129"/>
      <c r="AB2514" s="129"/>
    </row>
    <row r="2515" hidden="1">
      <c r="A2515" s="128" t="s">
        <v>1262</v>
      </c>
      <c r="B2515" s="147">
        <v>1290.0</v>
      </c>
      <c r="C2515" s="147">
        <v>1591.0</v>
      </c>
      <c r="D2515" s="125">
        <f t="shared" si="240"/>
        <v>301</v>
      </c>
      <c r="E2515" s="126" t="s">
        <v>123</v>
      </c>
      <c r="F2515" s="132"/>
      <c r="G2515" s="123"/>
    </row>
    <row r="2516" hidden="1">
      <c r="A2516" s="299" t="s">
        <v>1382</v>
      </c>
      <c r="B2516" s="333">
        <v>1990.0</v>
      </c>
      <c r="C2516" s="333">
        <v>2100.0</v>
      </c>
      <c r="D2516" s="301">
        <f t="shared" si="240"/>
        <v>110</v>
      </c>
      <c r="E2516" s="302" t="s">
        <v>123</v>
      </c>
      <c r="F2516" s="301"/>
      <c r="G2516" s="217"/>
      <c r="H2516" s="217"/>
      <c r="I2516" s="217"/>
      <c r="J2516" s="217"/>
      <c r="K2516" s="217"/>
      <c r="L2516" s="217"/>
      <c r="M2516" s="217"/>
      <c r="N2516" s="217"/>
      <c r="O2516" s="217"/>
      <c r="P2516" s="217"/>
      <c r="Q2516" s="217"/>
      <c r="R2516" s="217"/>
      <c r="S2516" s="217"/>
      <c r="T2516" s="217"/>
      <c r="U2516" s="217"/>
      <c r="V2516" s="217"/>
      <c r="W2516" s="217"/>
      <c r="X2516" s="217"/>
      <c r="Y2516" s="217"/>
      <c r="Z2516" s="217"/>
      <c r="AA2516" s="217"/>
      <c r="AB2516" s="217"/>
    </row>
    <row r="2517" hidden="1">
      <c r="A2517" s="299" t="s">
        <v>1148</v>
      </c>
      <c r="B2517" s="300">
        <v>990.0</v>
      </c>
      <c r="C2517" s="300">
        <v>1190.0</v>
      </c>
      <c r="D2517" s="301">
        <f t="shared" si="240"/>
        <v>200</v>
      </c>
      <c r="E2517" s="302" t="s">
        <v>123</v>
      </c>
      <c r="F2517" s="300"/>
      <c r="G2517" s="217"/>
      <c r="H2517" s="217"/>
      <c r="I2517" s="217"/>
      <c r="J2517" s="217"/>
      <c r="K2517" s="217"/>
      <c r="L2517" s="217"/>
      <c r="M2517" s="217"/>
      <c r="N2517" s="217"/>
      <c r="O2517" s="217"/>
      <c r="P2517" s="217"/>
      <c r="Q2517" s="217"/>
      <c r="R2517" s="217"/>
      <c r="S2517" s="217"/>
      <c r="T2517" s="217"/>
      <c r="U2517" s="217"/>
      <c r="V2517" s="217"/>
      <c r="W2517" s="217"/>
      <c r="X2517" s="217"/>
      <c r="Y2517" s="217"/>
      <c r="Z2517" s="217"/>
      <c r="AA2517" s="217"/>
      <c r="AB2517" s="217"/>
    </row>
    <row r="2518" hidden="1">
      <c r="A2518" s="299" t="s">
        <v>1292</v>
      </c>
      <c r="B2518" s="300">
        <v>1990.0</v>
      </c>
      <c r="C2518" s="300">
        <v>2990.0</v>
      </c>
      <c r="D2518" s="301">
        <f t="shared" si="240"/>
        <v>1000</v>
      </c>
      <c r="E2518" s="302" t="s">
        <v>123</v>
      </c>
      <c r="F2518" s="400"/>
      <c r="G2518" s="217"/>
      <c r="H2518" s="217"/>
      <c r="I2518" s="217"/>
      <c r="J2518" s="217"/>
      <c r="K2518" s="217"/>
      <c r="L2518" s="217"/>
      <c r="M2518" s="217"/>
      <c r="N2518" s="217"/>
      <c r="O2518" s="217"/>
      <c r="P2518" s="217"/>
      <c r="Q2518" s="217"/>
      <c r="R2518" s="217"/>
      <c r="S2518" s="217"/>
      <c r="T2518" s="217"/>
      <c r="U2518" s="217"/>
      <c r="V2518" s="217"/>
      <c r="W2518" s="217"/>
      <c r="X2518" s="217"/>
      <c r="Y2518" s="217"/>
      <c r="Z2518" s="217"/>
      <c r="AA2518" s="217"/>
      <c r="AB2518" s="217"/>
    </row>
    <row r="2519" hidden="1">
      <c r="A2519" s="123" t="s">
        <v>1370</v>
      </c>
      <c r="B2519" s="124">
        <v>1640.0</v>
      </c>
      <c r="C2519" s="124">
        <v>1899.0</v>
      </c>
      <c r="D2519" s="125">
        <f t="shared" si="240"/>
        <v>259</v>
      </c>
      <c r="E2519" s="126" t="s">
        <v>123</v>
      </c>
      <c r="F2519" s="132"/>
      <c r="G2519" s="123"/>
    </row>
    <row r="2520" hidden="1">
      <c r="A2520" s="128" t="s">
        <v>1383</v>
      </c>
      <c r="B2520" s="124">
        <v>1500.0</v>
      </c>
      <c r="C2520" s="124">
        <v>1696.0</v>
      </c>
      <c r="D2520" s="132">
        <f t="shared" si="240"/>
        <v>196</v>
      </c>
      <c r="E2520" s="147" t="s">
        <v>123</v>
      </c>
      <c r="F2520" s="139"/>
      <c r="G2520" s="129"/>
      <c r="H2520" s="129"/>
      <c r="I2520" s="129"/>
      <c r="J2520" s="129"/>
      <c r="K2520" s="129"/>
      <c r="L2520" s="129"/>
      <c r="M2520" s="129"/>
      <c r="N2520" s="129"/>
      <c r="O2520" s="129"/>
      <c r="P2520" s="129"/>
      <c r="Q2520" s="129"/>
      <c r="R2520" s="129"/>
      <c r="S2520" s="129"/>
      <c r="T2520" s="129"/>
      <c r="U2520" s="129"/>
      <c r="V2520" s="129"/>
      <c r="W2520" s="129"/>
      <c r="X2520" s="129"/>
      <c r="Y2520" s="129"/>
      <c r="Z2520" s="129"/>
      <c r="AA2520" s="129"/>
      <c r="AB2520" s="129"/>
    </row>
    <row r="2521" hidden="1">
      <c r="A2521" s="128" t="s">
        <v>1384</v>
      </c>
      <c r="B2521" s="124">
        <v>1250.0</v>
      </c>
      <c r="C2521" s="124">
        <v>1696.0</v>
      </c>
      <c r="D2521" s="132">
        <f t="shared" si="240"/>
        <v>446</v>
      </c>
      <c r="E2521" s="147" t="s">
        <v>123</v>
      </c>
      <c r="F2521" s="139"/>
      <c r="G2521" s="129"/>
      <c r="H2521" s="129"/>
      <c r="I2521" s="129"/>
      <c r="J2521" s="129"/>
      <c r="K2521" s="129"/>
      <c r="L2521" s="129"/>
      <c r="M2521" s="129"/>
      <c r="N2521" s="129"/>
      <c r="O2521" s="129"/>
      <c r="P2521" s="129"/>
      <c r="Q2521" s="129"/>
      <c r="R2521" s="129"/>
      <c r="S2521" s="129"/>
      <c r="T2521" s="129"/>
      <c r="U2521" s="129"/>
      <c r="V2521" s="129"/>
      <c r="W2521" s="129"/>
      <c r="X2521" s="129"/>
      <c r="Y2521" s="129"/>
      <c r="Z2521" s="129"/>
      <c r="AA2521" s="129"/>
      <c r="AB2521" s="129"/>
    </row>
    <row r="2522" hidden="1">
      <c r="A2522" s="123" t="s">
        <v>1370</v>
      </c>
      <c r="B2522" s="124">
        <v>1615.0</v>
      </c>
      <c r="C2522" s="124">
        <v>1615.0</v>
      </c>
      <c r="D2522" s="125">
        <f t="shared" si="240"/>
        <v>0</v>
      </c>
      <c r="E2522" s="126" t="s">
        <v>123</v>
      </c>
      <c r="F2522" s="132"/>
      <c r="G2522" s="123"/>
    </row>
    <row r="2523" hidden="1">
      <c r="A2523" s="123" t="s">
        <v>1370</v>
      </c>
      <c r="B2523" s="124">
        <v>1615.0</v>
      </c>
      <c r="C2523" s="124">
        <v>1615.0</v>
      </c>
      <c r="D2523" s="125">
        <f t="shared" si="240"/>
        <v>0</v>
      </c>
      <c r="E2523" s="126" t="s">
        <v>123</v>
      </c>
      <c r="F2523" s="132"/>
      <c r="G2523" s="123"/>
    </row>
    <row r="2524" hidden="1">
      <c r="A2524" s="123" t="s">
        <v>1370</v>
      </c>
      <c r="B2524" s="124">
        <v>1615.0</v>
      </c>
      <c r="C2524" s="124">
        <v>1615.0</v>
      </c>
      <c r="D2524" s="125">
        <f t="shared" si="240"/>
        <v>0</v>
      </c>
      <c r="E2524" s="126" t="s">
        <v>123</v>
      </c>
      <c r="F2524" s="132"/>
      <c r="G2524" s="123"/>
    </row>
    <row r="2525" hidden="1">
      <c r="A2525" s="123" t="s">
        <v>1385</v>
      </c>
      <c r="B2525" s="386">
        <v>1240.0</v>
      </c>
      <c r="C2525" s="386">
        <v>1434.0</v>
      </c>
      <c r="D2525" s="170">
        <f t="shared" si="240"/>
        <v>194</v>
      </c>
      <c r="E2525" s="126" t="s">
        <v>123</v>
      </c>
      <c r="F2525" s="147"/>
      <c r="G2525" s="123"/>
    </row>
    <row r="2526" hidden="1">
      <c r="A2526" s="150" t="s">
        <v>1219</v>
      </c>
      <c r="B2526" s="147">
        <v>1280.0</v>
      </c>
      <c r="C2526" s="147">
        <v>1715.0</v>
      </c>
      <c r="D2526" s="132">
        <f t="shared" si="240"/>
        <v>435</v>
      </c>
      <c r="E2526" s="126" t="s">
        <v>123</v>
      </c>
      <c r="F2526" s="139"/>
      <c r="G2526" s="129"/>
      <c r="H2526" s="129"/>
      <c r="I2526" s="129"/>
      <c r="J2526" s="129"/>
      <c r="K2526" s="129"/>
      <c r="L2526" s="129"/>
      <c r="M2526" s="129"/>
      <c r="N2526" s="129"/>
      <c r="O2526" s="129"/>
      <c r="P2526" s="129"/>
      <c r="Q2526" s="129"/>
      <c r="R2526" s="129"/>
      <c r="S2526" s="129"/>
      <c r="T2526" s="129"/>
      <c r="U2526" s="129"/>
      <c r="V2526" s="129"/>
      <c r="W2526" s="129"/>
      <c r="X2526" s="129"/>
      <c r="Y2526" s="129"/>
      <c r="Z2526" s="129"/>
      <c r="AA2526" s="129"/>
      <c r="AB2526" s="129"/>
    </row>
    <row r="2527" hidden="1">
      <c r="A2527" s="150" t="s">
        <v>1219</v>
      </c>
      <c r="B2527" s="147">
        <v>0.0</v>
      </c>
      <c r="C2527" s="147">
        <v>0.0</v>
      </c>
      <c r="D2527" s="132">
        <f t="shared" si="240"/>
        <v>0</v>
      </c>
      <c r="E2527" s="126" t="s">
        <v>123</v>
      </c>
      <c r="F2527" s="139"/>
      <c r="G2527" s="129"/>
      <c r="H2527" s="129"/>
      <c r="I2527" s="129"/>
      <c r="J2527" s="129"/>
      <c r="K2527" s="129"/>
      <c r="L2527" s="129"/>
      <c r="M2527" s="129"/>
      <c r="N2527" s="129"/>
      <c r="O2527" s="129"/>
      <c r="P2527" s="129"/>
      <c r="Q2527" s="129"/>
      <c r="R2527" s="129"/>
      <c r="S2527" s="129"/>
      <c r="T2527" s="129"/>
      <c r="U2527" s="129"/>
      <c r="V2527" s="129"/>
      <c r="W2527" s="129"/>
      <c r="X2527" s="129"/>
      <c r="Y2527" s="129"/>
      <c r="Z2527" s="129"/>
      <c r="AA2527" s="129"/>
      <c r="AB2527" s="129"/>
    </row>
    <row r="2528" hidden="1">
      <c r="A2528" s="128" t="s">
        <v>408</v>
      </c>
      <c r="B2528" s="147">
        <v>440.0</v>
      </c>
      <c r="C2528" s="147">
        <v>671.0</v>
      </c>
      <c r="D2528" s="132">
        <f t="shared" si="240"/>
        <v>231</v>
      </c>
      <c r="E2528" s="126" t="s">
        <v>123</v>
      </c>
      <c r="F2528" s="139"/>
      <c r="G2528" s="129"/>
      <c r="H2528" s="129"/>
      <c r="I2528" s="129"/>
      <c r="J2528" s="129"/>
      <c r="K2528" s="129"/>
      <c r="L2528" s="129"/>
      <c r="M2528" s="129"/>
      <c r="N2528" s="129"/>
      <c r="O2528" s="129"/>
      <c r="P2528" s="129"/>
      <c r="Q2528" s="129"/>
      <c r="R2528" s="129"/>
      <c r="S2528" s="129"/>
      <c r="T2528" s="129"/>
      <c r="U2528" s="129"/>
      <c r="V2528" s="129"/>
      <c r="W2528" s="129"/>
      <c r="X2528" s="129"/>
      <c r="Y2528" s="129"/>
      <c r="Z2528" s="129"/>
      <c r="AA2528" s="129"/>
      <c r="AB2528" s="129"/>
    </row>
    <row r="2529" hidden="1">
      <c r="A2529" s="150" t="s">
        <v>1351</v>
      </c>
      <c r="B2529" s="147">
        <v>1240.0</v>
      </c>
      <c r="C2529" s="147">
        <v>1441.0</v>
      </c>
      <c r="D2529" s="132">
        <f t="shared" si="240"/>
        <v>201</v>
      </c>
      <c r="E2529" s="132" t="s">
        <v>123</v>
      </c>
      <c r="F2529" s="139"/>
      <c r="G2529" s="150"/>
      <c r="H2529" s="129"/>
      <c r="I2529" s="129"/>
      <c r="J2529" s="129"/>
      <c r="K2529" s="129"/>
      <c r="L2529" s="129"/>
      <c r="M2529" s="129"/>
      <c r="N2529" s="129"/>
      <c r="O2529" s="129"/>
      <c r="P2529" s="129"/>
      <c r="Q2529" s="129"/>
      <c r="R2529" s="129"/>
      <c r="S2529" s="129"/>
      <c r="T2529" s="129"/>
      <c r="U2529" s="129"/>
      <c r="V2529" s="129"/>
      <c r="W2529" s="129"/>
      <c r="X2529" s="129"/>
      <c r="Y2529" s="129"/>
      <c r="Z2529" s="129"/>
      <c r="AA2529" s="129"/>
      <c r="AB2529" s="129"/>
    </row>
    <row r="2530" hidden="1">
      <c r="A2530" s="123" t="s">
        <v>1212</v>
      </c>
      <c r="B2530" s="147">
        <v>1400.0</v>
      </c>
      <c r="C2530" s="124">
        <v>1599.0</v>
      </c>
      <c r="D2530" s="125">
        <f t="shared" si="240"/>
        <v>199</v>
      </c>
      <c r="E2530" s="126" t="s">
        <v>123</v>
      </c>
      <c r="F2530" s="127"/>
      <c r="G2530" s="123"/>
    </row>
    <row r="2531" hidden="1">
      <c r="A2531" s="150" t="s">
        <v>1351</v>
      </c>
      <c r="B2531" s="147">
        <v>1240.0</v>
      </c>
      <c r="C2531" s="147">
        <v>1441.0</v>
      </c>
      <c r="D2531" s="132">
        <f t="shared" si="240"/>
        <v>201</v>
      </c>
      <c r="E2531" s="132" t="s">
        <v>123</v>
      </c>
      <c r="F2531" s="139"/>
      <c r="G2531" s="150"/>
      <c r="H2531" s="129"/>
      <c r="I2531" s="129"/>
      <c r="J2531" s="129"/>
      <c r="K2531" s="129"/>
      <c r="L2531" s="129"/>
      <c r="M2531" s="129"/>
      <c r="N2531" s="129"/>
      <c r="O2531" s="129"/>
      <c r="P2531" s="129"/>
      <c r="Q2531" s="129"/>
      <c r="R2531" s="129"/>
      <c r="S2531" s="129"/>
      <c r="T2531" s="129"/>
      <c r="U2531" s="129"/>
      <c r="V2531" s="129"/>
      <c r="W2531" s="129"/>
      <c r="X2531" s="129"/>
      <c r="Y2531" s="129"/>
      <c r="Z2531" s="129"/>
      <c r="AA2531" s="129"/>
      <c r="AB2531" s="129"/>
    </row>
    <row r="2532" hidden="1">
      <c r="A2532" s="123" t="s">
        <v>1351</v>
      </c>
      <c r="B2532" s="124">
        <v>1240.0</v>
      </c>
      <c r="C2532" s="124">
        <v>1435.0</v>
      </c>
      <c r="D2532" s="125">
        <f t="shared" si="240"/>
        <v>195</v>
      </c>
      <c r="E2532" s="126" t="s">
        <v>123</v>
      </c>
      <c r="F2532" s="132"/>
      <c r="G2532" s="123"/>
    </row>
    <row r="2533" hidden="1">
      <c r="A2533" s="123" t="s">
        <v>1386</v>
      </c>
      <c r="B2533" s="147">
        <v>1490.0</v>
      </c>
      <c r="C2533" s="147">
        <v>2658.0</v>
      </c>
      <c r="D2533" s="125">
        <f t="shared" si="240"/>
        <v>1168</v>
      </c>
      <c r="E2533" s="126" t="s">
        <v>123</v>
      </c>
      <c r="F2533" s="124"/>
    </row>
    <row r="2534" hidden="1">
      <c r="A2534" s="299" t="s">
        <v>1148</v>
      </c>
      <c r="B2534" s="300">
        <v>990.0</v>
      </c>
      <c r="C2534" s="300">
        <v>1200.0</v>
      </c>
      <c r="D2534" s="301">
        <f t="shared" si="240"/>
        <v>210</v>
      </c>
      <c r="E2534" s="302" t="s">
        <v>123</v>
      </c>
      <c r="F2534" s="300"/>
      <c r="G2534" s="217"/>
      <c r="H2534" s="217"/>
      <c r="I2534" s="217"/>
      <c r="J2534" s="217"/>
      <c r="K2534" s="217"/>
      <c r="L2534" s="217"/>
      <c r="M2534" s="217"/>
      <c r="N2534" s="217"/>
      <c r="O2534" s="217"/>
      <c r="P2534" s="217"/>
      <c r="Q2534" s="217"/>
      <c r="R2534" s="217"/>
      <c r="S2534" s="217"/>
      <c r="T2534" s="217"/>
      <c r="U2534" s="217"/>
      <c r="V2534" s="217"/>
      <c r="W2534" s="217"/>
      <c r="X2534" s="217"/>
      <c r="Y2534" s="217"/>
      <c r="Z2534" s="217"/>
      <c r="AA2534" s="217"/>
      <c r="AB2534" s="217"/>
    </row>
    <row r="2535" hidden="1">
      <c r="A2535" s="409" t="s">
        <v>1387</v>
      </c>
      <c r="B2535" s="333">
        <v>1500.0</v>
      </c>
      <c r="C2535" s="300">
        <v>2100.0</v>
      </c>
      <c r="D2535" s="404">
        <f t="shared" si="240"/>
        <v>600</v>
      </c>
      <c r="E2535" s="302" t="s">
        <v>123</v>
      </c>
      <c r="F2535" s="333"/>
      <c r="G2535" s="121"/>
      <c r="H2535" s="121"/>
      <c r="I2535" s="121"/>
      <c r="J2535" s="121"/>
      <c r="K2535" s="121"/>
      <c r="L2535" s="121"/>
      <c r="M2535" s="121"/>
      <c r="N2535" s="121"/>
      <c r="O2535" s="121"/>
      <c r="P2535" s="121"/>
      <c r="Q2535" s="121"/>
      <c r="R2535" s="121"/>
      <c r="S2535" s="121"/>
      <c r="T2535" s="121"/>
      <c r="U2535" s="121"/>
      <c r="V2535" s="121"/>
      <c r="W2535" s="121"/>
      <c r="X2535" s="121"/>
      <c r="Y2535" s="121"/>
      <c r="Z2535" s="121"/>
      <c r="AA2535" s="121"/>
      <c r="AB2535" s="121"/>
    </row>
    <row r="2536" hidden="1">
      <c r="A2536" s="406" t="s">
        <v>1340</v>
      </c>
      <c r="B2536" s="300">
        <v>1000.0</v>
      </c>
      <c r="C2536" s="300">
        <v>3750.0</v>
      </c>
      <c r="D2536" s="301">
        <f t="shared" si="240"/>
        <v>2750</v>
      </c>
      <c r="E2536" s="302" t="s">
        <v>123</v>
      </c>
      <c r="F2536" s="400"/>
      <c r="G2536" s="217"/>
      <c r="H2536" s="217"/>
      <c r="I2536" s="217"/>
      <c r="J2536" s="217"/>
      <c r="K2536" s="217"/>
      <c r="L2536" s="217"/>
      <c r="M2536" s="217"/>
      <c r="N2536" s="217"/>
      <c r="O2536" s="217"/>
      <c r="P2536" s="217"/>
      <c r="Q2536" s="217"/>
      <c r="R2536" s="217"/>
      <c r="S2536" s="217"/>
      <c r="T2536" s="217"/>
      <c r="U2536" s="217"/>
      <c r="V2536" s="217"/>
      <c r="W2536" s="217"/>
      <c r="X2536" s="217"/>
      <c r="Y2536" s="217"/>
      <c r="Z2536" s="217"/>
      <c r="AA2536" s="217"/>
      <c r="AB2536" s="217"/>
    </row>
    <row r="2537" hidden="1">
      <c r="A2537" s="179" t="s">
        <v>1291</v>
      </c>
      <c r="B2537" s="333">
        <v>1490.0</v>
      </c>
      <c r="C2537" s="333">
        <v>2490.0</v>
      </c>
      <c r="D2537" s="404">
        <f t="shared" si="240"/>
        <v>1000</v>
      </c>
      <c r="E2537" s="302" t="s">
        <v>123</v>
      </c>
      <c r="F2537" s="121"/>
      <c r="G2537" s="121"/>
      <c r="H2537" s="121"/>
      <c r="I2537" s="121"/>
      <c r="J2537" s="121"/>
      <c r="K2537" s="121"/>
      <c r="L2537" s="121"/>
      <c r="M2537" s="121"/>
      <c r="N2537" s="121"/>
      <c r="O2537" s="121"/>
      <c r="P2537" s="121"/>
      <c r="Q2537" s="121"/>
      <c r="R2537" s="121"/>
      <c r="S2537" s="121"/>
      <c r="T2537" s="121"/>
      <c r="U2537" s="121"/>
      <c r="V2537" s="121"/>
      <c r="W2537" s="121"/>
      <c r="X2537" s="121"/>
      <c r="Y2537" s="121"/>
      <c r="Z2537" s="121"/>
      <c r="AA2537" s="121"/>
      <c r="AB2537" s="121"/>
    </row>
    <row r="2538" hidden="1">
      <c r="A2538" s="142" t="s">
        <v>464</v>
      </c>
      <c r="B2538" s="147">
        <v>1240.0</v>
      </c>
      <c r="C2538" s="124">
        <v>1439.0</v>
      </c>
      <c r="D2538" s="132">
        <f t="shared" si="240"/>
        <v>199</v>
      </c>
      <c r="E2538" s="126" t="s">
        <v>123</v>
      </c>
      <c r="F2538" s="139"/>
      <c r="G2538" s="129"/>
      <c r="H2538" s="129"/>
      <c r="I2538" s="129"/>
      <c r="J2538" s="129"/>
      <c r="K2538" s="129"/>
      <c r="L2538" s="129"/>
      <c r="M2538" s="129"/>
      <c r="N2538" s="129"/>
      <c r="O2538" s="129"/>
      <c r="P2538" s="129"/>
      <c r="Q2538" s="129"/>
      <c r="R2538" s="129"/>
      <c r="S2538" s="129"/>
      <c r="T2538" s="129"/>
      <c r="U2538" s="129"/>
      <c r="V2538" s="129"/>
      <c r="W2538" s="129"/>
      <c r="X2538" s="129"/>
      <c r="Y2538" s="129"/>
      <c r="Z2538" s="129"/>
      <c r="AA2538" s="129"/>
      <c r="AB2538" s="129"/>
    </row>
    <row r="2539" hidden="1">
      <c r="A2539" s="150" t="s">
        <v>1351</v>
      </c>
      <c r="B2539" s="132">
        <v>1340.0</v>
      </c>
      <c r="C2539" s="147">
        <v>1413.0</v>
      </c>
      <c r="D2539" s="132">
        <f t="shared" si="240"/>
        <v>73</v>
      </c>
      <c r="E2539" s="132" t="s">
        <v>123</v>
      </c>
      <c r="F2539" s="139"/>
      <c r="G2539" s="150"/>
      <c r="H2539" s="129"/>
      <c r="I2539" s="129"/>
      <c r="J2539" s="129"/>
      <c r="K2539" s="129"/>
      <c r="L2539" s="129"/>
      <c r="M2539" s="129"/>
      <c r="N2539" s="129"/>
      <c r="O2539" s="129"/>
      <c r="P2539" s="129"/>
      <c r="Q2539" s="129"/>
      <c r="R2539" s="129"/>
      <c r="S2539" s="129"/>
      <c r="T2539" s="129"/>
      <c r="U2539" s="129"/>
      <c r="V2539" s="129"/>
      <c r="W2539" s="129"/>
      <c r="X2539" s="129"/>
      <c r="Y2539" s="129"/>
      <c r="Z2539" s="129"/>
      <c r="AA2539" s="129"/>
      <c r="AB2539" s="129"/>
    </row>
    <row r="2540" hidden="1">
      <c r="A2540" s="150" t="s">
        <v>1219</v>
      </c>
      <c r="B2540" s="147">
        <v>640.0</v>
      </c>
      <c r="C2540" s="147">
        <v>853.0</v>
      </c>
      <c r="D2540" s="132">
        <f t="shared" si="240"/>
        <v>213</v>
      </c>
      <c r="E2540" s="126" t="s">
        <v>123</v>
      </c>
      <c r="F2540" s="139"/>
      <c r="G2540" s="129"/>
      <c r="H2540" s="129"/>
      <c r="I2540" s="129"/>
      <c r="J2540" s="129"/>
      <c r="K2540" s="129"/>
      <c r="L2540" s="129"/>
      <c r="M2540" s="129"/>
      <c r="N2540" s="129"/>
      <c r="O2540" s="129"/>
      <c r="P2540" s="129"/>
      <c r="Q2540" s="129"/>
      <c r="R2540" s="129"/>
      <c r="S2540" s="129"/>
      <c r="T2540" s="129"/>
      <c r="U2540" s="129"/>
      <c r="V2540" s="129"/>
      <c r="W2540" s="129"/>
      <c r="X2540" s="129"/>
      <c r="Y2540" s="129"/>
      <c r="Z2540" s="129"/>
      <c r="AA2540" s="129"/>
      <c r="AB2540" s="129"/>
    </row>
    <row r="2541" hidden="1">
      <c r="A2541" s="128" t="s">
        <v>1318</v>
      </c>
      <c r="B2541" s="147">
        <v>940.0</v>
      </c>
      <c r="C2541" s="147">
        <v>1150.0</v>
      </c>
      <c r="D2541" s="132">
        <f t="shared" si="240"/>
        <v>210</v>
      </c>
      <c r="E2541" s="394" t="s">
        <v>120</v>
      </c>
      <c r="F2541" s="139"/>
      <c r="G2541" s="129"/>
      <c r="H2541" s="129"/>
      <c r="I2541" s="129"/>
      <c r="J2541" s="129"/>
      <c r="K2541" s="129"/>
      <c r="L2541" s="129"/>
      <c r="M2541" s="129"/>
      <c r="N2541" s="129"/>
      <c r="O2541" s="129"/>
      <c r="P2541" s="129"/>
      <c r="Q2541" s="129"/>
      <c r="R2541" s="129"/>
      <c r="S2541" s="129"/>
      <c r="T2541" s="129"/>
      <c r="U2541" s="129"/>
      <c r="V2541" s="129"/>
      <c r="W2541" s="129"/>
      <c r="X2541" s="129"/>
      <c r="Y2541" s="129"/>
      <c r="Z2541" s="129"/>
      <c r="AA2541" s="129"/>
      <c r="AB2541" s="129"/>
    </row>
    <row r="2542" hidden="1">
      <c r="A2542" s="150" t="s">
        <v>1219</v>
      </c>
      <c r="B2542" s="147">
        <v>640.0</v>
      </c>
      <c r="C2542" s="147">
        <v>855.0</v>
      </c>
      <c r="D2542" s="132">
        <f t="shared" si="240"/>
        <v>215</v>
      </c>
      <c r="E2542" s="126" t="s">
        <v>123</v>
      </c>
      <c r="F2542" s="139"/>
      <c r="G2542" s="129"/>
      <c r="H2542" s="129"/>
      <c r="I2542" s="129"/>
      <c r="J2542" s="129"/>
      <c r="K2542" s="129"/>
      <c r="L2542" s="129"/>
      <c r="M2542" s="129"/>
      <c r="N2542" s="129"/>
      <c r="O2542" s="129"/>
      <c r="P2542" s="129"/>
      <c r="Q2542" s="129"/>
      <c r="R2542" s="129"/>
      <c r="S2542" s="129"/>
      <c r="T2542" s="129"/>
      <c r="U2542" s="129"/>
      <c r="V2542" s="129"/>
      <c r="W2542" s="129"/>
      <c r="X2542" s="129"/>
      <c r="Y2542" s="129"/>
      <c r="Z2542" s="129"/>
      <c r="AA2542" s="129"/>
      <c r="AB2542" s="129"/>
    </row>
    <row r="2543" hidden="1">
      <c r="A2543" s="128" t="s">
        <v>1262</v>
      </c>
      <c r="B2543" s="147">
        <v>1300.0</v>
      </c>
      <c r="C2543" s="147">
        <v>1538.0</v>
      </c>
      <c r="D2543" s="132">
        <f t="shared" si="240"/>
        <v>238</v>
      </c>
      <c r="E2543" s="126" t="s">
        <v>123</v>
      </c>
      <c r="F2543" s="127"/>
      <c r="G2543" s="150"/>
      <c r="H2543" s="129"/>
      <c r="I2543" s="129"/>
      <c r="J2543" s="129"/>
      <c r="K2543" s="129"/>
      <c r="L2543" s="129"/>
      <c r="M2543" s="129"/>
      <c r="N2543" s="129"/>
      <c r="O2543" s="129"/>
      <c r="P2543" s="129"/>
      <c r="Q2543" s="129"/>
      <c r="R2543" s="129"/>
      <c r="S2543" s="129"/>
      <c r="T2543" s="129"/>
      <c r="U2543" s="129"/>
      <c r="V2543" s="129"/>
      <c r="W2543" s="129"/>
      <c r="X2543" s="129"/>
      <c r="Y2543" s="129"/>
      <c r="Z2543" s="129"/>
      <c r="AA2543" s="129"/>
      <c r="AB2543" s="129"/>
    </row>
    <row r="2544" hidden="1">
      <c r="A2544" s="150" t="s">
        <v>122</v>
      </c>
      <c r="B2544" s="132">
        <v>490.0</v>
      </c>
      <c r="C2544" s="147">
        <v>853.0</v>
      </c>
      <c r="D2544" s="132">
        <f t="shared" si="240"/>
        <v>363</v>
      </c>
      <c r="E2544" s="147" t="s">
        <v>123</v>
      </c>
      <c r="F2544" s="132"/>
      <c r="G2544" s="150"/>
      <c r="H2544" s="129"/>
      <c r="I2544" s="129"/>
      <c r="J2544" s="129"/>
      <c r="K2544" s="129"/>
      <c r="L2544" s="129"/>
      <c r="M2544" s="129"/>
      <c r="N2544" s="129"/>
      <c r="O2544" s="129"/>
      <c r="P2544" s="129"/>
      <c r="Q2544" s="129"/>
      <c r="R2544" s="129"/>
      <c r="S2544" s="129"/>
      <c r="T2544" s="129"/>
      <c r="U2544" s="129"/>
      <c r="V2544" s="129"/>
      <c r="W2544" s="129"/>
      <c r="X2544" s="129"/>
      <c r="Y2544" s="129"/>
      <c r="Z2544" s="129"/>
      <c r="AA2544" s="129"/>
      <c r="AB2544" s="129"/>
    </row>
    <row r="2545" hidden="1">
      <c r="A2545" s="179" t="s">
        <v>1291</v>
      </c>
      <c r="B2545" s="333">
        <v>1490.0</v>
      </c>
      <c r="C2545" s="333">
        <v>2490.0</v>
      </c>
      <c r="D2545" s="404">
        <f t="shared" si="240"/>
        <v>1000</v>
      </c>
      <c r="E2545" s="302" t="s">
        <v>123</v>
      </c>
      <c r="F2545" s="121"/>
      <c r="G2545" s="121"/>
      <c r="H2545" s="121"/>
      <c r="I2545" s="121"/>
      <c r="J2545" s="121"/>
      <c r="K2545" s="121"/>
      <c r="L2545" s="121"/>
      <c r="M2545" s="121"/>
      <c r="N2545" s="121"/>
      <c r="O2545" s="121"/>
      <c r="P2545" s="121"/>
      <c r="Q2545" s="121"/>
      <c r="R2545" s="121"/>
      <c r="S2545" s="121"/>
      <c r="T2545" s="121"/>
      <c r="U2545" s="121"/>
      <c r="V2545" s="121"/>
      <c r="W2545" s="121"/>
      <c r="X2545" s="121"/>
      <c r="Y2545" s="121"/>
      <c r="Z2545" s="121"/>
      <c r="AA2545" s="121"/>
      <c r="AB2545" s="121"/>
    </row>
    <row r="2546" hidden="1">
      <c r="A2546" s="150" t="s">
        <v>1219</v>
      </c>
      <c r="B2546" s="147">
        <v>640.0</v>
      </c>
      <c r="C2546" s="147">
        <v>854.0</v>
      </c>
      <c r="D2546" s="132">
        <f t="shared" si="240"/>
        <v>214</v>
      </c>
      <c r="E2546" s="126" t="s">
        <v>123</v>
      </c>
      <c r="F2546" s="139"/>
      <c r="G2546" s="129"/>
      <c r="H2546" s="129"/>
      <c r="I2546" s="129"/>
      <c r="J2546" s="129"/>
      <c r="K2546" s="129"/>
      <c r="L2546" s="129"/>
      <c r="M2546" s="129"/>
      <c r="N2546" s="129"/>
      <c r="O2546" s="129"/>
      <c r="P2546" s="129"/>
      <c r="Q2546" s="129"/>
      <c r="R2546" s="129"/>
      <c r="S2546" s="129"/>
      <c r="T2546" s="129"/>
      <c r="U2546" s="129"/>
      <c r="V2546" s="129"/>
      <c r="W2546" s="129"/>
      <c r="X2546" s="129"/>
      <c r="Y2546" s="129"/>
      <c r="Z2546" s="129"/>
      <c r="AA2546" s="129"/>
      <c r="AB2546" s="129"/>
    </row>
    <row r="2547" hidden="1">
      <c r="A2547" s="128" t="s">
        <v>374</v>
      </c>
      <c r="B2547" s="147">
        <v>1990.0</v>
      </c>
      <c r="C2547" s="147">
        <v>2308.0</v>
      </c>
      <c r="D2547" s="132">
        <f t="shared" si="240"/>
        <v>318</v>
      </c>
      <c r="E2547" s="126" t="s">
        <v>123</v>
      </c>
      <c r="F2547" s="139"/>
      <c r="G2547" s="129"/>
      <c r="H2547" s="129"/>
      <c r="I2547" s="129"/>
      <c r="J2547" s="129"/>
      <c r="K2547" s="129"/>
      <c r="L2547" s="129"/>
      <c r="M2547" s="129"/>
      <c r="N2547" s="129"/>
      <c r="O2547" s="129"/>
      <c r="P2547" s="129"/>
      <c r="Q2547" s="129"/>
      <c r="R2547" s="129"/>
      <c r="S2547" s="129"/>
      <c r="T2547" s="129"/>
      <c r="U2547" s="129"/>
      <c r="V2547" s="129"/>
      <c r="W2547" s="129"/>
      <c r="X2547" s="129"/>
      <c r="Y2547" s="129"/>
      <c r="Z2547" s="129"/>
      <c r="AA2547" s="129"/>
      <c r="AB2547" s="129"/>
    </row>
    <row r="2548" hidden="1">
      <c r="A2548" s="128" t="s">
        <v>449</v>
      </c>
      <c r="B2548" s="147">
        <v>840.0</v>
      </c>
      <c r="C2548" s="147">
        <v>1052.0</v>
      </c>
      <c r="D2548" s="132">
        <f t="shared" si="240"/>
        <v>212</v>
      </c>
      <c r="E2548" s="132" t="s">
        <v>123</v>
      </c>
      <c r="F2548" s="147"/>
      <c r="G2548" s="129"/>
      <c r="H2548" s="129"/>
      <c r="I2548" s="129"/>
      <c r="J2548" s="129"/>
      <c r="K2548" s="129"/>
      <c r="L2548" s="129"/>
      <c r="M2548" s="129"/>
      <c r="N2548" s="129"/>
      <c r="O2548" s="129"/>
      <c r="P2548" s="129"/>
      <c r="Q2548" s="129"/>
      <c r="R2548" s="129"/>
      <c r="S2548" s="129"/>
      <c r="T2548" s="129"/>
      <c r="U2548" s="129"/>
      <c r="V2548" s="129"/>
      <c r="W2548" s="129"/>
      <c r="X2548" s="129"/>
      <c r="Y2548" s="129"/>
      <c r="Z2548" s="129"/>
      <c r="AA2548" s="129"/>
      <c r="AB2548" s="129"/>
    </row>
    <row r="2549" hidden="1">
      <c r="A2549" s="179" t="s">
        <v>1095</v>
      </c>
      <c r="B2549" s="333">
        <v>2240.0</v>
      </c>
      <c r="C2549" s="333">
        <v>2990.0</v>
      </c>
      <c r="D2549" s="404">
        <f t="shared" si="240"/>
        <v>750</v>
      </c>
      <c r="E2549" s="302" t="s">
        <v>123</v>
      </c>
      <c r="F2549" s="333"/>
      <c r="G2549" s="121"/>
      <c r="H2549" s="121"/>
      <c r="I2549" s="121"/>
      <c r="J2549" s="121"/>
      <c r="K2549" s="121"/>
      <c r="L2549" s="121"/>
      <c r="M2549" s="121"/>
      <c r="N2549" s="121"/>
      <c r="O2549" s="121"/>
      <c r="P2549" s="121"/>
      <c r="Q2549" s="121"/>
      <c r="R2549" s="121"/>
      <c r="S2549" s="121"/>
      <c r="T2549" s="121"/>
      <c r="U2549" s="121"/>
      <c r="V2549" s="121"/>
      <c r="W2549" s="121"/>
      <c r="X2549" s="121"/>
      <c r="Y2549" s="121"/>
      <c r="Z2549" s="121"/>
      <c r="AA2549" s="121"/>
      <c r="AB2549" s="121"/>
    </row>
    <row r="2550" hidden="1">
      <c r="A2550" s="128" t="s">
        <v>1210</v>
      </c>
      <c r="B2550" s="147">
        <v>2240.0</v>
      </c>
      <c r="C2550" s="147">
        <v>2415.0</v>
      </c>
      <c r="D2550" s="132">
        <f t="shared" si="240"/>
        <v>175</v>
      </c>
      <c r="E2550" s="126" t="s">
        <v>123</v>
      </c>
      <c r="F2550" s="132"/>
      <c r="G2550" s="129"/>
      <c r="H2550" s="129"/>
      <c r="I2550" s="129"/>
      <c r="J2550" s="129"/>
      <c r="K2550" s="129"/>
      <c r="L2550" s="129"/>
      <c r="M2550" s="129"/>
      <c r="N2550" s="129"/>
      <c r="O2550" s="129"/>
      <c r="P2550" s="129"/>
      <c r="Q2550" s="129"/>
      <c r="R2550" s="129"/>
      <c r="S2550" s="129"/>
      <c r="T2550" s="129"/>
      <c r="U2550" s="129"/>
      <c r="V2550" s="129"/>
      <c r="W2550" s="129"/>
      <c r="X2550" s="129"/>
      <c r="Y2550" s="129"/>
      <c r="Z2550" s="129"/>
      <c r="AA2550" s="129"/>
      <c r="AB2550" s="129"/>
    </row>
    <row r="2551" hidden="1">
      <c r="A2551" s="128" t="s">
        <v>449</v>
      </c>
      <c r="B2551" s="147">
        <v>1480.0</v>
      </c>
      <c r="C2551" s="147">
        <v>1852.0</v>
      </c>
      <c r="D2551" s="132">
        <f t="shared" si="240"/>
        <v>372</v>
      </c>
      <c r="E2551" s="132" t="s">
        <v>123</v>
      </c>
      <c r="F2551" s="147"/>
      <c r="G2551" s="129"/>
      <c r="H2551" s="129"/>
      <c r="I2551" s="129"/>
      <c r="J2551" s="129"/>
      <c r="K2551" s="129"/>
      <c r="L2551" s="129"/>
      <c r="M2551" s="129"/>
      <c r="N2551" s="129"/>
      <c r="O2551" s="129"/>
      <c r="P2551" s="129"/>
      <c r="Q2551" s="129"/>
      <c r="R2551" s="129"/>
      <c r="S2551" s="129"/>
      <c r="T2551" s="129"/>
      <c r="U2551" s="129"/>
      <c r="V2551" s="129"/>
      <c r="W2551" s="129"/>
      <c r="X2551" s="129"/>
      <c r="Y2551" s="129"/>
      <c r="Z2551" s="129"/>
      <c r="AA2551" s="129"/>
      <c r="AB2551" s="129"/>
    </row>
    <row r="2552" hidden="1">
      <c r="A2552" s="150" t="s">
        <v>1219</v>
      </c>
      <c r="B2552" s="147">
        <v>0.0</v>
      </c>
      <c r="C2552" s="147">
        <v>0.0</v>
      </c>
      <c r="D2552" s="132">
        <f t="shared" si="240"/>
        <v>0</v>
      </c>
      <c r="E2552" s="126" t="s">
        <v>123</v>
      </c>
      <c r="F2552" s="139"/>
      <c r="G2552" s="129"/>
      <c r="H2552" s="129"/>
      <c r="I2552" s="129"/>
      <c r="J2552" s="129"/>
      <c r="K2552" s="129"/>
      <c r="L2552" s="129"/>
      <c r="M2552" s="129"/>
      <c r="N2552" s="129"/>
      <c r="O2552" s="129"/>
      <c r="P2552" s="129"/>
      <c r="Q2552" s="129"/>
      <c r="R2552" s="129"/>
      <c r="S2552" s="129"/>
      <c r="T2552" s="129"/>
      <c r="U2552" s="129"/>
      <c r="V2552" s="129"/>
      <c r="W2552" s="129"/>
      <c r="X2552" s="129"/>
      <c r="Y2552" s="129"/>
      <c r="Z2552" s="129"/>
      <c r="AA2552" s="129"/>
      <c r="AB2552" s="129"/>
    </row>
    <row r="2553" hidden="1">
      <c r="A2553" s="123" t="s">
        <v>1094</v>
      </c>
      <c r="B2553" s="124">
        <v>1740.0</v>
      </c>
      <c r="C2553" s="124">
        <v>1920.0</v>
      </c>
      <c r="D2553" s="125">
        <f t="shared" si="240"/>
        <v>180</v>
      </c>
      <c r="E2553" s="126" t="s">
        <v>123</v>
      </c>
      <c r="F2553" s="124"/>
      <c r="G2553" s="123"/>
    </row>
    <row r="2554" hidden="1">
      <c r="A2554" s="128" t="s">
        <v>1388</v>
      </c>
      <c r="B2554" s="147">
        <v>740.0</v>
      </c>
      <c r="C2554" s="126">
        <v>950.0</v>
      </c>
      <c r="D2554" s="132">
        <f t="shared" si="240"/>
        <v>210</v>
      </c>
      <c r="E2554" s="126" t="s">
        <v>123</v>
      </c>
      <c r="F2554" s="139"/>
      <c r="G2554" s="129"/>
      <c r="H2554" s="129"/>
      <c r="I2554" s="129"/>
      <c r="J2554" s="129"/>
      <c r="K2554" s="129"/>
      <c r="L2554" s="129"/>
      <c r="M2554" s="129"/>
      <c r="N2554" s="129"/>
      <c r="O2554" s="129"/>
      <c r="P2554" s="129"/>
      <c r="Q2554" s="129"/>
      <c r="R2554" s="129"/>
      <c r="S2554" s="129"/>
      <c r="T2554" s="129"/>
      <c r="U2554" s="129"/>
      <c r="V2554" s="129"/>
      <c r="W2554" s="129"/>
      <c r="X2554" s="129"/>
      <c r="Y2554" s="129"/>
      <c r="Z2554" s="129"/>
      <c r="AA2554" s="129"/>
      <c r="AB2554" s="129"/>
    </row>
    <row r="2555" hidden="1">
      <c r="A2555" s="128" t="s">
        <v>1330</v>
      </c>
      <c r="B2555" s="147">
        <v>540.0</v>
      </c>
      <c r="C2555" s="127">
        <v>761.0</v>
      </c>
      <c r="D2555" s="132">
        <f t="shared" si="240"/>
        <v>221</v>
      </c>
      <c r="E2555" s="147" t="s">
        <v>123</v>
      </c>
      <c r="F2555" s="139"/>
      <c r="G2555" s="129"/>
      <c r="H2555" s="129"/>
      <c r="I2555" s="129"/>
      <c r="J2555" s="129"/>
      <c r="K2555" s="129"/>
      <c r="L2555" s="129"/>
      <c r="M2555" s="129"/>
      <c r="N2555" s="129"/>
      <c r="O2555" s="129"/>
      <c r="P2555" s="129"/>
      <c r="Q2555" s="129"/>
      <c r="R2555" s="129"/>
      <c r="S2555" s="129"/>
      <c r="T2555" s="129"/>
      <c r="U2555" s="129"/>
      <c r="V2555" s="129"/>
      <c r="W2555" s="129"/>
      <c r="X2555" s="129"/>
      <c r="Y2555" s="129"/>
      <c r="Z2555" s="129"/>
      <c r="AA2555" s="129"/>
      <c r="AB2555" s="129"/>
    </row>
    <row r="2556" hidden="1">
      <c r="A2556" s="128" t="s">
        <v>1318</v>
      </c>
      <c r="B2556" s="147">
        <v>940.0</v>
      </c>
      <c r="C2556" s="147">
        <v>1151.0</v>
      </c>
      <c r="D2556" s="132">
        <f t="shared" si="240"/>
        <v>211</v>
      </c>
      <c r="E2556" s="394" t="s">
        <v>120</v>
      </c>
      <c r="F2556" s="139"/>
      <c r="G2556" s="129"/>
      <c r="H2556" s="129"/>
      <c r="I2556" s="129"/>
      <c r="J2556" s="129"/>
      <c r="K2556" s="129"/>
      <c r="L2556" s="129"/>
      <c r="M2556" s="129"/>
      <c r="N2556" s="129"/>
      <c r="O2556" s="129"/>
      <c r="P2556" s="129"/>
      <c r="Q2556" s="129"/>
      <c r="R2556" s="129"/>
      <c r="S2556" s="129"/>
      <c r="T2556" s="129"/>
      <c r="U2556" s="129"/>
      <c r="V2556" s="129"/>
      <c r="W2556" s="129"/>
      <c r="X2556" s="129"/>
      <c r="Y2556" s="129"/>
      <c r="Z2556" s="129"/>
      <c r="AA2556" s="129"/>
      <c r="AB2556" s="129"/>
    </row>
    <row r="2557" hidden="1">
      <c r="A2557" s="150" t="s">
        <v>122</v>
      </c>
      <c r="B2557" s="147">
        <v>490.0</v>
      </c>
      <c r="C2557" s="147">
        <v>858.0</v>
      </c>
      <c r="D2557" s="132">
        <f t="shared" si="240"/>
        <v>368</v>
      </c>
      <c r="E2557" s="147" t="s">
        <v>123</v>
      </c>
      <c r="F2557" s="139"/>
      <c r="G2557" s="128"/>
      <c r="H2557" s="129"/>
      <c r="I2557" s="129"/>
      <c r="J2557" s="129"/>
      <c r="K2557" s="129"/>
      <c r="L2557" s="129"/>
      <c r="M2557" s="129"/>
      <c r="N2557" s="129"/>
      <c r="O2557" s="129"/>
      <c r="P2557" s="129"/>
      <c r="Q2557" s="129"/>
      <c r="R2557" s="129"/>
      <c r="S2557" s="129"/>
      <c r="T2557" s="129"/>
      <c r="U2557" s="129"/>
      <c r="V2557" s="129"/>
      <c r="W2557" s="129"/>
      <c r="X2557" s="129"/>
      <c r="Y2557" s="129"/>
      <c r="Z2557" s="129"/>
      <c r="AA2557" s="129"/>
      <c r="AB2557" s="129"/>
    </row>
    <row r="2558" hidden="1">
      <c r="A2558" s="150" t="s">
        <v>122</v>
      </c>
      <c r="B2558" s="147">
        <v>490.0</v>
      </c>
      <c r="C2558" s="147">
        <v>852.0</v>
      </c>
      <c r="D2558" s="132">
        <f t="shared" si="240"/>
        <v>362</v>
      </c>
      <c r="E2558" s="147" t="s">
        <v>123</v>
      </c>
      <c r="F2558" s="139"/>
      <c r="G2558" s="128"/>
      <c r="H2558" s="129"/>
      <c r="I2558" s="129"/>
      <c r="J2558" s="129"/>
      <c r="K2558" s="129"/>
      <c r="L2558" s="129"/>
      <c r="M2558" s="129"/>
      <c r="N2558" s="129"/>
      <c r="O2558" s="129"/>
      <c r="P2558" s="129"/>
      <c r="Q2558" s="129"/>
      <c r="R2558" s="129"/>
      <c r="S2558" s="129"/>
      <c r="T2558" s="129"/>
      <c r="U2558" s="129"/>
      <c r="V2558" s="129"/>
      <c r="W2558" s="129"/>
      <c r="X2558" s="129"/>
      <c r="Y2558" s="129"/>
      <c r="Z2558" s="129"/>
      <c r="AA2558" s="129"/>
      <c r="AB2558" s="129"/>
    </row>
    <row r="2559" hidden="1">
      <c r="A2559" s="123" t="s">
        <v>1351</v>
      </c>
      <c r="B2559" s="124">
        <v>2290.0</v>
      </c>
      <c r="C2559" s="124">
        <v>2925.0</v>
      </c>
      <c r="D2559" s="125">
        <f t="shared" si="240"/>
        <v>635</v>
      </c>
      <c r="E2559" s="126" t="s">
        <v>123</v>
      </c>
      <c r="F2559" s="132"/>
      <c r="G2559" s="123"/>
    </row>
    <row r="2560" hidden="1">
      <c r="A2560" s="123" t="s">
        <v>443</v>
      </c>
      <c r="B2560" s="147">
        <v>0.0</v>
      </c>
      <c r="C2560" s="124">
        <v>0.0</v>
      </c>
      <c r="D2560" s="125">
        <f t="shared" si="240"/>
        <v>0</v>
      </c>
      <c r="E2560" s="126" t="s">
        <v>123</v>
      </c>
      <c r="F2560" s="124"/>
      <c r="G2560" s="123"/>
    </row>
    <row r="2561" hidden="1">
      <c r="A2561" s="123" t="s">
        <v>1389</v>
      </c>
      <c r="B2561" s="124">
        <v>1190.0</v>
      </c>
      <c r="C2561" s="124">
        <v>1581.0</v>
      </c>
      <c r="D2561" s="125">
        <f t="shared" si="240"/>
        <v>391</v>
      </c>
      <c r="E2561" s="126" t="s">
        <v>123</v>
      </c>
      <c r="F2561" s="124"/>
    </row>
    <row r="2562" hidden="1">
      <c r="A2562" s="123" t="s">
        <v>1385</v>
      </c>
      <c r="B2562" s="386">
        <v>1340.0</v>
      </c>
      <c r="C2562" s="386">
        <v>1455.0</v>
      </c>
      <c r="D2562" s="170">
        <f t="shared" si="240"/>
        <v>115</v>
      </c>
      <c r="E2562" s="126" t="s">
        <v>123</v>
      </c>
      <c r="F2562" s="147"/>
      <c r="G2562" s="123"/>
    </row>
    <row r="2563" hidden="1">
      <c r="A2563" s="128" t="s">
        <v>1390</v>
      </c>
      <c r="B2563" s="147">
        <v>740.0</v>
      </c>
      <c r="C2563" s="147">
        <v>950.0</v>
      </c>
      <c r="D2563" s="132">
        <f t="shared" si="240"/>
        <v>210</v>
      </c>
      <c r="E2563" s="132" t="s">
        <v>123</v>
      </c>
      <c r="F2563" s="139"/>
      <c r="G2563" s="129"/>
      <c r="H2563" s="129"/>
      <c r="I2563" s="129"/>
      <c r="J2563" s="129"/>
      <c r="K2563" s="129"/>
      <c r="L2563" s="129"/>
      <c r="M2563" s="129"/>
      <c r="N2563" s="129"/>
      <c r="O2563" s="129"/>
      <c r="P2563" s="129"/>
      <c r="Q2563" s="129"/>
      <c r="R2563" s="129"/>
      <c r="S2563" s="129"/>
      <c r="T2563" s="129"/>
      <c r="U2563" s="129"/>
      <c r="V2563" s="129"/>
      <c r="W2563" s="129"/>
      <c r="X2563" s="129"/>
      <c r="Y2563" s="129"/>
      <c r="Z2563" s="129"/>
      <c r="AA2563" s="129"/>
      <c r="AB2563" s="129"/>
    </row>
    <row r="2564" hidden="1">
      <c r="A2564" s="128" t="s">
        <v>1391</v>
      </c>
      <c r="B2564" s="210">
        <v>2150.0</v>
      </c>
      <c r="C2564" s="210">
        <v>2619.0</v>
      </c>
      <c r="D2564" s="208">
        <f t="shared" si="240"/>
        <v>469</v>
      </c>
      <c r="E2564" s="147" t="s">
        <v>1311</v>
      </c>
      <c r="F2564" s="139"/>
      <c r="G2564" s="129"/>
      <c r="H2564" s="129"/>
      <c r="I2564" s="129"/>
      <c r="J2564" s="129"/>
      <c r="K2564" s="129"/>
      <c r="L2564" s="129"/>
      <c r="M2564" s="129"/>
      <c r="N2564" s="129"/>
      <c r="O2564" s="129"/>
      <c r="P2564" s="129"/>
      <c r="Q2564" s="129"/>
      <c r="R2564" s="129"/>
      <c r="S2564" s="129"/>
      <c r="T2564" s="129"/>
      <c r="U2564" s="129"/>
      <c r="V2564" s="129"/>
      <c r="W2564" s="129"/>
      <c r="X2564" s="129"/>
      <c r="Y2564" s="129"/>
      <c r="Z2564" s="129"/>
      <c r="AA2564" s="129"/>
      <c r="AB2564" s="129"/>
    </row>
    <row r="2565" hidden="1">
      <c r="A2565" s="150" t="s">
        <v>126</v>
      </c>
      <c r="B2565" s="124">
        <v>1690.0</v>
      </c>
      <c r="C2565" s="147">
        <v>1878.0</v>
      </c>
      <c r="D2565" s="132">
        <f t="shared" si="240"/>
        <v>188</v>
      </c>
      <c r="E2565" s="126" t="s">
        <v>123</v>
      </c>
      <c r="F2565" s="139"/>
      <c r="G2565" s="128"/>
      <c r="H2565" s="129"/>
      <c r="I2565" s="129"/>
      <c r="J2565" s="129"/>
      <c r="K2565" s="129"/>
      <c r="L2565" s="129"/>
      <c r="M2565" s="129"/>
      <c r="N2565" s="129"/>
      <c r="O2565" s="129"/>
      <c r="P2565" s="129"/>
      <c r="Q2565" s="129"/>
      <c r="R2565" s="129"/>
      <c r="S2565" s="129"/>
      <c r="T2565" s="129"/>
      <c r="U2565" s="129"/>
      <c r="V2565" s="129"/>
      <c r="W2565" s="129"/>
      <c r="X2565" s="129"/>
      <c r="Y2565" s="129"/>
      <c r="Z2565" s="129"/>
      <c r="AA2565" s="129"/>
      <c r="AB2565" s="129"/>
    </row>
    <row r="2566" hidden="1">
      <c r="A2566" s="128" t="s">
        <v>1274</v>
      </c>
      <c r="B2566" s="147">
        <v>1040.0</v>
      </c>
      <c r="C2566" s="147">
        <v>1245.0</v>
      </c>
      <c r="D2566" s="132">
        <f t="shared" si="240"/>
        <v>205</v>
      </c>
      <c r="E2566" s="126" t="s">
        <v>123</v>
      </c>
      <c r="F2566" s="132"/>
      <c r="G2566" s="129"/>
      <c r="H2566" s="129"/>
      <c r="I2566" s="129"/>
      <c r="J2566" s="129"/>
      <c r="K2566" s="129"/>
      <c r="L2566" s="129"/>
      <c r="M2566" s="129"/>
      <c r="N2566" s="129"/>
      <c r="O2566" s="129"/>
      <c r="P2566" s="129"/>
      <c r="Q2566" s="129"/>
      <c r="R2566" s="129"/>
      <c r="S2566" s="129"/>
      <c r="T2566" s="129"/>
      <c r="U2566" s="129"/>
      <c r="V2566" s="129"/>
      <c r="W2566" s="129"/>
      <c r="X2566" s="129"/>
      <c r="Y2566" s="129"/>
      <c r="Z2566" s="129"/>
      <c r="AA2566" s="129"/>
      <c r="AB2566" s="129"/>
    </row>
    <row r="2567" hidden="1">
      <c r="A2567" s="128" t="s">
        <v>1392</v>
      </c>
      <c r="B2567" s="124">
        <v>990.0</v>
      </c>
      <c r="C2567" s="147">
        <v>1450.0</v>
      </c>
      <c r="D2567" s="132">
        <f t="shared" si="240"/>
        <v>460</v>
      </c>
      <c r="E2567" s="126" t="s">
        <v>123</v>
      </c>
      <c r="F2567" s="132"/>
      <c r="G2567" s="129"/>
      <c r="H2567" s="129"/>
      <c r="I2567" s="129"/>
      <c r="J2567" s="129"/>
      <c r="K2567" s="129"/>
      <c r="L2567" s="129"/>
      <c r="M2567" s="129"/>
      <c r="N2567" s="129"/>
      <c r="O2567" s="129"/>
      <c r="P2567" s="129"/>
      <c r="Q2567" s="129"/>
      <c r="R2567" s="129"/>
      <c r="S2567" s="129"/>
      <c r="T2567" s="129"/>
      <c r="U2567" s="129"/>
      <c r="V2567" s="129"/>
      <c r="W2567" s="129"/>
      <c r="X2567" s="129"/>
      <c r="Y2567" s="129"/>
      <c r="Z2567" s="129"/>
      <c r="AA2567" s="129"/>
      <c r="AB2567" s="129"/>
    </row>
    <row r="2568" hidden="1">
      <c r="A2568" s="123" t="s">
        <v>1212</v>
      </c>
      <c r="B2568" s="147">
        <v>1400.0</v>
      </c>
      <c r="C2568" s="124">
        <v>1556.0</v>
      </c>
      <c r="D2568" s="125">
        <f t="shared" si="240"/>
        <v>156</v>
      </c>
      <c r="E2568" s="126" t="s">
        <v>123</v>
      </c>
      <c r="F2568" s="127"/>
      <c r="G2568" s="123"/>
    </row>
    <row r="2569" hidden="1">
      <c r="A2569" s="143"/>
      <c r="B2569" s="139"/>
      <c r="C2569" s="139"/>
      <c r="D2569" s="139"/>
      <c r="E2569" s="129"/>
      <c r="F2569" s="129"/>
      <c r="G2569" s="129"/>
      <c r="H2569" s="129"/>
      <c r="I2569" s="129"/>
      <c r="J2569" s="129"/>
      <c r="K2569" s="129"/>
      <c r="L2569" s="129"/>
      <c r="M2569" s="129"/>
      <c r="N2569" s="129"/>
      <c r="O2569" s="129"/>
      <c r="P2569" s="129"/>
      <c r="Q2569" s="129"/>
      <c r="R2569" s="129"/>
      <c r="S2569" s="129"/>
      <c r="T2569" s="129"/>
      <c r="U2569" s="129"/>
      <c r="V2569" s="129"/>
      <c r="W2569" s="129"/>
      <c r="X2569" s="129"/>
      <c r="Y2569" s="129"/>
      <c r="Z2569" s="129"/>
      <c r="AA2569" s="129"/>
      <c r="AB2569" s="129"/>
    </row>
    <row r="2570" hidden="1">
      <c r="A2570" s="122" t="s">
        <v>57</v>
      </c>
      <c r="B2570" s="133">
        <f t="shared" ref="B2570:D2570" si="241">SUM(B2500:B2569)</f>
        <v>82725</v>
      </c>
      <c r="C2570" s="133">
        <f t="shared" si="241"/>
        <v>107763</v>
      </c>
      <c r="D2570" s="133">
        <f t="shared" si="241"/>
        <v>25038</v>
      </c>
      <c r="E2570" s="135">
        <f>D2570/(C2570/100)</f>
        <v>23.23431976</v>
      </c>
    </row>
    <row r="2571" hidden="1">
      <c r="A2571" s="154"/>
      <c r="B2571" s="124"/>
      <c r="C2571" s="124"/>
      <c r="D2571" s="124"/>
    </row>
    <row r="2572" hidden="1">
      <c r="A2572" s="154">
        <v>44197.0</v>
      </c>
      <c r="B2572" s="124"/>
      <c r="C2572" s="124"/>
      <c r="D2572" s="124"/>
    </row>
    <row r="2573" hidden="1">
      <c r="A2573" s="128" t="s">
        <v>126</v>
      </c>
      <c r="B2573" s="124">
        <v>1690.0</v>
      </c>
      <c r="C2573" s="147">
        <v>1872.0</v>
      </c>
      <c r="D2573" s="132">
        <f t="shared" ref="D2573:D2666" si="242">C2573-B2573</f>
        <v>182</v>
      </c>
      <c r="E2573" s="126" t="s">
        <v>123</v>
      </c>
      <c r="F2573" s="139"/>
      <c r="G2573" s="128"/>
      <c r="H2573" s="129"/>
      <c r="I2573" s="129"/>
      <c r="J2573" s="129"/>
      <c r="K2573" s="129"/>
      <c r="L2573" s="129"/>
      <c r="M2573" s="129"/>
      <c r="N2573" s="129"/>
      <c r="O2573" s="129"/>
      <c r="P2573" s="129"/>
      <c r="Q2573" s="129"/>
      <c r="R2573" s="129"/>
      <c r="S2573" s="129"/>
      <c r="T2573" s="129"/>
      <c r="U2573" s="129"/>
      <c r="V2573" s="129"/>
      <c r="W2573" s="129"/>
      <c r="X2573" s="129"/>
      <c r="Y2573" s="129"/>
      <c r="Z2573" s="129"/>
      <c r="AA2573" s="129"/>
      <c r="AB2573" s="129"/>
    </row>
    <row r="2574" hidden="1">
      <c r="A2574" s="128" t="s">
        <v>1388</v>
      </c>
      <c r="B2574" s="147">
        <v>740.0</v>
      </c>
      <c r="C2574" s="126">
        <v>950.0</v>
      </c>
      <c r="D2574" s="132">
        <f t="shared" si="242"/>
        <v>210</v>
      </c>
      <c r="E2574" s="126" t="s">
        <v>123</v>
      </c>
      <c r="F2574" s="139"/>
      <c r="G2574" s="129"/>
      <c r="H2574" s="129"/>
      <c r="I2574" s="129"/>
      <c r="J2574" s="129"/>
      <c r="K2574" s="129"/>
      <c r="L2574" s="129"/>
      <c r="M2574" s="129"/>
      <c r="N2574" s="129"/>
      <c r="O2574" s="129"/>
      <c r="P2574" s="129"/>
      <c r="Q2574" s="129"/>
      <c r="R2574" s="129"/>
      <c r="S2574" s="129"/>
      <c r="T2574" s="129"/>
      <c r="U2574" s="129"/>
      <c r="V2574" s="129"/>
      <c r="W2574" s="129"/>
      <c r="X2574" s="129"/>
      <c r="Y2574" s="129"/>
      <c r="Z2574" s="129"/>
      <c r="AA2574" s="129"/>
      <c r="AB2574" s="129"/>
    </row>
    <row r="2575" hidden="1">
      <c r="A2575" s="123" t="s">
        <v>1351</v>
      </c>
      <c r="B2575" s="124">
        <v>990.0</v>
      </c>
      <c r="C2575" s="124">
        <v>1580.0</v>
      </c>
      <c r="D2575" s="125">
        <f t="shared" si="242"/>
        <v>590</v>
      </c>
      <c r="E2575" s="126" t="s">
        <v>123</v>
      </c>
      <c r="F2575" s="132"/>
      <c r="G2575" s="123"/>
    </row>
    <row r="2576" hidden="1">
      <c r="A2576" s="142" t="s">
        <v>447</v>
      </c>
      <c r="B2576" s="147">
        <v>990.0</v>
      </c>
      <c r="C2576" s="147">
        <v>1212.0</v>
      </c>
      <c r="D2576" s="132">
        <f t="shared" si="242"/>
        <v>222</v>
      </c>
      <c r="E2576" s="147" t="s">
        <v>123</v>
      </c>
      <c r="F2576" s="139"/>
      <c r="G2576" s="129"/>
      <c r="H2576" s="129"/>
      <c r="I2576" s="129"/>
      <c r="J2576" s="129"/>
      <c r="K2576" s="129"/>
      <c r="L2576" s="129"/>
      <c r="M2576" s="129"/>
      <c r="N2576" s="129"/>
      <c r="O2576" s="129"/>
      <c r="P2576" s="129"/>
      <c r="Q2576" s="129"/>
      <c r="R2576" s="129"/>
      <c r="S2576" s="129"/>
      <c r="T2576" s="129"/>
      <c r="U2576" s="129"/>
      <c r="V2576" s="129"/>
      <c r="W2576" s="129"/>
      <c r="X2576" s="129"/>
      <c r="Y2576" s="129"/>
      <c r="Z2576" s="129"/>
      <c r="AA2576" s="129"/>
      <c r="AB2576" s="129"/>
    </row>
    <row r="2577" hidden="1">
      <c r="A2577" s="128" t="s">
        <v>1328</v>
      </c>
      <c r="B2577" s="147">
        <v>1090.0</v>
      </c>
      <c r="C2577" s="126">
        <v>1333.0</v>
      </c>
      <c r="D2577" s="132">
        <f t="shared" si="242"/>
        <v>243</v>
      </c>
      <c r="E2577" s="126" t="s">
        <v>123</v>
      </c>
      <c r="F2577" s="147"/>
      <c r="G2577" s="129"/>
      <c r="H2577" s="129"/>
      <c r="I2577" s="129"/>
      <c r="J2577" s="129"/>
      <c r="K2577" s="129"/>
      <c r="L2577" s="129"/>
      <c r="M2577" s="129"/>
      <c r="N2577" s="129"/>
      <c r="O2577" s="129"/>
      <c r="P2577" s="129"/>
      <c r="Q2577" s="129"/>
      <c r="R2577" s="129"/>
      <c r="S2577" s="129"/>
      <c r="T2577" s="129"/>
      <c r="U2577" s="129"/>
      <c r="V2577" s="129"/>
      <c r="W2577" s="129"/>
      <c r="X2577" s="129"/>
      <c r="Y2577" s="129"/>
      <c r="Z2577" s="129"/>
      <c r="AA2577" s="129"/>
      <c r="AB2577" s="129"/>
    </row>
    <row r="2578" hidden="1">
      <c r="A2578" s="128" t="s">
        <v>1324</v>
      </c>
      <c r="B2578" s="147">
        <v>990.0</v>
      </c>
      <c r="C2578" s="127">
        <v>1222.0</v>
      </c>
      <c r="D2578" s="132">
        <f t="shared" si="242"/>
        <v>232</v>
      </c>
      <c r="E2578" s="147" t="s">
        <v>120</v>
      </c>
      <c r="F2578" s="147"/>
      <c r="G2578" s="129"/>
      <c r="H2578" s="129"/>
      <c r="I2578" s="129"/>
      <c r="J2578" s="129"/>
      <c r="K2578" s="129"/>
      <c r="L2578" s="129"/>
      <c r="M2578" s="129"/>
      <c r="N2578" s="129"/>
      <c r="O2578" s="129"/>
      <c r="P2578" s="129"/>
      <c r="Q2578" s="129"/>
      <c r="R2578" s="129"/>
      <c r="S2578" s="129"/>
      <c r="T2578" s="129"/>
      <c r="U2578" s="129"/>
      <c r="V2578" s="129"/>
      <c r="W2578" s="129"/>
      <c r="X2578" s="129"/>
      <c r="Y2578" s="129"/>
      <c r="Z2578" s="129"/>
      <c r="AA2578" s="129"/>
      <c r="AB2578" s="129"/>
    </row>
    <row r="2579" hidden="1">
      <c r="A2579" s="128" t="s">
        <v>470</v>
      </c>
      <c r="B2579" s="147">
        <v>990.0</v>
      </c>
      <c r="C2579" s="127">
        <v>1222.0</v>
      </c>
      <c r="D2579" s="132">
        <f t="shared" si="242"/>
        <v>232</v>
      </c>
      <c r="E2579" s="147" t="s">
        <v>123</v>
      </c>
      <c r="F2579" s="139"/>
      <c r="G2579" s="129"/>
      <c r="H2579" s="129"/>
      <c r="I2579" s="129"/>
      <c r="J2579" s="129"/>
      <c r="K2579" s="129"/>
      <c r="L2579" s="129"/>
      <c r="M2579" s="129"/>
      <c r="N2579" s="129"/>
      <c r="O2579" s="129"/>
      <c r="P2579" s="129"/>
      <c r="Q2579" s="129"/>
      <c r="R2579" s="129"/>
      <c r="S2579" s="129"/>
      <c r="T2579" s="129"/>
      <c r="U2579" s="129"/>
      <c r="V2579" s="129"/>
      <c r="W2579" s="129"/>
      <c r="X2579" s="129"/>
      <c r="Y2579" s="129"/>
      <c r="Z2579" s="129"/>
      <c r="AA2579" s="129"/>
      <c r="AB2579" s="129"/>
    </row>
    <row r="2580" hidden="1">
      <c r="A2580" s="128" t="s">
        <v>793</v>
      </c>
      <c r="B2580" s="147">
        <v>790.0</v>
      </c>
      <c r="C2580" s="126">
        <v>999.0</v>
      </c>
      <c r="D2580" s="125">
        <f t="shared" si="242"/>
        <v>209</v>
      </c>
      <c r="E2580" s="126" t="s">
        <v>120</v>
      </c>
      <c r="F2580" s="124"/>
      <c r="G2580" s="129"/>
      <c r="H2580" s="129"/>
      <c r="I2580" s="129"/>
      <c r="J2580" s="129"/>
      <c r="K2580" s="129"/>
      <c r="L2580" s="129"/>
      <c r="M2580" s="129"/>
      <c r="N2580" s="129"/>
      <c r="O2580" s="129"/>
      <c r="P2580" s="129"/>
      <c r="Q2580" s="129"/>
      <c r="R2580" s="129"/>
      <c r="S2580" s="129"/>
      <c r="T2580" s="129"/>
      <c r="U2580" s="129"/>
      <c r="V2580" s="129"/>
      <c r="W2580" s="129"/>
      <c r="X2580" s="129"/>
      <c r="Y2580" s="129"/>
      <c r="Z2580" s="129"/>
      <c r="AA2580" s="129"/>
      <c r="AB2580" s="129"/>
    </row>
    <row r="2581" hidden="1">
      <c r="A2581" s="123" t="s">
        <v>1331</v>
      </c>
      <c r="B2581" s="124">
        <v>690.0</v>
      </c>
      <c r="C2581" s="126">
        <v>888.0</v>
      </c>
      <c r="D2581" s="125">
        <f t="shared" si="242"/>
        <v>198</v>
      </c>
      <c r="E2581" s="147" t="s">
        <v>123</v>
      </c>
      <c r="F2581" s="124"/>
    </row>
    <row r="2582" hidden="1">
      <c r="A2582" s="128" t="s">
        <v>1332</v>
      </c>
      <c r="B2582" s="147">
        <v>590.0</v>
      </c>
      <c r="C2582" s="127">
        <v>777.0</v>
      </c>
      <c r="D2582" s="132">
        <f t="shared" si="242"/>
        <v>187</v>
      </c>
      <c r="E2582" s="147" t="s">
        <v>120</v>
      </c>
      <c r="F2582" s="139"/>
      <c r="G2582" s="129"/>
      <c r="H2582" s="129"/>
      <c r="I2582" s="129"/>
      <c r="J2582" s="129"/>
      <c r="K2582" s="129"/>
      <c r="L2582" s="129"/>
      <c r="M2582" s="129"/>
      <c r="N2582" s="129"/>
      <c r="O2582" s="129"/>
      <c r="P2582" s="129"/>
      <c r="Q2582" s="129"/>
      <c r="R2582" s="129"/>
      <c r="S2582" s="129"/>
      <c r="T2582" s="129"/>
      <c r="U2582" s="129"/>
      <c r="V2582" s="129"/>
      <c r="W2582" s="129"/>
      <c r="X2582" s="129"/>
      <c r="Y2582" s="129"/>
      <c r="Z2582" s="129"/>
      <c r="AA2582" s="129"/>
      <c r="AB2582" s="129"/>
    </row>
    <row r="2583" hidden="1">
      <c r="A2583" s="128" t="s">
        <v>1330</v>
      </c>
      <c r="B2583" s="147">
        <v>590.0</v>
      </c>
      <c r="C2583" s="127">
        <v>777.0</v>
      </c>
      <c r="D2583" s="132">
        <f t="shared" si="242"/>
        <v>187</v>
      </c>
      <c r="E2583" s="147" t="s">
        <v>123</v>
      </c>
      <c r="F2583" s="139"/>
      <c r="G2583" s="129"/>
      <c r="H2583" s="129"/>
      <c r="I2583" s="129"/>
      <c r="J2583" s="129"/>
      <c r="K2583" s="129"/>
      <c r="L2583" s="129"/>
      <c r="M2583" s="129"/>
      <c r="N2583" s="129"/>
      <c r="O2583" s="129"/>
      <c r="P2583" s="129"/>
      <c r="Q2583" s="129"/>
      <c r="R2583" s="129"/>
      <c r="S2583" s="129"/>
      <c r="T2583" s="129"/>
      <c r="U2583" s="129"/>
      <c r="V2583" s="129"/>
      <c r="W2583" s="129"/>
      <c r="X2583" s="129"/>
      <c r="Y2583" s="129"/>
      <c r="Z2583" s="129"/>
      <c r="AA2583" s="129"/>
      <c r="AB2583" s="129"/>
    </row>
    <row r="2584" hidden="1">
      <c r="A2584" s="128" t="s">
        <v>1393</v>
      </c>
      <c r="B2584" s="124">
        <v>890.0</v>
      </c>
      <c r="C2584" s="147">
        <v>1445.0</v>
      </c>
      <c r="D2584" s="132">
        <f t="shared" si="242"/>
        <v>555</v>
      </c>
      <c r="E2584" s="126" t="s">
        <v>123</v>
      </c>
      <c r="F2584" s="127"/>
      <c r="G2584" s="128"/>
      <c r="H2584" s="129"/>
      <c r="I2584" s="129"/>
      <c r="J2584" s="129"/>
      <c r="K2584" s="129"/>
      <c r="L2584" s="129"/>
      <c r="M2584" s="129"/>
      <c r="N2584" s="129"/>
      <c r="O2584" s="129"/>
      <c r="P2584" s="129"/>
      <c r="Q2584" s="129"/>
      <c r="R2584" s="129"/>
      <c r="S2584" s="129"/>
      <c r="T2584" s="129"/>
      <c r="U2584" s="129"/>
      <c r="V2584" s="129"/>
      <c r="W2584" s="129"/>
      <c r="X2584" s="129"/>
      <c r="Y2584" s="129"/>
      <c r="Z2584" s="129"/>
      <c r="AA2584" s="129"/>
      <c r="AB2584" s="129"/>
    </row>
    <row r="2585" hidden="1">
      <c r="A2585" s="128" t="s">
        <v>1274</v>
      </c>
      <c r="B2585" s="147">
        <v>1040.0</v>
      </c>
      <c r="C2585" s="147">
        <v>1241.0</v>
      </c>
      <c r="D2585" s="132">
        <f t="shared" si="242"/>
        <v>201</v>
      </c>
      <c r="E2585" s="126" t="s">
        <v>123</v>
      </c>
      <c r="F2585" s="147"/>
      <c r="G2585" s="129"/>
      <c r="H2585" s="129"/>
      <c r="I2585" s="129"/>
      <c r="J2585" s="129"/>
      <c r="K2585" s="129"/>
      <c r="L2585" s="129"/>
      <c r="M2585" s="129"/>
      <c r="N2585" s="129"/>
      <c r="O2585" s="129"/>
      <c r="P2585" s="129"/>
      <c r="Q2585" s="129"/>
      <c r="R2585" s="129"/>
      <c r="S2585" s="129"/>
      <c r="T2585" s="129"/>
      <c r="U2585" s="129"/>
      <c r="V2585" s="129"/>
      <c r="W2585" s="129"/>
      <c r="X2585" s="129"/>
      <c r="Y2585" s="129"/>
      <c r="Z2585" s="129"/>
      <c r="AA2585" s="129"/>
      <c r="AB2585" s="129"/>
    </row>
    <row r="2586" hidden="1">
      <c r="A2586" s="128" t="s">
        <v>1394</v>
      </c>
      <c r="B2586" s="167">
        <v>1340.0</v>
      </c>
      <c r="C2586" s="167">
        <v>1466.0</v>
      </c>
      <c r="D2586" s="168">
        <f t="shared" si="242"/>
        <v>126</v>
      </c>
      <c r="E2586" s="149" t="s">
        <v>123</v>
      </c>
      <c r="F2586" s="128"/>
      <c r="G2586" s="129"/>
      <c r="H2586" s="129"/>
      <c r="I2586" s="129"/>
      <c r="J2586" s="129"/>
      <c r="K2586" s="129"/>
      <c r="L2586" s="129"/>
      <c r="M2586" s="129"/>
      <c r="N2586" s="129"/>
      <c r="O2586" s="129"/>
      <c r="P2586" s="129"/>
      <c r="Q2586" s="129"/>
      <c r="R2586" s="129"/>
      <c r="S2586" s="129"/>
      <c r="T2586" s="129"/>
      <c r="U2586" s="129"/>
      <c r="V2586" s="129"/>
      <c r="W2586" s="129"/>
      <c r="X2586" s="129"/>
      <c r="Y2586" s="129"/>
      <c r="Z2586" s="129"/>
      <c r="AA2586" s="129"/>
      <c r="AB2586" s="129"/>
    </row>
    <row r="2587" hidden="1">
      <c r="A2587" s="123" t="s">
        <v>1385</v>
      </c>
      <c r="B2587" s="386">
        <v>1340.0</v>
      </c>
      <c r="C2587" s="386">
        <v>1515.0</v>
      </c>
      <c r="D2587" s="170">
        <f t="shared" si="242"/>
        <v>175</v>
      </c>
      <c r="E2587" s="126" t="s">
        <v>123</v>
      </c>
      <c r="F2587" s="147"/>
      <c r="G2587" s="123"/>
    </row>
    <row r="2588" hidden="1">
      <c r="A2588" s="159" t="s">
        <v>403</v>
      </c>
      <c r="B2588" s="124">
        <v>1990.0</v>
      </c>
      <c r="C2588" s="147">
        <v>2175.0</v>
      </c>
      <c r="D2588" s="270">
        <f t="shared" si="242"/>
        <v>185</v>
      </c>
      <c r="E2588" s="126" t="s">
        <v>123</v>
      </c>
      <c r="F2588" s="139"/>
      <c r="G2588" s="129"/>
      <c r="H2588" s="129"/>
      <c r="I2588" s="129"/>
      <c r="J2588" s="129"/>
      <c r="K2588" s="129"/>
      <c r="L2588" s="129"/>
      <c r="M2588" s="129"/>
      <c r="N2588" s="129"/>
      <c r="O2588" s="129"/>
      <c r="P2588" s="129"/>
      <c r="Q2588" s="129"/>
      <c r="R2588" s="129"/>
      <c r="S2588" s="129"/>
      <c r="T2588" s="129"/>
      <c r="U2588" s="129"/>
      <c r="V2588" s="129"/>
      <c r="W2588" s="129"/>
      <c r="X2588" s="129"/>
      <c r="Y2588" s="129"/>
      <c r="Z2588" s="129"/>
      <c r="AA2588" s="129"/>
      <c r="AB2588" s="129"/>
    </row>
    <row r="2589" hidden="1">
      <c r="A2589" s="128" t="s">
        <v>1395</v>
      </c>
      <c r="B2589" s="147">
        <v>640.0</v>
      </c>
      <c r="C2589" s="147">
        <v>954.0</v>
      </c>
      <c r="D2589" s="132">
        <f t="shared" si="242"/>
        <v>314</v>
      </c>
      <c r="E2589" s="126" t="s">
        <v>123</v>
      </c>
      <c r="F2589" s="147"/>
      <c r="G2589" s="129"/>
      <c r="H2589" s="129"/>
      <c r="I2589" s="129"/>
      <c r="J2589" s="129"/>
      <c r="K2589" s="129"/>
      <c r="L2589" s="129"/>
      <c r="M2589" s="129"/>
      <c r="N2589" s="129"/>
      <c r="O2589" s="129"/>
      <c r="P2589" s="129"/>
      <c r="Q2589" s="129"/>
      <c r="R2589" s="129"/>
      <c r="S2589" s="129"/>
      <c r="T2589" s="129"/>
      <c r="U2589" s="129"/>
      <c r="V2589" s="129"/>
      <c r="W2589" s="129"/>
      <c r="X2589" s="129"/>
      <c r="Y2589" s="129"/>
      <c r="Z2589" s="129"/>
      <c r="AA2589" s="129"/>
      <c r="AB2589" s="129"/>
    </row>
    <row r="2590" hidden="1">
      <c r="A2590" s="128" t="s">
        <v>1392</v>
      </c>
      <c r="B2590" s="124">
        <v>990.0</v>
      </c>
      <c r="C2590" s="147">
        <v>1460.0</v>
      </c>
      <c r="D2590" s="132">
        <f t="shared" si="242"/>
        <v>470</v>
      </c>
      <c r="E2590" s="126" t="s">
        <v>123</v>
      </c>
      <c r="F2590" s="147"/>
      <c r="G2590" s="129"/>
      <c r="H2590" s="129"/>
      <c r="I2590" s="129"/>
      <c r="J2590" s="129"/>
      <c r="K2590" s="129"/>
      <c r="L2590" s="129"/>
      <c r="M2590" s="129"/>
      <c r="N2590" s="129"/>
      <c r="O2590" s="129"/>
      <c r="P2590" s="129"/>
      <c r="Q2590" s="129"/>
      <c r="R2590" s="129"/>
      <c r="S2590" s="129"/>
      <c r="T2590" s="129"/>
      <c r="U2590" s="129"/>
      <c r="V2590" s="129"/>
      <c r="W2590" s="129"/>
      <c r="X2590" s="129"/>
      <c r="Y2590" s="129"/>
      <c r="Z2590" s="129"/>
      <c r="AA2590" s="129"/>
      <c r="AB2590" s="129"/>
    </row>
    <row r="2591" hidden="1">
      <c r="A2591" s="128" t="s">
        <v>1394</v>
      </c>
      <c r="B2591" s="167">
        <v>1340.0</v>
      </c>
      <c r="C2591" s="167">
        <v>1472.0</v>
      </c>
      <c r="D2591" s="168">
        <f t="shared" si="242"/>
        <v>132</v>
      </c>
      <c r="E2591" s="149" t="s">
        <v>123</v>
      </c>
      <c r="F2591" s="128"/>
      <c r="G2591" s="129"/>
      <c r="H2591" s="129"/>
      <c r="I2591" s="129"/>
      <c r="J2591" s="129"/>
      <c r="K2591" s="129"/>
      <c r="L2591" s="129"/>
      <c r="M2591" s="129"/>
      <c r="N2591" s="129"/>
      <c r="O2591" s="129"/>
      <c r="P2591" s="129"/>
      <c r="Q2591" s="129"/>
      <c r="R2591" s="129"/>
      <c r="S2591" s="129"/>
      <c r="T2591" s="129"/>
      <c r="U2591" s="129"/>
      <c r="V2591" s="129"/>
      <c r="W2591" s="129"/>
      <c r="X2591" s="129"/>
      <c r="Y2591" s="129"/>
      <c r="Z2591" s="129"/>
      <c r="AA2591" s="129"/>
      <c r="AB2591" s="129"/>
    </row>
    <row r="2592" hidden="1">
      <c r="A2592" s="123" t="s">
        <v>1212</v>
      </c>
      <c r="B2592" s="147">
        <v>1300.0</v>
      </c>
      <c r="C2592" s="124">
        <v>1607.0</v>
      </c>
      <c r="D2592" s="125">
        <f t="shared" si="242"/>
        <v>307</v>
      </c>
      <c r="E2592" s="126" t="s">
        <v>123</v>
      </c>
      <c r="F2592" s="127"/>
      <c r="G2592" s="123"/>
    </row>
    <row r="2593" hidden="1">
      <c r="A2593" s="123" t="s">
        <v>1095</v>
      </c>
      <c r="B2593" s="147">
        <v>2040.0</v>
      </c>
      <c r="C2593" s="124">
        <v>3000.0</v>
      </c>
      <c r="D2593" s="125">
        <f t="shared" si="242"/>
        <v>960</v>
      </c>
      <c r="E2593" s="126" t="s">
        <v>123</v>
      </c>
      <c r="F2593" s="124"/>
    </row>
    <row r="2594" hidden="1">
      <c r="A2594" s="142" t="s">
        <v>447</v>
      </c>
      <c r="B2594" s="147">
        <v>1880.0</v>
      </c>
      <c r="C2594" s="147">
        <v>2567.0</v>
      </c>
      <c r="D2594" s="132">
        <f t="shared" si="242"/>
        <v>687</v>
      </c>
      <c r="E2594" s="147" t="s">
        <v>123</v>
      </c>
      <c r="F2594" s="139"/>
      <c r="G2594" s="129"/>
      <c r="H2594" s="129"/>
      <c r="I2594" s="129"/>
      <c r="J2594" s="129"/>
      <c r="K2594" s="129"/>
      <c r="L2594" s="129"/>
      <c r="M2594" s="129"/>
      <c r="N2594" s="129"/>
      <c r="O2594" s="129"/>
      <c r="P2594" s="129"/>
      <c r="Q2594" s="129"/>
      <c r="R2594" s="129"/>
      <c r="S2594" s="129"/>
      <c r="T2594" s="129"/>
      <c r="U2594" s="129"/>
      <c r="V2594" s="129"/>
      <c r="W2594" s="129"/>
      <c r="X2594" s="129"/>
      <c r="Y2594" s="129"/>
      <c r="Z2594" s="129"/>
      <c r="AA2594" s="129"/>
      <c r="AB2594" s="129"/>
    </row>
    <row r="2595" hidden="1">
      <c r="A2595" s="128" t="s">
        <v>1396</v>
      </c>
      <c r="B2595" s="147">
        <v>0.0</v>
      </c>
      <c r="C2595" s="147">
        <v>0.0</v>
      </c>
      <c r="D2595" s="132">
        <f t="shared" si="242"/>
        <v>0</v>
      </c>
      <c r="E2595" s="126" t="s">
        <v>123</v>
      </c>
      <c r="F2595" s="132"/>
      <c r="G2595" s="129"/>
      <c r="H2595" s="129"/>
      <c r="I2595" s="129"/>
      <c r="J2595" s="129"/>
      <c r="K2595" s="129"/>
      <c r="L2595" s="129"/>
      <c r="M2595" s="129"/>
      <c r="N2595" s="129"/>
      <c r="O2595" s="129"/>
      <c r="P2595" s="129"/>
      <c r="Q2595" s="129"/>
      <c r="R2595" s="129"/>
      <c r="S2595" s="129"/>
      <c r="T2595" s="129"/>
      <c r="U2595" s="129"/>
      <c r="V2595" s="129"/>
      <c r="W2595" s="129"/>
      <c r="X2595" s="129"/>
      <c r="Y2595" s="129"/>
      <c r="Z2595" s="129"/>
      <c r="AA2595" s="129"/>
      <c r="AB2595" s="129"/>
    </row>
    <row r="2596" hidden="1">
      <c r="A2596" s="150" t="s">
        <v>446</v>
      </c>
      <c r="B2596" s="124">
        <v>1300.0</v>
      </c>
      <c r="C2596" s="124">
        <v>1548.0</v>
      </c>
      <c r="D2596" s="132">
        <f t="shared" si="242"/>
        <v>248</v>
      </c>
      <c r="E2596" s="126" t="s">
        <v>123</v>
      </c>
      <c r="F2596" s="139"/>
      <c r="G2596" s="129"/>
      <c r="H2596" s="129"/>
      <c r="I2596" s="129"/>
      <c r="J2596" s="129"/>
      <c r="K2596" s="129"/>
      <c r="L2596" s="129"/>
      <c r="M2596" s="129"/>
      <c r="N2596" s="129"/>
      <c r="O2596" s="129"/>
      <c r="P2596" s="129"/>
      <c r="Q2596" s="129"/>
      <c r="R2596" s="129"/>
      <c r="S2596" s="129"/>
      <c r="T2596" s="129"/>
      <c r="U2596" s="129"/>
      <c r="V2596" s="129"/>
      <c r="W2596" s="129"/>
      <c r="X2596" s="129"/>
      <c r="Y2596" s="129"/>
      <c r="Z2596" s="129"/>
      <c r="AA2596" s="129"/>
      <c r="AB2596" s="129"/>
    </row>
    <row r="2597" hidden="1">
      <c r="A2597" s="123" t="s">
        <v>1095</v>
      </c>
      <c r="B2597" s="147">
        <v>2290.0</v>
      </c>
      <c r="C2597" s="124">
        <v>3000.0</v>
      </c>
      <c r="D2597" s="125">
        <f t="shared" si="242"/>
        <v>710</v>
      </c>
      <c r="E2597" s="126" t="s">
        <v>123</v>
      </c>
      <c r="F2597" s="124"/>
    </row>
    <row r="2598" hidden="1">
      <c r="A2598" s="128" t="s">
        <v>1374</v>
      </c>
      <c r="B2598" s="147">
        <v>890.0</v>
      </c>
      <c r="C2598" s="147">
        <v>1229.0</v>
      </c>
      <c r="D2598" s="132">
        <f t="shared" si="242"/>
        <v>339</v>
      </c>
      <c r="E2598" s="126" t="s">
        <v>123</v>
      </c>
      <c r="F2598" s="139"/>
      <c r="G2598" s="128"/>
      <c r="H2598" s="129"/>
      <c r="I2598" s="129"/>
      <c r="J2598" s="129"/>
      <c r="K2598" s="129"/>
      <c r="L2598" s="129"/>
      <c r="M2598" s="129"/>
      <c r="N2598" s="129"/>
      <c r="O2598" s="129"/>
      <c r="P2598" s="129"/>
      <c r="Q2598" s="129"/>
      <c r="R2598" s="129"/>
      <c r="S2598" s="129"/>
      <c r="T2598" s="129"/>
      <c r="U2598" s="129"/>
      <c r="V2598" s="129"/>
      <c r="W2598" s="129"/>
      <c r="X2598" s="129"/>
      <c r="Y2598" s="129"/>
      <c r="Z2598" s="129"/>
      <c r="AA2598" s="129"/>
      <c r="AB2598" s="129"/>
    </row>
    <row r="2599" hidden="1">
      <c r="A2599" s="123" t="s">
        <v>397</v>
      </c>
      <c r="B2599" s="147">
        <v>3990.0</v>
      </c>
      <c r="C2599" s="124">
        <v>5775.0</v>
      </c>
      <c r="D2599" s="125">
        <f t="shared" si="242"/>
        <v>1785</v>
      </c>
      <c r="E2599" s="126" t="s">
        <v>123</v>
      </c>
      <c r="F2599" s="124"/>
    </row>
    <row r="2600" hidden="1">
      <c r="A2600" s="123" t="s">
        <v>1385</v>
      </c>
      <c r="B2600" s="386">
        <v>1400.0</v>
      </c>
      <c r="C2600" s="386">
        <v>1541.0</v>
      </c>
      <c r="D2600" s="170">
        <f t="shared" si="242"/>
        <v>141</v>
      </c>
      <c r="E2600" s="126" t="s">
        <v>123</v>
      </c>
      <c r="F2600" s="147"/>
      <c r="G2600" s="123"/>
    </row>
    <row r="2601" hidden="1">
      <c r="A2601" s="128" t="s">
        <v>1397</v>
      </c>
      <c r="B2601" s="210">
        <v>9250.0</v>
      </c>
      <c r="C2601" s="210">
        <v>10463.0</v>
      </c>
      <c r="D2601" s="208">
        <f t="shared" si="242"/>
        <v>1213</v>
      </c>
      <c r="E2601" s="147" t="s">
        <v>1311</v>
      </c>
      <c r="F2601" s="139"/>
      <c r="G2601" s="129"/>
      <c r="H2601" s="129"/>
      <c r="I2601" s="129"/>
      <c r="J2601" s="129"/>
      <c r="K2601" s="129"/>
      <c r="L2601" s="129"/>
      <c r="M2601" s="129"/>
      <c r="N2601" s="129"/>
      <c r="O2601" s="129"/>
      <c r="P2601" s="129"/>
      <c r="Q2601" s="129"/>
      <c r="R2601" s="129"/>
      <c r="S2601" s="129"/>
      <c r="T2601" s="129"/>
      <c r="U2601" s="129"/>
      <c r="V2601" s="129"/>
      <c r="W2601" s="129"/>
      <c r="X2601" s="129"/>
      <c r="Y2601" s="129"/>
      <c r="Z2601" s="129"/>
      <c r="AA2601" s="129"/>
      <c r="AB2601" s="129"/>
    </row>
    <row r="2602" hidden="1">
      <c r="A2602" s="123" t="s">
        <v>1212</v>
      </c>
      <c r="B2602" s="147">
        <v>1400.0</v>
      </c>
      <c r="C2602" s="147">
        <v>1574.0</v>
      </c>
      <c r="D2602" s="125">
        <f t="shared" si="242"/>
        <v>174</v>
      </c>
      <c r="E2602" s="126" t="s">
        <v>123</v>
      </c>
      <c r="F2602" s="127"/>
      <c r="G2602" s="123"/>
    </row>
    <row r="2603" hidden="1">
      <c r="A2603" s="128" t="s">
        <v>125</v>
      </c>
      <c r="B2603" s="147">
        <v>490.0</v>
      </c>
      <c r="C2603" s="147">
        <v>960.0</v>
      </c>
      <c r="D2603" s="132">
        <f t="shared" si="242"/>
        <v>470</v>
      </c>
      <c r="E2603" s="126" t="s">
        <v>123</v>
      </c>
      <c r="F2603" s="139"/>
      <c r="G2603" s="128"/>
      <c r="H2603" s="129"/>
      <c r="I2603" s="129"/>
      <c r="J2603" s="129"/>
      <c r="K2603" s="129"/>
      <c r="L2603" s="129"/>
      <c r="M2603" s="129"/>
      <c r="N2603" s="129"/>
      <c r="O2603" s="129"/>
      <c r="P2603" s="129"/>
      <c r="Q2603" s="129"/>
      <c r="R2603" s="129"/>
      <c r="S2603" s="129"/>
      <c r="T2603" s="129"/>
      <c r="U2603" s="129"/>
      <c r="V2603" s="129"/>
      <c r="W2603" s="129"/>
      <c r="X2603" s="129"/>
      <c r="Y2603" s="129"/>
      <c r="Z2603" s="129"/>
      <c r="AA2603" s="129"/>
      <c r="AB2603" s="129"/>
    </row>
    <row r="2604" hidden="1">
      <c r="A2604" s="128" t="s">
        <v>1374</v>
      </c>
      <c r="B2604" s="147">
        <v>890.0</v>
      </c>
      <c r="C2604" s="147">
        <v>1216.0</v>
      </c>
      <c r="D2604" s="132">
        <f t="shared" si="242"/>
        <v>326</v>
      </c>
      <c r="E2604" s="126" t="s">
        <v>123</v>
      </c>
      <c r="F2604" s="139"/>
      <c r="G2604" s="128"/>
      <c r="H2604" s="129"/>
      <c r="I2604" s="129"/>
      <c r="J2604" s="129"/>
      <c r="K2604" s="129"/>
      <c r="L2604" s="129"/>
      <c r="M2604" s="129"/>
      <c r="N2604" s="129"/>
      <c r="O2604" s="129"/>
      <c r="P2604" s="129"/>
      <c r="Q2604" s="129"/>
      <c r="R2604" s="129"/>
      <c r="S2604" s="129"/>
      <c r="T2604" s="129"/>
      <c r="U2604" s="129"/>
      <c r="V2604" s="129"/>
      <c r="W2604" s="129"/>
      <c r="X2604" s="129"/>
      <c r="Y2604" s="129"/>
      <c r="Z2604" s="129"/>
      <c r="AA2604" s="129"/>
      <c r="AB2604" s="129"/>
    </row>
    <row r="2605" hidden="1">
      <c r="A2605" s="123" t="s">
        <v>443</v>
      </c>
      <c r="B2605" s="124">
        <v>1400.0</v>
      </c>
      <c r="C2605" s="124">
        <v>1599.0</v>
      </c>
      <c r="D2605" s="125">
        <f t="shared" si="242"/>
        <v>199</v>
      </c>
      <c r="E2605" s="126" t="s">
        <v>123</v>
      </c>
      <c r="F2605" s="124"/>
      <c r="G2605" s="123"/>
    </row>
    <row r="2606" hidden="1">
      <c r="A2606" s="150" t="s">
        <v>413</v>
      </c>
      <c r="B2606" s="147">
        <v>540.0</v>
      </c>
      <c r="C2606" s="147">
        <v>742.0</v>
      </c>
      <c r="D2606" s="132">
        <f t="shared" si="242"/>
        <v>202</v>
      </c>
      <c r="E2606" s="126" t="s">
        <v>123</v>
      </c>
      <c r="F2606" s="139"/>
      <c r="G2606" s="129"/>
      <c r="H2606" s="129"/>
      <c r="I2606" s="129"/>
      <c r="J2606" s="129"/>
      <c r="K2606" s="129"/>
      <c r="L2606" s="129"/>
      <c r="M2606" s="129"/>
      <c r="N2606" s="129"/>
      <c r="O2606" s="129"/>
      <c r="P2606" s="129"/>
      <c r="Q2606" s="129"/>
      <c r="R2606" s="129"/>
      <c r="S2606" s="129"/>
      <c r="T2606" s="129"/>
      <c r="U2606" s="129"/>
      <c r="V2606" s="129"/>
      <c r="W2606" s="129"/>
      <c r="X2606" s="129"/>
      <c r="Y2606" s="129"/>
      <c r="Z2606" s="129"/>
      <c r="AA2606" s="129"/>
      <c r="AB2606" s="129"/>
    </row>
    <row r="2607" hidden="1">
      <c r="A2607" s="142" t="s">
        <v>1398</v>
      </c>
      <c r="B2607" s="147">
        <v>1140.0</v>
      </c>
      <c r="C2607" s="147">
        <v>1338.0</v>
      </c>
      <c r="D2607" s="132">
        <f t="shared" si="242"/>
        <v>198</v>
      </c>
      <c r="E2607" s="132" t="s">
        <v>123</v>
      </c>
      <c r="F2607" s="139"/>
      <c r="G2607" s="150"/>
      <c r="H2607" s="129"/>
      <c r="I2607" s="129"/>
      <c r="J2607" s="129"/>
      <c r="K2607" s="129"/>
      <c r="L2607" s="129"/>
      <c r="M2607" s="129"/>
      <c r="N2607" s="129"/>
      <c r="O2607" s="129"/>
      <c r="P2607" s="129"/>
      <c r="Q2607" s="129"/>
      <c r="R2607" s="129"/>
      <c r="S2607" s="129"/>
      <c r="T2607" s="129"/>
      <c r="U2607" s="129"/>
      <c r="V2607" s="129"/>
      <c r="W2607" s="129"/>
      <c r="X2607" s="129"/>
      <c r="Y2607" s="129"/>
      <c r="Z2607" s="129"/>
      <c r="AA2607" s="129"/>
      <c r="AB2607" s="129"/>
    </row>
    <row r="2608" hidden="1">
      <c r="A2608" s="123" t="s">
        <v>443</v>
      </c>
      <c r="B2608" s="124">
        <v>1400.0</v>
      </c>
      <c r="C2608" s="124">
        <v>1576.0</v>
      </c>
      <c r="D2608" s="125">
        <f t="shared" si="242"/>
        <v>176</v>
      </c>
      <c r="E2608" s="126" t="s">
        <v>123</v>
      </c>
      <c r="F2608" s="124"/>
      <c r="G2608" s="123"/>
    </row>
    <row r="2609" hidden="1">
      <c r="A2609" s="128" t="s">
        <v>1399</v>
      </c>
      <c r="B2609" s="147">
        <v>890.0</v>
      </c>
      <c r="C2609" s="147">
        <v>1327.0</v>
      </c>
      <c r="D2609" s="132">
        <f t="shared" si="242"/>
        <v>437</v>
      </c>
      <c r="E2609" s="126" t="s">
        <v>123</v>
      </c>
      <c r="F2609" s="147"/>
      <c r="G2609" s="129"/>
      <c r="H2609" s="129"/>
      <c r="I2609" s="129"/>
      <c r="J2609" s="129"/>
      <c r="K2609" s="129"/>
      <c r="L2609" s="129"/>
      <c r="M2609" s="129"/>
      <c r="N2609" s="129"/>
      <c r="O2609" s="129"/>
      <c r="P2609" s="129"/>
      <c r="Q2609" s="129"/>
      <c r="R2609" s="129"/>
      <c r="S2609" s="129"/>
      <c r="T2609" s="129"/>
      <c r="U2609" s="129"/>
      <c r="V2609" s="129"/>
      <c r="W2609" s="129"/>
      <c r="X2609" s="129"/>
      <c r="Y2609" s="129"/>
      <c r="Z2609" s="129"/>
      <c r="AA2609" s="129"/>
      <c r="AB2609" s="129"/>
    </row>
    <row r="2610" hidden="1">
      <c r="A2610" s="128" t="s">
        <v>1313</v>
      </c>
      <c r="B2610" s="147">
        <v>1130.0</v>
      </c>
      <c r="C2610" s="147">
        <v>1682.0</v>
      </c>
      <c r="D2610" s="132">
        <f t="shared" si="242"/>
        <v>552</v>
      </c>
      <c r="E2610" s="126" t="s">
        <v>123</v>
      </c>
      <c r="F2610" s="139"/>
      <c r="G2610" s="129"/>
      <c r="H2610" s="129"/>
      <c r="I2610" s="129"/>
      <c r="J2610" s="129"/>
      <c r="K2610" s="129"/>
      <c r="L2610" s="129"/>
      <c r="M2610" s="129"/>
      <c r="N2610" s="129"/>
      <c r="O2610" s="129"/>
      <c r="P2610" s="129"/>
      <c r="Q2610" s="129"/>
      <c r="R2610" s="129"/>
      <c r="S2610" s="129"/>
      <c r="T2610" s="129"/>
      <c r="U2610" s="129"/>
      <c r="V2610" s="129"/>
      <c r="W2610" s="129"/>
      <c r="X2610" s="129"/>
      <c r="Y2610" s="129"/>
      <c r="Z2610" s="129"/>
      <c r="AA2610" s="129"/>
      <c r="AB2610" s="129"/>
    </row>
    <row r="2611" hidden="1">
      <c r="A2611" s="128" t="s">
        <v>130</v>
      </c>
      <c r="B2611" s="147">
        <v>0.0</v>
      </c>
      <c r="C2611" s="147">
        <v>0.0</v>
      </c>
      <c r="D2611" s="132">
        <f t="shared" si="242"/>
        <v>0</v>
      </c>
      <c r="E2611" s="394" t="s">
        <v>120</v>
      </c>
      <c r="F2611" s="139"/>
      <c r="G2611" s="128"/>
      <c r="H2611" s="129"/>
      <c r="I2611" s="129"/>
      <c r="J2611" s="129"/>
      <c r="K2611" s="129"/>
      <c r="L2611" s="129"/>
      <c r="M2611" s="129"/>
      <c r="N2611" s="129"/>
      <c r="O2611" s="129"/>
      <c r="P2611" s="129"/>
      <c r="Q2611" s="129"/>
      <c r="R2611" s="129"/>
      <c r="S2611" s="129"/>
      <c r="T2611" s="129"/>
      <c r="U2611" s="129"/>
      <c r="V2611" s="129"/>
      <c r="W2611" s="129"/>
      <c r="X2611" s="129"/>
      <c r="Y2611" s="129"/>
      <c r="Z2611" s="129"/>
      <c r="AA2611" s="129"/>
      <c r="AB2611" s="129"/>
    </row>
    <row r="2612" hidden="1">
      <c r="A2612" s="128" t="s">
        <v>1374</v>
      </c>
      <c r="B2612" s="147">
        <v>890.0</v>
      </c>
      <c r="C2612" s="147">
        <v>1225.0</v>
      </c>
      <c r="D2612" s="132">
        <f t="shared" si="242"/>
        <v>335</v>
      </c>
      <c r="E2612" s="132" t="s">
        <v>123</v>
      </c>
      <c r="F2612" s="139"/>
      <c r="G2612" s="128"/>
      <c r="H2612" s="129"/>
      <c r="I2612" s="129"/>
      <c r="J2612" s="129"/>
      <c r="K2612" s="129"/>
      <c r="L2612" s="129"/>
      <c r="M2612" s="129"/>
      <c r="N2612" s="129"/>
      <c r="O2612" s="129"/>
      <c r="P2612" s="129"/>
      <c r="Q2612" s="129"/>
      <c r="R2612" s="129"/>
      <c r="S2612" s="129"/>
      <c r="T2612" s="129"/>
      <c r="U2612" s="129"/>
      <c r="V2612" s="129"/>
      <c r="W2612" s="129"/>
      <c r="X2612" s="129"/>
      <c r="Y2612" s="129"/>
      <c r="Z2612" s="129"/>
      <c r="AA2612" s="129"/>
      <c r="AB2612" s="129"/>
    </row>
    <row r="2613" hidden="1">
      <c r="A2613" s="128" t="s">
        <v>1140</v>
      </c>
      <c r="B2613" s="147">
        <v>1340.0</v>
      </c>
      <c r="C2613" s="147">
        <v>1530.0</v>
      </c>
      <c r="D2613" s="132">
        <f t="shared" si="242"/>
        <v>190</v>
      </c>
      <c r="E2613" s="394" t="s">
        <v>120</v>
      </c>
      <c r="F2613" s="139"/>
      <c r="G2613" s="129"/>
      <c r="H2613" s="129"/>
      <c r="I2613" s="129"/>
      <c r="J2613" s="129"/>
      <c r="K2613" s="129"/>
      <c r="L2613" s="129"/>
      <c r="M2613" s="129"/>
      <c r="N2613" s="129"/>
      <c r="O2613" s="129"/>
      <c r="P2613" s="129"/>
      <c r="Q2613" s="129"/>
      <c r="R2613" s="129"/>
      <c r="S2613" s="129"/>
      <c r="T2613" s="129"/>
      <c r="U2613" s="129"/>
      <c r="V2613" s="129"/>
      <c r="W2613" s="129"/>
      <c r="X2613" s="129"/>
      <c r="Y2613" s="129"/>
      <c r="Z2613" s="129"/>
      <c r="AA2613" s="129"/>
      <c r="AB2613" s="129"/>
    </row>
    <row r="2614" hidden="1">
      <c r="A2614" s="123" t="s">
        <v>477</v>
      </c>
      <c r="B2614" s="147">
        <v>1140.0</v>
      </c>
      <c r="C2614" s="147">
        <v>1390.0</v>
      </c>
      <c r="D2614" s="132">
        <f t="shared" si="242"/>
        <v>250</v>
      </c>
      <c r="E2614" s="171" t="s">
        <v>120</v>
      </c>
      <c r="F2614" s="124"/>
    </row>
    <row r="2615" hidden="1">
      <c r="A2615" s="123" t="s">
        <v>455</v>
      </c>
      <c r="B2615" s="147">
        <v>1140.0</v>
      </c>
      <c r="C2615" s="147">
        <v>1390.0</v>
      </c>
      <c r="D2615" s="132">
        <f t="shared" si="242"/>
        <v>250</v>
      </c>
      <c r="E2615" s="171" t="s">
        <v>120</v>
      </c>
      <c r="F2615" s="124"/>
    </row>
    <row r="2616" hidden="1">
      <c r="A2616" s="128" t="s">
        <v>404</v>
      </c>
      <c r="B2616" s="147">
        <v>1240.0</v>
      </c>
      <c r="C2616" s="124">
        <v>1318.0</v>
      </c>
      <c r="D2616" s="132">
        <f t="shared" si="242"/>
        <v>78</v>
      </c>
      <c r="E2616" s="126" t="s">
        <v>123</v>
      </c>
      <c r="F2616" s="124"/>
      <c r="G2616" s="129"/>
      <c r="H2616" s="129"/>
      <c r="I2616" s="129"/>
      <c r="J2616" s="129"/>
      <c r="K2616" s="129"/>
      <c r="L2616" s="129"/>
      <c r="M2616" s="129"/>
      <c r="N2616" s="129"/>
      <c r="O2616" s="129"/>
      <c r="P2616" s="129"/>
      <c r="Q2616" s="129"/>
      <c r="R2616" s="129"/>
      <c r="S2616" s="129"/>
      <c r="T2616" s="129"/>
      <c r="U2616" s="129"/>
      <c r="V2616" s="129"/>
      <c r="W2616" s="129"/>
      <c r="X2616" s="129"/>
      <c r="Y2616" s="129"/>
      <c r="Z2616" s="129"/>
      <c r="AA2616" s="129"/>
      <c r="AB2616" s="129"/>
    </row>
    <row r="2617" hidden="1">
      <c r="A2617" s="123" t="s">
        <v>1373</v>
      </c>
      <c r="B2617" s="147">
        <v>640.0</v>
      </c>
      <c r="C2617" s="147">
        <v>853.0</v>
      </c>
      <c r="D2617" s="132">
        <f t="shared" si="242"/>
        <v>213</v>
      </c>
      <c r="E2617" s="171" t="s">
        <v>120</v>
      </c>
      <c r="F2617" s="124"/>
    </row>
    <row r="2618" hidden="1">
      <c r="A2618" s="142" t="s">
        <v>447</v>
      </c>
      <c r="B2618" s="147">
        <v>2470.0</v>
      </c>
      <c r="C2618" s="147">
        <v>3200.0</v>
      </c>
      <c r="D2618" s="132">
        <f t="shared" si="242"/>
        <v>730</v>
      </c>
      <c r="E2618" s="147" t="s">
        <v>123</v>
      </c>
      <c r="F2618" s="139"/>
      <c r="G2618" s="129"/>
      <c r="H2618" s="129"/>
      <c r="I2618" s="129"/>
      <c r="J2618" s="129"/>
      <c r="K2618" s="129"/>
      <c r="L2618" s="129"/>
      <c r="M2618" s="129"/>
      <c r="N2618" s="129"/>
      <c r="O2618" s="129"/>
      <c r="P2618" s="129"/>
      <c r="Q2618" s="129"/>
      <c r="R2618" s="129"/>
      <c r="S2618" s="129"/>
      <c r="T2618" s="129"/>
      <c r="U2618" s="129"/>
      <c r="V2618" s="129"/>
      <c r="W2618" s="129"/>
      <c r="X2618" s="129"/>
      <c r="Y2618" s="129"/>
      <c r="Z2618" s="129"/>
      <c r="AA2618" s="129"/>
      <c r="AB2618" s="129"/>
    </row>
    <row r="2619" hidden="1">
      <c r="A2619" s="142" t="s">
        <v>461</v>
      </c>
      <c r="B2619" s="147">
        <v>0.0</v>
      </c>
      <c r="C2619" s="147">
        <v>0.0</v>
      </c>
      <c r="D2619" s="132">
        <f t="shared" si="242"/>
        <v>0</v>
      </c>
      <c r="E2619" s="126" t="s">
        <v>123</v>
      </c>
      <c r="F2619" s="139"/>
      <c r="G2619" s="129"/>
      <c r="H2619" s="129"/>
      <c r="I2619" s="129"/>
      <c r="J2619" s="129"/>
      <c r="K2619" s="129"/>
      <c r="L2619" s="129"/>
      <c r="M2619" s="129"/>
      <c r="N2619" s="129"/>
      <c r="O2619" s="129"/>
      <c r="P2619" s="129"/>
      <c r="Q2619" s="129"/>
      <c r="R2619" s="129"/>
      <c r="S2619" s="129"/>
      <c r="T2619" s="129"/>
      <c r="U2619" s="129"/>
      <c r="V2619" s="129"/>
      <c r="W2619" s="129"/>
      <c r="X2619" s="129"/>
      <c r="Y2619" s="129"/>
      <c r="Z2619" s="129"/>
      <c r="AA2619" s="129"/>
      <c r="AB2619" s="129"/>
    </row>
    <row r="2620" hidden="1">
      <c r="A2620" s="128" t="s">
        <v>1395</v>
      </c>
      <c r="B2620" s="147">
        <v>0.0</v>
      </c>
      <c r="C2620" s="147">
        <v>0.0</v>
      </c>
      <c r="D2620" s="132">
        <f t="shared" si="242"/>
        <v>0</v>
      </c>
      <c r="E2620" s="126" t="s">
        <v>123</v>
      </c>
      <c r="F2620" s="147"/>
      <c r="G2620" s="129"/>
      <c r="H2620" s="129"/>
      <c r="I2620" s="129"/>
      <c r="J2620" s="129"/>
      <c r="K2620" s="129"/>
      <c r="L2620" s="129"/>
      <c r="M2620" s="129"/>
      <c r="N2620" s="129"/>
      <c r="O2620" s="129"/>
      <c r="P2620" s="129"/>
      <c r="Q2620" s="129"/>
      <c r="R2620" s="129"/>
      <c r="S2620" s="129"/>
      <c r="T2620" s="129"/>
      <c r="U2620" s="129"/>
      <c r="V2620" s="129"/>
      <c r="W2620" s="129"/>
      <c r="X2620" s="129"/>
      <c r="Y2620" s="129"/>
      <c r="Z2620" s="129"/>
      <c r="AA2620" s="129"/>
      <c r="AB2620" s="129"/>
    </row>
    <row r="2621" hidden="1">
      <c r="A2621" s="128" t="s">
        <v>1313</v>
      </c>
      <c r="B2621" s="147">
        <v>540.0</v>
      </c>
      <c r="C2621" s="147">
        <v>756.0</v>
      </c>
      <c r="D2621" s="132">
        <f t="shared" si="242"/>
        <v>216</v>
      </c>
      <c r="E2621" s="126" t="s">
        <v>123</v>
      </c>
      <c r="F2621" s="139"/>
      <c r="G2621" s="129"/>
      <c r="H2621" s="129"/>
      <c r="I2621" s="129"/>
      <c r="J2621" s="129"/>
      <c r="K2621" s="129"/>
      <c r="L2621" s="129"/>
      <c r="M2621" s="129"/>
      <c r="N2621" s="129"/>
      <c r="O2621" s="129"/>
      <c r="P2621" s="129"/>
      <c r="Q2621" s="129"/>
      <c r="R2621" s="129"/>
      <c r="S2621" s="129"/>
      <c r="T2621" s="129"/>
      <c r="U2621" s="129"/>
      <c r="V2621" s="129"/>
      <c r="W2621" s="129"/>
      <c r="X2621" s="129"/>
      <c r="Y2621" s="129"/>
      <c r="Z2621" s="129"/>
      <c r="AA2621" s="129"/>
      <c r="AB2621" s="129"/>
    </row>
    <row r="2622" hidden="1">
      <c r="A2622" s="128" t="s">
        <v>1400</v>
      </c>
      <c r="B2622" s="147">
        <v>1300.0</v>
      </c>
      <c r="C2622" s="147">
        <v>1477.0</v>
      </c>
      <c r="D2622" s="132">
        <f t="shared" si="242"/>
        <v>177</v>
      </c>
      <c r="E2622" s="171" t="s">
        <v>120</v>
      </c>
      <c r="F2622" s="132"/>
      <c r="G2622" s="129"/>
      <c r="H2622" s="129"/>
      <c r="I2622" s="129"/>
      <c r="J2622" s="129"/>
      <c r="K2622" s="129"/>
      <c r="L2622" s="129"/>
      <c r="M2622" s="129"/>
      <c r="N2622" s="129"/>
      <c r="O2622" s="129"/>
      <c r="P2622" s="129"/>
      <c r="Q2622" s="129"/>
      <c r="R2622" s="129"/>
      <c r="S2622" s="129"/>
      <c r="T2622" s="129"/>
      <c r="U2622" s="129"/>
      <c r="V2622" s="129"/>
      <c r="W2622" s="129"/>
      <c r="X2622" s="129"/>
      <c r="Y2622" s="129"/>
      <c r="Z2622" s="129"/>
      <c r="AA2622" s="129"/>
      <c r="AB2622" s="129"/>
    </row>
    <row r="2623" hidden="1">
      <c r="A2623" s="123" t="s">
        <v>1385</v>
      </c>
      <c r="B2623" s="386">
        <v>1400.0</v>
      </c>
      <c r="C2623" s="386">
        <v>1567.0</v>
      </c>
      <c r="D2623" s="170">
        <f t="shared" si="242"/>
        <v>167</v>
      </c>
      <c r="E2623" s="126" t="s">
        <v>123</v>
      </c>
      <c r="F2623" s="147"/>
      <c r="G2623" s="123"/>
    </row>
    <row r="2624" hidden="1">
      <c r="A2624" s="123" t="s">
        <v>1385</v>
      </c>
      <c r="B2624" s="386">
        <v>1400.0</v>
      </c>
      <c r="C2624" s="386">
        <v>1567.0</v>
      </c>
      <c r="D2624" s="170">
        <f t="shared" si="242"/>
        <v>167</v>
      </c>
      <c r="E2624" s="126" t="s">
        <v>123</v>
      </c>
      <c r="F2624" s="147"/>
      <c r="G2624" s="123"/>
    </row>
    <row r="2625" hidden="1">
      <c r="A2625" s="128" t="s">
        <v>1401</v>
      </c>
      <c r="B2625" s="147">
        <v>990.0</v>
      </c>
      <c r="C2625" s="127">
        <v>1160.0</v>
      </c>
      <c r="D2625" s="132">
        <f t="shared" si="242"/>
        <v>170</v>
      </c>
      <c r="E2625" s="147" t="s">
        <v>120</v>
      </c>
      <c r="F2625" s="147"/>
      <c r="G2625" s="129"/>
      <c r="H2625" s="129"/>
      <c r="I2625" s="129"/>
      <c r="J2625" s="129"/>
      <c r="K2625" s="129"/>
      <c r="L2625" s="129"/>
      <c r="M2625" s="129"/>
      <c r="N2625" s="129"/>
      <c r="O2625" s="129"/>
      <c r="P2625" s="129"/>
      <c r="Q2625" s="129"/>
      <c r="R2625" s="129"/>
      <c r="S2625" s="129"/>
      <c r="T2625" s="129"/>
      <c r="U2625" s="129"/>
      <c r="V2625" s="129"/>
      <c r="W2625" s="129"/>
      <c r="X2625" s="129"/>
      <c r="Y2625" s="129"/>
      <c r="Z2625" s="129"/>
      <c r="AA2625" s="129"/>
      <c r="AB2625" s="129"/>
    </row>
    <row r="2626" hidden="1">
      <c r="A2626" s="123" t="s">
        <v>1385</v>
      </c>
      <c r="B2626" s="386">
        <v>1400.0</v>
      </c>
      <c r="C2626" s="386">
        <v>1559.0</v>
      </c>
      <c r="D2626" s="170">
        <f t="shared" si="242"/>
        <v>159</v>
      </c>
      <c r="E2626" s="126" t="s">
        <v>123</v>
      </c>
      <c r="F2626" s="147"/>
      <c r="G2626" s="123"/>
    </row>
    <row r="2627" hidden="1">
      <c r="A2627" s="128" t="s">
        <v>1400</v>
      </c>
      <c r="B2627" s="147">
        <v>1300.0</v>
      </c>
      <c r="C2627" s="147">
        <v>1483.0</v>
      </c>
      <c r="D2627" s="132">
        <f t="shared" si="242"/>
        <v>183</v>
      </c>
      <c r="E2627" s="171" t="s">
        <v>120</v>
      </c>
      <c r="F2627" s="132"/>
      <c r="G2627" s="129"/>
      <c r="H2627" s="129"/>
      <c r="I2627" s="129"/>
      <c r="J2627" s="129"/>
      <c r="K2627" s="129"/>
      <c r="L2627" s="129"/>
      <c r="M2627" s="129"/>
      <c r="N2627" s="129"/>
      <c r="O2627" s="129"/>
      <c r="P2627" s="129"/>
      <c r="Q2627" s="129"/>
      <c r="R2627" s="129"/>
      <c r="S2627" s="129"/>
      <c r="T2627" s="129"/>
      <c r="U2627" s="129"/>
      <c r="V2627" s="129"/>
      <c r="W2627" s="129"/>
      <c r="X2627" s="129"/>
      <c r="Y2627" s="129"/>
      <c r="Z2627" s="129"/>
      <c r="AA2627" s="129"/>
      <c r="AB2627" s="129"/>
    </row>
    <row r="2628" hidden="1">
      <c r="A2628" s="128" t="s">
        <v>1402</v>
      </c>
      <c r="B2628" s="147">
        <v>1930.0</v>
      </c>
      <c r="C2628" s="147">
        <v>2571.0</v>
      </c>
      <c r="D2628" s="132">
        <f t="shared" si="242"/>
        <v>641</v>
      </c>
      <c r="E2628" s="171" t="s">
        <v>123</v>
      </c>
      <c r="F2628" s="139"/>
      <c r="G2628" s="128"/>
      <c r="H2628" s="129"/>
      <c r="I2628" s="129"/>
      <c r="J2628" s="129"/>
      <c r="K2628" s="129"/>
      <c r="L2628" s="129"/>
      <c r="M2628" s="129"/>
      <c r="N2628" s="129"/>
      <c r="O2628" s="129"/>
      <c r="P2628" s="129"/>
      <c r="Q2628" s="129"/>
      <c r="R2628" s="129"/>
      <c r="S2628" s="129"/>
      <c r="T2628" s="129"/>
      <c r="U2628" s="129"/>
      <c r="V2628" s="129"/>
      <c r="W2628" s="129"/>
      <c r="X2628" s="129"/>
      <c r="Y2628" s="129"/>
      <c r="Z2628" s="129"/>
      <c r="AA2628" s="129"/>
      <c r="AB2628" s="129"/>
    </row>
    <row r="2629" hidden="1">
      <c r="A2629" s="128" t="s">
        <v>1403</v>
      </c>
      <c r="B2629" s="147">
        <v>0.0</v>
      </c>
      <c r="C2629" s="147">
        <v>0.0</v>
      </c>
      <c r="D2629" s="132">
        <f t="shared" si="242"/>
        <v>0</v>
      </c>
      <c r="E2629" s="171" t="s">
        <v>120</v>
      </c>
      <c r="F2629" s="139"/>
      <c r="G2629" s="129"/>
      <c r="H2629" s="129"/>
      <c r="I2629" s="129"/>
      <c r="J2629" s="129"/>
      <c r="K2629" s="129"/>
      <c r="L2629" s="129"/>
      <c r="M2629" s="129"/>
      <c r="N2629" s="129"/>
      <c r="O2629" s="129"/>
      <c r="P2629" s="129"/>
      <c r="Q2629" s="129"/>
      <c r="R2629" s="129"/>
      <c r="S2629" s="129"/>
      <c r="T2629" s="129"/>
      <c r="U2629" s="129"/>
      <c r="V2629" s="129"/>
      <c r="W2629" s="129"/>
      <c r="X2629" s="129"/>
      <c r="Y2629" s="129"/>
      <c r="Z2629" s="129"/>
      <c r="AA2629" s="129"/>
      <c r="AB2629" s="129"/>
    </row>
    <row r="2630" hidden="1">
      <c r="A2630" s="123" t="s">
        <v>1212</v>
      </c>
      <c r="B2630" s="147">
        <v>1300.0</v>
      </c>
      <c r="C2630" s="147">
        <v>1515.0</v>
      </c>
      <c r="D2630" s="125">
        <f t="shared" si="242"/>
        <v>215</v>
      </c>
      <c r="E2630" s="126" t="s">
        <v>123</v>
      </c>
      <c r="F2630" s="127"/>
      <c r="G2630" s="123"/>
    </row>
    <row r="2631" hidden="1">
      <c r="A2631" s="123" t="s">
        <v>1385</v>
      </c>
      <c r="B2631" s="386">
        <v>1400.0</v>
      </c>
      <c r="C2631" s="386">
        <v>1597.0</v>
      </c>
      <c r="D2631" s="170">
        <f t="shared" si="242"/>
        <v>197</v>
      </c>
      <c r="E2631" s="126" t="s">
        <v>123</v>
      </c>
      <c r="F2631" s="147"/>
      <c r="G2631" s="123"/>
    </row>
    <row r="2632" hidden="1">
      <c r="A2632" s="123" t="s">
        <v>1385</v>
      </c>
      <c r="B2632" s="386">
        <v>1400.0</v>
      </c>
      <c r="C2632" s="386">
        <v>1567.0</v>
      </c>
      <c r="D2632" s="170">
        <f t="shared" si="242"/>
        <v>167</v>
      </c>
      <c r="E2632" s="126" t="s">
        <v>123</v>
      </c>
      <c r="F2632" s="147"/>
      <c r="G2632" s="123"/>
    </row>
    <row r="2633" hidden="1">
      <c r="A2633" s="123" t="s">
        <v>1385</v>
      </c>
      <c r="B2633" s="386">
        <v>1400.0</v>
      </c>
      <c r="C2633" s="386">
        <v>1570.0</v>
      </c>
      <c r="D2633" s="170">
        <f t="shared" si="242"/>
        <v>170</v>
      </c>
      <c r="E2633" s="126" t="s">
        <v>123</v>
      </c>
      <c r="F2633" s="147"/>
      <c r="G2633" s="123"/>
    </row>
    <row r="2634" hidden="1">
      <c r="A2634" s="128" t="s">
        <v>1404</v>
      </c>
      <c r="B2634" s="147">
        <v>1300.0</v>
      </c>
      <c r="C2634" s="147">
        <v>1502.0</v>
      </c>
      <c r="D2634" s="132">
        <f t="shared" si="242"/>
        <v>202</v>
      </c>
      <c r="E2634" s="171" t="s">
        <v>120</v>
      </c>
      <c r="F2634" s="132"/>
      <c r="G2634" s="129"/>
      <c r="H2634" s="129"/>
      <c r="I2634" s="129"/>
      <c r="J2634" s="129"/>
      <c r="K2634" s="129"/>
      <c r="L2634" s="129"/>
      <c r="M2634" s="129"/>
      <c r="N2634" s="129"/>
      <c r="O2634" s="129"/>
      <c r="P2634" s="129"/>
      <c r="Q2634" s="129"/>
      <c r="R2634" s="129"/>
      <c r="S2634" s="129"/>
      <c r="T2634" s="129"/>
      <c r="U2634" s="129"/>
      <c r="V2634" s="129"/>
      <c r="W2634" s="129"/>
      <c r="X2634" s="129"/>
      <c r="Y2634" s="129"/>
      <c r="Z2634" s="129"/>
      <c r="AA2634" s="129"/>
      <c r="AB2634" s="129"/>
    </row>
    <row r="2635" hidden="1">
      <c r="A2635" s="128" t="s">
        <v>1176</v>
      </c>
      <c r="B2635" s="147">
        <v>1300.0</v>
      </c>
      <c r="C2635" s="147">
        <v>1483.0</v>
      </c>
      <c r="D2635" s="132">
        <f t="shared" si="242"/>
        <v>183</v>
      </c>
      <c r="E2635" s="171" t="s">
        <v>120</v>
      </c>
      <c r="F2635" s="132"/>
      <c r="G2635" s="129"/>
      <c r="H2635" s="129"/>
      <c r="I2635" s="129"/>
      <c r="J2635" s="129"/>
      <c r="K2635" s="129"/>
      <c r="L2635" s="129"/>
      <c r="M2635" s="129"/>
      <c r="N2635" s="129"/>
      <c r="O2635" s="129"/>
      <c r="P2635" s="129"/>
      <c r="Q2635" s="129"/>
      <c r="R2635" s="129"/>
      <c r="S2635" s="129"/>
      <c r="T2635" s="129"/>
      <c r="U2635" s="129"/>
      <c r="V2635" s="129"/>
      <c r="W2635" s="129"/>
      <c r="X2635" s="129"/>
      <c r="Y2635" s="129"/>
      <c r="Z2635" s="129"/>
      <c r="AA2635" s="129"/>
      <c r="AB2635" s="129"/>
    </row>
    <row r="2636" hidden="1">
      <c r="A2636" s="128" t="s">
        <v>1300</v>
      </c>
      <c r="B2636" s="147">
        <v>1340.0</v>
      </c>
      <c r="C2636" s="147">
        <v>1519.0</v>
      </c>
      <c r="D2636" s="132">
        <f t="shared" si="242"/>
        <v>179</v>
      </c>
      <c r="E2636" s="126" t="s">
        <v>123</v>
      </c>
      <c r="F2636" s="132"/>
      <c r="G2636" s="129"/>
      <c r="H2636" s="129"/>
      <c r="I2636" s="129"/>
      <c r="J2636" s="129"/>
      <c r="K2636" s="129"/>
      <c r="L2636" s="129"/>
      <c r="M2636" s="129"/>
      <c r="N2636" s="129"/>
      <c r="O2636" s="129"/>
      <c r="P2636" s="129"/>
      <c r="Q2636" s="129"/>
      <c r="R2636" s="129"/>
      <c r="S2636" s="129"/>
      <c r="T2636" s="129"/>
      <c r="U2636" s="129"/>
      <c r="V2636" s="129"/>
      <c r="W2636" s="129"/>
      <c r="X2636" s="129"/>
      <c r="Y2636" s="129"/>
      <c r="Z2636" s="129"/>
      <c r="AA2636" s="129"/>
      <c r="AB2636" s="129"/>
    </row>
    <row r="2637" hidden="1">
      <c r="A2637" s="123" t="s">
        <v>1385</v>
      </c>
      <c r="B2637" s="386">
        <v>1400.0</v>
      </c>
      <c r="C2637" s="386">
        <v>1551.0</v>
      </c>
      <c r="D2637" s="170">
        <f t="shared" si="242"/>
        <v>151</v>
      </c>
      <c r="E2637" s="126" t="s">
        <v>123</v>
      </c>
      <c r="F2637" s="147"/>
      <c r="G2637" s="123"/>
    </row>
    <row r="2638" hidden="1">
      <c r="A2638" s="123" t="s">
        <v>1212</v>
      </c>
      <c r="B2638" s="147">
        <v>1300.0</v>
      </c>
      <c r="C2638" s="147">
        <v>1507.0</v>
      </c>
      <c r="D2638" s="125">
        <f t="shared" si="242"/>
        <v>207</v>
      </c>
      <c r="E2638" s="126" t="s">
        <v>123</v>
      </c>
      <c r="F2638" s="127"/>
      <c r="G2638" s="123"/>
    </row>
    <row r="2639" hidden="1">
      <c r="A2639" s="128" t="s">
        <v>1405</v>
      </c>
      <c r="B2639" s="147">
        <v>690.0</v>
      </c>
      <c r="C2639" s="147">
        <v>1153.0</v>
      </c>
      <c r="D2639" s="132">
        <f t="shared" si="242"/>
        <v>463</v>
      </c>
      <c r="E2639" s="126" t="s">
        <v>123</v>
      </c>
      <c r="F2639" s="132"/>
      <c r="G2639" s="129"/>
      <c r="H2639" s="129"/>
      <c r="I2639" s="129"/>
      <c r="J2639" s="129"/>
      <c r="K2639" s="129"/>
      <c r="L2639" s="129"/>
      <c r="M2639" s="129"/>
      <c r="N2639" s="129"/>
      <c r="O2639" s="129"/>
      <c r="P2639" s="129"/>
      <c r="Q2639" s="129"/>
      <c r="R2639" s="129"/>
      <c r="S2639" s="129"/>
      <c r="T2639" s="129"/>
      <c r="U2639" s="129"/>
      <c r="V2639" s="129"/>
      <c r="W2639" s="129"/>
      <c r="X2639" s="129"/>
      <c r="Y2639" s="129"/>
      <c r="Z2639" s="129"/>
      <c r="AA2639" s="129"/>
      <c r="AB2639" s="129"/>
    </row>
    <row r="2640" hidden="1">
      <c r="A2640" s="142" t="s">
        <v>447</v>
      </c>
      <c r="B2640" s="147">
        <v>990.0</v>
      </c>
      <c r="C2640" s="147">
        <v>1145.0</v>
      </c>
      <c r="D2640" s="132">
        <f t="shared" si="242"/>
        <v>155</v>
      </c>
      <c r="E2640" s="147" t="s">
        <v>123</v>
      </c>
      <c r="F2640" s="139"/>
      <c r="G2640" s="129"/>
      <c r="H2640" s="129"/>
      <c r="I2640" s="129"/>
      <c r="J2640" s="129"/>
      <c r="K2640" s="129"/>
      <c r="L2640" s="129"/>
      <c r="M2640" s="129"/>
      <c r="N2640" s="129"/>
      <c r="O2640" s="129"/>
      <c r="P2640" s="129"/>
      <c r="Q2640" s="129"/>
      <c r="R2640" s="129"/>
      <c r="S2640" s="129"/>
      <c r="T2640" s="129"/>
      <c r="U2640" s="129"/>
      <c r="V2640" s="129"/>
      <c r="W2640" s="129"/>
      <c r="X2640" s="129"/>
      <c r="Y2640" s="129"/>
      <c r="Z2640" s="129"/>
      <c r="AA2640" s="129"/>
      <c r="AB2640" s="129"/>
    </row>
    <row r="2641" hidden="1">
      <c r="A2641" s="128" t="s">
        <v>446</v>
      </c>
      <c r="B2641" s="124">
        <v>1400.0</v>
      </c>
      <c r="C2641" s="124">
        <v>1566.0</v>
      </c>
      <c r="D2641" s="132">
        <f t="shared" si="242"/>
        <v>166</v>
      </c>
      <c r="E2641" s="126" t="s">
        <v>123</v>
      </c>
      <c r="F2641" s="139"/>
      <c r="G2641" s="129"/>
      <c r="H2641" s="129"/>
      <c r="I2641" s="129"/>
      <c r="J2641" s="129"/>
      <c r="K2641" s="129"/>
      <c r="L2641" s="129"/>
      <c r="M2641" s="129"/>
      <c r="N2641" s="129"/>
      <c r="O2641" s="129"/>
      <c r="P2641" s="129"/>
      <c r="Q2641" s="129"/>
      <c r="R2641" s="129"/>
      <c r="S2641" s="129"/>
      <c r="T2641" s="129"/>
      <c r="U2641" s="129"/>
      <c r="V2641" s="129"/>
      <c r="W2641" s="129"/>
      <c r="X2641" s="129"/>
      <c r="Y2641" s="129"/>
      <c r="Z2641" s="129"/>
      <c r="AA2641" s="129"/>
      <c r="AB2641" s="129"/>
    </row>
    <row r="2642" hidden="1">
      <c r="A2642" s="128" t="s">
        <v>1372</v>
      </c>
      <c r="B2642" s="167">
        <v>1400.0</v>
      </c>
      <c r="C2642" s="167">
        <v>1540.0</v>
      </c>
      <c r="D2642" s="168">
        <f t="shared" si="242"/>
        <v>140</v>
      </c>
      <c r="E2642" s="132" t="s">
        <v>123</v>
      </c>
      <c r="F2642" s="127"/>
      <c r="G2642" s="150"/>
      <c r="H2642" s="129"/>
      <c r="I2642" s="129"/>
      <c r="J2642" s="129"/>
      <c r="K2642" s="129"/>
      <c r="L2642" s="129"/>
      <c r="M2642" s="129"/>
      <c r="N2642" s="129"/>
      <c r="O2642" s="129"/>
      <c r="P2642" s="129"/>
      <c r="Q2642" s="129"/>
      <c r="R2642" s="129"/>
      <c r="S2642" s="129"/>
      <c r="T2642" s="129"/>
      <c r="U2642" s="129"/>
      <c r="V2642" s="129"/>
      <c r="W2642" s="129"/>
      <c r="X2642" s="129"/>
      <c r="Y2642" s="129"/>
      <c r="Z2642" s="129"/>
      <c r="AA2642" s="129"/>
      <c r="AB2642" s="129"/>
    </row>
    <row r="2643" hidden="1">
      <c r="A2643" s="123" t="s">
        <v>1095</v>
      </c>
      <c r="B2643" s="147">
        <v>2290.0</v>
      </c>
      <c r="C2643" s="124">
        <v>3000.0</v>
      </c>
      <c r="D2643" s="125">
        <f t="shared" si="242"/>
        <v>710</v>
      </c>
      <c r="E2643" s="126" t="s">
        <v>123</v>
      </c>
      <c r="F2643" s="124"/>
    </row>
    <row r="2644" hidden="1">
      <c r="A2644" s="123" t="s">
        <v>1385</v>
      </c>
      <c r="B2644" s="386">
        <v>1400.0</v>
      </c>
      <c r="C2644" s="386">
        <v>1537.0</v>
      </c>
      <c r="D2644" s="170">
        <f t="shared" si="242"/>
        <v>137</v>
      </c>
      <c r="E2644" s="126" t="s">
        <v>123</v>
      </c>
      <c r="F2644" s="147"/>
      <c r="G2644" s="123"/>
    </row>
    <row r="2645" hidden="1">
      <c r="A2645" s="128" t="s">
        <v>1406</v>
      </c>
      <c r="B2645" s="147">
        <v>750.0</v>
      </c>
      <c r="C2645" s="127">
        <v>1022.0</v>
      </c>
      <c r="D2645" s="132">
        <f t="shared" si="242"/>
        <v>272</v>
      </c>
      <c r="E2645" s="126" t="s">
        <v>123</v>
      </c>
      <c r="F2645" s="132"/>
      <c r="G2645" s="129"/>
      <c r="H2645" s="129"/>
      <c r="I2645" s="129"/>
      <c r="J2645" s="129"/>
      <c r="K2645" s="129"/>
      <c r="L2645" s="129"/>
      <c r="M2645" s="129"/>
      <c r="N2645" s="129"/>
      <c r="O2645" s="129"/>
      <c r="P2645" s="129"/>
      <c r="Q2645" s="129"/>
      <c r="R2645" s="129"/>
      <c r="S2645" s="129"/>
      <c r="T2645" s="129"/>
      <c r="U2645" s="129"/>
      <c r="V2645" s="129"/>
      <c r="W2645" s="129"/>
      <c r="X2645" s="129"/>
      <c r="Y2645" s="129"/>
      <c r="Z2645" s="129"/>
      <c r="AA2645" s="129"/>
      <c r="AB2645" s="129"/>
    </row>
    <row r="2646" hidden="1">
      <c r="A2646" s="123" t="s">
        <v>1212</v>
      </c>
      <c r="B2646" s="147">
        <v>1300.0</v>
      </c>
      <c r="C2646" s="147">
        <v>1507.0</v>
      </c>
      <c r="D2646" s="125">
        <f t="shared" si="242"/>
        <v>207</v>
      </c>
      <c r="E2646" s="126" t="s">
        <v>123</v>
      </c>
      <c r="F2646" s="127"/>
      <c r="G2646" s="123"/>
    </row>
    <row r="2647" hidden="1">
      <c r="A2647" s="128" t="s">
        <v>1372</v>
      </c>
      <c r="B2647" s="167">
        <v>1400.0</v>
      </c>
      <c r="C2647" s="167">
        <v>1572.0</v>
      </c>
      <c r="D2647" s="168">
        <f t="shared" si="242"/>
        <v>172</v>
      </c>
      <c r="E2647" s="132" t="s">
        <v>123</v>
      </c>
      <c r="F2647" s="127"/>
      <c r="G2647" s="150"/>
      <c r="H2647" s="129"/>
      <c r="I2647" s="129"/>
      <c r="J2647" s="129"/>
      <c r="K2647" s="129"/>
      <c r="L2647" s="129"/>
      <c r="M2647" s="129"/>
      <c r="N2647" s="129"/>
      <c r="O2647" s="129"/>
      <c r="P2647" s="129"/>
      <c r="Q2647" s="129"/>
      <c r="R2647" s="129"/>
      <c r="S2647" s="129"/>
      <c r="T2647" s="129"/>
      <c r="U2647" s="129"/>
      <c r="V2647" s="129"/>
      <c r="W2647" s="129"/>
      <c r="X2647" s="129"/>
      <c r="Y2647" s="129"/>
      <c r="Z2647" s="129"/>
      <c r="AA2647" s="129"/>
      <c r="AB2647" s="129"/>
    </row>
    <row r="2648" hidden="1">
      <c r="A2648" s="128" t="s">
        <v>1216</v>
      </c>
      <c r="B2648" s="147">
        <v>1300.0</v>
      </c>
      <c r="C2648" s="147">
        <v>1535.0</v>
      </c>
      <c r="D2648" s="132">
        <f t="shared" si="242"/>
        <v>235</v>
      </c>
      <c r="E2648" s="171" t="s">
        <v>120</v>
      </c>
      <c r="F2648" s="139"/>
      <c r="G2648" s="129"/>
      <c r="H2648" s="129"/>
      <c r="I2648" s="129"/>
      <c r="J2648" s="129"/>
      <c r="K2648" s="129"/>
      <c r="L2648" s="129"/>
      <c r="M2648" s="129"/>
      <c r="N2648" s="129"/>
      <c r="O2648" s="129"/>
      <c r="P2648" s="129"/>
      <c r="Q2648" s="129"/>
      <c r="R2648" s="129"/>
      <c r="S2648" s="129"/>
      <c r="T2648" s="129"/>
      <c r="U2648" s="129"/>
      <c r="V2648" s="129"/>
      <c r="W2648" s="129"/>
      <c r="X2648" s="129"/>
      <c r="Y2648" s="129"/>
      <c r="Z2648" s="129"/>
      <c r="AA2648" s="129"/>
      <c r="AB2648" s="129"/>
    </row>
    <row r="2649" hidden="1">
      <c r="A2649" s="128" t="s">
        <v>1216</v>
      </c>
      <c r="B2649" s="147">
        <v>1300.0</v>
      </c>
      <c r="C2649" s="147">
        <v>1532.0</v>
      </c>
      <c r="D2649" s="132">
        <f t="shared" si="242"/>
        <v>232</v>
      </c>
      <c r="E2649" s="171" t="s">
        <v>120</v>
      </c>
      <c r="F2649" s="139"/>
      <c r="G2649" s="129"/>
      <c r="H2649" s="129"/>
      <c r="I2649" s="129"/>
      <c r="J2649" s="129"/>
      <c r="K2649" s="129"/>
      <c r="L2649" s="129"/>
      <c r="M2649" s="129"/>
      <c r="N2649" s="129"/>
      <c r="O2649" s="129"/>
      <c r="P2649" s="129"/>
      <c r="Q2649" s="129"/>
      <c r="R2649" s="129"/>
      <c r="S2649" s="129"/>
      <c r="T2649" s="129"/>
      <c r="U2649" s="129"/>
      <c r="V2649" s="129"/>
      <c r="W2649" s="129"/>
      <c r="X2649" s="129"/>
      <c r="Y2649" s="129"/>
      <c r="Z2649" s="129"/>
      <c r="AA2649" s="129"/>
      <c r="AB2649" s="129"/>
    </row>
    <row r="2650" hidden="1">
      <c r="A2650" s="128" t="s">
        <v>1301</v>
      </c>
      <c r="B2650" s="147">
        <v>2740.0</v>
      </c>
      <c r="C2650" s="124">
        <v>3634.0</v>
      </c>
      <c r="D2650" s="132">
        <f t="shared" si="242"/>
        <v>894</v>
      </c>
      <c r="E2650" s="126" t="s">
        <v>123</v>
      </c>
      <c r="F2650" s="147"/>
      <c r="G2650" s="129"/>
      <c r="H2650" s="129"/>
      <c r="I2650" s="129"/>
      <c r="J2650" s="129"/>
      <c r="K2650" s="129"/>
      <c r="L2650" s="129"/>
      <c r="M2650" s="129"/>
      <c r="N2650" s="129"/>
      <c r="O2650" s="129"/>
      <c r="P2650" s="129"/>
      <c r="Q2650" s="129"/>
      <c r="R2650" s="129"/>
      <c r="S2650" s="129"/>
      <c r="T2650" s="129"/>
      <c r="U2650" s="129"/>
      <c r="V2650" s="129"/>
      <c r="W2650" s="129"/>
      <c r="X2650" s="129"/>
      <c r="Y2650" s="129"/>
      <c r="Z2650" s="129"/>
      <c r="AA2650" s="129"/>
      <c r="AB2650" s="129"/>
    </row>
    <row r="2651" hidden="1">
      <c r="A2651" s="128" t="s">
        <v>1379</v>
      </c>
      <c r="B2651" s="147">
        <v>0.0</v>
      </c>
      <c r="C2651" s="147">
        <v>0.0</v>
      </c>
      <c r="D2651" s="132">
        <f t="shared" si="242"/>
        <v>0</v>
      </c>
      <c r="E2651" s="132" t="s">
        <v>123</v>
      </c>
      <c r="F2651" s="132"/>
      <c r="G2651" s="129"/>
      <c r="H2651" s="129"/>
      <c r="I2651" s="129"/>
      <c r="J2651" s="129"/>
      <c r="K2651" s="129"/>
      <c r="L2651" s="129"/>
      <c r="M2651" s="129"/>
      <c r="N2651" s="129"/>
      <c r="O2651" s="129"/>
      <c r="P2651" s="129"/>
      <c r="Q2651" s="129"/>
      <c r="R2651" s="129"/>
      <c r="S2651" s="129"/>
      <c r="T2651" s="129"/>
      <c r="U2651" s="129"/>
      <c r="V2651" s="129"/>
      <c r="W2651" s="129"/>
      <c r="X2651" s="129"/>
      <c r="Y2651" s="129"/>
      <c r="Z2651" s="129"/>
      <c r="AA2651" s="129"/>
      <c r="AB2651" s="129"/>
    </row>
    <row r="2652" hidden="1">
      <c r="A2652" s="128" t="s">
        <v>1404</v>
      </c>
      <c r="B2652" s="147">
        <v>1300.0</v>
      </c>
      <c r="C2652" s="147">
        <v>1451.0</v>
      </c>
      <c r="D2652" s="132">
        <f t="shared" si="242"/>
        <v>151</v>
      </c>
      <c r="E2652" s="171" t="s">
        <v>120</v>
      </c>
      <c r="F2652" s="132"/>
      <c r="G2652" s="129"/>
      <c r="H2652" s="129"/>
      <c r="I2652" s="129"/>
      <c r="J2652" s="129"/>
      <c r="K2652" s="129"/>
      <c r="L2652" s="129"/>
      <c r="M2652" s="129"/>
      <c r="N2652" s="129"/>
      <c r="O2652" s="129"/>
      <c r="P2652" s="129"/>
      <c r="Q2652" s="129"/>
      <c r="R2652" s="129"/>
      <c r="S2652" s="129"/>
      <c r="T2652" s="129"/>
      <c r="U2652" s="129"/>
      <c r="V2652" s="129"/>
      <c r="W2652" s="129"/>
      <c r="X2652" s="129"/>
      <c r="Y2652" s="129"/>
      <c r="Z2652" s="129"/>
      <c r="AA2652" s="129"/>
      <c r="AB2652" s="129"/>
    </row>
    <row r="2653" hidden="1">
      <c r="A2653" s="128" t="s">
        <v>1110</v>
      </c>
      <c r="B2653" s="147">
        <v>4500.0</v>
      </c>
      <c r="C2653" s="147">
        <v>6000.0</v>
      </c>
      <c r="D2653" s="132">
        <f t="shared" si="242"/>
        <v>1500</v>
      </c>
      <c r="E2653" s="132" t="s">
        <v>123</v>
      </c>
      <c r="F2653" s="132"/>
      <c r="G2653" s="129"/>
      <c r="H2653" s="129"/>
      <c r="I2653" s="129"/>
      <c r="J2653" s="129"/>
      <c r="K2653" s="129"/>
      <c r="L2653" s="129"/>
      <c r="M2653" s="129"/>
      <c r="N2653" s="129"/>
      <c r="O2653" s="129"/>
      <c r="P2653" s="129"/>
      <c r="Q2653" s="129"/>
      <c r="R2653" s="129"/>
      <c r="S2653" s="129"/>
      <c r="T2653" s="129"/>
      <c r="U2653" s="129"/>
      <c r="V2653" s="129"/>
      <c r="W2653" s="129"/>
      <c r="X2653" s="129"/>
      <c r="Y2653" s="129"/>
      <c r="Z2653" s="129"/>
      <c r="AA2653" s="129"/>
      <c r="AB2653" s="129"/>
    </row>
    <row r="2654" hidden="1">
      <c r="A2654" s="123" t="s">
        <v>1347</v>
      </c>
      <c r="B2654" s="147">
        <v>0.0</v>
      </c>
      <c r="C2654" s="147">
        <v>0.0</v>
      </c>
      <c r="D2654" s="132">
        <f t="shared" si="242"/>
        <v>0</v>
      </c>
      <c r="E2654" s="171" t="s">
        <v>120</v>
      </c>
      <c r="F2654" s="124"/>
    </row>
    <row r="2655" hidden="1">
      <c r="A2655" s="123" t="s">
        <v>1407</v>
      </c>
      <c r="B2655" s="147">
        <v>0.0</v>
      </c>
      <c r="C2655" s="147">
        <v>0.0</v>
      </c>
      <c r="D2655" s="125">
        <f t="shared" si="242"/>
        <v>0</v>
      </c>
      <c r="E2655" s="132" t="s">
        <v>123</v>
      </c>
      <c r="F2655" s="127"/>
      <c r="G2655" s="123"/>
    </row>
    <row r="2656" hidden="1">
      <c r="A2656" s="142" t="s">
        <v>1408</v>
      </c>
      <c r="B2656" s="123">
        <v>0.0</v>
      </c>
      <c r="C2656" s="123">
        <v>0.0</v>
      </c>
      <c r="D2656" s="132">
        <f t="shared" si="242"/>
        <v>0</v>
      </c>
      <c r="E2656" s="132" t="s">
        <v>123</v>
      </c>
      <c r="F2656" s="139"/>
      <c r="G2656" s="129"/>
      <c r="H2656" s="129"/>
      <c r="I2656" s="129"/>
      <c r="J2656" s="129"/>
      <c r="K2656" s="129"/>
      <c r="L2656" s="129"/>
      <c r="M2656" s="129"/>
      <c r="N2656" s="129"/>
      <c r="O2656" s="129"/>
      <c r="P2656" s="129"/>
      <c r="Q2656" s="129"/>
      <c r="R2656" s="129"/>
      <c r="S2656" s="129"/>
      <c r="T2656" s="129"/>
      <c r="U2656" s="129"/>
      <c r="V2656" s="129"/>
      <c r="W2656" s="129"/>
      <c r="X2656" s="129"/>
      <c r="Y2656" s="129"/>
      <c r="Z2656" s="129"/>
      <c r="AA2656" s="129"/>
      <c r="AB2656" s="129"/>
    </row>
    <row r="2657" hidden="1">
      <c r="A2657" s="142" t="s">
        <v>1409</v>
      </c>
      <c r="B2657" s="123">
        <v>0.0</v>
      </c>
      <c r="C2657" s="123">
        <v>0.0</v>
      </c>
      <c r="D2657" s="132">
        <f t="shared" si="242"/>
        <v>0</v>
      </c>
      <c r="E2657" s="132" t="s">
        <v>123</v>
      </c>
      <c r="F2657" s="139"/>
      <c r="G2657" s="129"/>
      <c r="H2657" s="129"/>
      <c r="I2657" s="129"/>
      <c r="J2657" s="129"/>
      <c r="K2657" s="129"/>
      <c r="L2657" s="129"/>
      <c r="M2657" s="129"/>
      <c r="N2657" s="129"/>
      <c r="O2657" s="129"/>
      <c r="P2657" s="129"/>
      <c r="Q2657" s="129"/>
      <c r="R2657" s="129"/>
      <c r="S2657" s="129"/>
      <c r="T2657" s="129"/>
      <c r="U2657" s="129"/>
      <c r="V2657" s="129"/>
      <c r="W2657" s="129"/>
      <c r="X2657" s="129"/>
      <c r="Y2657" s="129"/>
      <c r="Z2657" s="129"/>
      <c r="AA2657" s="129"/>
      <c r="AB2657" s="129"/>
    </row>
    <row r="2658" hidden="1">
      <c r="A2658" s="128" t="s">
        <v>1410</v>
      </c>
      <c r="B2658" s="123">
        <v>0.0</v>
      </c>
      <c r="C2658" s="123">
        <v>0.0</v>
      </c>
      <c r="D2658" s="132">
        <f t="shared" si="242"/>
        <v>0</v>
      </c>
      <c r="E2658" s="132" t="s">
        <v>123</v>
      </c>
      <c r="F2658" s="147"/>
      <c r="G2658" s="129"/>
      <c r="H2658" s="129"/>
      <c r="I2658" s="129"/>
      <c r="J2658" s="129"/>
      <c r="K2658" s="129"/>
      <c r="L2658" s="129"/>
      <c r="M2658" s="129"/>
      <c r="N2658" s="129"/>
      <c r="O2658" s="129"/>
      <c r="P2658" s="129"/>
      <c r="Q2658" s="129"/>
      <c r="R2658" s="129"/>
      <c r="S2658" s="129"/>
      <c r="T2658" s="129"/>
      <c r="U2658" s="129"/>
      <c r="V2658" s="129"/>
      <c r="W2658" s="129"/>
      <c r="X2658" s="129"/>
      <c r="Y2658" s="129"/>
      <c r="Z2658" s="129"/>
      <c r="AA2658" s="129"/>
      <c r="AB2658" s="129"/>
    </row>
    <row r="2659" hidden="1">
      <c r="A2659" s="142" t="s">
        <v>1411</v>
      </c>
      <c r="B2659" s="147">
        <v>0.0</v>
      </c>
      <c r="C2659" s="147">
        <v>0.0</v>
      </c>
      <c r="D2659" s="132">
        <f t="shared" si="242"/>
        <v>0</v>
      </c>
      <c r="E2659" s="132" t="s">
        <v>123</v>
      </c>
      <c r="F2659" s="139"/>
      <c r="G2659" s="129"/>
      <c r="H2659" s="129"/>
      <c r="I2659" s="129"/>
      <c r="J2659" s="129"/>
      <c r="K2659" s="129"/>
      <c r="L2659" s="129"/>
      <c r="M2659" s="129"/>
      <c r="N2659" s="129"/>
      <c r="O2659" s="129"/>
      <c r="P2659" s="129"/>
      <c r="Q2659" s="129"/>
      <c r="R2659" s="129"/>
      <c r="S2659" s="129"/>
      <c r="T2659" s="129"/>
      <c r="U2659" s="129"/>
      <c r="V2659" s="129"/>
      <c r="W2659" s="129"/>
      <c r="X2659" s="129"/>
      <c r="Y2659" s="129"/>
      <c r="Z2659" s="129"/>
      <c r="AA2659" s="129"/>
      <c r="AB2659" s="129"/>
    </row>
    <row r="2660" hidden="1">
      <c r="A2660" s="128" t="s">
        <v>1412</v>
      </c>
      <c r="B2660" s="147">
        <v>1300.0</v>
      </c>
      <c r="C2660" s="147">
        <v>1452.0</v>
      </c>
      <c r="D2660" s="132">
        <f t="shared" si="242"/>
        <v>152</v>
      </c>
      <c r="E2660" s="171" t="s">
        <v>120</v>
      </c>
      <c r="F2660" s="132"/>
      <c r="G2660" s="129"/>
      <c r="H2660" s="129"/>
      <c r="I2660" s="129"/>
      <c r="J2660" s="129"/>
      <c r="K2660" s="129"/>
      <c r="L2660" s="129"/>
      <c r="M2660" s="129"/>
      <c r="N2660" s="129"/>
      <c r="O2660" s="129"/>
      <c r="P2660" s="129"/>
      <c r="Q2660" s="129"/>
      <c r="R2660" s="129"/>
      <c r="S2660" s="129"/>
      <c r="T2660" s="129"/>
      <c r="U2660" s="129"/>
      <c r="V2660" s="129"/>
      <c r="W2660" s="129"/>
      <c r="X2660" s="129"/>
      <c r="Y2660" s="129"/>
      <c r="Z2660" s="129"/>
      <c r="AA2660" s="129"/>
      <c r="AB2660" s="129"/>
    </row>
    <row r="2661" hidden="1">
      <c r="A2661" s="128" t="s">
        <v>1308</v>
      </c>
      <c r="B2661" s="147">
        <v>1300.0</v>
      </c>
      <c r="C2661" s="147">
        <v>1548.0</v>
      </c>
      <c r="D2661" s="132">
        <f t="shared" si="242"/>
        <v>248</v>
      </c>
      <c r="E2661" s="171" t="s">
        <v>120</v>
      </c>
      <c r="F2661" s="132"/>
      <c r="G2661" s="129"/>
      <c r="H2661" s="129"/>
      <c r="I2661" s="129"/>
      <c r="J2661" s="129"/>
      <c r="K2661" s="129"/>
      <c r="L2661" s="129"/>
      <c r="M2661" s="129"/>
      <c r="N2661" s="129"/>
      <c r="O2661" s="129"/>
      <c r="P2661" s="129"/>
      <c r="Q2661" s="129"/>
      <c r="R2661" s="129"/>
      <c r="S2661" s="129"/>
      <c r="T2661" s="129"/>
      <c r="U2661" s="129"/>
      <c r="V2661" s="129"/>
      <c r="W2661" s="129"/>
      <c r="X2661" s="129"/>
      <c r="Y2661" s="129"/>
      <c r="Z2661" s="129"/>
      <c r="AA2661" s="129"/>
      <c r="AB2661" s="129"/>
    </row>
    <row r="2662" hidden="1">
      <c r="A2662" s="142" t="s">
        <v>447</v>
      </c>
      <c r="B2662" s="147">
        <v>940.0</v>
      </c>
      <c r="C2662" s="147">
        <v>1119.0</v>
      </c>
      <c r="D2662" s="132">
        <f t="shared" si="242"/>
        <v>179</v>
      </c>
      <c r="E2662" s="147" t="s">
        <v>123</v>
      </c>
      <c r="F2662" s="139"/>
      <c r="G2662" s="129"/>
      <c r="H2662" s="129"/>
      <c r="I2662" s="129"/>
      <c r="J2662" s="129"/>
      <c r="K2662" s="129"/>
      <c r="L2662" s="129"/>
      <c r="M2662" s="129"/>
      <c r="N2662" s="129"/>
      <c r="O2662" s="129"/>
      <c r="P2662" s="129"/>
      <c r="Q2662" s="129"/>
      <c r="R2662" s="129"/>
      <c r="S2662" s="129"/>
      <c r="T2662" s="129"/>
      <c r="U2662" s="129"/>
      <c r="V2662" s="129"/>
      <c r="W2662" s="129"/>
      <c r="X2662" s="129"/>
      <c r="Y2662" s="129"/>
      <c r="Z2662" s="129"/>
      <c r="AA2662" s="129"/>
      <c r="AB2662" s="129"/>
    </row>
    <row r="2663" hidden="1">
      <c r="A2663" s="142" t="s">
        <v>1340</v>
      </c>
      <c r="B2663" s="147">
        <v>2790.0</v>
      </c>
      <c r="C2663" s="147">
        <v>3290.0</v>
      </c>
      <c r="D2663" s="132">
        <f t="shared" si="242"/>
        <v>500</v>
      </c>
      <c r="E2663" s="147" t="s">
        <v>123</v>
      </c>
      <c r="F2663" s="127"/>
      <c r="G2663" s="129"/>
      <c r="H2663" s="129"/>
      <c r="I2663" s="129"/>
      <c r="J2663" s="129"/>
      <c r="K2663" s="129"/>
      <c r="L2663" s="129"/>
      <c r="M2663" s="129"/>
      <c r="N2663" s="129"/>
      <c r="O2663" s="129"/>
      <c r="P2663" s="129"/>
      <c r="Q2663" s="129"/>
      <c r="R2663" s="129"/>
      <c r="S2663" s="129"/>
      <c r="T2663" s="129"/>
      <c r="U2663" s="129"/>
      <c r="V2663" s="129"/>
      <c r="W2663" s="129"/>
      <c r="X2663" s="129"/>
      <c r="Y2663" s="129"/>
      <c r="Z2663" s="129"/>
      <c r="AA2663" s="129"/>
      <c r="AB2663" s="129"/>
    </row>
    <row r="2664" hidden="1">
      <c r="A2664" s="128" t="s">
        <v>1093</v>
      </c>
      <c r="B2664" s="124">
        <v>1400.0</v>
      </c>
      <c r="C2664" s="124">
        <v>1596.0</v>
      </c>
      <c r="D2664" s="132">
        <f t="shared" si="242"/>
        <v>196</v>
      </c>
      <c r="E2664" s="171" t="s">
        <v>120</v>
      </c>
      <c r="F2664" s="127"/>
      <c r="G2664" s="129"/>
      <c r="H2664" s="129"/>
      <c r="I2664" s="129"/>
      <c r="J2664" s="129"/>
      <c r="K2664" s="129"/>
      <c r="L2664" s="129"/>
      <c r="M2664" s="129"/>
      <c r="N2664" s="129"/>
      <c r="O2664" s="129"/>
      <c r="P2664" s="129"/>
      <c r="Q2664" s="129"/>
      <c r="R2664" s="129"/>
      <c r="S2664" s="129"/>
      <c r="T2664" s="129"/>
      <c r="U2664" s="129"/>
      <c r="V2664" s="129"/>
      <c r="W2664" s="129"/>
      <c r="X2664" s="129"/>
      <c r="Y2664" s="129"/>
      <c r="Z2664" s="129"/>
      <c r="AA2664" s="129"/>
      <c r="AB2664" s="129"/>
    </row>
    <row r="2665" hidden="1">
      <c r="A2665" s="128" t="s">
        <v>449</v>
      </c>
      <c r="B2665" s="147">
        <v>940.0</v>
      </c>
      <c r="C2665" s="147">
        <v>1139.0</v>
      </c>
      <c r="D2665" s="132">
        <f t="shared" si="242"/>
        <v>199</v>
      </c>
      <c r="E2665" s="132" t="s">
        <v>123</v>
      </c>
      <c r="F2665" s="132"/>
      <c r="G2665" s="129"/>
      <c r="H2665" s="129"/>
      <c r="I2665" s="129"/>
      <c r="J2665" s="129"/>
      <c r="K2665" s="129"/>
      <c r="L2665" s="129"/>
      <c r="M2665" s="129"/>
      <c r="N2665" s="129"/>
      <c r="O2665" s="129"/>
      <c r="P2665" s="129"/>
      <c r="Q2665" s="129"/>
      <c r="R2665" s="129"/>
      <c r="S2665" s="129"/>
      <c r="T2665" s="129"/>
      <c r="U2665" s="129"/>
      <c r="V2665" s="129"/>
      <c r="W2665" s="129"/>
      <c r="X2665" s="129"/>
      <c r="Y2665" s="129"/>
      <c r="Z2665" s="129"/>
      <c r="AA2665" s="129"/>
      <c r="AB2665" s="129"/>
    </row>
    <row r="2666" hidden="1">
      <c r="A2666" s="128" t="s">
        <v>1412</v>
      </c>
      <c r="B2666" s="147">
        <v>1290.0</v>
      </c>
      <c r="C2666" s="147">
        <v>1482.0</v>
      </c>
      <c r="D2666" s="132">
        <f t="shared" si="242"/>
        <v>192</v>
      </c>
      <c r="E2666" s="171" t="s">
        <v>120</v>
      </c>
      <c r="F2666" s="132"/>
      <c r="G2666" s="129"/>
      <c r="H2666" s="129"/>
      <c r="I2666" s="129"/>
      <c r="J2666" s="129"/>
      <c r="K2666" s="129"/>
      <c r="L2666" s="129"/>
      <c r="M2666" s="129"/>
      <c r="N2666" s="129"/>
      <c r="O2666" s="129"/>
      <c r="P2666" s="129"/>
      <c r="Q2666" s="129"/>
      <c r="R2666" s="129"/>
      <c r="S2666" s="129"/>
      <c r="T2666" s="129"/>
      <c r="U2666" s="129"/>
      <c r="V2666" s="129"/>
      <c r="W2666" s="129"/>
      <c r="X2666" s="129"/>
      <c r="Y2666" s="129"/>
      <c r="Z2666" s="129"/>
      <c r="AA2666" s="129"/>
      <c r="AB2666" s="129"/>
    </row>
    <row r="2667" hidden="1">
      <c r="A2667" s="143"/>
      <c r="B2667" s="139"/>
      <c r="C2667" s="139"/>
      <c r="D2667" s="139"/>
      <c r="E2667" s="129"/>
      <c r="F2667" s="129"/>
      <c r="G2667" s="129"/>
      <c r="H2667" s="129"/>
      <c r="I2667" s="129"/>
      <c r="J2667" s="129"/>
      <c r="K2667" s="129"/>
      <c r="L2667" s="129"/>
      <c r="M2667" s="129"/>
      <c r="N2667" s="129"/>
      <c r="O2667" s="129"/>
      <c r="P2667" s="129"/>
      <c r="Q2667" s="129"/>
      <c r="R2667" s="129"/>
      <c r="S2667" s="129"/>
      <c r="T2667" s="129"/>
      <c r="U2667" s="129"/>
      <c r="V2667" s="129"/>
      <c r="W2667" s="129"/>
      <c r="X2667" s="129"/>
      <c r="Y2667" s="129"/>
      <c r="Z2667" s="129"/>
      <c r="AA2667" s="129"/>
      <c r="AB2667" s="129"/>
    </row>
    <row r="2668" hidden="1">
      <c r="A2668" s="122" t="s">
        <v>57</v>
      </c>
      <c r="B2668" s="133">
        <f t="shared" ref="B2668:D2668" si="243">SUM(B2572:B2667)</f>
        <v>117310</v>
      </c>
      <c r="C2668" s="133">
        <f t="shared" si="243"/>
        <v>143981</v>
      </c>
      <c r="D2668" s="133">
        <f t="shared" si="243"/>
        <v>26671</v>
      </c>
      <c r="E2668" s="135">
        <f t="shared" ref="E2668:E2669" si="245">D2668/(C2668/100)</f>
        <v>18.52397191</v>
      </c>
    </row>
    <row r="2669">
      <c r="A2669" s="119" t="s">
        <v>1413</v>
      </c>
      <c r="B2669" s="173">
        <f t="shared" ref="B2669:D2669" si="244">SUM(B1784,B1928,B2017,B2073,B2142,B2225,B2263,B2324,B2396,B2498,B2570,B2668)</f>
        <v>1727264</v>
      </c>
      <c r="C2669" s="173">
        <f t="shared" si="244"/>
        <v>2107531.5</v>
      </c>
      <c r="D2669" s="173">
        <f t="shared" si="244"/>
        <v>380267.5</v>
      </c>
      <c r="E2669" s="120">
        <f t="shared" si="245"/>
        <v>18.04326531</v>
      </c>
      <c r="F2669" s="121"/>
      <c r="G2669" s="121"/>
      <c r="H2669" s="121"/>
      <c r="I2669" s="121"/>
      <c r="J2669" s="121"/>
      <c r="K2669" s="121"/>
      <c r="L2669" s="121"/>
      <c r="M2669" s="121"/>
      <c r="N2669" s="121"/>
      <c r="O2669" s="121"/>
      <c r="P2669" s="121"/>
      <c r="Q2669" s="121"/>
      <c r="R2669" s="121"/>
      <c r="S2669" s="121"/>
      <c r="T2669" s="121"/>
      <c r="U2669" s="121"/>
      <c r="V2669" s="121"/>
      <c r="W2669" s="121"/>
      <c r="X2669" s="121"/>
      <c r="Y2669" s="121"/>
      <c r="Z2669" s="121"/>
      <c r="AA2669" s="121"/>
      <c r="AB2669" s="121"/>
    </row>
    <row r="2670">
      <c r="A2670" s="122"/>
    </row>
    <row r="2671">
      <c r="A2671" s="138" t="s">
        <v>1414</v>
      </c>
    </row>
    <row r="2672" hidden="1">
      <c r="A2672" s="154">
        <v>44166.0</v>
      </c>
      <c r="B2672" s="124"/>
      <c r="C2672" s="124"/>
      <c r="D2672" s="124"/>
    </row>
    <row r="2673" hidden="1">
      <c r="A2673" s="150" t="s">
        <v>1209</v>
      </c>
      <c r="B2673" s="147">
        <v>1450.0</v>
      </c>
      <c r="C2673" s="147">
        <v>1500.0</v>
      </c>
      <c r="D2673" s="132">
        <f t="shared" ref="D2673:D2773" si="246">C2673-B2673</f>
        <v>50</v>
      </c>
      <c r="E2673" s="132" t="s">
        <v>123</v>
      </c>
      <c r="F2673" s="132"/>
      <c r="G2673" s="129"/>
      <c r="H2673" s="129"/>
      <c r="I2673" s="129"/>
      <c r="J2673" s="129"/>
      <c r="K2673" s="129"/>
      <c r="L2673" s="129"/>
      <c r="M2673" s="129"/>
      <c r="N2673" s="129"/>
      <c r="O2673" s="129"/>
      <c r="P2673" s="129"/>
      <c r="Q2673" s="129"/>
      <c r="R2673" s="129"/>
      <c r="S2673" s="129"/>
      <c r="T2673" s="129"/>
      <c r="U2673" s="129"/>
      <c r="V2673" s="129"/>
      <c r="W2673" s="129"/>
      <c r="X2673" s="129"/>
      <c r="Y2673" s="129"/>
      <c r="Z2673" s="129"/>
      <c r="AA2673" s="129"/>
      <c r="AB2673" s="129"/>
    </row>
    <row r="2674" hidden="1">
      <c r="A2674" s="128" t="s">
        <v>1301</v>
      </c>
      <c r="B2674" s="147">
        <v>1790.0</v>
      </c>
      <c r="C2674" s="124">
        <v>1882.0</v>
      </c>
      <c r="D2674" s="132">
        <f t="shared" si="246"/>
        <v>92</v>
      </c>
      <c r="E2674" s="126" t="s">
        <v>123</v>
      </c>
      <c r="F2674" s="132"/>
      <c r="G2674" s="129"/>
      <c r="H2674" s="129"/>
      <c r="I2674" s="129"/>
      <c r="J2674" s="129"/>
      <c r="K2674" s="129"/>
      <c r="L2674" s="129"/>
      <c r="M2674" s="129"/>
      <c r="N2674" s="129"/>
      <c r="O2674" s="129"/>
      <c r="P2674" s="129"/>
      <c r="Q2674" s="129"/>
      <c r="R2674" s="129"/>
      <c r="S2674" s="129"/>
      <c r="T2674" s="129"/>
      <c r="U2674" s="129"/>
      <c r="V2674" s="129"/>
      <c r="W2674" s="129"/>
      <c r="X2674" s="129"/>
      <c r="Y2674" s="129"/>
      <c r="Z2674" s="129"/>
      <c r="AA2674" s="129"/>
      <c r="AB2674" s="129"/>
    </row>
    <row r="2675" hidden="1">
      <c r="A2675" s="123" t="s">
        <v>1095</v>
      </c>
      <c r="B2675" s="147">
        <v>3580.0</v>
      </c>
      <c r="C2675" s="124">
        <v>3796.0</v>
      </c>
      <c r="D2675" s="125">
        <f t="shared" si="246"/>
        <v>216</v>
      </c>
      <c r="E2675" s="126" t="s">
        <v>123</v>
      </c>
      <c r="F2675" s="124"/>
    </row>
    <row r="2676" hidden="1">
      <c r="A2676" s="128" t="s">
        <v>449</v>
      </c>
      <c r="B2676" s="147">
        <v>0.0</v>
      </c>
      <c r="C2676" s="147">
        <v>0.0</v>
      </c>
      <c r="D2676" s="132">
        <f t="shared" si="246"/>
        <v>0</v>
      </c>
      <c r="E2676" s="132" t="s">
        <v>123</v>
      </c>
      <c r="F2676" s="132"/>
      <c r="G2676" s="129"/>
      <c r="H2676" s="129"/>
      <c r="I2676" s="129"/>
      <c r="J2676" s="129"/>
      <c r="K2676" s="129"/>
      <c r="L2676" s="129"/>
      <c r="M2676" s="129"/>
      <c r="N2676" s="129"/>
      <c r="O2676" s="129"/>
      <c r="P2676" s="129"/>
      <c r="Q2676" s="129"/>
      <c r="R2676" s="129"/>
      <c r="S2676" s="129"/>
      <c r="T2676" s="129"/>
      <c r="U2676" s="129"/>
      <c r="V2676" s="129"/>
      <c r="W2676" s="129"/>
      <c r="X2676" s="129"/>
      <c r="Y2676" s="129"/>
      <c r="Z2676" s="129"/>
      <c r="AA2676" s="129"/>
      <c r="AB2676" s="129"/>
    </row>
    <row r="2677" hidden="1">
      <c r="A2677" s="128" t="s">
        <v>1213</v>
      </c>
      <c r="B2677" s="147">
        <v>2540.0</v>
      </c>
      <c r="C2677" s="147">
        <v>2645.0</v>
      </c>
      <c r="D2677" s="132">
        <f t="shared" si="246"/>
        <v>105</v>
      </c>
      <c r="E2677" s="171" t="s">
        <v>120</v>
      </c>
      <c r="F2677" s="132"/>
      <c r="G2677" s="129"/>
      <c r="H2677" s="129"/>
      <c r="I2677" s="129"/>
      <c r="J2677" s="129"/>
      <c r="K2677" s="129"/>
      <c r="L2677" s="129"/>
      <c r="M2677" s="129"/>
      <c r="N2677" s="129"/>
      <c r="O2677" s="129"/>
      <c r="P2677" s="129"/>
      <c r="Q2677" s="129"/>
      <c r="R2677" s="129"/>
      <c r="S2677" s="129"/>
      <c r="T2677" s="129"/>
      <c r="U2677" s="129"/>
      <c r="V2677" s="129"/>
      <c r="W2677" s="129"/>
      <c r="X2677" s="129"/>
      <c r="Y2677" s="129"/>
      <c r="Z2677" s="129"/>
      <c r="AA2677" s="129"/>
      <c r="AB2677" s="129"/>
    </row>
    <row r="2678" hidden="1">
      <c r="A2678" s="128" t="s">
        <v>1403</v>
      </c>
      <c r="B2678" s="147">
        <v>0.0</v>
      </c>
      <c r="C2678" s="147">
        <v>0.0</v>
      </c>
      <c r="D2678" s="132">
        <f t="shared" si="246"/>
        <v>0</v>
      </c>
      <c r="E2678" s="171" t="s">
        <v>120</v>
      </c>
      <c r="F2678" s="139"/>
      <c r="G2678" s="129"/>
      <c r="H2678" s="129"/>
      <c r="I2678" s="129"/>
      <c r="J2678" s="129"/>
      <c r="K2678" s="129"/>
      <c r="L2678" s="129"/>
      <c r="M2678" s="129"/>
      <c r="N2678" s="129"/>
      <c r="O2678" s="129"/>
      <c r="P2678" s="129"/>
      <c r="Q2678" s="129"/>
      <c r="R2678" s="129"/>
      <c r="S2678" s="129"/>
      <c r="T2678" s="129"/>
      <c r="U2678" s="129"/>
      <c r="V2678" s="129"/>
      <c r="W2678" s="129"/>
      <c r="X2678" s="129"/>
      <c r="Y2678" s="129"/>
      <c r="Z2678" s="129"/>
      <c r="AA2678" s="129"/>
      <c r="AB2678" s="129"/>
    </row>
    <row r="2679" hidden="1">
      <c r="A2679" s="128" t="s">
        <v>1372</v>
      </c>
      <c r="B2679" s="167">
        <v>1490.0</v>
      </c>
      <c r="C2679" s="167">
        <v>1524.0</v>
      </c>
      <c r="D2679" s="168">
        <f t="shared" si="246"/>
        <v>34</v>
      </c>
      <c r="E2679" s="132" t="s">
        <v>123</v>
      </c>
      <c r="F2679" s="139"/>
      <c r="G2679" s="150"/>
      <c r="H2679" s="129"/>
      <c r="I2679" s="129"/>
      <c r="J2679" s="129"/>
      <c r="K2679" s="129"/>
      <c r="L2679" s="129"/>
      <c r="M2679" s="129"/>
      <c r="N2679" s="129"/>
      <c r="O2679" s="129"/>
      <c r="P2679" s="129"/>
      <c r="Q2679" s="129"/>
      <c r="R2679" s="129"/>
      <c r="S2679" s="129"/>
      <c r="T2679" s="129"/>
      <c r="U2679" s="129"/>
      <c r="V2679" s="129"/>
      <c r="W2679" s="129"/>
      <c r="X2679" s="129"/>
      <c r="Y2679" s="129"/>
      <c r="Z2679" s="129"/>
      <c r="AA2679" s="129"/>
      <c r="AB2679" s="129"/>
    </row>
    <row r="2680" hidden="1">
      <c r="A2680" s="150" t="s">
        <v>1415</v>
      </c>
      <c r="B2680" s="147">
        <v>790.0</v>
      </c>
      <c r="C2680" s="126">
        <v>958.0</v>
      </c>
      <c r="D2680" s="132">
        <f t="shared" si="246"/>
        <v>168</v>
      </c>
      <c r="E2680" s="147" t="s">
        <v>123</v>
      </c>
      <c r="F2680" s="132"/>
      <c r="G2680" s="129"/>
      <c r="H2680" s="129"/>
      <c r="I2680" s="129"/>
      <c r="J2680" s="129"/>
      <c r="K2680" s="129"/>
      <c r="L2680" s="129"/>
      <c r="M2680" s="129"/>
      <c r="N2680" s="129"/>
      <c r="O2680" s="129"/>
      <c r="P2680" s="129"/>
      <c r="Q2680" s="129"/>
      <c r="R2680" s="129"/>
      <c r="S2680" s="129"/>
      <c r="T2680" s="129"/>
      <c r="U2680" s="129"/>
      <c r="V2680" s="129"/>
      <c r="W2680" s="129"/>
      <c r="X2680" s="129"/>
      <c r="Y2680" s="129"/>
      <c r="Z2680" s="129"/>
      <c r="AA2680" s="129"/>
      <c r="AB2680" s="129"/>
    </row>
    <row r="2681" hidden="1">
      <c r="A2681" s="128" t="s">
        <v>1140</v>
      </c>
      <c r="B2681" s="132">
        <v>1390.0</v>
      </c>
      <c r="C2681" s="147">
        <v>1561.0</v>
      </c>
      <c r="D2681" s="132">
        <f t="shared" si="246"/>
        <v>171</v>
      </c>
      <c r="E2681" s="394" t="s">
        <v>120</v>
      </c>
      <c r="F2681" s="139"/>
      <c r="G2681" s="129"/>
      <c r="H2681" s="129"/>
      <c r="I2681" s="129"/>
      <c r="J2681" s="129"/>
      <c r="K2681" s="129"/>
      <c r="L2681" s="129"/>
      <c r="M2681" s="129"/>
      <c r="N2681" s="129"/>
      <c r="O2681" s="129"/>
      <c r="P2681" s="129"/>
      <c r="Q2681" s="129"/>
      <c r="R2681" s="129"/>
      <c r="S2681" s="129"/>
      <c r="T2681" s="129"/>
      <c r="U2681" s="129"/>
      <c r="V2681" s="129"/>
      <c r="W2681" s="129"/>
      <c r="X2681" s="129"/>
      <c r="Y2681" s="129"/>
      <c r="Z2681" s="129"/>
      <c r="AA2681" s="129"/>
      <c r="AB2681" s="129"/>
    </row>
    <row r="2682" hidden="1">
      <c r="A2682" s="142" t="s">
        <v>1416</v>
      </c>
      <c r="B2682" s="147">
        <v>1090.0</v>
      </c>
      <c r="C2682" s="147">
        <v>1115.0</v>
      </c>
      <c r="D2682" s="132">
        <f t="shared" si="246"/>
        <v>25</v>
      </c>
      <c r="E2682" s="149" t="s">
        <v>123</v>
      </c>
      <c r="F2682" s="139"/>
      <c r="G2682" s="129"/>
      <c r="H2682" s="129"/>
      <c r="I2682" s="129"/>
      <c r="J2682" s="129"/>
      <c r="K2682" s="129"/>
      <c r="L2682" s="129"/>
      <c r="M2682" s="129"/>
      <c r="N2682" s="129"/>
      <c r="O2682" s="129"/>
      <c r="P2682" s="129"/>
      <c r="Q2682" s="129"/>
      <c r="R2682" s="129"/>
      <c r="S2682" s="129"/>
      <c r="T2682" s="129"/>
      <c r="U2682" s="129"/>
      <c r="V2682" s="129"/>
      <c r="W2682" s="129"/>
      <c r="X2682" s="129"/>
      <c r="Y2682" s="129"/>
      <c r="Z2682" s="129"/>
      <c r="AA2682" s="129"/>
      <c r="AB2682" s="129"/>
    </row>
    <row r="2683" hidden="1">
      <c r="A2683" s="150" t="s">
        <v>1209</v>
      </c>
      <c r="B2683" s="147">
        <v>1450.0</v>
      </c>
      <c r="C2683" s="147">
        <v>1496.0</v>
      </c>
      <c r="D2683" s="132">
        <f t="shared" si="246"/>
        <v>46</v>
      </c>
      <c r="E2683" s="132" t="s">
        <v>123</v>
      </c>
      <c r="F2683" s="132"/>
      <c r="G2683" s="129"/>
      <c r="H2683" s="129"/>
      <c r="I2683" s="129"/>
      <c r="J2683" s="129"/>
      <c r="K2683" s="129"/>
      <c r="L2683" s="129"/>
      <c r="M2683" s="129"/>
      <c r="N2683" s="129"/>
      <c r="O2683" s="129"/>
      <c r="P2683" s="129"/>
      <c r="Q2683" s="129"/>
      <c r="R2683" s="129"/>
      <c r="S2683" s="129"/>
      <c r="T2683" s="129"/>
      <c r="U2683" s="129"/>
      <c r="V2683" s="129"/>
      <c r="W2683" s="129"/>
      <c r="X2683" s="129"/>
      <c r="Y2683" s="129"/>
      <c r="Z2683" s="129"/>
      <c r="AA2683" s="129"/>
      <c r="AB2683" s="129"/>
    </row>
    <row r="2684" hidden="1">
      <c r="A2684" s="128" t="s">
        <v>1372</v>
      </c>
      <c r="B2684" s="167">
        <v>1490.0</v>
      </c>
      <c r="C2684" s="167">
        <v>1512.0</v>
      </c>
      <c r="D2684" s="168">
        <f t="shared" si="246"/>
        <v>22</v>
      </c>
      <c r="E2684" s="132" t="s">
        <v>123</v>
      </c>
      <c r="F2684" s="139"/>
      <c r="G2684" s="150"/>
      <c r="H2684" s="129"/>
      <c r="I2684" s="129"/>
      <c r="J2684" s="129"/>
      <c r="K2684" s="129"/>
      <c r="L2684" s="129"/>
      <c r="M2684" s="129"/>
      <c r="N2684" s="129"/>
      <c r="O2684" s="129"/>
      <c r="P2684" s="129"/>
      <c r="Q2684" s="129"/>
      <c r="R2684" s="129"/>
      <c r="S2684" s="129"/>
      <c r="T2684" s="129"/>
      <c r="U2684" s="129"/>
      <c r="V2684" s="129"/>
      <c r="W2684" s="129"/>
      <c r="X2684" s="129"/>
      <c r="Y2684" s="129"/>
      <c r="Z2684" s="129"/>
      <c r="AA2684" s="129"/>
      <c r="AB2684" s="129"/>
    </row>
    <row r="2685" hidden="1">
      <c r="A2685" s="128" t="s">
        <v>1394</v>
      </c>
      <c r="B2685" s="167">
        <v>1390.0</v>
      </c>
      <c r="C2685" s="167">
        <v>1466.0</v>
      </c>
      <c r="D2685" s="168">
        <f t="shared" si="246"/>
        <v>76</v>
      </c>
      <c r="E2685" s="149" t="s">
        <v>123</v>
      </c>
      <c r="F2685" s="129"/>
      <c r="G2685" s="129"/>
      <c r="H2685" s="129"/>
      <c r="I2685" s="129"/>
      <c r="J2685" s="129"/>
      <c r="K2685" s="129"/>
      <c r="L2685" s="129"/>
      <c r="M2685" s="129"/>
      <c r="N2685" s="129"/>
      <c r="O2685" s="129"/>
      <c r="P2685" s="129"/>
      <c r="Q2685" s="129"/>
      <c r="R2685" s="129"/>
      <c r="S2685" s="129"/>
      <c r="T2685" s="129"/>
      <c r="U2685" s="129"/>
      <c r="V2685" s="129"/>
      <c r="W2685" s="129"/>
      <c r="X2685" s="129"/>
      <c r="Y2685" s="129"/>
      <c r="Z2685" s="129"/>
      <c r="AA2685" s="129"/>
      <c r="AB2685" s="129"/>
    </row>
    <row r="2686" hidden="1">
      <c r="A2686" s="128" t="s">
        <v>1372</v>
      </c>
      <c r="B2686" s="167">
        <v>1490.0</v>
      </c>
      <c r="C2686" s="167">
        <v>1530.0</v>
      </c>
      <c r="D2686" s="168">
        <f t="shared" si="246"/>
        <v>40</v>
      </c>
      <c r="E2686" s="132" t="s">
        <v>123</v>
      </c>
      <c r="F2686" s="139"/>
      <c r="G2686" s="150"/>
      <c r="H2686" s="129"/>
      <c r="I2686" s="129"/>
      <c r="J2686" s="129"/>
      <c r="K2686" s="129"/>
      <c r="L2686" s="129"/>
      <c r="M2686" s="129"/>
      <c r="N2686" s="129"/>
      <c r="O2686" s="129"/>
      <c r="P2686" s="129"/>
      <c r="Q2686" s="129"/>
      <c r="R2686" s="129"/>
      <c r="S2686" s="129"/>
      <c r="T2686" s="129"/>
      <c r="U2686" s="129"/>
      <c r="V2686" s="129"/>
      <c r="W2686" s="129"/>
      <c r="X2686" s="129"/>
      <c r="Y2686" s="129"/>
      <c r="Z2686" s="129"/>
      <c r="AA2686" s="129"/>
      <c r="AB2686" s="129"/>
    </row>
    <row r="2687" hidden="1">
      <c r="A2687" s="128" t="s">
        <v>1140</v>
      </c>
      <c r="B2687" s="147">
        <v>2740.0</v>
      </c>
      <c r="C2687" s="147">
        <v>2852.0</v>
      </c>
      <c r="D2687" s="132">
        <f t="shared" si="246"/>
        <v>112</v>
      </c>
      <c r="E2687" s="394" t="s">
        <v>120</v>
      </c>
      <c r="F2687" s="139"/>
      <c r="G2687" s="129"/>
      <c r="H2687" s="129"/>
      <c r="I2687" s="129"/>
      <c r="J2687" s="129"/>
      <c r="K2687" s="129"/>
      <c r="L2687" s="129"/>
      <c r="M2687" s="129"/>
      <c r="N2687" s="129"/>
      <c r="O2687" s="129"/>
      <c r="P2687" s="129"/>
      <c r="Q2687" s="129"/>
      <c r="R2687" s="129"/>
      <c r="S2687" s="129"/>
      <c r="T2687" s="129"/>
      <c r="U2687" s="129"/>
      <c r="V2687" s="129"/>
      <c r="W2687" s="129"/>
      <c r="X2687" s="129"/>
      <c r="Y2687" s="129"/>
      <c r="Z2687" s="129"/>
      <c r="AA2687" s="129"/>
      <c r="AB2687" s="129"/>
    </row>
    <row r="2688" hidden="1">
      <c r="A2688" s="128" t="s">
        <v>1213</v>
      </c>
      <c r="B2688" s="147">
        <v>0.0</v>
      </c>
      <c r="C2688" s="147">
        <v>0.0</v>
      </c>
      <c r="D2688" s="132">
        <f t="shared" si="246"/>
        <v>0</v>
      </c>
      <c r="E2688" s="171" t="s">
        <v>120</v>
      </c>
      <c r="F2688" s="132"/>
      <c r="G2688" s="129"/>
      <c r="H2688" s="129"/>
      <c r="I2688" s="129"/>
      <c r="J2688" s="129"/>
      <c r="K2688" s="129"/>
      <c r="L2688" s="129"/>
      <c r="M2688" s="129"/>
      <c r="N2688" s="129"/>
      <c r="O2688" s="129"/>
      <c r="P2688" s="129"/>
      <c r="Q2688" s="129"/>
      <c r="R2688" s="129"/>
      <c r="S2688" s="129"/>
      <c r="T2688" s="129"/>
      <c r="U2688" s="129"/>
      <c r="V2688" s="129"/>
      <c r="W2688" s="129"/>
      <c r="X2688" s="129"/>
      <c r="Y2688" s="129"/>
      <c r="Z2688" s="129"/>
      <c r="AA2688" s="129"/>
      <c r="AB2688" s="129"/>
    </row>
    <row r="2689" hidden="1">
      <c r="A2689" s="150" t="s">
        <v>1209</v>
      </c>
      <c r="B2689" s="147">
        <v>2900.0</v>
      </c>
      <c r="C2689" s="147">
        <v>2986.0</v>
      </c>
      <c r="D2689" s="132">
        <f t="shared" si="246"/>
        <v>86</v>
      </c>
      <c r="E2689" s="132" t="s">
        <v>123</v>
      </c>
      <c r="F2689" s="132"/>
      <c r="G2689" s="129"/>
      <c r="H2689" s="129"/>
      <c r="I2689" s="129"/>
      <c r="J2689" s="129"/>
      <c r="K2689" s="129"/>
      <c r="L2689" s="129"/>
      <c r="M2689" s="129"/>
      <c r="N2689" s="129"/>
      <c r="O2689" s="129"/>
      <c r="P2689" s="129"/>
      <c r="Q2689" s="129"/>
      <c r="R2689" s="129"/>
      <c r="S2689" s="129"/>
      <c r="T2689" s="129"/>
      <c r="U2689" s="129"/>
      <c r="V2689" s="129"/>
      <c r="W2689" s="129"/>
      <c r="X2689" s="129"/>
      <c r="Y2689" s="129"/>
      <c r="Z2689" s="129"/>
      <c r="AA2689" s="129"/>
      <c r="AB2689" s="129"/>
    </row>
    <row r="2690" hidden="1">
      <c r="A2690" s="150" t="s">
        <v>1209</v>
      </c>
      <c r="B2690" s="147">
        <v>0.0</v>
      </c>
      <c r="C2690" s="147">
        <v>0.0</v>
      </c>
      <c r="D2690" s="132">
        <f t="shared" si="246"/>
        <v>0</v>
      </c>
      <c r="E2690" s="132" t="s">
        <v>123</v>
      </c>
      <c r="F2690" s="132"/>
      <c r="G2690" s="129"/>
      <c r="H2690" s="129"/>
      <c r="I2690" s="129"/>
      <c r="J2690" s="129"/>
      <c r="K2690" s="129"/>
      <c r="L2690" s="129"/>
      <c r="M2690" s="129"/>
      <c r="N2690" s="129"/>
      <c r="O2690" s="129"/>
      <c r="P2690" s="129"/>
      <c r="Q2690" s="129"/>
      <c r="R2690" s="129"/>
      <c r="S2690" s="129"/>
      <c r="T2690" s="129"/>
      <c r="U2690" s="129"/>
      <c r="V2690" s="129"/>
      <c r="W2690" s="129"/>
      <c r="X2690" s="129"/>
      <c r="Y2690" s="129"/>
      <c r="Z2690" s="129"/>
      <c r="AA2690" s="129"/>
      <c r="AB2690" s="129"/>
    </row>
    <row r="2691" hidden="1">
      <c r="A2691" s="128" t="s">
        <v>1372</v>
      </c>
      <c r="B2691" s="167">
        <v>2880.0</v>
      </c>
      <c r="C2691" s="167">
        <v>2942.0</v>
      </c>
      <c r="D2691" s="168">
        <f t="shared" si="246"/>
        <v>62</v>
      </c>
      <c r="E2691" s="132" t="s">
        <v>123</v>
      </c>
      <c r="F2691" s="139"/>
      <c r="G2691" s="150"/>
      <c r="H2691" s="129"/>
      <c r="I2691" s="129"/>
      <c r="J2691" s="129"/>
      <c r="K2691" s="129"/>
      <c r="L2691" s="129"/>
      <c r="M2691" s="129"/>
      <c r="N2691" s="129"/>
      <c r="O2691" s="129"/>
      <c r="P2691" s="129"/>
      <c r="Q2691" s="129"/>
      <c r="R2691" s="129"/>
      <c r="S2691" s="129"/>
      <c r="T2691" s="129"/>
      <c r="U2691" s="129"/>
      <c r="V2691" s="129"/>
      <c r="W2691" s="129"/>
      <c r="X2691" s="129"/>
      <c r="Y2691" s="129"/>
      <c r="Z2691" s="129"/>
      <c r="AA2691" s="129"/>
      <c r="AB2691" s="129"/>
    </row>
    <row r="2692" hidden="1">
      <c r="A2692" s="128" t="s">
        <v>1417</v>
      </c>
      <c r="B2692" s="147">
        <v>0.0</v>
      </c>
      <c r="C2692" s="147">
        <v>0.0</v>
      </c>
      <c r="D2692" s="132">
        <f t="shared" si="246"/>
        <v>0</v>
      </c>
      <c r="E2692" s="394" t="s">
        <v>120</v>
      </c>
      <c r="F2692" s="139"/>
      <c r="G2692" s="129"/>
      <c r="H2692" s="129"/>
      <c r="I2692" s="129"/>
      <c r="J2692" s="129"/>
      <c r="K2692" s="129"/>
      <c r="L2692" s="129"/>
      <c r="M2692" s="129"/>
      <c r="N2692" s="129"/>
      <c r="O2692" s="129"/>
      <c r="P2692" s="129"/>
      <c r="Q2692" s="129"/>
      <c r="R2692" s="129"/>
      <c r="S2692" s="129"/>
      <c r="T2692" s="129"/>
      <c r="U2692" s="129"/>
      <c r="V2692" s="129"/>
      <c r="W2692" s="129"/>
      <c r="X2692" s="129"/>
      <c r="Y2692" s="129"/>
      <c r="Z2692" s="129"/>
      <c r="AA2692" s="129"/>
      <c r="AB2692" s="129"/>
    </row>
    <row r="2693" hidden="1">
      <c r="A2693" s="142" t="s">
        <v>1416</v>
      </c>
      <c r="B2693" s="147">
        <v>1090.0</v>
      </c>
      <c r="C2693" s="147">
        <v>1107.0</v>
      </c>
      <c r="D2693" s="132">
        <f t="shared" si="246"/>
        <v>17</v>
      </c>
      <c r="E2693" s="149" t="s">
        <v>123</v>
      </c>
      <c r="F2693" s="139"/>
      <c r="G2693" s="129"/>
      <c r="H2693" s="129"/>
      <c r="I2693" s="129"/>
      <c r="J2693" s="129"/>
      <c r="K2693" s="129"/>
      <c r="L2693" s="129"/>
      <c r="M2693" s="129"/>
      <c r="N2693" s="129"/>
      <c r="O2693" s="129"/>
      <c r="P2693" s="129"/>
      <c r="Q2693" s="129"/>
      <c r="R2693" s="129"/>
      <c r="S2693" s="129"/>
      <c r="T2693" s="129"/>
      <c r="U2693" s="129"/>
      <c r="V2693" s="129"/>
      <c r="W2693" s="129"/>
      <c r="X2693" s="129"/>
      <c r="Y2693" s="129"/>
      <c r="Z2693" s="129"/>
      <c r="AA2693" s="129"/>
      <c r="AB2693" s="129"/>
    </row>
    <row r="2694" hidden="1">
      <c r="A2694" s="128" t="s">
        <v>1418</v>
      </c>
      <c r="B2694" s="147">
        <v>1090.0</v>
      </c>
      <c r="C2694" s="127">
        <v>1195.0</v>
      </c>
      <c r="D2694" s="132">
        <f t="shared" si="246"/>
        <v>105</v>
      </c>
      <c r="E2694" s="147" t="s">
        <v>123</v>
      </c>
      <c r="F2694" s="132"/>
      <c r="G2694" s="129"/>
      <c r="H2694" s="129"/>
      <c r="I2694" s="129"/>
      <c r="J2694" s="129"/>
      <c r="K2694" s="129"/>
      <c r="L2694" s="129"/>
      <c r="M2694" s="129"/>
      <c r="N2694" s="129"/>
      <c r="O2694" s="129"/>
      <c r="P2694" s="129"/>
      <c r="Q2694" s="129"/>
      <c r="R2694" s="129"/>
      <c r="S2694" s="129"/>
      <c r="T2694" s="129"/>
      <c r="U2694" s="129"/>
      <c r="V2694" s="129"/>
      <c r="W2694" s="129"/>
      <c r="X2694" s="129"/>
      <c r="Y2694" s="129"/>
      <c r="Z2694" s="129"/>
      <c r="AA2694" s="129"/>
      <c r="AB2694" s="129"/>
    </row>
    <row r="2695" hidden="1">
      <c r="A2695" s="151" t="s">
        <v>1411</v>
      </c>
      <c r="B2695" s="147">
        <v>590.0</v>
      </c>
      <c r="C2695" s="147">
        <v>863.0</v>
      </c>
      <c r="D2695" s="132">
        <f t="shared" si="246"/>
        <v>273</v>
      </c>
      <c r="E2695" s="132" t="s">
        <v>123</v>
      </c>
      <c r="F2695" s="139"/>
      <c r="G2695" s="129"/>
      <c r="H2695" s="129"/>
      <c r="I2695" s="129"/>
      <c r="J2695" s="129"/>
      <c r="K2695" s="129"/>
      <c r="L2695" s="129"/>
      <c r="M2695" s="129"/>
      <c r="N2695" s="129"/>
      <c r="O2695" s="129"/>
      <c r="P2695" s="129"/>
      <c r="Q2695" s="129"/>
      <c r="R2695" s="129"/>
      <c r="S2695" s="129"/>
      <c r="T2695" s="129"/>
      <c r="U2695" s="129"/>
      <c r="V2695" s="129"/>
      <c r="W2695" s="129"/>
      <c r="X2695" s="129"/>
      <c r="Y2695" s="129"/>
      <c r="Z2695" s="129"/>
      <c r="AA2695" s="129"/>
      <c r="AB2695" s="129"/>
    </row>
    <row r="2696" hidden="1">
      <c r="A2696" s="128" t="s">
        <v>467</v>
      </c>
      <c r="B2696" s="147">
        <v>1090.0</v>
      </c>
      <c r="C2696" s="127">
        <v>1222.0</v>
      </c>
      <c r="D2696" s="132">
        <f t="shared" si="246"/>
        <v>132</v>
      </c>
      <c r="E2696" s="147" t="s">
        <v>123</v>
      </c>
      <c r="F2696" s="132"/>
      <c r="G2696" s="129"/>
      <c r="H2696" s="129"/>
      <c r="I2696" s="129"/>
      <c r="J2696" s="129"/>
      <c r="K2696" s="129"/>
      <c r="L2696" s="129"/>
      <c r="M2696" s="129"/>
      <c r="N2696" s="129"/>
      <c r="O2696" s="129"/>
      <c r="P2696" s="129"/>
      <c r="Q2696" s="129"/>
      <c r="R2696" s="129"/>
      <c r="S2696" s="129"/>
      <c r="T2696" s="129"/>
      <c r="U2696" s="129"/>
      <c r="V2696" s="129"/>
      <c r="W2696" s="129"/>
      <c r="X2696" s="129"/>
      <c r="Y2696" s="129"/>
      <c r="Z2696" s="129"/>
      <c r="AA2696" s="129"/>
      <c r="AB2696" s="129"/>
    </row>
    <row r="2697" hidden="1">
      <c r="A2697" s="142" t="s">
        <v>466</v>
      </c>
      <c r="B2697" s="147">
        <v>990.0</v>
      </c>
      <c r="C2697" s="127">
        <v>1111.0</v>
      </c>
      <c r="D2697" s="132">
        <f t="shared" si="246"/>
        <v>121</v>
      </c>
      <c r="E2697" s="147" t="s">
        <v>123</v>
      </c>
      <c r="F2697" s="139"/>
      <c r="G2697" s="129"/>
      <c r="H2697" s="129"/>
      <c r="I2697" s="129"/>
      <c r="J2697" s="129"/>
      <c r="K2697" s="129"/>
      <c r="L2697" s="129"/>
      <c r="M2697" s="129"/>
      <c r="N2697" s="129"/>
      <c r="O2697" s="129"/>
      <c r="P2697" s="129"/>
      <c r="Q2697" s="129"/>
      <c r="R2697" s="129"/>
      <c r="S2697" s="129"/>
      <c r="T2697" s="129"/>
      <c r="U2697" s="129"/>
      <c r="V2697" s="129"/>
      <c r="W2697" s="129"/>
      <c r="X2697" s="129"/>
      <c r="Y2697" s="129"/>
      <c r="Z2697" s="129"/>
      <c r="AA2697" s="129"/>
      <c r="AB2697" s="129"/>
    </row>
    <row r="2698" hidden="1">
      <c r="A2698" s="142" t="s">
        <v>1411</v>
      </c>
      <c r="B2698" s="147">
        <v>590.0</v>
      </c>
      <c r="C2698" s="147">
        <v>790.0</v>
      </c>
      <c r="D2698" s="132">
        <f t="shared" si="246"/>
        <v>200</v>
      </c>
      <c r="E2698" s="132" t="s">
        <v>123</v>
      </c>
      <c r="F2698" s="139"/>
      <c r="G2698" s="129"/>
      <c r="H2698" s="129"/>
      <c r="I2698" s="129"/>
      <c r="J2698" s="129"/>
      <c r="K2698" s="129"/>
      <c r="L2698" s="129"/>
      <c r="M2698" s="129"/>
      <c r="N2698" s="129"/>
      <c r="O2698" s="129"/>
      <c r="P2698" s="129"/>
      <c r="Q2698" s="129"/>
      <c r="R2698" s="129"/>
      <c r="S2698" s="129"/>
      <c r="T2698" s="129"/>
      <c r="U2698" s="129"/>
      <c r="V2698" s="129"/>
      <c r="W2698" s="129"/>
      <c r="X2698" s="129"/>
      <c r="Y2698" s="129"/>
      <c r="Z2698" s="129"/>
      <c r="AA2698" s="129"/>
      <c r="AB2698" s="129"/>
    </row>
    <row r="2699" hidden="1">
      <c r="A2699" s="128" t="s">
        <v>1344</v>
      </c>
      <c r="B2699" s="147">
        <v>1250.0</v>
      </c>
      <c r="C2699" s="147">
        <v>1750.0</v>
      </c>
      <c r="D2699" s="132">
        <f t="shared" si="246"/>
        <v>500</v>
      </c>
      <c r="E2699" s="132" t="s">
        <v>123</v>
      </c>
      <c r="F2699" s="132"/>
      <c r="G2699" s="129"/>
      <c r="H2699" s="129"/>
      <c r="I2699" s="129"/>
      <c r="J2699" s="129"/>
      <c r="K2699" s="129"/>
      <c r="L2699" s="129"/>
      <c r="M2699" s="129"/>
      <c r="N2699" s="129"/>
      <c r="O2699" s="129"/>
      <c r="P2699" s="129"/>
      <c r="Q2699" s="129"/>
      <c r="R2699" s="129"/>
      <c r="S2699" s="129"/>
      <c r="T2699" s="129"/>
      <c r="U2699" s="129"/>
      <c r="V2699" s="129"/>
      <c r="W2699" s="129"/>
      <c r="X2699" s="129"/>
      <c r="Y2699" s="129"/>
      <c r="Z2699" s="129"/>
      <c r="AA2699" s="129"/>
      <c r="AB2699" s="129"/>
    </row>
    <row r="2700" hidden="1">
      <c r="A2700" s="142" t="s">
        <v>1340</v>
      </c>
      <c r="B2700" s="147">
        <v>2990.0</v>
      </c>
      <c r="C2700" s="147">
        <v>3600.0</v>
      </c>
      <c r="D2700" s="132">
        <f t="shared" si="246"/>
        <v>610</v>
      </c>
      <c r="E2700" s="147" t="s">
        <v>123</v>
      </c>
      <c r="F2700" s="139"/>
      <c r="G2700" s="129"/>
      <c r="H2700" s="129"/>
      <c r="I2700" s="129"/>
      <c r="J2700" s="129"/>
      <c r="K2700" s="129"/>
      <c r="L2700" s="129"/>
      <c r="M2700" s="129"/>
      <c r="N2700" s="129"/>
      <c r="O2700" s="129"/>
      <c r="P2700" s="129"/>
      <c r="Q2700" s="129"/>
      <c r="R2700" s="129"/>
      <c r="S2700" s="129"/>
      <c r="T2700" s="129"/>
      <c r="U2700" s="129"/>
      <c r="V2700" s="129"/>
      <c r="W2700" s="129"/>
      <c r="X2700" s="129"/>
      <c r="Y2700" s="129"/>
      <c r="Z2700" s="129"/>
      <c r="AA2700" s="129"/>
      <c r="AB2700" s="129"/>
    </row>
    <row r="2701" hidden="1">
      <c r="A2701" s="128" t="s">
        <v>1179</v>
      </c>
      <c r="B2701" s="147">
        <v>2780.0</v>
      </c>
      <c r="C2701" s="147">
        <v>2883.0</v>
      </c>
      <c r="D2701" s="132">
        <f t="shared" si="246"/>
        <v>103</v>
      </c>
      <c r="E2701" s="171" t="s">
        <v>120</v>
      </c>
      <c r="F2701" s="139"/>
      <c r="G2701" s="129"/>
      <c r="H2701" s="129"/>
      <c r="I2701" s="129"/>
      <c r="J2701" s="129"/>
      <c r="K2701" s="129"/>
      <c r="L2701" s="129"/>
      <c r="M2701" s="129"/>
      <c r="N2701" s="129"/>
      <c r="O2701" s="129"/>
      <c r="P2701" s="129"/>
      <c r="Q2701" s="129"/>
      <c r="R2701" s="129"/>
      <c r="S2701" s="129"/>
      <c r="T2701" s="129"/>
      <c r="U2701" s="129"/>
      <c r="V2701" s="129"/>
      <c r="W2701" s="129"/>
      <c r="X2701" s="129"/>
      <c r="Y2701" s="129"/>
      <c r="Z2701" s="129"/>
      <c r="AA2701" s="129"/>
      <c r="AB2701" s="129"/>
    </row>
    <row r="2702" hidden="1">
      <c r="A2702" s="128" t="s">
        <v>1208</v>
      </c>
      <c r="B2702" s="147">
        <v>0.0</v>
      </c>
      <c r="C2702" s="147">
        <v>0.0</v>
      </c>
      <c r="D2702" s="132">
        <f t="shared" si="246"/>
        <v>0</v>
      </c>
      <c r="E2702" s="394" t="s">
        <v>120</v>
      </c>
      <c r="F2702" s="139"/>
      <c r="G2702" s="129"/>
      <c r="H2702" s="129"/>
      <c r="I2702" s="129"/>
      <c r="J2702" s="129"/>
      <c r="K2702" s="129"/>
      <c r="L2702" s="129"/>
      <c r="M2702" s="129"/>
      <c r="N2702" s="129"/>
      <c r="O2702" s="129"/>
      <c r="P2702" s="129"/>
      <c r="Q2702" s="129"/>
      <c r="R2702" s="129"/>
      <c r="S2702" s="129"/>
      <c r="T2702" s="129"/>
      <c r="U2702" s="129"/>
      <c r="V2702" s="129"/>
      <c r="W2702" s="129"/>
      <c r="X2702" s="129"/>
      <c r="Y2702" s="129"/>
      <c r="Z2702" s="129"/>
      <c r="AA2702" s="129"/>
      <c r="AB2702" s="129"/>
    </row>
    <row r="2703" hidden="1">
      <c r="A2703" s="159" t="s">
        <v>403</v>
      </c>
      <c r="B2703" s="124">
        <v>1990.0</v>
      </c>
      <c r="C2703" s="147">
        <v>2389.0</v>
      </c>
      <c r="D2703" s="270">
        <f t="shared" si="246"/>
        <v>399</v>
      </c>
      <c r="E2703" s="126" t="s">
        <v>123</v>
      </c>
      <c r="F2703" s="139"/>
      <c r="G2703" s="129"/>
      <c r="H2703" s="129"/>
      <c r="I2703" s="129"/>
      <c r="J2703" s="129"/>
      <c r="K2703" s="129"/>
      <c r="L2703" s="129"/>
      <c r="M2703" s="129"/>
      <c r="N2703" s="129"/>
      <c r="O2703" s="129"/>
      <c r="P2703" s="129"/>
      <c r="Q2703" s="129"/>
      <c r="R2703" s="129"/>
      <c r="S2703" s="129"/>
      <c r="T2703" s="129"/>
      <c r="U2703" s="129"/>
      <c r="V2703" s="129"/>
      <c r="W2703" s="129"/>
      <c r="X2703" s="129"/>
      <c r="Y2703" s="129"/>
      <c r="Z2703" s="129"/>
      <c r="AA2703" s="129"/>
      <c r="AB2703" s="129"/>
    </row>
    <row r="2704" hidden="1">
      <c r="A2704" s="128" t="s">
        <v>1300</v>
      </c>
      <c r="B2704" s="147">
        <v>1390.0</v>
      </c>
      <c r="C2704" s="147">
        <v>1500.0</v>
      </c>
      <c r="D2704" s="132">
        <f t="shared" si="246"/>
        <v>110</v>
      </c>
      <c r="E2704" s="126" t="s">
        <v>123</v>
      </c>
      <c r="F2704" s="132"/>
      <c r="G2704" s="129"/>
      <c r="H2704" s="129"/>
      <c r="I2704" s="129"/>
      <c r="J2704" s="129"/>
      <c r="K2704" s="129"/>
      <c r="L2704" s="129"/>
      <c r="M2704" s="129"/>
      <c r="N2704" s="129"/>
      <c r="O2704" s="129"/>
      <c r="P2704" s="129"/>
      <c r="Q2704" s="129"/>
      <c r="R2704" s="129"/>
      <c r="S2704" s="129"/>
      <c r="T2704" s="129"/>
      <c r="U2704" s="129"/>
      <c r="V2704" s="129"/>
      <c r="W2704" s="129"/>
      <c r="X2704" s="129"/>
      <c r="Y2704" s="129"/>
      <c r="Z2704" s="129"/>
      <c r="AA2704" s="129"/>
      <c r="AB2704" s="129"/>
    </row>
    <row r="2705" hidden="1">
      <c r="A2705" s="128" t="s">
        <v>1300</v>
      </c>
      <c r="B2705" s="147">
        <v>1390.0</v>
      </c>
      <c r="C2705" s="147">
        <v>1502.0</v>
      </c>
      <c r="D2705" s="132">
        <f t="shared" si="246"/>
        <v>112</v>
      </c>
      <c r="E2705" s="126" t="s">
        <v>123</v>
      </c>
      <c r="F2705" s="132"/>
      <c r="G2705" s="129"/>
      <c r="H2705" s="129"/>
      <c r="I2705" s="129"/>
      <c r="J2705" s="129"/>
      <c r="K2705" s="129"/>
      <c r="L2705" s="129"/>
      <c r="M2705" s="129"/>
      <c r="N2705" s="129"/>
      <c r="O2705" s="129"/>
      <c r="P2705" s="129"/>
      <c r="Q2705" s="129"/>
      <c r="R2705" s="129"/>
      <c r="S2705" s="129"/>
      <c r="T2705" s="129"/>
      <c r="U2705" s="129"/>
      <c r="V2705" s="129"/>
      <c r="W2705" s="129"/>
      <c r="X2705" s="129"/>
      <c r="Y2705" s="129"/>
      <c r="Z2705" s="129"/>
      <c r="AA2705" s="129"/>
      <c r="AB2705" s="129"/>
    </row>
    <row r="2706" hidden="1">
      <c r="A2706" s="142" t="s">
        <v>1398</v>
      </c>
      <c r="B2706" s="147">
        <v>1190.0</v>
      </c>
      <c r="C2706" s="147">
        <v>1351.0</v>
      </c>
      <c r="D2706" s="132">
        <f t="shared" si="246"/>
        <v>161</v>
      </c>
      <c r="E2706" s="132" t="s">
        <v>123</v>
      </c>
      <c r="F2706" s="139"/>
      <c r="G2706" s="150"/>
      <c r="H2706" s="129"/>
      <c r="I2706" s="129"/>
      <c r="J2706" s="129"/>
      <c r="K2706" s="129"/>
      <c r="L2706" s="129"/>
      <c r="M2706" s="129"/>
      <c r="N2706" s="129"/>
      <c r="O2706" s="129"/>
      <c r="P2706" s="129"/>
      <c r="Q2706" s="129"/>
      <c r="R2706" s="129"/>
      <c r="S2706" s="129"/>
      <c r="T2706" s="129"/>
      <c r="U2706" s="129"/>
      <c r="V2706" s="129"/>
      <c r="W2706" s="129"/>
      <c r="X2706" s="129"/>
      <c r="Y2706" s="129"/>
      <c r="Z2706" s="129"/>
      <c r="AA2706" s="129"/>
      <c r="AB2706" s="129"/>
    </row>
    <row r="2707" hidden="1">
      <c r="A2707" s="128" t="s">
        <v>1412</v>
      </c>
      <c r="B2707" s="147">
        <v>1350.0</v>
      </c>
      <c r="C2707" s="147">
        <v>1511.0</v>
      </c>
      <c r="D2707" s="132">
        <f t="shared" si="246"/>
        <v>161</v>
      </c>
      <c r="E2707" s="171" t="s">
        <v>120</v>
      </c>
      <c r="F2707" s="132"/>
      <c r="G2707" s="129"/>
      <c r="H2707" s="129"/>
      <c r="I2707" s="129"/>
      <c r="J2707" s="129"/>
      <c r="K2707" s="129"/>
      <c r="L2707" s="129"/>
      <c r="M2707" s="129"/>
      <c r="N2707" s="129"/>
      <c r="O2707" s="129"/>
      <c r="P2707" s="129"/>
      <c r="Q2707" s="129"/>
      <c r="R2707" s="129"/>
      <c r="S2707" s="129"/>
      <c r="T2707" s="129"/>
      <c r="U2707" s="129"/>
      <c r="V2707" s="129"/>
      <c r="W2707" s="129"/>
      <c r="X2707" s="129"/>
      <c r="Y2707" s="129"/>
      <c r="Z2707" s="129"/>
      <c r="AA2707" s="129"/>
      <c r="AB2707" s="129"/>
    </row>
    <row r="2708" hidden="1">
      <c r="A2708" s="128" t="s">
        <v>1419</v>
      </c>
      <c r="B2708" s="210">
        <v>3000.0</v>
      </c>
      <c r="C2708" s="210">
        <v>3119.0</v>
      </c>
      <c r="D2708" s="208">
        <f t="shared" si="246"/>
        <v>119</v>
      </c>
      <c r="E2708" s="132" t="s">
        <v>1311</v>
      </c>
      <c r="F2708" s="139"/>
      <c r="G2708" s="129"/>
      <c r="H2708" s="129"/>
      <c r="I2708" s="129"/>
      <c r="J2708" s="129"/>
      <c r="K2708" s="129"/>
      <c r="L2708" s="129"/>
      <c r="M2708" s="129"/>
      <c r="N2708" s="129"/>
      <c r="O2708" s="129"/>
      <c r="P2708" s="129"/>
      <c r="Q2708" s="129"/>
      <c r="R2708" s="129"/>
      <c r="S2708" s="129"/>
      <c r="T2708" s="129"/>
      <c r="U2708" s="129"/>
      <c r="V2708" s="129"/>
      <c r="W2708" s="129"/>
      <c r="X2708" s="129"/>
      <c r="Y2708" s="129"/>
      <c r="Z2708" s="129"/>
      <c r="AA2708" s="129"/>
      <c r="AB2708" s="129"/>
    </row>
    <row r="2709" hidden="1">
      <c r="A2709" s="123" t="s">
        <v>1420</v>
      </c>
      <c r="B2709" s="124">
        <v>890.0</v>
      </c>
      <c r="C2709" s="126">
        <v>968.0</v>
      </c>
      <c r="D2709" s="125">
        <f t="shared" si="246"/>
        <v>78</v>
      </c>
      <c r="E2709" s="126" t="s">
        <v>120</v>
      </c>
      <c r="F2709" s="124"/>
    </row>
    <row r="2710" hidden="1">
      <c r="A2710" s="128" t="s">
        <v>1421</v>
      </c>
      <c r="B2710" s="147">
        <v>8990.0</v>
      </c>
      <c r="C2710" s="147">
        <v>10639.0</v>
      </c>
      <c r="D2710" s="132">
        <f t="shared" si="246"/>
        <v>1649</v>
      </c>
      <c r="E2710" s="132" t="s">
        <v>1311</v>
      </c>
      <c r="F2710" s="139"/>
      <c r="G2710" s="129"/>
      <c r="H2710" s="129"/>
      <c r="I2710" s="129"/>
      <c r="J2710" s="129"/>
      <c r="K2710" s="129"/>
      <c r="L2710" s="129"/>
      <c r="M2710" s="129"/>
      <c r="N2710" s="129"/>
      <c r="O2710" s="129"/>
      <c r="P2710" s="129"/>
      <c r="Q2710" s="129"/>
      <c r="R2710" s="129"/>
      <c r="S2710" s="129"/>
      <c r="T2710" s="129"/>
      <c r="U2710" s="129"/>
      <c r="V2710" s="129"/>
      <c r="W2710" s="129"/>
      <c r="X2710" s="129"/>
      <c r="Y2710" s="129"/>
      <c r="Z2710" s="129"/>
      <c r="AA2710" s="129"/>
      <c r="AB2710" s="129"/>
    </row>
    <row r="2711" hidden="1">
      <c r="A2711" s="123" t="s">
        <v>1422</v>
      </c>
      <c r="B2711" s="147">
        <v>890.0</v>
      </c>
      <c r="C2711" s="126">
        <v>974.0</v>
      </c>
      <c r="D2711" s="125">
        <f t="shared" si="246"/>
        <v>84</v>
      </c>
      <c r="E2711" s="126" t="s">
        <v>123</v>
      </c>
      <c r="F2711" s="124"/>
    </row>
    <row r="2712" hidden="1">
      <c r="A2712" s="123" t="s">
        <v>1212</v>
      </c>
      <c r="B2712" s="147">
        <v>1350.0</v>
      </c>
      <c r="C2712" s="147">
        <v>1503.0</v>
      </c>
      <c r="D2712" s="125">
        <f t="shared" si="246"/>
        <v>153</v>
      </c>
      <c r="E2712" s="126" t="s">
        <v>123</v>
      </c>
      <c r="F2712" s="127"/>
      <c r="G2712" s="123"/>
    </row>
    <row r="2713" hidden="1">
      <c r="A2713" s="123" t="s">
        <v>1423</v>
      </c>
      <c r="B2713" s="124">
        <v>1580.0</v>
      </c>
      <c r="C2713" s="126">
        <v>1701.0</v>
      </c>
      <c r="D2713" s="125">
        <f t="shared" si="246"/>
        <v>121</v>
      </c>
      <c r="E2713" s="147" t="s">
        <v>123</v>
      </c>
      <c r="F2713" s="124"/>
    </row>
    <row r="2714" hidden="1">
      <c r="A2714" s="123" t="s">
        <v>1424</v>
      </c>
      <c r="B2714" s="124">
        <v>0.0</v>
      </c>
      <c r="C2714" s="126">
        <v>0.0</v>
      </c>
      <c r="D2714" s="125">
        <f t="shared" si="246"/>
        <v>0</v>
      </c>
      <c r="E2714" s="147" t="s">
        <v>123</v>
      </c>
      <c r="F2714" s="124"/>
    </row>
    <row r="2715" hidden="1">
      <c r="A2715" s="128" t="s">
        <v>1425</v>
      </c>
      <c r="B2715" s="167">
        <v>2880.0</v>
      </c>
      <c r="C2715" s="167">
        <v>3204.0</v>
      </c>
      <c r="D2715" s="168">
        <f t="shared" si="246"/>
        <v>324</v>
      </c>
      <c r="E2715" s="132" t="s">
        <v>123</v>
      </c>
      <c r="F2715" s="139"/>
      <c r="G2715" s="150"/>
      <c r="H2715" s="129"/>
      <c r="I2715" s="129"/>
      <c r="J2715" s="129"/>
      <c r="K2715" s="129"/>
      <c r="L2715" s="129"/>
      <c r="M2715" s="129"/>
      <c r="N2715" s="129"/>
      <c r="O2715" s="129"/>
      <c r="P2715" s="129"/>
      <c r="Q2715" s="129"/>
      <c r="R2715" s="129"/>
      <c r="S2715" s="129"/>
      <c r="T2715" s="129"/>
      <c r="U2715" s="129"/>
      <c r="V2715" s="129"/>
      <c r="W2715" s="129"/>
      <c r="X2715" s="129"/>
      <c r="Y2715" s="129"/>
      <c r="Z2715" s="129"/>
      <c r="AA2715" s="129"/>
      <c r="AB2715" s="129"/>
    </row>
    <row r="2716" hidden="1">
      <c r="A2716" s="150" t="s">
        <v>1209</v>
      </c>
      <c r="B2716" s="147">
        <v>0.0</v>
      </c>
      <c r="C2716" s="147">
        <v>0.0</v>
      </c>
      <c r="D2716" s="132">
        <f t="shared" si="246"/>
        <v>0</v>
      </c>
      <c r="E2716" s="132" t="s">
        <v>123</v>
      </c>
      <c r="F2716" s="132"/>
      <c r="G2716" s="129"/>
      <c r="H2716" s="129"/>
      <c r="I2716" s="129"/>
      <c r="J2716" s="129"/>
      <c r="K2716" s="129"/>
      <c r="L2716" s="129"/>
      <c r="M2716" s="129"/>
      <c r="N2716" s="129"/>
      <c r="O2716" s="129"/>
      <c r="P2716" s="129"/>
      <c r="Q2716" s="129"/>
      <c r="R2716" s="129"/>
      <c r="S2716" s="129"/>
      <c r="T2716" s="129"/>
      <c r="U2716" s="129"/>
      <c r="V2716" s="129"/>
      <c r="W2716" s="129"/>
      <c r="X2716" s="129"/>
      <c r="Y2716" s="129"/>
      <c r="Z2716" s="129"/>
      <c r="AA2716" s="129"/>
      <c r="AB2716" s="129"/>
    </row>
    <row r="2717" hidden="1">
      <c r="A2717" s="128" t="s">
        <v>1392</v>
      </c>
      <c r="B2717" s="124">
        <v>1290.0</v>
      </c>
      <c r="C2717" s="147">
        <v>1445.0</v>
      </c>
      <c r="D2717" s="132">
        <f t="shared" si="246"/>
        <v>155</v>
      </c>
      <c r="E2717" s="126" t="s">
        <v>123</v>
      </c>
      <c r="F2717" s="132"/>
      <c r="G2717" s="129"/>
      <c r="H2717" s="129"/>
      <c r="I2717" s="129"/>
      <c r="J2717" s="129"/>
      <c r="K2717" s="129"/>
      <c r="L2717" s="129"/>
      <c r="M2717" s="129"/>
      <c r="N2717" s="129"/>
      <c r="O2717" s="129"/>
      <c r="P2717" s="129"/>
      <c r="Q2717" s="129"/>
      <c r="R2717" s="129"/>
      <c r="S2717" s="129"/>
      <c r="T2717" s="129"/>
      <c r="U2717" s="129"/>
      <c r="V2717" s="129"/>
      <c r="W2717" s="129"/>
      <c r="X2717" s="129"/>
      <c r="Y2717" s="129"/>
      <c r="Z2717" s="129"/>
      <c r="AA2717" s="129"/>
      <c r="AB2717" s="129"/>
    </row>
    <row r="2718" hidden="1">
      <c r="A2718" s="128" t="s">
        <v>1426</v>
      </c>
      <c r="B2718" s="147">
        <v>1190.0</v>
      </c>
      <c r="C2718" s="147">
        <v>1352.0</v>
      </c>
      <c r="D2718" s="132">
        <f t="shared" si="246"/>
        <v>162</v>
      </c>
      <c r="E2718" s="132" t="s">
        <v>123</v>
      </c>
      <c r="F2718" s="132"/>
      <c r="G2718" s="129"/>
      <c r="H2718" s="129"/>
      <c r="I2718" s="129"/>
      <c r="J2718" s="129"/>
      <c r="K2718" s="129"/>
      <c r="L2718" s="129"/>
      <c r="M2718" s="129"/>
      <c r="N2718" s="129"/>
      <c r="O2718" s="129"/>
      <c r="P2718" s="129"/>
      <c r="Q2718" s="129"/>
      <c r="R2718" s="129"/>
      <c r="S2718" s="129"/>
      <c r="T2718" s="129"/>
      <c r="U2718" s="129"/>
      <c r="V2718" s="129"/>
      <c r="W2718" s="129"/>
      <c r="X2718" s="129"/>
      <c r="Y2718" s="129"/>
      <c r="Z2718" s="129"/>
      <c r="AA2718" s="129"/>
      <c r="AB2718" s="129"/>
    </row>
    <row r="2719" hidden="1">
      <c r="A2719" s="128" t="s">
        <v>1300</v>
      </c>
      <c r="B2719" s="147">
        <v>1390.0</v>
      </c>
      <c r="C2719" s="147">
        <v>1541.0</v>
      </c>
      <c r="D2719" s="132">
        <f t="shared" si="246"/>
        <v>151</v>
      </c>
      <c r="E2719" s="126" t="s">
        <v>123</v>
      </c>
      <c r="F2719" s="132"/>
      <c r="G2719" s="129"/>
      <c r="H2719" s="129"/>
      <c r="I2719" s="129"/>
      <c r="J2719" s="129"/>
      <c r="K2719" s="129"/>
      <c r="L2719" s="129"/>
      <c r="M2719" s="129"/>
      <c r="N2719" s="129"/>
      <c r="O2719" s="129"/>
      <c r="P2719" s="129"/>
      <c r="Q2719" s="129"/>
      <c r="R2719" s="129"/>
      <c r="S2719" s="129"/>
      <c r="T2719" s="129"/>
      <c r="U2719" s="129"/>
      <c r="V2719" s="129"/>
      <c r="W2719" s="129"/>
      <c r="X2719" s="129"/>
      <c r="Y2719" s="129"/>
      <c r="Z2719" s="129"/>
      <c r="AA2719" s="129"/>
      <c r="AB2719" s="129"/>
    </row>
    <row r="2720" hidden="1">
      <c r="A2720" s="128" t="s">
        <v>1402</v>
      </c>
      <c r="B2720" s="147">
        <v>1090.0</v>
      </c>
      <c r="C2720" s="147">
        <v>1196.0</v>
      </c>
      <c r="D2720" s="132">
        <f t="shared" si="246"/>
        <v>106</v>
      </c>
      <c r="E2720" s="132" t="s">
        <v>123</v>
      </c>
      <c r="F2720" s="139"/>
      <c r="G2720" s="150"/>
      <c r="H2720" s="129"/>
      <c r="I2720" s="129"/>
      <c r="J2720" s="129"/>
      <c r="K2720" s="129"/>
      <c r="L2720" s="129"/>
      <c r="M2720" s="129"/>
      <c r="N2720" s="129"/>
      <c r="O2720" s="129"/>
      <c r="P2720" s="129"/>
      <c r="Q2720" s="129"/>
      <c r="R2720" s="129"/>
      <c r="S2720" s="129"/>
      <c r="T2720" s="129"/>
      <c r="U2720" s="129"/>
      <c r="V2720" s="129"/>
      <c r="W2720" s="129"/>
      <c r="X2720" s="129"/>
      <c r="Y2720" s="129"/>
      <c r="Z2720" s="129"/>
      <c r="AA2720" s="129"/>
      <c r="AB2720" s="129"/>
    </row>
    <row r="2721" hidden="1">
      <c r="A2721" s="142" t="s">
        <v>464</v>
      </c>
      <c r="B2721" s="147">
        <v>1250.0</v>
      </c>
      <c r="C2721" s="124">
        <v>1538.0</v>
      </c>
      <c r="D2721" s="132">
        <f t="shared" si="246"/>
        <v>288</v>
      </c>
      <c r="E2721" s="126" t="s">
        <v>123</v>
      </c>
      <c r="F2721" s="139"/>
      <c r="G2721" s="129"/>
      <c r="H2721" s="129"/>
      <c r="I2721" s="129"/>
      <c r="J2721" s="129"/>
      <c r="K2721" s="129"/>
      <c r="L2721" s="129"/>
      <c r="M2721" s="129"/>
      <c r="N2721" s="129"/>
      <c r="O2721" s="129"/>
      <c r="P2721" s="129"/>
      <c r="Q2721" s="129"/>
      <c r="R2721" s="129"/>
      <c r="S2721" s="129"/>
      <c r="T2721" s="129"/>
      <c r="U2721" s="129"/>
      <c r="V2721" s="129"/>
      <c r="W2721" s="129"/>
      <c r="X2721" s="129"/>
      <c r="Y2721" s="129"/>
      <c r="Z2721" s="129"/>
      <c r="AA2721" s="129"/>
      <c r="AB2721" s="129"/>
    </row>
    <row r="2722" hidden="1">
      <c r="A2722" s="123" t="s">
        <v>1385</v>
      </c>
      <c r="B2722" s="386">
        <v>1490.0</v>
      </c>
      <c r="C2722" s="386">
        <v>1547.0</v>
      </c>
      <c r="D2722" s="170">
        <f t="shared" si="246"/>
        <v>57</v>
      </c>
      <c r="E2722" s="126" t="s">
        <v>123</v>
      </c>
      <c r="F2722" s="132"/>
      <c r="G2722" s="123"/>
    </row>
    <row r="2723" hidden="1">
      <c r="A2723" s="150" t="s">
        <v>1385</v>
      </c>
      <c r="B2723" s="167">
        <v>2580.0</v>
      </c>
      <c r="C2723" s="167">
        <v>2796.0</v>
      </c>
      <c r="D2723" s="168">
        <f t="shared" si="246"/>
        <v>216</v>
      </c>
      <c r="E2723" s="132" t="s">
        <v>123</v>
      </c>
      <c r="F2723" s="139"/>
      <c r="G2723" s="150"/>
      <c r="H2723" s="129"/>
      <c r="I2723" s="129"/>
      <c r="J2723" s="129"/>
      <c r="K2723" s="129"/>
      <c r="L2723" s="129"/>
      <c r="M2723" s="129"/>
      <c r="N2723" s="129"/>
      <c r="O2723" s="129"/>
      <c r="P2723" s="129"/>
      <c r="Q2723" s="129"/>
      <c r="R2723" s="129"/>
      <c r="S2723" s="129"/>
      <c r="T2723" s="129"/>
      <c r="U2723" s="129"/>
      <c r="V2723" s="129"/>
      <c r="W2723" s="129"/>
      <c r="X2723" s="129"/>
      <c r="Y2723" s="129"/>
      <c r="Z2723" s="129"/>
      <c r="AA2723" s="129"/>
      <c r="AB2723" s="129"/>
    </row>
    <row r="2724" hidden="1">
      <c r="A2724" s="142" t="s">
        <v>1416</v>
      </c>
      <c r="B2724" s="147">
        <v>0.0</v>
      </c>
      <c r="C2724" s="147">
        <v>0.0</v>
      </c>
      <c r="D2724" s="132">
        <f t="shared" si="246"/>
        <v>0</v>
      </c>
      <c r="E2724" s="149" t="s">
        <v>123</v>
      </c>
      <c r="F2724" s="139"/>
      <c r="G2724" s="129"/>
      <c r="H2724" s="129"/>
      <c r="I2724" s="129"/>
      <c r="J2724" s="129"/>
      <c r="K2724" s="129"/>
      <c r="L2724" s="129"/>
      <c r="M2724" s="129"/>
      <c r="N2724" s="129"/>
      <c r="O2724" s="129"/>
      <c r="P2724" s="129"/>
      <c r="Q2724" s="129"/>
      <c r="R2724" s="129"/>
      <c r="S2724" s="129"/>
      <c r="T2724" s="129"/>
      <c r="U2724" s="129"/>
      <c r="V2724" s="129"/>
      <c r="W2724" s="129"/>
      <c r="X2724" s="129"/>
      <c r="Y2724" s="129"/>
      <c r="Z2724" s="129"/>
      <c r="AA2724" s="129"/>
      <c r="AB2724" s="129"/>
    </row>
    <row r="2725" hidden="1">
      <c r="A2725" s="128" t="s">
        <v>1425</v>
      </c>
      <c r="B2725" s="167">
        <v>1490.0</v>
      </c>
      <c r="C2725" s="167">
        <v>1568.0</v>
      </c>
      <c r="D2725" s="168">
        <f t="shared" si="246"/>
        <v>78</v>
      </c>
      <c r="E2725" s="132" t="s">
        <v>123</v>
      </c>
      <c r="F2725" s="139"/>
      <c r="G2725" s="150"/>
      <c r="H2725" s="129"/>
      <c r="I2725" s="129"/>
      <c r="J2725" s="129"/>
      <c r="K2725" s="129"/>
      <c r="L2725" s="129"/>
      <c r="M2725" s="129"/>
      <c r="N2725" s="129"/>
      <c r="O2725" s="129"/>
      <c r="P2725" s="129"/>
      <c r="Q2725" s="129"/>
      <c r="R2725" s="129"/>
      <c r="S2725" s="129"/>
      <c r="T2725" s="129"/>
      <c r="U2725" s="129"/>
      <c r="V2725" s="129"/>
      <c r="W2725" s="129"/>
      <c r="X2725" s="129"/>
      <c r="Y2725" s="129"/>
      <c r="Z2725" s="129"/>
      <c r="AA2725" s="129"/>
      <c r="AB2725" s="129"/>
    </row>
    <row r="2726" hidden="1">
      <c r="A2726" s="128" t="s">
        <v>1140</v>
      </c>
      <c r="B2726" s="147">
        <v>2780.0</v>
      </c>
      <c r="C2726" s="147">
        <v>2985.0</v>
      </c>
      <c r="D2726" s="132">
        <f t="shared" si="246"/>
        <v>205</v>
      </c>
      <c r="E2726" s="394" t="s">
        <v>120</v>
      </c>
      <c r="F2726" s="139"/>
      <c r="G2726" s="129"/>
      <c r="H2726" s="129"/>
      <c r="I2726" s="129"/>
      <c r="J2726" s="129"/>
      <c r="K2726" s="129"/>
      <c r="L2726" s="129"/>
      <c r="M2726" s="129"/>
      <c r="N2726" s="129"/>
      <c r="O2726" s="129"/>
      <c r="P2726" s="129"/>
      <c r="Q2726" s="129"/>
      <c r="R2726" s="129"/>
      <c r="S2726" s="129"/>
      <c r="T2726" s="129"/>
      <c r="U2726" s="129"/>
      <c r="V2726" s="129"/>
      <c r="W2726" s="129"/>
      <c r="X2726" s="129"/>
      <c r="Y2726" s="129"/>
      <c r="Z2726" s="129"/>
      <c r="AA2726" s="129"/>
      <c r="AB2726" s="129"/>
    </row>
    <row r="2727" hidden="1">
      <c r="A2727" s="128" t="s">
        <v>1140</v>
      </c>
      <c r="B2727" s="147">
        <v>0.0</v>
      </c>
      <c r="C2727" s="147">
        <v>0.0</v>
      </c>
      <c r="D2727" s="132">
        <f t="shared" si="246"/>
        <v>0</v>
      </c>
      <c r="E2727" s="394" t="s">
        <v>120</v>
      </c>
      <c r="F2727" s="139"/>
      <c r="G2727" s="129"/>
      <c r="H2727" s="129"/>
      <c r="I2727" s="129"/>
      <c r="J2727" s="129"/>
      <c r="K2727" s="129"/>
      <c r="L2727" s="129"/>
      <c r="M2727" s="129"/>
      <c r="N2727" s="129"/>
      <c r="O2727" s="129"/>
      <c r="P2727" s="129"/>
      <c r="Q2727" s="129"/>
      <c r="R2727" s="129"/>
      <c r="S2727" s="129"/>
      <c r="T2727" s="129"/>
      <c r="U2727" s="129"/>
      <c r="V2727" s="129"/>
      <c r="W2727" s="129"/>
      <c r="X2727" s="129"/>
      <c r="Y2727" s="129"/>
      <c r="Z2727" s="129"/>
      <c r="AA2727" s="129"/>
      <c r="AB2727" s="129"/>
    </row>
    <row r="2728" hidden="1">
      <c r="A2728" s="128" t="s">
        <v>1213</v>
      </c>
      <c r="B2728" s="147">
        <v>1350.0</v>
      </c>
      <c r="C2728" s="147">
        <v>1549.0</v>
      </c>
      <c r="D2728" s="132">
        <f t="shared" si="246"/>
        <v>199</v>
      </c>
      <c r="E2728" s="171" t="s">
        <v>120</v>
      </c>
      <c r="F2728" s="132"/>
      <c r="G2728" s="129"/>
      <c r="H2728" s="129"/>
      <c r="I2728" s="129"/>
      <c r="J2728" s="129"/>
      <c r="K2728" s="129"/>
      <c r="L2728" s="129"/>
      <c r="M2728" s="129"/>
      <c r="N2728" s="129"/>
      <c r="O2728" s="129"/>
      <c r="P2728" s="129"/>
      <c r="Q2728" s="129"/>
      <c r="R2728" s="129"/>
      <c r="S2728" s="129"/>
      <c r="T2728" s="129"/>
      <c r="U2728" s="129"/>
      <c r="V2728" s="129"/>
      <c r="W2728" s="129"/>
      <c r="X2728" s="129"/>
      <c r="Y2728" s="129"/>
      <c r="Z2728" s="129"/>
      <c r="AA2728" s="129"/>
      <c r="AB2728" s="129"/>
    </row>
    <row r="2729" hidden="1">
      <c r="A2729" s="128" t="s">
        <v>1213</v>
      </c>
      <c r="B2729" s="147">
        <v>1350.0</v>
      </c>
      <c r="C2729" s="147">
        <v>1549.0</v>
      </c>
      <c r="D2729" s="132">
        <f t="shared" si="246"/>
        <v>199</v>
      </c>
      <c r="E2729" s="171" t="s">
        <v>120</v>
      </c>
      <c r="F2729" s="132"/>
      <c r="G2729" s="129"/>
      <c r="H2729" s="129"/>
      <c r="I2729" s="129"/>
      <c r="J2729" s="129"/>
      <c r="K2729" s="129"/>
      <c r="L2729" s="129"/>
      <c r="M2729" s="129"/>
      <c r="N2729" s="129"/>
      <c r="O2729" s="129"/>
      <c r="P2729" s="129"/>
      <c r="Q2729" s="129"/>
      <c r="R2729" s="129"/>
      <c r="S2729" s="129"/>
      <c r="T2729" s="129"/>
      <c r="U2729" s="129"/>
      <c r="V2729" s="129"/>
      <c r="W2729" s="129"/>
      <c r="X2729" s="129"/>
      <c r="Y2729" s="129"/>
      <c r="Z2729" s="129"/>
      <c r="AA2729" s="129"/>
      <c r="AB2729" s="129"/>
    </row>
    <row r="2730" hidden="1">
      <c r="A2730" s="128" t="s">
        <v>1301</v>
      </c>
      <c r="B2730" s="147">
        <v>1590.0</v>
      </c>
      <c r="C2730" s="124">
        <v>1938.0</v>
      </c>
      <c r="D2730" s="132">
        <f t="shared" si="246"/>
        <v>348</v>
      </c>
      <c r="E2730" s="126" t="s">
        <v>123</v>
      </c>
      <c r="F2730" s="132"/>
      <c r="G2730" s="129"/>
      <c r="H2730" s="129"/>
      <c r="I2730" s="129"/>
      <c r="J2730" s="129"/>
      <c r="K2730" s="129"/>
      <c r="L2730" s="129"/>
      <c r="M2730" s="129"/>
      <c r="N2730" s="129"/>
      <c r="O2730" s="129"/>
      <c r="P2730" s="129"/>
      <c r="Q2730" s="129"/>
      <c r="R2730" s="129"/>
      <c r="S2730" s="129"/>
      <c r="T2730" s="129"/>
      <c r="U2730" s="129"/>
      <c r="V2730" s="129"/>
      <c r="W2730" s="129"/>
      <c r="X2730" s="129"/>
      <c r="Y2730" s="129"/>
      <c r="Z2730" s="129"/>
      <c r="AA2730" s="129"/>
      <c r="AB2730" s="129"/>
    </row>
    <row r="2731" hidden="1">
      <c r="A2731" s="128" t="s">
        <v>1350</v>
      </c>
      <c r="B2731" s="147">
        <v>1390.0</v>
      </c>
      <c r="C2731" s="147">
        <v>1553.0</v>
      </c>
      <c r="D2731" s="132">
        <f t="shared" si="246"/>
        <v>163</v>
      </c>
      <c r="E2731" s="171" t="s">
        <v>120</v>
      </c>
      <c r="F2731" s="132"/>
      <c r="G2731" s="129"/>
      <c r="H2731" s="129"/>
      <c r="I2731" s="129"/>
      <c r="J2731" s="129"/>
      <c r="K2731" s="129"/>
      <c r="L2731" s="129"/>
      <c r="M2731" s="129"/>
      <c r="N2731" s="129"/>
      <c r="O2731" s="129"/>
      <c r="P2731" s="129"/>
      <c r="Q2731" s="129"/>
      <c r="R2731" s="129"/>
      <c r="S2731" s="129"/>
      <c r="T2731" s="129"/>
      <c r="U2731" s="129"/>
      <c r="V2731" s="129"/>
      <c r="W2731" s="129"/>
      <c r="X2731" s="129"/>
      <c r="Y2731" s="129"/>
      <c r="Z2731" s="129"/>
      <c r="AA2731" s="129"/>
      <c r="AB2731" s="129"/>
    </row>
    <row r="2732" hidden="1">
      <c r="A2732" s="151" t="s">
        <v>464</v>
      </c>
      <c r="B2732" s="147">
        <v>1250.0</v>
      </c>
      <c r="C2732" s="124">
        <v>1538.0</v>
      </c>
      <c r="D2732" s="132">
        <f t="shared" si="246"/>
        <v>288</v>
      </c>
      <c r="E2732" s="126" t="s">
        <v>123</v>
      </c>
      <c r="F2732" s="139"/>
      <c r="G2732" s="129"/>
      <c r="H2732" s="129"/>
      <c r="I2732" s="129"/>
      <c r="J2732" s="129"/>
      <c r="K2732" s="129"/>
      <c r="L2732" s="129"/>
      <c r="M2732" s="129"/>
      <c r="N2732" s="129"/>
      <c r="O2732" s="129"/>
      <c r="P2732" s="129"/>
      <c r="Q2732" s="129"/>
      <c r="R2732" s="129"/>
      <c r="S2732" s="129"/>
      <c r="T2732" s="129"/>
      <c r="U2732" s="129"/>
      <c r="V2732" s="129"/>
      <c r="W2732" s="129"/>
      <c r="X2732" s="129"/>
      <c r="Y2732" s="129"/>
      <c r="Z2732" s="129"/>
      <c r="AA2732" s="129"/>
      <c r="AB2732" s="129"/>
    </row>
    <row r="2733" hidden="1">
      <c r="A2733" s="128" t="s">
        <v>1425</v>
      </c>
      <c r="B2733" s="167">
        <v>1490.0</v>
      </c>
      <c r="C2733" s="167">
        <v>1615.0</v>
      </c>
      <c r="D2733" s="168">
        <f t="shared" si="246"/>
        <v>125</v>
      </c>
      <c r="E2733" s="132" t="s">
        <v>123</v>
      </c>
      <c r="F2733" s="139"/>
      <c r="G2733" s="150"/>
      <c r="H2733" s="129"/>
      <c r="I2733" s="129"/>
      <c r="J2733" s="129"/>
      <c r="K2733" s="129"/>
      <c r="L2733" s="129"/>
      <c r="M2733" s="129"/>
      <c r="N2733" s="129"/>
      <c r="O2733" s="129"/>
      <c r="P2733" s="129"/>
      <c r="Q2733" s="129"/>
      <c r="R2733" s="129"/>
      <c r="S2733" s="129"/>
      <c r="T2733" s="129"/>
      <c r="U2733" s="129"/>
      <c r="V2733" s="129"/>
      <c r="W2733" s="129"/>
      <c r="X2733" s="129"/>
      <c r="Y2733" s="129"/>
      <c r="Z2733" s="129"/>
      <c r="AA2733" s="129"/>
      <c r="AB2733" s="129"/>
    </row>
    <row r="2734" hidden="1">
      <c r="A2734" s="128" t="s">
        <v>1412</v>
      </c>
      <c r="B2734" s="147">
        <v>1350.0</v>
      </c>
      <c r="C2734" s="147">
        <v>1487.0</v>
      </c>
      <c r="D2734" s="132">
        <f t="shared" si="246"/>
        <v>137</v>
      </c>
      <c r="E2734" s="171" t="s">
        <v>120</v>
      </c>
      <c r="F2734" s="132"/>
      <c r="G2734" s="129"/>
      <c r="H2734" s="129"/>
      <c r="I2734" s="129"/>
      <c r="J2734" s="129"/>
      <c r="K2734" s="129"/>
      <c r="L2734" s="129"/>
      <c r="M2734" s="129"/>
      <c r="N2734" s="129"/>
      <c r="O2734" s="129"/>
      <c r="P2734" s="129"/>
      <c r="Q2734" s="129"/>
      <c r="R2734" s="129"/>
      <c r="S2734" s="129"/>
      <c r="T2734" s="129"/>
      <c r="U2734" s="129"/>
      <c r="V2734" s="129"/>
      <c r="W2734" s="129"/>
      <c r="X2734" s="129"/>
      <c r="Y2734" s="129"/>
      <c r="Z2734" s="129"/>
      <c r="AA2734" s="129"/>
      <c r="AB2734" s="129"/>
    </row>
    <row r="2735" hidden="1">
      <c r="A2735" s="128" t="s">
        <v>1425</v>
      </c>
      <c r="B2735" s="167">
        <v>1490.0</v>
      </c>
      <c r="C2735" s="167">
        <v>1615.0</v>
      </c>
      <c r="D2735" s="168">
        <f t="shared" si="246"/>
        <v>125</v>
      </c>
      <c r="E2735" s="132" t="s">
        <v>123</v>
      </c>
      <c r="F2735" s="139"/>
      <c r="G2735" s="150"/>
      <c r="H2735" s="129"/>
      <c r="I2735" s="129"/>
      <c r="J2735" s="129"/>
      <c r="K2735" s="129"/>
      <c r="L2735" s="129"/>
      <c r="M2735" s="129"/>
      <c r="N2735" s="129"/>
      <c r="O2735" s="129"/>
      <c r="P2735" s="129"/>
      <c r="Q2735" s="129"/>
      <c r="R2735" s="129"/>
      <c r="S2735" s="129"/>
      <c r="T2735" s="129"/>
      <c r="U2735" s="129"/>
      <c r="V2735" s="129"/>
      <c r="W2735" s="129"/>
      <c r="X2735" s="129"/>
      <c r="Y2735" s="129"/>
      <c r="Z2735" s="129"/>
      <c r="AA2735" s="129"/>
      <c r="AB2735" s="129"/>
    </row>
    <row r="2736" hidden="1">
      <c r="A2736" s="128" t="s">
        <v>1216</v>
      </c>
      <c r="B2736" s="147">
        <v>1390.0</v>
      </c>
      <c r="C2736" s="147">
        <v>1549.0</v>
      </c>
      <c r="D2736" s="132">
        <f t="shared" si="246"/>
        <v>159</v>
      </c>
      <c r="E2736" s="171" t="s">
        <v>120</v>
      </c>
      <c r="F2736" s="139"/>
      <c r="G2736" s="129"/>
      <c r="H2736" s="129"/>
      <c r="I2736" s="129"/>
      <c r="J2736" s="129"/>
      <c r="K2736" s="129"/>
      <c r="L2736" s="129"/>
      <c r="M2736" s="129"/>
      <c r="N2736" s="129"/>
      <c r="O2736" s="129"/>
      <c r="P2736" s="129"/>
      <c r="Q2736" s="129"/>
      <c r="R2736" s="129"/>
      <c r="S2736" s="129"/>
      <c r="T2736" s="129"/>
      <c r="U2736" s="129"/>
      <c r="V2736" s="129"/>
      <c r="W2736" s="129"/>
      <c r="X2736" s="129"/>
      <c r="Y2736" s="129"/>
      <c r="Z2736" s="129"/>
      <c r="AA2736" s="129"/>
      <c r="AB2736" s="129"/>
    </row>
    <row r="2737" hidden="1">
      <c r="A2737" s="128" t="s">
        <v>1300</v>
      </c>
      <c r="B2737" s="147">
        <v>1390.0</v>
      </c>
      <c r="C2737" s="147">
        <v>1549.0</v>
      </c>
      <c r="D2737" s="132">
        <f t="shared" si="246"/>
        <v>159</v>
      </c>
      <c r="E2737" s="126" t="s">
        <v>123</v>
      </c>
      <c r="F2737" s="132"/>
      <c r="G2737" s="129"/>
      <c r="H2737" s="129"/>
      <c r="I2737" s="129"/>
      <c r="J2737" s="129"/>
      <c r="K2737" s="129"/>
      <c r="L2737" s="129"/>
      <c r="M2737" s="129"/>
      <c r="N2737" s="129"/>
      <c r="O2737" s="129"/>
      <c r="P2737" s="129"/>
      <c r="Q2737" s="129"/>
      <c r="R2737" s="129"/>
      <c r="S2737" s="129"/>
      <c r="T2737" s="129"/>
      <c r="U2737" s="129"/>
      <c r="V2737" s="129"/>
      <c r="W2737" s="129"/>
      <c r="X2737" s="129"/>
      <c r="Y2737" s="129"/>
      <c r="Z2737" s="129"/>
      <c r="AA2737" s="129"/>
      <c r="AB2737" s="129"/>
    </row>
    <row r="2738" hidden="1">
      <c r="A2738" s="123" t="s">
        <v>443</v>
      </c>
      <c r="B2738" s="124">
        <v>1450.0</v>
      </c>
      <c r="C2738" s="124">
        <v>1645.0</v>
      </c>
      <c r="D2738" s="125">
        <f t="shared" si="246"/>
        <v>195</v>
      </c>
      <c r="E2738" s="126" t="s">
        <v>123</v>
      </c>
      <c r="F2738" s="124"/>
      <c r="G2738" s="123"/>
    </row>
    <row r="2739" hidden="1">
      <c r="A2739" s="128" t="s">
        <v>1216</v>
      </c>
      <c r="B2739" s="147">
        <v>1390.0</v>
      </c>
      <c r="C2739" s="147">
        <v>1501.0</v>
      </c>
      <c r="D2739" s="132">
        <f t="shared" si="246"/>
        <v>111</v>
      </c>
      <c r="E2739" s="171" t="s">
        <v>120</v>
      </c>
      <c r="F2739" s="139"/>
      <c r="G2739" s="129"/>
      <c r="H2739" s="129"/>
      <c r="I2739" s="129"/>
      <c r="J2739" s="129"/>
      <c r="K2739" s="129"/>
      <c r="L2739" s="129"/>
      <c r="M2739" s="129"/>
      <c r="N2739" s="129"/>
      <c r="O2739" s="129"/>
      <c r="P2739" s="129"/>
      <c r="Q2739" s="129"/>
      <c r="R2739" s="129"/>
      <c r="S2739" s="129"/>
      <c r="T2739" s="129"/>
      <c r="U2739" s="129"/>
      <c r="V2739" s="129"/>
      <c r="W2739" s="129"/>
      <c r="X2739" s="129"/>
      <c r="Y2739" s="129"/>
      <c r="Z2739" s="129"/>
      <c r="AA2739" s="129"/>
      <c r="AB2739" s="129"/>
    </row>
    <row r="2740" hidden="1">
      <c r="A2740" s="128" t="s">
        <v>1425</v>
      </c>
      <c r="B2740" s="167">
        <v>2940.0</v>
      </c>
      <c r="C2740" s="167">
        <v>3046.0</v>
      </c>
      <c r="D2740" s="168">
        <f t="shared" si="246"/>
        <v>106</v>
      </c>
      <c r="E2740" s="132" t="s">
        <v>123</v>
      </c>
      <c r="F2740" s="139"/>
      <c r="G2740" s="150"/>
      <c r="H2740" s="129"/>
      <c r="I2740" s="129"/>
      <c r="J2740" s="129"/>
      <c r="K2740" s="129"/>
      <c r="L2740" s="129"/>
      <c r="M2740" s="129"/>
      <c r="N2740" s="129"/>
      <c r="O2740" s="129"/>
      <c r="P2740" s="129"/>
      <c r="Q2740" s="129"/>
      <c r="R2740" s="129"/>
      <c r="S2740" s="129"/>
      <c r="T2740" s="129"/>
      <c r="U2740" s="129"/>
      <c r="V2740" s="129"/>
      <c r="W2740" s="129"/>
      <c r="X2740" s="129"/>
      <c r="Y2740" s="129"/>
      <c r="Z2740" s="129"/>
      <c r="AA2740" s="129"/>
      <c r="AB2740" s="129"/>
    </row>
    <row r="2741" hidden="1">
      <c r="A2741" s="128" t="s">
        <v>1262</v>
      </c>
      <c r="B2741" s="147">
        <v>0.0</v>
      </c>
      <c r="C2741" s="147">
        <v>0.0</v>
      </c>
      <c r="D2741" s="132">
        <f t="shared" si="246"/>
        <v>0</v>
      </c>
      <c r="E2741" s="126" t="s">
        <v>123</v>
      </c>
      <c r="F2741" s="139"/>
      <c r="G2741" s="150"/>
      <c r="H2741" s="129"/>
      <c r="I2741" s="129"/>
      <c r="J2741" s="129"/>
      <c r="K2741" s="129"/>
      <c r="L2741" s="129"/>
      <c r="M2741" s="129"/>
      <c r="N2741" s="129"/>
      <c r="O2741" s="129"/>
      <c r="P2741" s="129"/>
      <c r="Q2741" s="129"/>
      <c r="R2741" s="129"/>
      <c r="S2741" s="129"/>
      <c r="T2741" s="129"/>
      <c r="U2741" s="129"/>
      <c r="V2741" s="129"/>
      <c r="W2741" s="129"/>
      <c r="X2741" s="129"/>
      <c r="Y2741" s="129"/>
      <c r="Z2741" s="129"/>
      <c r="AA2741" s="129"/>
      <c r="AB2741" s="129"/>
    </row>
    <row r="2742" hidden="1">
      <c r="A2742" s="150" t="s">
        <v>1415</v>
      </c>
      <c r="B2742" s="147">
        <v>790.0</v>
      </c>
      <c r="C2742" s="126">
        <v>865.0</v>
      </c>
      <c r="D2742" s="132">
        <f t="shared" si="246"/>
        <v>75</v>
      </c>
      <c r="E2742" s="147" t="s">
        <v>123</v>
      </c>
      <c r="F2742" s="132"/>
      <c r="G2742" s="129"/>
      <c r="H2742" s="129"/>
      <c r="I2742" s="129"/>
      <c r="J2742" s="129"/>
      <c r="K2742" s="129"/>
      <c r="L2742" s="129"/>
      <c r="M2742" s="129"/>
      <c r="N2742" s="129"/>
      <c r="O2742" s="129"/>
      <c r="P2742" s="129"/>
      <c r="Q2742" s="129"/>
      <c r="R2742" s="129"/>
      <c r="S2742" s="129"/>
      <c r="T2742" s="129"/>
      <c r="U2742" s="129"/>
      <c r="V2742" s="129"/>
      <c r="W2742" s="129"/>
      <c r="X2742" s="129"/>
      <c r="Y2742" s="129"/>
      <c r="Z2742" s="129"/>
      <c r="AA2742" s="129"/>
      <c r="AB2742" s="129"/>
    </row>
    <row r="2743" hidden="1">
      <c r="A2743" s="150" t="s">
        <v>1209</v>
      </c>
      <c r="B2743" s="147">
        <v>1390.0</v>
      </c>
      <c r="C2743" s="147">
        <v>1559.0</v>
      </c>
      <c r="D2743" s="132">
        <f t="shared" si="246"/>
        <v>169</v>
      </c>
      <c r="E2743" s="132" t="s">
        <v>123</v>
      </c>
      <c r="F2743" s="132"/>
      <c r="G2743" s="129"/>
      <c r="H2743" s="129"/>
      <c r="I2743" s="129"/>
      <c r="J2743" s="129"/>
      <c r="K2743" s="129"/>
      <c r="L2743" s="129"/>
      <c r="M2743" s="129"/>
      <c r="N2743" s="129"/>
      <c r="O2743" s="129"/>
      <c r="P2743" s="129"/>
      <c r="Q2743" s="129"/>
      <c r="R2743" s="129"/>
      <c r="S2743" s="129"/>
      <c r="T2743" s="129"/>
      <c r="U2743" s="129"/>
      <c r="V2743" s="129"/>
      <c r="W2743" s="129"/>
      <c r="X2743" s="129"/>
      <c r="Y2743" s="129"/>
      <c r="Z2743" s="129"/>
      <c r="AA2743" s="129"/>
      <c r="AB2743" s="129"/>
    </row>
    <row r="2744" hidden="1">
      <c r="A2744" s="123" t="s">
        <v>1385</v>
      </c>
      <c r="B2744" s="386">
        <v>1490.0</v>
      </c>
      <c r="C2744" s="386">
        <v>1605.0</v>
      </c>
      <c r="D2744" s="170">
        <f t="shared" si="246"/>
        <v>115</v>
      </c>
      <c r="E2744" s="126" t="s">
        <v>123</v>
      </c>
      <c r="F2744" s="132"/>
      <c r="G2744" s="123"/>
    </row>
    <row r="2745" hidden="1">
      <c r="A2745" s="150" t="s">
        <v>1209</v>
      </c>
      <c r="B2745" s="147">
        <v>1390.0</v>
      </c>
      <c r="C2745" s="147">
        <v>1563.0</v>
      </c>
      <c r="D2745" s="132">
        <f t="shared" si="246"/>
        <v>173</v>
      </c>
      <c r="E2745" s="132" t="s">
        <v>123</v>
      </c>
      <c r="F2745" s="132"/>
      <c r="G2745" s="129"/>
      <c r="H2745" s="129"/>
      <c r="I2745" s="129"/>
      <c r="J2745" s="129"/>
      <c r="K2745" s="129"/>
      <c r="L2745" s="129"/>
      <c r="M2745" s="129"/>
      <c r="N2745" s="129"/>
      <c r="O2745" s="129"/>
      <c r="P2745" s="129"/>
      <c r="Q2745" s="129"/>
      <c r="R2745" s="129"/>
      <c r="S2745" s="129"/>
      <c r="T2745" s="129"/>
      <c r="U2745" s="129"/>
      <c r="V2745" s="129"/>
      <c r="W2745" s="129"/>
      <c r="X2745" s="129"/>
      <c r="Y2745" s="129"/>
      <c r="Z2745" s="129"/>
      <c r="AA2745" s="129"/>
      <c r="AB2745" s="129"/>
    </row>
    <row r="2746" hidden="1">
      <c r="A2746" s="123" t="s">
        <v>1385</v>
      </c>
      <c r="B2746" s="386">
        <v>1490.0</v>
      </c>
      <c r="C2746" s="386">
        <v>1557.0</v>
      </c>
      <c r="D2746" s="170">
        <f t="shared" si="246"/>
        <v>67</v>
      </c>
      <c r="E2746" s="126" t="s">
        <v>123</v>
      </c>
      <c r="F2746" s="132"/>
      <c r="G2746" s="123"/>
    </row>
    <row r="2747" hidden="1">
      <c r="A2747" s="123" t="s">
        <v>1427</v>
      </c>
      <c r="B2747" s="147">
        <v>1390.0</v>
      </c>
      <c r="C2747" s="147">
        <v>1562.0</v>
      </c>
      <c r="D2747" s="132">
        <f t="shared" si="246"/>
        <v>172</v>
      </c>
      <c r="E2747" s="171" t="s">
        <v>120</v>
      </c>
      <c r="F2747" s="124"/>
    </row>
    <row r="2748" hidden="1">
      <c r="A2748" s="128" t="s">
        <v>1126</v>
      </c>
      <c r="B2748" s="147">
        <v>1290.0</v>
      </c>
      <c r="C2748" s="147">
        <v>1324.0</v>
      </c>
      <c r="D2748" s="132">
        <f t="shared" si="246"/>
        <v>34</v>
      </c>
      <c r="E2748" s="126" t="s">
        <v>123</v>
      </c>
      <c r="F2748" s="139"/>
      <c r="G2748" s="129"/>
      <c r="H2748" s="129"/>
      <c r="I2748" s="129"/>
      <c r="J2748" s="129"/>
      <c r="K2748" s="129"/>
      <c r="L2748" s="129"/>
      <c r="M2748" s="129"/>
      <c r="N2748" s="129"/>
      <c r="O2748" s="129"/>
      <c r="P2748" s="129"/>
      <c r="Q2748" s="129"/>
      <c r="R2748" s="129"/>
      <c r="S2748" s="129"/>
      <c r="T2748" s="129"/>
      <c r="U2748" s="129"/>
      <c r="V2748" s="129"/>
      <c r="W2748" s="129"/>
      <c r="X2748" s="129"/>
      <c r="Y2748" s="129"/>
      <c r="Z2748" s="129"/>
      <c r="AA2748" s="129"/>
      <c r="AB2748" s="129"/>
    </row>
    <row r="2749" hidden="1">
      <c r="A2749" s="128" t="s">
        <v>1428</v>
      </c>
      <c r="B2749" s="147">
        <v>8990.0</v>
      </c>
      <c r="C2749" s="147">
        <v>9688.0</v>
      </c>
      <c r="D2749" s="132">
        <f t="shared" si="246"/>
        <v>698</v>
      </c>
      <c r="E2749" s="132" t="s">
        <v>1311</v>
      </c>
      <c r="F2749" s="139"/>
      <c r="G2749" s="129"/>
      <c r="H2749" s="129"/>
      <c r="I2749" s="129"/>
      <c r="J2749" s="129"/>
      <c r="K2749" s="129"/>
      <c r="L2749" s="129"/>
      <c r="M2749" s="129"/>
      <c r="N2749" s="129"/>
      <c r="O2749" s="129"/>
      <c r="P2749" s="129"/>
      <c r="Q2749" s="129"/>
      <c r="R2749" s="129"/>
      <c r="S2749" s="129"/>
      <c r="T2749" s="129"/>
      <c r="U2749" s="129"/>
      <c r="V2749" s="129"/>
      <c r="W2749" s="129"/>
      <c r="X2749" s="129"/>
      <c r="Y2749" s="129"/>
      <c r="Z2749" s="129"/>
      <c r="AA2749" s="129"/>
      <c r="AB2749" s="129"/>
    </row>
    <row r="2750" hidden="1">
      <c r="A2750" s="151" t="s">
        <v>1409</v>
      </c>
      <c r="B2750" s="132">
        <v>690.0</v>
      </c>
      <c r="C2750" s="147">
        <v>863.0</v>
      </c>
      <c r="D2750" s="132">
        <f t="shared" si="246"/>
        <v>173</v>
      </c>
      <c r="E2750" s="132" t="s">
        <v>123</v>
      </c>
      <c r="F2750" s="139"/>
      <c r="G2750" s="129"/>
      <c r="H2750" s="129"/>
      <c r="I2750" s="129"/>
      <c r="J2750" s="129"/>
      <c r="K2750" s="129"/>
      <c r="L2750" s="129"/>
      <c r="M2750" s="129"/>
      <c r="N2750" s="129"/>
      <c r="O2750" s="129"/>
      <c r="P2750" s="129"/>
      <c r="Q2750" s="129"/>
      <c r="R2750" s="129"/>
      <c r="S2750" s="129"/>
      <c r="T2750" s="129"/>
      <c r="U2750" s="129"/>
      <c r="V2750" s="129"/>
      <c r="W2750" s="129"/>
      <c r="X2750" s="129"/>
      <c r="Y2750" s="129"/>
      <c r="Z2750" s="129"/>
      <c r="AA2750" s="129"/>
      <c r="AB2750" s="129"/>
    </row>
    <row r="2751" hidden="1">
      <c r="A2751" s="142" t="s">
        <v>1429</v>
      </c>
      <c r="B2751" s="147">
        <v>590.0</v>
      </c>
      <c r="C2751" s="147">
        <v>766.0</v>
      </c>
      <c r="D2751" s="132">
        <f t="shared" si="246"/>
        <v>176</v>
      </c>
      <c r="E2751" s="126" t="s">
        <v>123</v>
      </c>
      <c r="F2751" s="139"/>
      <c r="G2751" s="129"/>
      <c r="H2751" s="129"/>
      <c r="I2751" s="129"/>
      <c r="J2751" s="129"/>
      <c r="K2751" s="129"/>
      <c r="L2751" s="129"/>
      <c r="M2751" s="129"/>
      <c r="N2751" s="129"/>
      <c r="O2751" s="129"/>
      <c r="P2751" s="129"/>
      <c r="Q2751" s="129"/>
      <c r="R2751" s="129"/>
      <c r="S2751" s="129"/>
      <c r="T2751" s="129"/>
      <c r="U2751" s="129"/>
      <c r="V2751" s="129"/>
      <c r="W2751" s="129"/>
      <c r="X2751" s="129"/>
      <c r="Y2751" s="129"/>
      <c r="Z2751" s="129"/>
      <c r="AA2751" s="129"/>
      <c r="AB2751" s="129"/>
    </row>
    <row r="2752" hidden="1">
      <c r="A2752" s="128" t="s">
        <v>1430</v>
      </c>
      <c r="B2752" s="147">
        <v>1980.0</v>
      </c>
      <c r="C2752" s="127">
        <v>2281.0</v>
      </c>
      <c r="D2752" s="132">
        <f t="shared" si="246"/>
        <v>301</v>
      </c>
      <c r="E2752" s="147" t="s">
        <v>123</v>
      </c>
      <c r="F2752" s="132"/>
      <c r="G2752" s="129"/>
      <c r="H2752" s="129"/>
      <c r="I2752" s="129"/>
      <c r="J2752" s="129"/>
      <c r="K2752" s="129"/>
      <c r="L2752" s="129"/>
      <c r="M2752" s="129"/>
      <c r="N2752" s="129"/>
      <c r="O2752" s="129"/>
      <c r="P2752" s="129"/>
      <c r="Q2752" s="129"/>
      <c r="R2752" s="129"/>
      <c r="S2752" s="129"/>
      <c r="T2752" s="129"/>
      <c r="U2752" s="129"/>
      <c r="V2752" s="129"/>
      <c r="W2752" s="129"/>
      <c r="X2752" s="129"/>
      <c r="Y2752" s="129"/>
      <c r="Z2752" s="129"/>
      <c r="AA2752" s="129"/>
      <c r="AB2752" s="129"/>
    </row>
    <row r="2753" hidden="1">
      <c r="A2753" s="142" t="s">
        <v>469</v>
      </c>
      <c r="B2753" s="147">
        <v>0.0</v>
      </c>
      <c r="C2753" s="147">
        <v>0.0</v>
      </c>
      <c r="D2753" s="132">
        <f t="shared" si="246"/>
        <v>0</v>
      </c>
      <c r="E2753" s="126" t="s">
        <v>123</v>
      </c>
      <c r="F2753" s="139"/>
      <c r="G2753" s="129"/>
      <c r="H2753" s="129"/>
      <c r="I2753" s="129"/>
      <c r="J2753" s="129"/>
      <c r="K2753" s="129"/>
      <c r="L2753" s="129"/>
      <c r="M2753" s="129"/>
      <c r="N2753" s="129"/>
      <c r="O2753" s="129"/>
      <c r="P2753" s="129"/>
      <c r="Q2753" s="129"/>
      <c r="R2753" s="129"/>
      <c r="S2753" s="129"/>
      <c r="T2753" s="129"/>
      <c r="U2753" s="129"/>
      <c r="V2753" s="129"/>
      <c r="W2753" s="129"/>
      <c r="X2753" s="129"/>
      <c r="Y2753" s="129"/>
      <c r="Z2753" s="129"/>
      <c r="AA2753" s="129"/>
      <c r="AB2753" s="129"/>
    </row>
    <row r="2754" hidden="1">
      <c r="A2754" s="150" t="s">
        <v>1209</v>
      </c>
      <c r="B2754" s="147">
        <v>1390.0</v>
      </c>
      <c r="C2754" s="147">
        <v>1559.0</v>
      </c>
      <c r="D2754" s="132">
        <f t="shared" si="246"/>
        <v>169</v>
      </c>
      <c r="E2754" s="132" t="s">
        <v>123</v>
      </c>
      <c r="F2754" s="132"/>
      <c r="G2754" s="129"/>
      <c r="H2754" s="129"/>
      <c r="I2754" s="129"/>
      <c r="J2754" s="129"/>
      <c r="K2754" s="129"/>
      <c r="L2754" s="129"/>
      <c r="M2754" s="129"/>
      <c r="N2754" s="129"/>
      <c r="O2754" s="129"/>
      <c r="P2754" s="129"/>
      <c r="Q2754" s="129"/>
      <c r="R2754" s="129"/>
      <c r="S2754" s="129"/>
      <c r="T2754" s="129"/>
      <c r="U2754" s="129"/>
      <c r="V2754" s="129"/>
      <c r="W2754" s="129"/>
      <c r="X2754" s="129"/>
      <c r="Y2754" s="129"/>
      <c r="Z2754" s="129"/>
      <c r="AA2754" s="129"/>
      <c r="AB2754" s="129"/>
    </row>
    <row r="2755" hidden="1">
      <c r="A2755" s="128" t="s">
        <v>449</v>
      </c>
      <c r="B2755" s="132">
        <v>1090.0</v>
      </c>
      <c r="C2755" s="147">
        <v>1188.0</v>
      </c>
      <c r="D2755" s="132">
        <f t="shared" si="246"/>
        <v>98</v>
      </c>
      <c r="E2755" s="132" t="s">
        <v>123</v>
      </c>
      <c r="F2755" s="132"/>
      <c r="G2755" s="129"/>
      <c r="H2755" s="129"/>
      <c r="I2755" s="129"/>
      <c r="J2755" s="129"/>
      <c r="K2755" s="129"/>
      <c r="L2755" s="129"/>
      <c r="M2755" s="129"/>
      <c r="N2755" s="129"/>
      <c r="O2755" s="129"/>
      <c r="P2755" s="129"/>
      <c r="Q2755" s="129"/>
      <c r="R2755" s="129"/>
      <c r="S2755" s="129"/>
      <c r="T2755" s="129"/>
      <c r="U2755" s="129"/>
      <c r="V2755" s="129"/>
      <c r="W2755" s="129"/>
      <c r="X2755" s="129"/>
      <c r="Y2755" s="129"/>
      <c r="Z2755" s="129"/>
      <c r="AA2755" s="129"/>
      <c r="AB2755" s="129"/>
    </row>
    <row r="2756" hidden="1">
      <c r="A2756" s="150" t="s">
        <v>1327</v>
      </c>
      <c r="B2756" s="132">
        <v>1090.0</v>
      </c>
      <c r="C2756" s="147">
        <v>1251.0</v>
      </c>
      <c r="D2756" s="132">
        <f t="shared" si="246"/>
        <v>161</v>
      </c>
      <c r="E2756" s="132" t="s">
        <v>123</v>
      </c>
      <c r="F2756" s="132"/>
      <c r="G2756" s="129"/>
      <c r="H2756" s="129"/>
      <c r="I2756" s="129"/>
      <c r="J2756" s="129"/>
      <c r="K2756" s="129"/>
      <c r="L2756" s="129"/>
      <c r="M2756" s="129"/>
      <c r="N2756" s="129"/>
      <c r="O2756" s="129"/>
      <c r="P2756" s="129"/>
      <c r="Q2756" s="129"/>
      <c r="R2756" s="129"/>
      <c r="S2756" s="129"/>
      <c r="T2756" s="129"/>
      <c r="U2756" s="129"/>
      <c r="V2756" s="129"/>
      <c r="W2756" s="129"/>
      <c r="X2756" s="129"/>
      <c r="Y2756" s="129"/>
      <c r="Z2756" s="129"/>
      <c r="AA2756" s="129"/>
      <c r="AB2756" s="129"/>
    </row>
    <row r="2757" hidden="1">
      <c r="A2757" s="142" t="s">
        <v>1327</v>
      </c>
      <c r="B2757" s="147">
        <v>1090.0</v>
      </c>
      <c r="C2757" s="147">
        <v>1203.0</v>
      </c>
      <c r="D2757" s="132">
        <f t="shared" si="246"/>
        <v>113</v>
      </c>
      <c r="E2757" s="132" t="s">
        <v>123</v>
      </c>
      <c r="F2757" s="139"/>
      <c r="G2757" s="129"/>
      <c r="H2757" s="129"/>
      <c r="I2757" s="129"/>
      <c r="J2757" s="129"/>
      <c r="K2757" s="129"/>
      <c r="L2757" s="129"/>
      <c r="M2757" s="129"/>
      <c r="N2757" s="129"/>
      <c r="O2757" s="129"/>
      <c r="P2757" s="129"/>
      <c r="Q2757" s="129"/>
      <c r="R2757" s="129"/>
      <c r="S2757" s="129"/>
      <c r="T2757" s="129"/>
      <c r="U2757" s="129"/>
      <c r="V2757" s="129"/>
      <c r="W2757" s="129"/>
      <c r="X2757" s="129"/>
      <c r="Y2757" s="129"/>
      <c r="Z2757" s="129"/>
      <c r="AA2757" s="129"/>
      <c r="AB2757" s="129"/>
    </row>
    <row r="2758" hidden="1">
      <c r="A2758" s="150" t="s">
        <v>1431</v>
      </c>
      <c r="B2758" s="147">
        <v>1780.0</v>
      </c>
      <c r="C2758" s="147">
        <v>2023.0</v>
      </c>
      <c r="D2758" s="132">
        <f t="shared" si="246"/>
        <v>243</v>
      </c>
      <c r="E2758" s="126" t="s">
        <v>123</v>
      </c>
      <c r="F2758" s="147"/>
      <c r="G2758" s="129"/>
      <c r="H2758" s="129"/>
      <c r="I2758" s="129"/>
      <c r="J2758" s="129"/>
      <c r="K2758" s="129"/>
      <c r="L2758" s="129"/>
      <c r="M2758" s="129"/>
      <c r="N2758" s="129"/>
      <c r="O2758" s="129"/>
      <c r="P2758" s="129"/>
      <c r="Q2758" s="129"/>
      <c r="R2758" s="129"/>
      <c r="S2758" s="129"/>
      <c r="T2758" s="129"/>
      <c r="U2758" s="129"/>
      <c r="V2758" s="129"/>
      <c r="W2758" s="129"/>
      <c r="X2758" s="129"/>
      <c r="Y2758" s="129"/>
      <c r="Z2758" s="129"/>
      <c r="AA2758" s="129"/>
      <c r="AB2758" s="129"/>
    </row>
    <row r="2759" hidden="1">
      <c r="A2759" s="128" t="s">
        <v>1264</v>
      </c>
      <c r="B2759" s="147">
        <v>0.0</v>
      </c>
      <c r="C2759" s="126">
        <v>0.0</v>
      </c>
      <c r="D2759" s="132">
        <f t="shared" si="246"/>
        <v>0</v>
      </c>
      <c r="E2759" s="126" t="s">
        <v>123</v>
      </c>
      <c r="F2759" s="139"/>
      <c r="G2759" s="129"/>
      <c r="H2759" s="129"/>
      <c r="I2759" s="129"/>
      <c r="J2759" s="129"/>
      <c r="K2759" s="129"/>
      <c r="L2759" s="129"/>
      <c r="M2759" s="129"/>
      <c r="N2759" s="129"/>
      <c r="O2759" s="129"/>
      <c r="P2759" s="129"/>
      <c r="Q2759" s="129"/>
      <c r="R2759" s="129"/>
      <c r="S2759" s="129"/>
      <c r="T2759" s="129"/>
      <c r="U2759" s="129"/>
      <c r="V2759" s="129"/>
      <c r="W2759" s="129"/>
      <c r="X2759" s="129"/>
      <c r="Y2759" s="129"/>
      <c r="Z2759" s="129"/>
      <c r="AA2759" s="129"/>
      <c r="AB2759" s="129"/>
    </row>
    <row r="2760" hidden="1">
      <c r="A2760" s="128" t="s">
        <v>1372</v>
      </c>
      <c r="B2760" s="167">
        <v>1590.0</v>
      </c>
      <c r="C2760" s="167">
        <v>1790.0</v>
      </c>
      <c r="D2760" s="168">
        <f t="shared" si="246"/>
        <v>200</v>
      </c>
      <c r="E2760" s="132" t="s">
        <v>123</v>
      </c>
      <c r="F2760" s="139"/>
      <c r="G2760" s="150"/>
      <c r="H2760" s="129"/>
      <c r="I2760" s="129"/>
      <c r="J2760" s="129"/>
      <c r="K2760" s="129"/>
      <c r="L2760" s="129"/>
      <c r="M2760" s="129"/>
      <c r="N2760" s="129"/>
      <c r="O2760" s="129"/>
      <c r="P2760" s="129"/>
      <c r="Q2760" s="129"/>
      <c r="R2760" s="129"/>
      <c r="S2760" s="129"/>
      <c r="T2760" s="129"/>
      <c r="U2760" s="129"/>
      <c r="V2760" s="129"/>
      <c r="W2760" s="129"/>
      <c r="X2760" s="129"/>
      <c r="Y2760" s="129"/>
      <c r="Z2760" s="129"/>
      <c r="AA2760" s="129"/>
      <c r="AB2760" s="129"/>
    </row>
    <row r="2761" hidden="1">
      <c r="A2761" s="128" t="s">
        <v>446</v>
      </c>
      <c r="B2761" s="147">
        <v>1450.0</v>
      </c>
      <c r="C2761" s="147">
        <v>1549.0</v>
      </c>
      <c r="D2761" s="132">
        <f t="shared" si="246"/>
        <v>99</v>
      </c>
      <c r="E2761" s="126" t="s">
        <v>123</v>
      </c>
      <c r="F2761" s="139"/>
      <c r="G2761" s="129"/>
      <c r="H2761" s="129"/>
      <c r="I2761" s="129"/>
      <c r="J2761" s="129"/>
      <c r="K2761" s="129"/>
      <c r="L2761" s="129"/>
      <c r="M2761" s="129"/>
      <c r="N2761" s="129"/>
      <c r="O2761" s="129"/>
      <c r="P2761" s="129"/>
      <c r="Q2761" s="129"/>
      <c r="R2761" s="129"/>
      <c r="S2761" s="129"/>
      <c r="T2761" s="129"/>
      <c r="U2761" s="129"/>
      <c r="V2761" s="129"/>
      <c r="W2761" s="129"/>
      <c r="X2761" s="129"/>
      <c r="Y2761" s="129"/>
      <c r="Z2761" s="129"/>
      <c r="AA2761" s="129"/>
      <c r="AB2761" s="129"/>
    </row>
    <row r="2762" hidden="1">
      <c r="A2762" s="142" t="s">
        <v>1432</v>
      </c>
      <c r="B2762" s="147">
        <v>990.0</v>
      </c>
      <c r="C2762" s="147">
        <v>1096.0</v>
      </c>
      <c r="D2762" s="132">
        <f t="shared" si="246"/>
        <v>106</v>
      </c>
      <c r="E2762" s="132" t="s">
        <v>123</v>
      </c>
      <c r="F2762" s="139"/>
      <c r="G2762" s="129"/>
      <c r="H2762" s="129"/>
      <c r="I2762" s="129"/>
      <c r="J2762" s="129"/>
      <c r="K2762" s="129"/>
      <c r="L2762" s="129"/>
      <c r="M2762" s="129"/>
      <c r="N2762" s="129"/>
      <c r="O2762" s="129"/>
      <c r="P2762" s="129"/>
      <c r="Q2762" s="129"/>
      <c r="R2762" s="129"/>
      <c r="S2762" s="129"/>
      <c r="T2762" s="129"/>
      <c r="U2762" s="129"/>
      <c r="V2762" s="129"/>
      <c r="W2762" s="129"/>
      <c r="X2762" s="129"/>
      <c r="Y2762" s="129"/>
      <c r="Z2762" s="129"/>
      <c r="AA2762" s="129"/>
      <c r="AB2762" s="129"/>
    </row>
    <row r="2763" hidden="1">
      <c r="A2763" s="151" t="s">
        <v>444</v>
      </c>
      <c r="B2763" s="147">
        <v>1450.0</v>
      </c>
      <c r="C2763" s="147">
        <v>1612.0</v>
      </c>
      <c r="D2763" s="132">
        <f t="shared" si="246"/>
        <v>162</v>
      </c>
      <c r="E2763" s="132" t="s">
        <v>123</v>
      </c>
      <c r="F2763" s="139"/>
      <c r="G2763" s="150"/>
      <c r="H2763" s="129"/>
      <c r="I2763" s="129"/>
      <c r="J2763" s="129"/>
      <c r="K2763" s="129"/>
      <c r="L2763" s="129"/>
      <c r="M2763" s="129"/>
      <c r="N2763" s="129"/>
      <c r="O2763" s="129"/>
      <c r="P2763" s="129"/>
      <c r="Q2763" s="129"/>
      <c r="R2763" s="129"/>
      <c r="S2763" s="129"/>
      <c r="T2763" s="129"/>
      <c r="U2763" s="129"/>
      <c r="V2763" s="129"/>
      <c r="W2763" s="129"/>
      <c r="X2763" s="129"/>
      <c r="Y2763" s="129"/>
      <c r="Z2763" s="129"/>
      <c r="AA2763" s="129"/>
      <c r="AB2763" s="129"/>
    </row>
    <row r="2764" hidden="1">
      <c r="A2764" s="128" t="s">
        <v>1301</v>
      </c>
      <c r="B2764" s="147">
        <v>1690.0</v>
      </c>
      <c r="C2764" s="124">
        <v>1743.0</v>
      </c>
      <c r="D2764" s="132">
        <f t="shared" si="246"/>
        <v>53</v>
      </c>
      <c r="E2764" s="126" t="s">
        <v>123</v>
      </c>
      <c r="F2764" s="132"/>
      <c r="G2764" s="129"/>
      <c r="H2764" s="129"/>
      <c r="I2764" s="129"/>
      <c r="J2764" s="129"/>
      <c r="K2764" s="129"/>
      <c r="L2764" s="129"/>
      <c r="M2764" s="129"/>
      <c r="N2764" s="129"/>
      <c r="O2764" s="129"/>
      <c r="P2764" s="129"/>
      <c r="Q2764" s="129"/>
      <c r="R2764" s="129"/>
      <c r="S2764" s="129"/>
      <c r="T2764" s="129"/>
      <c r="U2764" s="129"/>
      <c r="V2764" s="129"/>
      <c r="W2764" s="129"/>
      <c r="X2764" s="129"/>
      <c r="Y2764" s="129"/>
      <c r="Z2764" s="129"/>
      <c r="AA2764" s="129"/>
      <c r="AB2764" s="129"/>
    </row>
    <row r="2765" hidden="1">
      <c r="A2765" s="128" t="s">
        <v>1216</v>
      </c>
      <c r="B2765" s="147">
        <v>1390.0</v>
      </c>
      <c r="C2765" s="147">
        <v>1467.0</v>
      </c>
      <c r="D2765" s="132">
        <f t="shared" si="246"/>
        <v>77</v>
      </c>
      <c r="E2765" s="171" t="s">
        <v>120</v>
      </c>
      <c r="F2765" s="139"/>
      <c r="G2765" s="129"/>
      <c r="H2765" s="129"/>
      <c r="I2765" s="129"/>
      <c r="J2765" s="129"/>
      <c r="K2765" s="129"/>
      <c r="L2765" s="129"/>
      <c r="M2765" s="129"/>
      <c r="N2765" s="129"/>
      <c r="O2765" s="129"/>
      <c r="P2765" s="129"/>
      <c r="Q2765" s="129"/>
      <c r="R2765" s="129"/>
      <c r="S2765" s="129"/>
      <c r="T2765" s="129"/>
      <c r="U2765" s="129"/>
      <c r="V2765" s="129"/>
      <c r="W2765" s="129"/>
      <c r="X2765" s="129"/>
      <c r="Y2765" s="129"/>
      <c r="Z2765" s="129"/>
      <c r="AA2765" s="129"/>
      <c r="AB2765" s="129"/>
    </row>
    <row r="2766" hidden="1">
      <c r="A2766" s="128" t="s">
        <v>1216</v>
      </c>
      <c r="B2766" s="147">
        <v>1390.0</v>
      </c>
      <c r="C2766" s="147">
        <v>1467.0</v>
      </c>
      <c r="D2766" s="132">
        <f t="shared" si="246"/>
        <v>77</v>
      </c>
      <c r="E2766" s="171" t="s">
        <v>120</v>
      </c>
      <c r="F2766" s="139"/>
      <c r="G2766" s="129"/>
      <c r="H2766" s="129"/>
      <c r="I2766" s="129"/>
      <c r="J2766" s="129"/>
      <c r="K2766" s="129"/>
      <c r="L2766" s="129"/>
      <c r="M2766" s="129"/>
      <c r="N2766" s="129"/>
      <c r="O2766" s="129"/>
      <c r="P2766" s="129"/>
      <c r="Q2766" s="129"/>
      <c r="R2766" s="129"/>
      <c r="S2766" s="129"/>
      <c r="T2766" s="129"/>
      <c r="U2766" s="129"/>
      <c r="V2766" s="129"/>
      <c r="W2766" s="129"/>
      <c r="X2766" s="129"/>
      <c r="Y2766" s="129"/>
      <c r="Z2766" s="129"/>
      <c r="AA2766" s="129"/>
      <c r="AB2766" s="129"/>
    </row>
    <row r="2767" hidden="1">
      <c r="A2767" s="128" t="s">
        <v>1140</v>
      </c>
      <c r="B2767" s="132">
        <v>1390.0</v>
      </c>
      <c r="C2767" s="147">
        <v>1492.0</v>
      </c>
      <c r="D2767" s="132">
        <f t="shared" si="246"/>
        <v>102</v>
      </c>
      <c r="E2767" s="394" t="s">
        <v>120</v>
      </c>
      <c r="F2767" s="139"/>
      <c r="G2767" s="129"/>
      <c r="H2767" s="129"/>
      <c r="I2767" s="129"/>
      <c r="J2767" s="129"/>
      <c r="K2767" s="129"/>
      <c r="L2767" s="129"/>
      <c r="M2767" s="129"/>
      <c r="N2767" s="129"/>
      <c r="O2767" s="129"/>
      <c r="P2767" s="129"/>
      <c r="Q2767" s="129"/>
      <c r="R2767" s="129"/>
      <c r="S2767" s="129"/>
      <c r="T2767" s="129"/>
      <c r="U2767" s="129"/>
      <c r="V2767" s="129"/>
      <c r="W2767" s="129"/>
      <c r="X2767" s="129"/>
      <c r="Y2767" s="129"/>
      <c r="Z2767" s="129"/>
      <c r="AA2767" s="129"/>
      <c r="AB2767" s="129"/>
    </row>
    <row r="2768" hidden="1">
      <c r="A2768" s="128" t="s">
        <v>1404</v>
      </c>
      <c r="B2768" s="147">
        <v>2700.0</v>
      </c>
      <c r="C2768" s="147">
        <v>2882.0</v>
      </c>
      <c r="D2768" s="132">
        <f t="shared" si="246"/>
        <v>182</v>
      </c>
      <c r="E2768" s="171" t="s">
        <v>120</v>
      </c>
      <c r="F2768" s="132"/>
      <c r="G2768" s="129"/>
      <c r="H2768" s="129"/>
      <c r="I2768" s="129"/>
      <c r="J2768" s="129"/>
      <c r="K2768" s="129"/>
      <c r="L2768" s="129"/>
      <c r="M2768" s="129"/>
      <c r="N2768" s="129"/>
      <c r="O2768" s="129"/>
      <c r="P2768" s="129"/>
      <c r="Q2768" s="129"/>
      <c r="R2768" s="129"/>
      <c r="S2768" s="129"/>
      <c r="T2768" s="129"/>
      <c r="U2768" s="129"/>
      <c r="V2768" s="129"/>
      <c r="W2768" s="129"/>
      <c r="X2768" s="129"/>
      <c r="Y2768" s="129"/>
      <c r="Z2768" s="129"/>
      <c r="AA2768" s="129"/>
      <c r="AB2768" s="129"/>
    </row>
    <row r="2769" hidden="1">
      <c r="A2769" s="128" t="s">
        <v>1176</v>
      </c>
      <c r="B2769" s="147">
        <v>0.0</v>
      </c>
      <c r="C2769" s="147">
        <v>0.0</v>
      </c>
      <c r="D2769" s="132">
        <f t="shared" si="246"/>
        <v>0</v>
      </c>
      <c r="E2769" s="171" t="s">
        <v>120</v>
      </c>
      <c r="F2769" s="132"/>
      <c r="G2769" s="129"/>
      <c r="H2769" s="129"/>
      <c r="I2769" s="129"/>
      <c r="J2769" s="129"/>
      <c r="K2769" s="129"/>
      <c r="L2769" s="129"/>
      <c r="M2769" s="129"/>
      <c r="N2769" s="129"/>
      <c r="O2769" s="129"/>
      <c r="P2769" s="129"/>
      <c r="Q2769" s="129"/>
      <c r="R2769" s="129"/>
      <c r="S2769" s="129"/>
      <c r="T2769" s="129"/>
      <c r="U2769" s="129"/>
      <c r="V2769" s="129"/>
      <c r="W2769" s="129"/>
      <c r="X2769" s="129"/>
      <c r="Y2769" s="129"/>
      <c r="Z2769" s="129"/>
      <c r="AA2769" s="129"/>
      <c r="AB2769" s="129"/>
    </row>
    <row r="2770" hidden="1">
      <c r="A2770" s="128" t="s">
        <v>1208</v>
      </c>
      <c r="B2770" s="147">
        <v>2700.0</v>
      </c>
      <c r="C2770" s="147">
        <v>2882.0</v>
      </c>
      <c r="D2770" s="132">
        <f t="shared" si="246"/>
        <v>182</v>
      </c>
      <c r="E2770" s="171" t="s">
        <v>120</v>
      </c>
      <c r="F2770" s="132"/>
      <c r="G2770" s="129"/>
      <c r="H2770" s="129"/>
      <c r="I2770" s="129"/>
      <c r="J2770" s="129"/>
      <c r="K2770" s="129"/>
      <c r="L2770" s="129"/>
      <c r="M2770" s="129"/>
      <c r="N2770" s="129"/>
      <c r="O2770" s="129"/>
      <c r="P2770" s="129"/>
      <c r="Q2770" s="129"/>
      <c r="R2770" s="129"/>
      <c r="S2770" s="129"/>
      <c r="T2770" s="129"/>
      <c r="U2770" s="129"/>
      <c r="V2770" s="129"/>
      <c r="W2770" s="129"/>
      <c r="X2770" s="129"/>
      <c r="Y2770" s="129"/>
      <c r="Z2770" s="129"/>
      <c r="AA2770" s="129"/>
      <c r="AB2770" s="129"/>
    </row>
    <row r="2771" hidden="1">
      <c r="A2771" s="128" t="s">
        <v>1213</v>
      </c>
      <c r="B2771" s="147">
        <v>0.0</v>
      </c>
      <c r="C2771" s="147">
        <v>0.0</v>
      </c>
      <c r="D2771" s="132">
        <f t="shared" si="246"/>
        <v>0</v>
      </c>
      <c r="E2771" s="171" t="s">
        <v>120</v>
      </c>
      <c r="F2771" s="132"/>
      <c r="G2771" s="129"/>
      <c r="H2771" s="129"/>
      <c r="I2771" s="129"/>
      <c r="J2771" s="129"/>
      <c r="K2771" s="129"/>
      <c r="L2771" s="129"/>
      <c r="M2771" s="129"/>
      <c r="N2771" s="129"/>
      <c r="O2771" s="129"/>
      <c r="P2771" s="129"/>
      <c r="Q2771" s="129"/>
      <c r="R2771" s="129"/>
      <c r="S2771" s="129"/>
      <c r="T2771" s="129"/>
      <c r="U2771" s="129"/>
      <c r="V2771" s="129"/>
      <c r="W2771" s="129"/>
      <c r="X2771" s="129"/>
      <c r="Y2771" s="129"/>
      <c r="Z2771" s="129"/>
      <c r="AA2771" s="129"/>
      <c r="AB2771" s="129"/>
    </row>
    <row r="2772" hidden="1">
      <c r="A2772" s="151" t="s">
        <v>464</v>
      </c>
      <c r="B2772" s="147">
        <v>2600.0</v>
      </c>
      <c r="C2772" s="124">
        <v>2923.0</v>
      </c>
      <c r="D2772" s="132">
        <f t="shared" si="246"/>
        <v>323</v>
      </c>
      <c r="E2772" s="126" t="s">
        <v>123</v>
      </c>
      <c r="F2772" s="139"/>
      <c r="G2772" s="129"/>
      <c r="H2772" s="129"/>
      <c r="I2772" s="129"/>
      <c r="J2772" s="129"/>
      <c r="K2772" s="129"/>
      <c r="L2772" s="129"/>
      <c r="M2772" s="129"/>
      <c r="N2772" s="129"/>
      <c r="O2772" s="129"/>
      <c r="P2772" s="129"/>
      <c r="Q2772" s="129"/>
      <c r="R2772" s="129"/>
      <c r="S2772" s="129"/>
      <c r="T2772" s="129"/>
      <c r="U2772" s="129"/>
      <c r="V2772" s="129"/>
      <c r="W2772" s="129"/>
      <c r="X2772" s="129"/>
      <c r="Y2772" s="129"/>
      <c r="Z2772" s="129"/>
      <c r="AA2772" s="129"/>
      <c r="AB2772" s="129"/>
    </row>
    <row r="2773" hidden="1">
      <c r="A2773" s="123" t="s">
        <v>1212</v>
      </c>
      <c r="B2773" s="147">
        <v>0.0</v>
      </c>
      <c r="C2773" s="147">
        <v>0.0</v>
      </c>
      <c r="D2773" s="125">
        <f t="shared" si="246"/>
        <v>0</v>
      </c>
      <c r="E2773" s="126" t="s">
        <v>123</v>
      </c>
      <c r="F2773" s="127"/>
      <c r="G2773" s="123"/>
    </row>
    <row r="2774" hidden="1">
      <c r="A2774" s="143"/>
      <c r="B2774" s="139"/>
      <c r="C2774" s="139"/>
      <c r="D2774" s="139"/>
      <c r="E2774" s="129"/>
      <c r="F2774" s="129"/>
      <c r="G2774" s="129"/>
      <c r="H2774" s="129"/>
      <c r="I2774" s="129"/>
      <c r="J2774" s="129"/>
      <c r="K2774" s="129"/>
      <c r="L2774" s="129"/>
      <c r="M2774" s="129"/>
      <c r="N2774" s="129"/>
      <c r="O2774" s="129"/>
      <c r="P2774" s="129"/>
      <c r="Q2774" s="129"/>
      <c r="R2774" s="129"/>
      <c r="S2774" s="129"/>
      <c r="T2774" s="129"/>
      <c r="U2774" s="129"/>
      <c r="V2774" s="129"/>
      <c r="W2774" s="129"/>
      <c r="X2774" s="129"/>
      <c r="Y2774" s="129"/>
      <c r="Z2774" s="129"/>
      <c r="AA2774" s="129"/>
      <c r="AB2774" s="129"/>
    </row>
    <row r="2775" hidden="1">
      <c r="A2775" s="122" t="s">
        <v>57</v>
      </c>
      <c r="B2775" s="133">
        <f t="shared" ref="B2775:D2775" si="247">SUM(B2672:B2774)</f>
        <v>149440</v>
      </c>
      <c r="C2775" s="133">
        <f t="shared" si="247"/>
        <v>164509</v>
      </c>
      <c r="D2775" s="133">
        <f t="shared" si="247"/>
        <v>15069</v>
      </c>
      <c r="E2775" s="135">
        <f>D2775/(C2775/100)</f>
        <v>9.159985168</v>
      </c>
    </row>
    <row r="2776" hidden="1">
      <c r="A2776" s="123"/>
      <c r="B2776" s="124"/>
      <c r="C2776" s="123"/>
      <c r="D2776" s="123"/>
    </row>
    <row r="2777" hidden="1">
      <c r="A2777" s="154">
        <v>44136.0</v>
      </c>
      <c r="B2777" s="124"/>
      <c r="C2777" s="124"/>
      <c r="D2777" s="124"/>
    </row>
    <row r="2778" hidden="1">
      <c r="A2778" s="128" t="s">
        <v>1382</v>
      </c>
      <c r="B2778" s="124">
        <v>2240.0</v>
      </c>
      <c r="C2778" s="124">
        <v>2370.0</v>
      </c>
      <c r="D2778" s="132">
        <f t="shared" ref="D2778:D2894" si="248">C2778-B2778</f>
        <v>130</v>
      </c>
      <c r="E2778" s="126" t="s">
        <v>123</v>
      </c>
      <c r="F2778" s="132"/>
      <c r="G2778" s="129"/>
      <c r="H2778" s="129"/>
      <c r="I2778" s="129"/>
      <c r="J2778" s="129"/>
      <c r="K2778" s="129"/>
      <c r="L2778" s="129"/>
      <c r="M2778" s="129"/>
      <c r="N2778" s="129"/>
      <c r="O2778" s="129"/>
      <c r="P2778" s="129"/>
      <c r="Q2778" s="129"/>
      <c r="R2778" s="129"/>
      <c r="S2778" s="129"/>
      <c r="T2778" s="129"/>
      <c r="U2778" s="129"/>
      <c r="V2778" s="129"/>
      <c r="W2778" s="129"/>
      <c r="X2778" s="129"/>
      <c r="Y2778" s="129"/>
      <c r="Z2778" s="129"/>
      <c r="AA2778" s="129"/>
      <c r="AB2778" s="129"/>
    </row>
    <row r="2779" hidden="1">
      <c r="A2779" s="128" t="s">
        <v>1274</v>
      </c>
      <c r="B2779" s="147">
        <v>1090.0</v>
      </c>
      <c r="C2779" s="147">
        <v>1189.0</v>
      </c>
      <c r="D2779" s="132">
        <f t="shared" si="248"/>
        <v>99</v>
      </c>
      <c r="E2779" s="126" t="s">
        <v>123</v>
      </c>
      <c r="F2779" s="132"/>
      <c r="G2779" s="129"/>
      <c r="H2779" s="129"/>
      <c r="I2779" s="129"/>
      <c r="J2779" s="129"/>
      <c r="K2779" s="129"/>
      <c r="L2779" s="129"/>
      <c r="M2779" s="129"/>
      <c r="N2779" s="129"/>
      <c r="O2779" s="129"/>
      <c r="P2779" s="129"/>
      <c r="Q2779" s="129"/>
      <c r="R2779" s="129"/>
      <c r="S2779" s="129"/>
      <c r="T2779" s="129"/>
      <c r="U2779" s="129"/>
      <c r="V2779" s="129"/>
      <c r="W2779" s="129"/>
      <c r="X2779" s="129"/>
      <c r="Y2779" s="129"/>
      <c r="Z2779" s="129"/>
      <c r="AA2779" s="129"/>
      <c r="AB2779" s="129"/>
    </row>
    <row r="2780" hidden="1">
      <c r="A2780" s="128" t="s">
        <v>1300</v>
      </c>
      <c r="B2780" s="147">
        <v>1390.0</v>
      </c>
      <c r="C2780" s="147">
        <v>1541.0</v>
      </c>
      <c r="D2780" s="132">
        <f t="shared" si="248"/>
        <v>151</v>
      </c>
      <c r="E2780" s="126" t="s">
        <v>123</v>
      </c>
      <c r="F2780" s="132"/>
      <c r="G2780" s="129"/>
      <c r="H2780" s="129"/>
      <c r="I2780" s="129"/>
      <c r="J2780" s="129"/>
      <c r="K2780" s="129"/>
      <c r="L2780" s="129"/>
      <c r="M2780" s="129"/>
      <c r="N2780" s="129"/>
      <c r="O2780" s="129"/>
      <c r="P2780" s="129"/>
      <c r="Q2780" s="129"/>
      <c r="R2780" s="129"/>
      <c r="S2780" s="129"/>
      <c r="T2780" s="129"/>
      <c r="U2780" s="129"/>
      <c r="V2780" s="129"/>
      <c r="W2780" s="129"/>
      <c r="X2780" s="129"/>
      <c r="Y2780" s="129"/>
      <c r="Z2780" s="129"/>
      <c r="AA2780" s="129"/>
      <c r="AB2780" s="129"/>
    </row>
    <row r="2781" hidden="1">
      <c r="A2781" s="128" t="s">
        <v>1317</v>
      </c>
      <c r="B2781" s="132">
        <v>1490.0</v>
      </c>
      <c r="C2781" s="147">
        <v>1790.0</v>
      </c>
      <c r="D2781" s="132">
        <f t="shared" si="248"/>
        <v>300</v>
      </c>
      <c r="E2781" s="132" t="s">
        <v>123</v>
      </c>
      <c r="F2781" s="132"/>
      <c r="G2781" s="129"/>
      <c r="H2781" s="129"/>
      <c r="I2781" s="129"/>
      <c r="J2781" s="129"/>
      <c r="K2781" s="129"/>
      <c r="L2781" s="129"/>
      <c r="M2781" s="129"/>
      <c r="N2781" s="129"/>
      <c r="O2781" s="129"/>
      <c r="P2781" s="129"/>
      <c r="Q2781" s="129"/>
      <c r="R2781" s="129"/>
      <c r="S2781" s="129"/>
      <c r="T2781" s="129"/>
      <c r="U2781" s="129"/>
      <c r="V2781" s="129"/>
      <c r="W2781" s="129"/>
      <c r="X2781" s="129"/>
      <c r="Y2781" s="129"/>
      <c r="Z2781" s="129"/>
      <c r="AA2781" s="129"/>
      <c r="AB2781" s="129"/>
    </row>
    <row r="2782" hidden="1">
      <c r="A2782" s="128" t="s">
        <v>1143</v>
      </c>
      <c r="B2782" s="147">
        <v>1490.0</v>
      </c>
      <c r="C2782" s="147">
        <v>1690.0</v>
      </c>
      <c r="D2782" s="132">
        <f t="shared" si="248"/>
        <v>200</v>
      </c>
      <c r="E2782" s="126" t="s">
        <v>123</v>
      </c>
      <c r="F2782" s="132"/>
      <c r="G2782" s="129"/>
      <c r="H2782" s="129"/>
      <c r="I2782" s="129"/>
      <c r="J2782" s="129"/>
      <c r="K2782" s="129"/>
      <c r="L2782" s="129"/>
      <c r="M2782" s="129"/>
      <c r="N2782" s="129"/>
      <c r="O2782" s="129"/>
      <c r="P2782" s="129"/>
      <c r="Q2782" s="129"/>
      <c r="R2782" s="129"/>
      <c r="S2782" s="129"/>
      <c r="T2782" s="129"/>
      <c r="U2782" s="129"/>
      <c r="V2782" s="129"/>
      <c r="W2782" s="129"/>
      <c r="X2782" s="129"/>
      <c r="Y2782" s="129"/>
      <c r="Z2782" s="129"/>
      <c r="AA2782" s="129"/>
      <c r="AB2782" s="129"/>
    </row>
    <row r="2783" hidden="1">
      <c r="A2783" s="128" t="s">
        <v>1110</v>
      </c>
      <c r="B2783" s="147">
        <v>1090.0</v>
      </c>
      <c r="C2783" s="147">
        <v>1290.0</v>
      </c>
      <c r="D2783" s="132">
        <f t="shared" si="248"/>
        <v>200</v>
      </c>
      <c r="E2783" s="126" t="s">
        <v>123</v>
      </c>
      <c r="F2783" s="132"/>
      <c r="G2783" s="129"/>
      <c r="H2783" s="129"/>
      <c r="I2783" s="129"/>
      <c r="J2783" s="129"/>
      <c r="K2783" s="129"/>
      <c r="L2783" s="129"/>
      <c r="M2783" s="129"/>
      <c r="N2783" s="129"/>
      <c r="O2783" s="129"/>
      <c r="P2783" s="129"/>
      <c r="Q2783" s="129"/>
      <c r="R2783" s="129"/>
      <c r="S2783" s="129"/>
      <c r="T2783" s="129"/>
      <c r="U2783" s="129"/>
      <c r="V2783" s="129"/>
      <c r="W2783" s="129"/>
      <c r="X2783" s="129"/>
      <c r="Y2783" s="129"/>
      <c r="Z2783" s="129"/>
      <c r="AA2783" s="129"/>
      <c r="AB2783" s="129"/>
    </row>
    <row r="2784" hidden="1">
      <c r="A2784" s="159" t="s">
        <v>1120</v>
      </c>
      <c r="B2784" s="124">
        <v>590.0</v>
      </c>
      <c r="C2784" s="124">
        <v>890.0</v>
      </c>
      <c r="D2784" s="125">
        <f t="shared" si="248"/>
        <v>300</v>
      </c>
      <c r="E2784" s="132" t="s">
        <v>123</v>
      </c>
      <c r="F2784" s="124"/>
    </row>
    <row r="2785" hidden="1">
      <c r="A2785" s="128" t="s">
        <v>1300</v>
      </c>
      <c r="B2785" s="147">
        <v>1390.0</v>
      </c>
      <c r="C2785" s="147">
        <v>1467.0</v>
      </c>
      <c r="D2785" s="132">
        <f t="shared" si="248"/>
        <v>77</v>
      </c>
      <c r="E2785" s="126" t="s">
        <v>123</v>
      </c>
      <c r="F2785" s="132"/>
      <c r="G2785" s="129"/>
      <c r="H2785" s="129"/>
      <c r="I2785" s="129"/>
      <c r="J2785" s="129"/>
      <c r="K2785" s="129"/>
      <c r="L2785" s="129"/>
      <c r="M2785" s="129"/>
      <c r="N2785" s="129"/>
      <c r="O2785" s="129"/>
      <c r="P2785" s="129"/>
      <c r="Q2785" s="129"/>
      <c r="R2785" s="129"/>
      <c r="S2785" s="129"/>
      <c r="T2785" s="129"/>
      <c r="U2785" s="129"/>
      <c r="V2785" s="129"/>
      <c r="W2785" s="129"/>
      <c r="X2785" s="129"/>
      <c r="Y2785" s="129"/>
      <c r="Z2785" s="129"/>
      <c r="AA2785" s="129"/>
      <c r="AB2785" s="129"/>
    </row>
    <row r="2786" hidden="1">
      <c r="A2786" s="128" t="s">
        <v>1087</v>
      </c>
      <c r="B2786" s="147">
        <v>1390.0</v>
      </c>
      <c r="C2786" s="147">
        <v>1517.0</v>
      </c>
      <c r="D2786" s="132">
        <f t="shared" si="248"/>
        <v>127</v>
      </c>
      <c r="E2786" s="126" t="s">
        <v>123</v>
      </c>
      <c r="F2786" s="132"/>
      <c r="G2786" s="129"/>
      <c r="H2786" s="129"/>
      <c r="I2786" s="129"/>
      <c r="J2786" s="129"/>
      <c r="K2786" s="129"/>
      <c r="L2786" s="129"/>
      <c r="M2786" s="129"/>
      <c r="N2786" s="129"/>
      <c r="O2786" s="129"/>
      <c r="P2786" s="129"/>
      <c r="Q2786" s="129"/>
      <c r="R2786" s="129"/>
      <c r="S2786" s="129"/>
      <c r="T2786" s="129"/>
      <c r="U2786" s="129"/>
      <c r="V2786" s="129"/>
      <c r="W2786" s="129"/>
      <c r="X2786" s="129"/>
      <c r="Y2786" s="129"/>
      <c r="Z2786" s="129"/>
      <c r="AA2786" s="129"/>
      <c r="AB2786" s="129"/>
    </row>
    <row r="2787" hidden="1">
      <c r="A2787" s="128" t="s">
        <v>1308</v>
      </c>
      <c r="B2787" s="147">
        <v>1350.0</v>
      </c>
      <c r="C2787" s="147">
        <v>1469.0</v>
      </c>
      <c r="D2787" s="132">
        <f t="shared" si="248"/>
        <v>119</v>
      </c>
      <c r="E2787" s="171" t="s">
        <v>120</v>
      </c>
      <c r="F2787" s="132"/>
      <c r="G2787" s="129"/>
      <c r="H2787" s="129"/>
      <c r="I2787" s="129"/>
      <c r="J2787" s="129"/>
      <c r="K2787" s="129"/>
      <c r="L2787" s="129"/>
      <c r="M2787" s="129"/>
      <c r="N2787" s="129"/>
      <c r="O2787" s="129"/>
      <c r="P2787" s="129"/>
      <c r="Q2787" s="129"/>
      <c r="R2787" s="129"/>
      <c r="S2787" s="129"/>
      <c r="T2787" s="129"/>
      <c r="U2787" s="129"/>
      <c r="V2787" s="129"/>
      <c r="W2787" s="129"/>
      <c r="X2787" s="129"/>
      <c r="Y2787" s="129"/>
      <c r="Z2787" s="129"/>
      <c r="AA2787" s="129"/>
      <c r="AB2787" s="129"/>
    </row>
    <row r="2788" hidden="1">
      <c r="A2788" s="128" t="s">
        <v>1350</v>
      </c>
      <c r="B2788" s="147">
        <v>1390.0</v>
      </c>
      <c r="C2788" s="147">
        <v>1472.0</v>
      </c>
      <c r="D2788" s="132">
        <f t="shared" si="248"/>
        <v>82</v>
      </c>
      <c r="E2788" s="171" t="s">
        <v>120</v>
      </c>
      <c r="F2788" s="132"/>
      <c r="G2788" s="129"/>
      <c r="H2788" s="129"/>
      <c r="I2788" s="129"/>
      <c r="J2788" s="129"/>
      <c r="K2788" s="129"/>
      <c r="L2788" s="129"/>
      <c r="M2788" s="129"/>
      <c r="N2788" s="129"/>
      <c r="O2788" s="129"/>
      <c r="P2788" s="129"/>
      <c r="Q2788" s="129"/>
      <c r="R2788" s="129"/>
      <c r="S2788" s="129"/>
      <c r="T2788" s="129"/>
      <c r="U2788" s="129"/>
      <c r="V2788" s="129"/>
      <c r="W2788" s="129"/>
      <c r="X2788" s="129"/>
      <c r="Y2788" s="129"/>
      <c r="Z2788" s="129"/>
      <c r="AA2788" s="129"/>
      <c r="AB2788" s="129"/>
    </row>
    <row r="2789" hidden="1">
      <c r="A2789" s="128" t="s">
        <v>1412</v>
      </c>
      <c r="B2789" s="147">
        <v>1350.0</v>
      </c>
      <c r="C2789" s="147">
        <v>1429.0</v>
      </c>
      <c r="D2789" s="132">
        <f t="shared" si="248"/>
        <v>79</v>
      </c>
      <c r="E2789" s="171" t="s">
        <v>120</v>
      </c>
      <c r="F2789" s="132"/>
      <c r="G2789" s="129"/>
      <c r="H2789" s="129"/>
      <c r="I2789" s="129"/>
      <c r="J2789" s="129"/>
      <c r="K2789" s="129"/>
      <c r="L2789" s="129"/>
      <c r="M2789" s="129"/>
      <c r="N2789" s="129"/>
      <c r="O2789" s="129"/>
      <c r="P2789" s="129"/>
      <c r="Q2789" s="129"/>
      <c r="R2789" s="129"/>
      <c r="S2789" s="129"/>
      <c r="T2789" s="129"/>
      <c r="U2789" s="129"/>
      <c r="V2789" s="129"/>
      <c r="W2789" s="129"/>
      <c r="X2789" s="129"/>
      <c r="Y2789" s="129"/>
      <c r="Z2789" s="129"/>
      <c r="AA2789" s="129"/>
      <c r="AB2789" s="129"/>
    </row>
    <row r="2790" hidden="1">
      <c r="A2790" s="128" t="s">
        <v>1412</v>
      </c>
      <c r="B2790" s="147">
        <v>1350.0</v>
      </c>
      <c r="C2790" s="147">
        <v>1422.0</v>
      </c>
      <c r="D2790" s="132">
        <f t="shared" si="248"/>
        <v>72</v>
      </c>
      <c r="E2790" s="171" t="s">
        <v>120</v>
      </c>
      <c r="F2790" s="132"/>
      <c r="G2790" s="129"/>
      <c r="H2790" s="129"/>
      <c r="I2790" s="129"/>
      <c r="J2790" s="129"/>
      <c r="K2790" s="129"/>
      <c r="L2790" s="129"/>
      <c r="M2790" s="129"/>
      <c r="N2790" s="129"/>
      <c r="O2790" s="129"/>
      <c r="P2790" s="129"/>
      <c r="Q2790" s="129"/>
      <c r="R2790" s="129"/>
      <c r="S2790" s="129"/>
      <c r="T2790" s="129"/>
      <c r="U2790" s="129"/>
      <c r="V2790" s="129"/>
      <c r="W2790" s="129"/>
      <c r="X2790" s="129"/>
      <c r="Y2790" s="129"/>
      <c r="Z2790" s="129"/>
      <c r="AA2790" s="129"/>
      <c r="AB2790" s="129"/>
    </row>
    <row r="2791" hidden="1">
      <c r="A2791" s="128" t="s">
        <v>1363</v>
      </c>
      <c r="B2791" s="147">
        <v>1390.0</v>
      </c>
      <c r="C2791" s="147">
        <v>1440.0</v>
      </c>
      <c r="D2791" s="132">
        <f t="shared" si="248"/>
        <v>50</v>
      </c>
      <c r="E2791" s="171" t="s">
        <v>120</v>
      </c>
      <c r="F2791" s="139"/>
      <c r="G2791" s="129"/>
      <c r="H2791" s="129"/>
      <c r="I2791" s="129"/>
      <c r="J2791" s="129"/>
      <c r="K2791" s="129"/>
      <c r="L2791" s="129"/>
      <c r="M2791" s="129"/>
      <c r="N2791" s="129"/>
      <c r="O2791" s="129"/>
      <c r="P2791" s="129"/>
      <c r="Q2791" s="129"/>
      <c r="R2791" s="129"/>
      <c r="S2791" s="129"/>
      <c r="T2791" s="129"/>
      <c r="U2791" s="129"/>
      <c r="V2791" s="129"/>
      <c r="W2791" s="129"/>
      <c r="X2791" s="129"/>
      <c r="Y2791" s="129"/>
      <c r="Z2791" s="129"/>
      <c r="AA2791" s="129"/>
      <c r="AB2791" s="129"/>
    </row>
    <row r="2792" hidden="1">
      <c r="A2792" s="128" t="s">
        <v>1363</v>
      </c>
      <c r="B2792" s="147">
        <v>2780.0</v>
      </c>
      <c r="C2792" s="147">
        <v>2882.0</v>
      </c>
      <c r="D2792" s="132">
        <f t="shared" si="248"/>
        <v>102</v>
      </c>
      <c r="E2792" s="171" t="s">
        <v>120</v>
      </c>
      <c r="F2792" s="139"/>
      <c r="G2792" s="129"/>
      <c r="H2792" s="129"/>
      <c r="I2792" s="129"/>
      <c r="J2792" s="129"/>
      <c r="K2792" s="129"/>
      <c r="L2792" s="129"/>
      <c r="M2792" s="129"/>
      <c r="N2792" s="129"/>
      <c r="O2792" s="129"/>
      <c r="P2792" s="129"/>
      <c r="Q2792" s="129"/>
      <c r="R2792" s="129"/>
      <c r="S2792" s="129"/>
      <c r="T2792" s="129"/>
      <c r="U2792" s="129"/>
      <c r="V2792" s="129"/>
      <c r="W2792" s="129"/>
      <c r="X2792" s="129"/>
      <c r="Y2792" s="129"/>
      <c r="Z2792" s="129"/>
      <c r="AA2792" s="129"/>
      <c r="AB2792" s="129"/>
    </row>
    <row r="2793" hidden="1">
      <c r="A2793" s="128" t="s">
        <v>1363</v>
      </c>
      <c r="B2793" s="147">
        <v>0.0</v>
      </c>
      <c r="C2793" s="147">
        <v>0.0</v>
      </c>
      <c r="D2793" s="132">
        <f t="shared" si="248"/>
        <v>0</v>
      </c>
      <c r="E2793" s="171" t="s">
        <v>120</v>
      </c>
      <c r="F2793" s="139"/>
      <c r="G2793" s="129"/>
      <c r="H2793" s="129"/>
      <c r="I2793" s="129"/>
      <c r="J2793" s="129"/>
      <c r="K2793" s="129"/>
      <c r="L2793" s="129"/>
      <c r="M2793" s="129"/>
      <c r="N2793" s="129"/>
      <c r="O2793" s="129"/>
      <c r="P2793" s="129"/>
      <c r="Q2793" s="129"/>
      <c r="R2793" s="129"/>
      <c r="S2793" s="129"/>
      <c r="T2793" s="129"/>
      <c r="U2793" s="129"/>
      <c r="V2793" s="129"/>
      <c r="W2793" s="129"/>
      <c r="X2793" s="129"/>
      <c r="Y2793" s="129"/>
      <c r="Z2793" s="129"/>
      <c r="AA2793" s="129"/>
      <c r="AB2793" s="129"/>
    </row>
    <row r="2794" hidden="1">
      <c r="A2794" s="128" t="s">
        <v>1213</v>
      </c>
      <c r="B2794" s="147">
        <v>2700.0</v>
      </c>
      <c r="C2794" s="147">
        <v>2935.0</v>
      </c>
      <c r="D2794" s="132">
        <f t="shared" si="248"/>
        <v>235</v>
      </c>
      <c r="E2794" s="171" t="s">
        <v>120</v>
      </c>
      <c r="F2794" s="132"/>
      <c r="G2794" s="129"/>
      <c r="H2794" s="129"/>
      <c r="I2794" s="129"/>
      <c r="J2794" s="129"/>
      <c r="K2794" s="129"/>
      <c r="L2794" s="129"/>
      <c r="M2794" s="129"/>
      <c r="N2794" s="129"/>
      <c r="O2794" s="129"/>
      <c r="P2794" s="129"/>
      <c r="Q2794" s="129"/>
      <c r="R2794" s="129"/>
      <c r="S2794" s="129"/>
      <c r="T2794" s="129"/>
      <c r="U2794" s="129"/>
      <c r="V2794" s="129"/>
      <c r="W2794" s="129"/>
      <c r="X2794" s="129"/>
      <c r="Y2794" s="129"/>
      <c r="Z2794" s="129"/>
      <c r="AA2794" s="129"/>
      <c r="AB2794" s="129"/>
    </row>
    <row r="2795" hidden="1">
      <c r="A2795" s="128" t="s">
        <v>1213</v>
      </c>
      <c r="B2795" s="147">
        <v>0.0</v>
      </c>
      <c r="C2795" s="147">
        <v>0.0</v>
      </c>
      <c r="D2795" s="132">
        <f t="shared" si="248"/>
        <v>0</v>
      </c>
      <c r="E2795" s="171" t="s">
        <v>120</v>
      </c>
      <c r="F2795" s="132"/>
      <c r="G2795" s="129"/>
      <c r="H2795" s="129"/>
      <c r="I2795" s="129"/>
      <c r="J2795" s="129"/>
      <c r="K2795" s="129"/>
      <c r="L2795" s="129"/>
      <c r="M2795" s="129"/>
      <c r="N2795" s="129"/>
      <c r="O2795" s="129"/>
      <c r="P2795" s="129"/>
      <c r="Q2795" s="129"/>
      <c r="R2795" s="129"/>
      <c r="S2795" s="129"/>
      <c r="T2795" s="129"/>
      <c r="U2795" s="129"/>
      <c r="V2795" s="129"/>
      <c r="W2795" s="129"/>
      <c r="X2795" s="129"/>
      <c r="Y2795" s="129"/>
      <c r="Z2795" s="129"/>
      <c r="AA2795" s="129"/>
      <c r="AB2795" s="129"/>
    </row>
    <row r="2796" hidden="1">
      <c r="A2796" s="128" t="s">
        <v>1213</v>
      </c>
      <c r="B2796" s="147">
        <v>2700.0</v>
      </c>
      <c r="C2796" s="147">
        <v>2935.0</v>
      </c>
      <c r="D2796" s="132">
        <f t="shared" si="248"/>
        <v>235</v>
      </c>
      <c r="E2796" s="171" t="s">
        <v>120</v>
      </c>
      <c r="F2796" s="132"/>
      <c r="G2796" s="129"/>
      <c r="H2796" s="129"/>
      <c r="I2796" s="129"/>
      <c r="J2796" s="129"/>
      <c r="K2796" s="129"/>
      <c r="L2796" s="129"/>
      <c r="M2796" s="129"/>
      <c r="N2796" s="129"/>
      <c r="O2796" s="129"/>
      <c r="P2796" s="129"/>
      <c r="Q2796" s="129"/>
      <c r="R2796" s="129"/>
      <c r="S2796" s="129"/>
      <c r="T2796" s="129"/>
      <c r="U2796" s="129"/>
      <c r="V2796" s="129"/>
      <c r="W2796" s="129"/>
      <c r="X2796" s="129"/>
      <c r="Y2796" s="129"/>
      <c r="Z2796" s="129"/>
      <c r="AA2796" s="129"/>
      <c r="AB2796" s="129"/>
    </row>
    <row r="2797" hidden="1">
      <c r="A2797" s="128" t="s">
        <v>1213</v>
      </c>
      <c r="B2797" s="147">
        <v>0.0</v>
      </c>
      <c r="C2797" s="147">
        <v>0.0</v>
      </c>
      <c r="D2797" s="132">
        <f t="shared" si="248"/>
        <v>0</v>
      </c>
      <c r="E2797" s="171" t="s">
        <v>120</v>
      </c>
      <c r="F2797" s="132"/>
      <c r="G2797" s="129"/>
      <c r="H2797" s="129"/>
      <c r="I2797" s="129"/>
      <c r="J2797" s="129"/>
      <c r="K2797" s="129"/>
      <c r="L2797" s="129"/>
      <c r="M2797" s="129"/>
      <c r="N2797" s="129"/>
      <c r="O2797" s="129"/>
      <c r="P2797" s="129"/>
      <c r="Q2797" s="129"/>
      <c r="R2797" s="129"/>
      <c r="S2797" s="129"/>
      <c r="T2797" s="129"/>
      <c r="U2797" s="129"/>
      <c r="V2797" s="129"/>
      <c r="W2797" s="129"/>
      <c r="X2797" s="129"/>
      <c r="Y2797" s="129"/>
      <c r="Z2797" s="129"/>
      <c r="AA2797" s="129"/>
      <c r="AB2797" s="129"/>
    </row>
    <row r="2798" hidden="1">
      <c r="A2798" s="128" t="s">
        <v>374</v>
      </c>
      <c r="B2798" s="147">
        <v>1990.0</v>
      </c>
      <c r="C2798" s="147">
        <v>2293.0</v>
      </c>
      <c r="D2798" s="132">
        <f t="shared" si="248"/>
        <v>303</v>
      </c>
      <c r="E2798" s="126" t="s">
        <v>123</v>
      </c>
      <c r="F2798" s="139"/>
      <c r="G2798" s="129"/>
      <c r="H2798" s="129"/>
      <c r="I2798" s="129"/>
      <c r="J2798" s="129"/>
      <c r="K2798" s="129"/>
      <c r="L2798" s="129"/>
      <c r="M2798" s="129"/>
      <c r="N2798" s="129"/>
      <c r="O2798" s="129"/>
      <c r="P2798" s="129"/>
      <c r="Q2798" s="129"/>
      <c r="R2798" s="129"/>
      <c r="S2798" s="129"/>
      <c r="T2798" s="129"/>
      <c r="U2798" s="129"/>
      <c r="V2798" s="129"/>
      <c r="W2798" s="129"/>
      <c r="X2798" s="129"/>
      <c r="Y2798" s="129"/>
      <c r="Z2798" s="129"/>
      <c r="AA2798" s="129"/>
      <c r="AB2798" s="129"/>
    </row>
    <row r="2799" hidden="1">
      <c r="A2799" s="128" t="s">
        <v>1433</v>
      </c>
      <c r="B2799" s="210">
        <v>1740.0</v>
      </c>
      <c r="C2799" s="210">
        <v>1840.0</v>
      </c>
      <c r="D2799" s="208">
        <f t="shared" si="248"/>
        <v>100</v>
      </c>
      <c r="E2799" s="147" t="s">
        <v>1311</v>
      </c>
      <c r="F2799" s="139"/>
      <c r="G2799" s="129"/>
      <c r="H2799" s="129"/>
      <c r="I2799" s="129"/>
      <c r="J2799" s="129"/>
      <c r="K2799" s="129"/>
      <c r="L2799" s="129"/>
      <c r="M2799" s="129"/>
      <c r="N2799" s="129"/>
      <c r="O2799" s="129"/>
      <c r="P2799" s="129"/>
      <c r="Q2799" s="129"/>
      <c r="R2799" s="129"/>
      <c r="S2799" s="129"/>
      <c r="T2799" s="129"/>
      <c r="U2799" s="129"/>
      <c r="V2799" s="129"/>
      <c r="W2799" s="129"/>
      <c r="X2799" s="129"/>
      <c r="Y2799" s="129"/>
      <c r="Z2799" s="129"/>
      <c r="AA2799" s="129"/>
      <c r="AB2799" s="129"/>
    </row>
    <row r="2800" hidden="1">
      <c r="A2800" s="128" t="s">
        <v>1327</v>
      </c>
      <c r="B2800" s="147">
        <v>1090.0</v>
      </c>
      <c r="C2800" s="124">
        <v>1255.0</v>
      </c>
      <c r="D2800" s="132">
        <f t="shared" si="248"/>
        <v>165</v>
      </c>
      <c r="E2800" s="126" t="s">
        <v>123</v>
      </c>
      <c r="F2800" s="132"/>
      <c r="G2800" s="129"/>
      <c r="H2800" s="129"/>
      <c r="I2800" s="129"/>
      <c r="J2800" s="129"/>
      <c r="K2800" s="129"/>
      <c r="L2800" s="129"/>
      <c r="M2800" s="129"/>
      <c r="N2800" s="129"/>
      <c r="O2800" s="129"/>
      <c r="P2800" s="129"/>
      <c r="Q2800" s="129"/>
      <c r="R2800" s="129"/>
      <c r="S2800" s="129"/>
      <c r="T2800" s="129"/>
      <c r="U2800" s="129"/>
      <c r="V2800" s="129"/>
      <c r="W2800" s="129"/>
      <c r="X2800" s="129"/>
      <c r="Y2800" s="129"/>
      <c r="Z2800" s="129"/>
      <c r="AA2800" s="129"/>
      <c r="AB2800" s="129"/>
    </row>
    <row r="2801" hidden="1">
      <c r="A2801" s="128" t="s">
        <v>1300</v>
      </c>
      <c r="B2801" s="147">
        <v>1390.0</v>
      </c>
      <c r="C2801" s="147">
        <v>1546.0</v>
      </c>
      <c r="D2801" s="132">
        <f t="shared" si="248"/>
        <v>156</v>
      </c>
      <c r="E2801" s="126" t="s">
        <v>123</v>
      </c>
      <c r="F2801" s="132"/>
      <c r="G2801" s="129"/>
      <c r="H2801" s="129"/>
      <c r="I2801" s="129"/>
      <c r="J2801" s="129"/>
      <c r="K2801" s="129"/>
      <c r="L2801" s="129"/>
      <c r="M2801" s="129"/>
      <c r="N2801" s="129"/>
      <c r="O2801" s="129"/>
      <c r="P2801" s="129"/>
      <c r="Q2801" s="129"/>
      <c r="R2801" s="129"/>
      <c r="S2801" s="129"/>
      <c r="T2801" s="129"/>
      <c r="U2801" s="129"/>
      <c r="V2801" s="129"/>
      <c r="W2801" s="129"/>
      <c r="X2801" s="129"/>
      <c r="Y2801" s="129"/>
      <c r="Z2801" s="129"/>
      <c r="AA2801" s="129"/>
      <c r="AB2801" s="129"/>
    </row>
    <row r="2802" hidden="1">
      <c r="A2802" s="128" t="s">
        <v>1327</v>
      </c>
      <c r="B2802" s="147">
        <v>1090.0</v>
      </c>
      <c r="C2802" s="124">
        <v>1261.0</v>
      </c>
      <c r="D2802" s="132">
        <f t="shared" si="248"/>
        <v>171</v>
      </c>
      <c r="E2802" s="126" t="s">
        <v>123</v>
      </c>
      <c r="F2802" s="132"/>
      <c r="G2802" s="129"/>
      <c r="H2802" s="129"/>
      <c r="I2802" s="129"/>
      <c r="J2802" s="129"/>
      <c r="K2802" s="129"/>
      <c r="L2802" s="129"/>
      <c r="M2802" s="129"/>
      <c r="N2802" s="129"/>
      <c r="O2802" s="129"/>
      <c r="P2802" s="129"/>
      <c r="Q2802" s="129"/>
      <c r="R2802" s="129"/>
      <c r="S2802" s="129"/>
      <c r="T2802" s="129"/>
      <c r="U2802" s="129"/>
      <c r="V2802" s="129"/>
      <c r="W2802" s="129"/>
      <c r="X2802" s="129"/>
      <c r="Y2802" s="129"/>
      <c r="Z2802" s="129"/>
      <c r="AA2802" s="129"/>
      <c r="AB2802" s="129"/>
    </row>
    <row r="2803" hidden="1">
      <c r="A2803" s="142" t="s">
        <v>1409</v>
      </c>
      <c r="B2803" s="147">
        <v>690.0</v>
      </c>
      <c r="C2803" s="147">
        <v>867.0</v>
      </c>
      <c r="D2803" s="132">
        <f t="shared" si="248"/>
        <v>177</v>
      </c>
      <c r="E2803" s="126" t="s">
        <v>123</v>
      </c>
      <c r="F2803" s="139"/>
      <c r="G2803" s="129"/>
      <c r="H2803" s="129"/>
      <c r="I2803" s="129"/>
      <c r="J2803" s="129"/>
      <c r="K2803" s="129"/>
      <c r="L2803" s="129"/>
      <c r="M2803" s="129"/>
      <c r="N2803" s="129"/>
      <c r="O2803" s="129"/>
      <c r="P2803" s="129"/>
      <c r="Q2803" s="129"/>
      <c r="R2803" s="129"/>
      <c r="S2803" s="129"/>
      <c r="T2803" s="129"/>
      <c r="U2803" s="129"/>
      <c r="V2803" s="129"/>
      <c r="W2803" s="129"/>
      <c r="X2803" s="129"/>
      <c r="Y2803" s="129"/>
      <c r="Z2803" s="129"/>
      <c r="AA2803" s="129"/>
      <c r="AB2803" s="129"/>
    </row>
    <row r="2804" hidden="1">
      <c r="A2804" s="142" t="s">
        <v>469</v>
      </c>
      <c r="B2804" s="147">
        <v>890.0</v>
      </c>
      <c r="C2804" s="147">
        <v>1055.0</v>
      </c>
      <c r="D2804" s="132">
        <f t="shared" si="248"/>
        <v>165</v>
      </c>
      <c r="E2804" s="126" t="s">
        <v>123</v>
      </c>
      <c r="F2804" s="139"/>
      <c r="G2804" s="129"/>
      <c r="H2804" s="129"/>
      <c r="I2804" s="129"/>
      <c r="J2804" s="129"/>
      <c r="K2804" s="129"/>
      <c r="L2804" s="129"/>
      <c r="M2804" s="129"/>
      <c r="N2804" s="129"/>
      <c r="O2804" s="129"/>
      <c r="P2804" s="129"/>
      <c r="Q2804" s="129"/>
      <c r="R2804" s="129"/>
      <c r="S2804" s="129"/>
      <c r="T2804" s="129"/>
      <c r="U2804" s="129"/>
      <c r="V2804" s="129"/>
      <c r="W2804" s="129"/>
      <c r="X2804" s="129"/>
      <c r="Y2804" s="129"/>
      <c r="Z2804" s="129"/>
      <c r="AA2804" s="129"/>
      <c r="AB2804" s="129"/>
    </row>
    <row r="2805" hidden="1">
      <c r="A2805" s="123" t="s">
        <v>1434</v>
      </c>
      <c r="B2805" s="147">
        <v>990.0</v>
      </c>
      <c r="C2805" s="127">
        <v>1083.0</v>
      </c>
      <c r="D2805" s="125">
        <f t="shared" si="248"/>
        <v>93</v>
      </c>
      <c r="E2805" s="147" t="s">
        <v>123</v>
      </c>
      <c r="F2805" s="124"/>
    </row>
    <row r="2806" hidden="1">
      <c r="A2806" s="128" t="s">
        <v>1435</v>
      </c>
      <c r="B2806" s="147">
        <v>8990.0</v>
      </c>
      <c r="C2806" s="147">
        <v>9872.0</v>
      </c>
      <c r="D2806" s="132">
        <f t="shared" si="248"/>
        <v>882</v>
      </c>
      <c r="E2806" s="132" t="s">
        <v>1311</v>
      </c>
      <c r="F2806" s="139"/>
      <c r="G2806" s="129"/>
      <c r="H2806" s="129"/>
      <c r="I2806" s="129"/>
      <c r="J2806" s="129"/>
      <c r="K2806" s="129"/>
      <c r="L2806" s="129"/>
      <c r="M2806" s="129"/>
      <c r="N2806" s="129"/>
      <c r="O2806" s="129"/>
      <c r="P2806" s="129"/>
      <c r="Q2806" s="129"/>
      <c r="R2806" s="129"/>
      <c r="S2806" s="129"/>
      <c r="T2806" s="129"/>
      <c r="U2806" s="129"/>
      <c r="V2806" s="129"/>
      <c r="W2806" s="129"/>
      <c r="X2806" s="129"/>
      <c r="Y2806" s="129"/>
      <c r="Z2806" s="129"/>
      <c r="AA2806" s="129"/>
      <c r="AB2806" s="129"/>
    </row>
    <row r="2807" hidden="1">
      <c r="A2807" s="150" t="s">
        <v>1209</v>
      </c>
      <c r="B2807" s="147">
        <v>1390.0</v>
      </c>
      <c r="C2807" s="147">
        <v>1600.0</v>
      </c>
      <c r="D2807" s="132">
        <f t="shared" si="248"/>
        <v>210</v>
      </c>
      <c r="E2807" s="132" t="s">
        <v>123</v>
      </c>
      <c r="F2807" s="132"/>
      <c r="G2807" s="129"/>
      <c r="H2807" s="129"/>
      <c r="I2807" s="129"/>
      <c r="J2807" s="129"/>
      <c r="K2807" s="129"/>
      <c r="L2807" s="129"/>
      <c r="M2807" s="129"/>
      <c r="N2807" s="129"/>
      <c r="O2807" s="129"/>
      <c r="P2807" s="129"/>
      <c r="Q2807" s="129"/>
      <c r="R2807" s="129"/>
      <c r="S2807" s="129"/>
      <c r="T2807" s="129"/>
      <c r="U2807" s="129"/>
      <c r="V2807" s="129"/>
      <c r="W2807" s="129"/>
      <c r="X2807" s="129"/>
      <c r="Y2807" s="129"/>
      <c r="Z2807" s="129"/>
      <c r="AA2807" s="129"/>
      <c r="AB2807" s="129"/>
    </row>
    <row r="2808" hidden="1">
      <c r="A2808" s="128" t="s">
        <v>1436</v>
      </c>
      <c r="B2808" s="147">
        <v>990.0</v>
      </c>
      <c r="C2808" s="127">
        <v>1078.0</v>
      </c>
      <c r="D2808" s="125">
        <f t="shared" si="248"/>
        <v>88</v>
      </c>
      <c r="E2808" s="147" t="s">
        <v>123</v>
      </c>
      <c r="F2808" s="124"/>
      <c r="G2808" s="129"/>
      <c r="H2808" s="129"/>
      <c r="I2808" s="129"/>
      <c r="J2808" s="129"/>
      <c r="K2808" s="129"/>
      <c r="L2808" s="129"/>
      <c r="M2808" s="129"/>
      <c r="N2808" s="129"/>
      <c r="O2808" s="129"/>
      <c r="P2808" s="129"/>
      <c r="Q2808" s="129"/>
      <c r="R2808" s="129"/>
      <c r="S2808" s="129"/>
      <c r="T2808" s="129"/>
      <c r="U2808" s="129"/>
      <c r="V2808" s="129"/>
      <c r="W2808" s="129"/>
      <c r="X2808" s="129"/>
      <c r="Y2808" s="129"/>
      <c r="Z2808" s="129"/>
      <c r="AA2808" s="129"/>
      <c r="AB2808" s="129"/>
    </row>
    <row r="2809" hidden="1">
      <c r="A2809" s="128" t="s">
        <v>1437</v>
      </c>
      <c r="B2809" s="147">
        <v>8990.0</v>
      </c>
      <c r="C2809" s="147">
        <v>9977.0</v>
      </c>
      <c r="D2809" s="132">
        <f t="shared" si="248"/>
        <v>987</v>
      </c>
      <c r="E2809" s="132" t="s">
        <v>1311</v>
      </c>
      <c r="F2809" s="139"/>
      <c r="G2809" s="129"/>
      <c r="H2809" s="129"/>
      <c r="I2809" s="129"/>
      <c r="J2809" s="129"/>
      <c r="K2809" s="129"/>
      <c r="L2809" s="129"/>
      <c r="M2809" s="129"/>
      <c r="N2809" s="129"/>
      <c r="O2809" s="129"/>
      <c r="P2809" s="129"/>
      <c r="Q2809" s="129"/>
      <c r="R2809" s="129"/>
      <c r="S2809" s="129"/>
      <c r="T2809" s="129"/>
      <c r="U2809" s="129"/>
      <c r="V2809" s="129"/>
      <c r="W2809" s="129"/>
      <c r="X2809" s="129"/>
      <c r="Y2809" s="129"/>
      <c r="Z2809" s="129"/>
      <c r="AA2809" s="129"/>
      <c r="AB2809" s="129"/>
    </row>
    <row r="2810" hidden="1">
      <c r="A2810" s="128" t="s">
        <v>1438</v>
      </c>
      <c r="B2810" s="147">
        <v>8990.0</v>
      </c>
      <c r="C2810" s="147">
        <v>9874.0</v>
      </c>
      <c r="D2810" s="132">
        <f t="shared" si="248"/>
        <v>884</v>
      </c>
      <c r="E2810" s="132" t="s">
        <v>1311</v>
      </c>
      <c r="F2810" s="139"/>
      <c r="G2810" s="129"/>
      <c r="H2810" s="129"/>
      <c r="I2810" s="129"/>
      <c r="J2810" s="129"/>
      <c r="K2810" s="129"/>
      <c r="L2810" s="129"/>
      <c r="M2810" s="129"/>
      <c r="N2810" s="129"/>
      <c r="O2810" s="129"/>
      <c r="P2810" s="129"/>
      <c r="Q2810" s="129"/>
      <c r="R2810" s="129"/>
      <c r="S2810" s="129"/>
      <c r="T2810" s="129"/>
      <c r="U2810" s="129"/>
      <c r="V2810" s="129"/>
      <c r="W2810" s="129"/>
      <c r="X2810" s="129"/>
      <c r="Y2810" s="129"/>
      <c r="Z2810" s="129"/>
      <c r="AA2810" s="129"/>
      <c r="AB2810" s="129"/>
    </row>
    <row r="2811" hidden="1">
      <c r="A2811" s="128" t="s">
        <v>1320</v>
      </c>
      <c r="B2811" s="147">
        <v>1450.0</v>
      </c>
      <c r="C2811" s="147">
        <v>1650.0</v>
      </c>
      <c r="D2811" s="132">
        <f t="shared" si="248"/>
        <v>200</v>
      </c>
      <c r="E2811" s="132" t="s">
        <v>123</v>
      </c>
      <c r="F2811" s="132"/>
      <c r="G2811" s="129"/>
      <c r="H2811" s="129"/>
      <c r="I2811" s="129"/>
      <c r="J2811" s="129"/>
      <c r="K2811" s="129"/>
      <c r="L2811" s="129"/>
      <c r="M2811" s="129"/>
      <c r="N2811" s="129"/>
      <c r="O2811" s="129"/>
      <c r="P2811" s="129"/>
      <c r="Q2811" s="129"/>
      <c r="R2811" s="129"/>
      <c r="S2811" s="129"/>
      <c r="T2811" s="129"/>
      <c r="U2811" s="129"/>
      <c r="V2811" s="129"/>
      <c r="W2811" s="129"/>
      <c r="X2811" s="129"/>
      <c r="Y2811" s="129"/>
      <c r="Z2811" s="129"/>
      <c r="AA2811" s="129"/>
      <c r="AB2811" s="129"/>
    </row>
    <row r="2812" hidden="1">
      <c r="A2812" s="128" t="s">
        <v>1087</v>
      </c>
      <c r="B2812" s="147">
        <v>1390.0</v>
      </c>
      <c r="C2812" s="147">
        <v>1590.0</v>
      </c>
      <c r="D2812" s="132">
        <f t="shared" si="248"/>
        <v>200</v>
      </c>
      <c r="E2812" s="132" t="s">
        <v>123</v>
      </c>
      <c r="F2812" s="132"/>
      <c r="G2812" s="129"/>
      <c r="H2812" s="129"/>
      <c r="I2812" s="129"/>
      <c r="J2812" s="129"/>
      <c r="K2812" s="129"/>
      <c r="L2812" s="129"/>
      <c r="M2812" s="129"/>
      <c r="N2812" s="129"/>
      <c r="O2812" s="129"/>
      <c r="P2812" s="129"/>
      <c r="Q2812" s="129"/>
      <c r="R2812" s="129"/>
      <c r="S2812" s="129"/>
      <c r="T2812" s="129"/>
      <c r="U2812" s="129"/>
      <c r="V2812" s="129"/>
      <c r="W2812" s="129"/>
      <c r="X2812" s="129"/>
      <c r="Y2812" s="129"/>
      <c r="Z2812" s="129"/>
      <c r="AA2812" s="129"/>
      <c r="AB2812" s="129"/>
    </row>
    <row r="2813" hidden="1">
      <c r="A2813" s="128" t="s">
        <v>1320</v>
      </c>
      <c r="B2813" s="147">
        <v>1400.0</v>
      </c>
      <c r="C2813" s="147">
        <v>1648.0</v>
      </c>
      <c r="D2813" s="132">
        <f t="shared" si="248"/>
        <v>248</v>
      </c>
      <c r="E2813" s="132" t="s">
        <v>123</v>
      </c>
      <c r="F2813" s="132"/>
      <c r="G2813" s="129"/>
      <c r="H2813" s="129"/>
      <c r="I2813" s="129"/>
      <c r="J2813" s="129"/>
      <c r="K2813" s="129"/>
      <c r="L2813" s="129"/>
      <c r="M2813" s="129"/>
      <c r="N2813" s="129"/>
      <c r="O2813" s="129"/>
      <c r="P2813" s="129"/>
      <c r="Q2813" s="129"/>
      <c r="R2813" s="129"/>
      <c r="S2813" s="129"/>
      <c r="T2813" s="129"/>
      <c r="U2813" s="129"/>
      <c r="V2813" s="129"/>
      <c r="W2813" s="129"/>
      <c r="X2813" s="129"/>
      <c r="Y2813" s="129"/>
      <c r="Z2813" s="129"/>
      <c r="AA2813" s="129"/>
      <c r="AB2813" s="129"/>
    </row>
    <row r="2814" hidden="1">
      <c r="A2814" s="128" t="s">
        <v>1264</v>
      </c>
      <c r="B2814" s="147">
        <v>890.0</v>
      </c>
      <c r="C2814" s="126">
        <v>969.0</v>
      </c>
      <c r="D2814" s="132">
        <f t="shared" si="248"/>
        <v>79</v>
      </c>
      <c r="E2814" s="126" t="s">
        <v>123</v>
      </c>
      <c r="F2814" s="147"/>
      <c r="G2814" s="129"/>
      <c r="H2814" s="129"/>
      <c r="I2814" s="129"/>
      <c r="J2814" s="129"/>
      <c r="K2814" s="129"/>
      <c r="L2814" s="129"/>
      <c r="M2814" s="129"/>
      <c r="N2814" s="129"/>
      <c r="O2814" s="129"/>
      <c r="P2814" s="129"/>
      <c r="Q2814" s="129"/>
      <c r="R2814" s="129"/>
      <c r="S2814" s="129"/>
      <c r="T2814" s="129"/>
      <c r="U2814" s="129"/>
      <c r="V2814" s="129"/>
      <c r="W2814" s="129"/>
      <c r="X2814" s="129"/>
      <c r="Y2814" s="129"/>
      <c r="Z2814" s="129"/>
      <c r="AA2814" s="129"/>
      <c r="AB2814" s="129"/>
    </row>
    <row r="2815" hidden="1">
      <c r="A2815" s="128" t="s">
        <v>1439</v>
      </c>
      <c r="B2815" s="147">
        <v>890.0</v>
      </c>
      <c r="C2815" s="126">
        <v>968.0</v>
      </c>
      <c r="D2815" s="132">
        <f t="shared" si="248"/>
        <v>78</v>
      </c>
      <c r="E2815" s="126" t="s">
        <v>123</v>
      </c>
      <c r="F2815" s="127"/>
      <c r="G2815" s="129"/>
      <c r="H2815" s="129"/>
      <c r="I2815" s="129"/>
      <c r="J2815" s="129"/>
      <c r="K2815" s="129"/>
      <c r="L2815" s="129"/>
      <c r="M2815" s="129"/>
      <c r="N2815" s="129"/>
      <c r="O2815" s="129"/>
      <c r="P2815" s="129"/>
      <c r="Q2815" s="129"/>
      <c r="R2815" s="129"/>
      <c r="S2815" s="129"/>
      <c r="T2815" s="129"/>
      <c r="U2815" s="129"/>
      <c r="V2815" s="129"/>
      <c r="W2815" s="129"/>
      <c r="X2815" s="129"/>
      <c r="Y2815" s="129"/>
      <c r="Z2815" s="129"/>
      <c r="AA2815" s="129"/>
      <c r="AB2815" s="129"/>
    </row>
    <row r="2816" hidden="1">
      <c r="A2816" s="150" t="s">
        <v>1440</v>
      </c>
      <c r="B2816" s="147">
        <v>690.0</v>
      </c>
      <c r="C2816" s="127">
        <v>749.0</v>
      </c>
      <c r="D2816" s="132">
        <f t="shared" si="248"/>
        <v>59</v>
      </c>
      <c r="E2816" s="147" t="s">
        <v>123</v>
      </c>
      <c r="F2816" s="132"/>
      <c r="G2816" s="129"/>
      <c r="H2816" s="129"/>
      <c r="I2816" s="129"/>
      <c r="J2816" s="129"/>
      <c r="K2816" s="129"/>
      <c r="L2816" s="129"/>
      <c r="M2816" s="129"/>
      <c r="N2816" s="129"/>
      <c r="O2816" s="129"/>
      <c r="P2816" s="129"/>
      <c r="Q2816" s="129"/>
      <c r="R2816" s="129"/>
      <c r="S2816" s="129"/>
      <c r="T2816" s="129"/>
      <c r="U2816" s="129"/>
      <c r="V2816" s="129"/>
      <c r="W2816" s="129"/>
      <c r="X2816" s="129"/>
      <c r="Y2816" s="129"/>
      <c r="Z2816" s="129"/>
      <c r="AA2816" s="129"/>
      <c r="AB2816" s="129"/>
    </row>
    <row r="2817" hidden="1">
      <c r="A2817" s="123" t="s">
        <v>1385</v>
      </c>
      <c r="B2817" s="124">
        <v>1440.0</v>
      </c>
      <c r="C2817" s="124">
        <v>1613.0</v>
      </c>
      <c r="D2817" s="125">
        <f t="shared" si="248"/>
        <v>173</v>
      </c>
      <c r="E2817" s="126" t="s">
        <v>123</v>
      </c>
      <c r="F2817" s="132"/>
      <c r="G2817" s="123"/>
    </row>
    <row r="2818" hidden="1">
      <c r="A2818" s="128" t="s">
        <v>1441</v>
      </c>
      <c r="B2818" s="147">
        <v>1190.0</v>
      </c>
      <c r="C2818" s="147">
        <v>1394.0</v>
      </c>
      <c r="D2818" s="132">
        <f t="shared" si="248"/>
        <v>204</v>
      </c>
      <c r="E2818" s="132" t="s">
        <v>123</v>
      </c>
      <c r="F2818" s="139"/>
      <c r="G2818" s="150"/>
      <c r="H2818" s="129"/>
      <c r="I2818" s="129"/>
      <c r="J2818" s="129"/>
      <c r="K2818" s="129"/>
      <c r="L2818" s="129"/>
      <c r="M2818" s="129"/>
      <c r="N2818" s="129"/>
      <c r="O2818" s="129"/>
      <c r="P2818" s="129"/>
      <c r="Q2818" s="129"/>
      <c r="R2818" s="129"/>
      <c r="S2818" s="129"/>
      <c r="T2818" s="129"/>
      <c r="U2818" s="129"/>
      <c r="V2818" s="129"/>
      <c r="W2818" s="129"/>
      <c r="X2818" s="129"/>
      <c r="Y2818" s="129"/>
      <c r="Z2818" s="129"/>
      <c r="AA2818" s="129"/>
      <c r="AB2818" s="129"/>
    </row>
    <row r="2819" hidden="1">
      <c r="A2819" s="128" t="s">
        <v>1442</v>
      </c>
      <c r="B2819" s="147">
        <v>1340.0</v>
      </c>
      <c r="C2819" s="147">
        <v>1485.0</v>
      </c>
      <c r="D2819" s="132">
        <f t="shared" si="248"/>
        <v>145</v>
      </c>
      <c r="E2819" s="126" t="s">
        <v>123</v>
      </c>
      <c r="F2819" s="132"/>
      <c r="G2819" s="129"/>
      <c r="H2819" s="129"/>
      <c r="I2819" s="129"/>
      <c r="J2819" s="129"/>
      <c r="K2819" s="129"/>
      <c r="L2819" s="129"/>
      <c r="M2819" s="129"/>
      <c r="N2819" s="129"/>
      <c r="O2819" s="129"/>
      <c r="P2819" s="129"/>
      <c r="Q2819" s="129"/>
      <c r="R2819" s="129"/>
      <c r="S2819" s="129"/>
      <c r="T2819" s="129"/>
      <c r="U2819" s="129"/>
      <c r="V2819" s="129"/>
      <c r="W2819" s="129"/>
      <c r="X2819" s="129"/>
      <c r="Y2819" s="129"/>
      <c r="Z2819" s="129"/>
      <c r="AA2819" s="129"/>
      <c r="AB2819" s="129"/>
    </row>
    <row r="2820" hidden="1">
      <c r="A2820" s="123" t="s">
        <v>1212</v>
      </c>
      <c r="B2820" s="147">
        <v>1350.0</v>
      </c>
      <c r="C2820" s="147">
        <v>1487.0</v>
      </c>
      <c r="D2820" s="125">
        <f t="shared" si="248"/>
        <v>137</v>
      </c>
      <c r="E2820" s="126" t="s">
        <v>123</v>
      </c>
      <c r="F2820" s="127"/>
      <c r="G2820" s="123"/>
    </row>
    <row r="2821" hidden="1">
      <c r="A2821" s="128" t="s">
        <v>1443</v>
      </c>
      <c r="B2821" s="124">
        <v>890.0</v>
      </c>
      <c r="C2821" s="126">
        <v>968.0</v>
      </c>
      <c r="D2821" s="132">
        <f t="shared" si="248"/>
        <v>78</v>
      </c>
      <c r="E2821" s="126" t="s">
        <v>120</v>
      </c>
      <c r="F2821" s="129"/>
      <c r="G2821" s="129"/>
      <c r="H2821" s="129"/>
      <c r="I2821" s="129"/>
      <c r="J2821" s="129"/>
      <c r="K2821" s="129"/>
      <c r="L2821" s="129"/>
      <c r="M2821" s="129"/>
      <c r="N2821" s="129"/>
      <c r="O2821" s="129"/>
      <c r="P2821" s="129"/>
      <c r="Q2821" s="129"/>
      <c r="R2821" s="129"/>
      <c r="S2821" s="129"/>
      <c r="T2821" s="129"/>
      <c r="U2821" s="129"/>
      <c r="V2821" s="129"/>
      <c r="W2821" s="129"/>
      <c r="X2821" s="129"/>
      <c r="Y2821" s="129"/>
      <c r="Z2821" s="129"/>
      <c r="AA2821" s="129"/>
      <c r="AB2821" s="129"/>
    </row>
    <row r="2822" hidden="1">
      <c r="A2822" s="128" t="s">
        <v>793</v>
      </c>
      <c r="B2822" s="147">
        <v>890.0</v>
      </c>
      <c r="C2822" s="126">
        <v>968.0</v>
      </c>
      <c r="D2822" s="125">
        <f t="shared" si="248"/>
        <v>78</v>
      </c>
      <c r="E2822" s="126" t="s">
        <v>120</v>
      </c>
      <c r="F2822" s="124"/>
      <c r="G2822" s="129"/>
      <c r="H2822" s="129"/>
      <c r="I2822" s="129"/>
      <c r="J2822" s="129"/>
      <c r="K2822" s="129"/>
      <c r="L2822" s="129"/>
      <c r="M2822" s="129"/>
      <c r="N2822" s="129"/>
      <c r="O2822" s="129"/>
      <c r="P2822" s="129"/>
      <c r="Q2822" s="129"/>
      <c r="R2822" s="129"/>
      <c r="S2822" s="129"/>
      <c r="T2822" s="129"/>
      <c r="U2822" s="129"/>
      <c r="V2822" s="129"/>
      <c r="W2822" s="129"/>
      <c r="X2822" s="129"/>
      <c r="Y2822" s="129"/>
      <c r="Z2822" s="129"/>
      <c r="AA2822" s="129"/>
      <c r="AB2822" s="129"/>
    </row>
    <row r="2823" hidden="1">
      <c r="A2823" s="159" t="s">
        <v>1444</v>
      </c>
      <c r="B2823" s="124">
        <v>1290.0</v>
      </c>
      <c r="C2823" s="147">
        <v>1490.0</v>
      </c>
      <c r="D2823" s="270">
        <f t="shared" si="248"/>
        <v>200</v>
      </c>
      <c r="E2823" s="126" t="s">
        <v>123</v>
      </c>
      <c r="F2823" s="139"/>
      <c r="G2823" s="129"/>
      <c r="H2823" s="129"/>
      <c r="I2823" s="129"/>
      <c r="J2823" s="129"/>
      <c r="K2823" s="129"/>
      <c r="L2823" s="129"/>
      <c r="M2823" s="129"/>
      <c r="N2823" s="129"/>
      <c r="O2823" s="129"/>
      <c r="P2823" s="129"/>
      <c r="Q2823" s="129"/>
      <c r="R2823" s="129"/>
      <c r="S2823" s="129"/>
      <c r="T2823" s="129"/>
      <c r="U2823" s="129"/>
      <c r="V2823" s="129"/>
      <c r="W2823" s="129"/>
      <c r="X2823" s="129"/>
      <c r="Y2823" s="129"/>
      <c r="Z2823" s="129"/>
      <c r="AA2823" s="129"/>
      <c r="AB2823" s="129"/>
    </row>
    <row r="2824" hidden="1">
      <c r="A2824" s="159" t="s">
        <v>1445</v>
      </c>
      <c r="B2824" s="124">
        <v>890.0</v>
      </c>
      <c r="C2824" s="126">
        <v>1003.0</v>
      </c>
      <c r="D2824" s="132">
        <f t="shared" si="248"/>
        <v>113</v>
      </c>
      <c r="E2824" s="126" t="s">
        <v>120</v>
      </c>
      <c r="F2824" s="124"/>
      <c r="G2824" s="129"/>
      <c r="H2824" s="129"/>
      <c r="I2824" s="129"/>
      <c r="J2824" s="129"/>
      <c r="K2824" s="129"/>
      <c r="L2824" s="129"/>
      <c r="M2824" s="129"/>
      <c r="N2824" s="129"/>
      <c r="O2824" s="129"/>
      <c r="P2824" s="129"/>
      <c r="Q2824" s="129"/>
      <c r="R2824" s="129"/>
      <c r="S2824" s="129"/>
      <c r="T2824" s="129"/>
      <c r="U2824" s="129"/>
      <c r="V2824" s="129"/>
      <c r="W2824" s="129"/>
      <c r="X2824" s="129"/>
      <c r="Y2824" s="129"/>
      <c r="Z2824" s="129"/>
      <c r="AA2824" s="129"/>
      <c r="AB2824" s="129"/>
    </row>
    <row r="2825" hidden="1">
      <c r="A2825" s="123" t="s">
        <v>1385</v>
      </c>
      <c r="B2825" s="124">
        <v>1240.0</v>
      </c>
      <c r="C2825" s="124">
        <v>1490.0</v>
      </c>
      <c r="D2825" s="125">
        <f t="shared" si="248"/>
        <v>250</v>
      </c>
      <c r="E2825" s="126" t="s">
        <v>123</v>
      </c>
      <c r="F2825" s="132"/>
      <c r="G2825" s="123"/>
    </row>
    <row r="2826" hidden="1">
      <c r="A2826" s="123" t="s">
        <v>1385</v>
      </c>
      <c r="B2826" s="124">
        <v>1240.0</v>
      </c>
      <c r="C2826" s="124">
        <v>1516.0</v>
      </c>
      <c r="D2826" s="125">
        <f t="shared" si="248"/>
        <v>276</v>
      </c>
      <c r="E2826" s="126" t="s">
        <v>123</v>
      </c>
      <c r="F2826" s="132"/>
      <c r="G2826" s="123"/>
    </row>
    <row r="2827" hidden="1">
      <c r="A2827" s="123" t="s">
        <v>370</v>
      </c>
      <c r="B2827" s="124">
        <v>3990.0</v>
      </c>
      <c r="C2827" s="124">
        <v>4582.0</v>
      </c>
      <c r="D2827" s="125">
        <f t="shared" si="248"/>
        <v>592</v>
      </c>
      <c r="E2827" s="126" t="s">
        <v>123</v>
      </c>
      <c r="F2827" s="124"/>
    </row>
    <row r="2828" hidden="1">
      <c r="A2828" s="128" t="s">
        <v>1300</v>
      </c>
      <c r="B2828" s="147">
        <v>1290.0</v>
      </c>
      <c r="C2828" s="147">
        <v>1552.0</v>
      </c>
      <c r="D2828" s="132">
        <f t="shared" si="248"/>
        <v>262</v>
      </c>
      <c r="E2828" s="126" t="s">
        <v>123</v>
      </c>
      <c r="F2828" s="132"/>
      <c r="G2828" s="129"/>
      <c r="H2828" s="129"/>
      <c r="I2828" s="129"/>
      <c r="J2828" s="129"/>
      <c r="K2828" s="129"/>
      <c r="L2828" s="129"/>
      <c r="M2828" s="129"/>
      <c r="N2828" s="129"/>
      <c r="O2828" s="129"/>
      <c r="P2828" s="129"/>
      <c r="Q2828" s="129"/>
      <c r="R2828" s="129"/>
      <c r="S2828" s="129"/>
      <c r="T2828" s="129"/>
      <c r="U2828" s="129"/>
      <c r="V2828" s="129"/>
      <c r="W2828" s="129"/>
      <c r="X2828" s="129"/>
      <c r="Y2828" s="129"/>
      <c r="Z2828" s="129"/>
      <c r="AA2828" s="129"/>
      <c r="AB2828" s="129"/>
    </row>
    <row r="2829" hidden="1">
      <c r="A2829" s="142" t="s">
        <v>1446</v>
      </c>
      <c r="B2829" s="147">
        <v>1040.0</v>
      </c>
      <c r="C2829" s="147">
        <v>1203.0</v>
      </c>
      <c r="D2829" s="132">
        <f t="shared" si="248"/>
        <v>163</v>
      </c>
      <c r="E2829" s="132" t="s">
        <v>123</v>
      </c>
      <c r="F2829" s="139"/>
      <c r="G2829" s="150"/>
      <c r="H2829" s="129"/>
      <c r="I2829" s="129"/>
      <c r="J2829" s="129"/>
      <c r="K2829" s="129"/>
      <c r="L2829" s="129"/>
      <c r="M2829" s="129"/>
      <c r="N2829" s="129"/>
      <c r="O2829" s="129"/>
      <c r="P2829" s="129"/>
      <c r="Q2829" s="129"/>
      <c r="R2829" s="129"/>
      <c r="S2829" s="129"/>
      <c r="T2829" s="129"/>
      <c r="U2829" s="129"/>
      <c r="V2829" s="129"/>
      <c r="W2829" s="129"/>
      <c r="X2829" s="129"/>
      <c r="Y2829" s="129"/>
      <c r="Z2829" s="129"/>
      <c r="AA2829" s="129"/>
      <c r="AB2829" s="129"/>
    </row>
    <row r="2830" hidden="1">
      <c r="A2830" s="128" t="s">
        <v>1447</v>
      </c>
      <c r="B2830" s="147">
        <v>1500.0</v>
      </c>
      <c r="C2830" s="147">
        <v>1698.0</v>
      </c>
      <c r="D2830" s="132">
        <f t="shared" si="248"/>
        <v>198</v>
      </c>
      <c r="E2830" s="126" t="s">
        <v>123</v>
      </c>
      <c r="F2830" s="139"/>
      <c r="G2830" s="129"/>
      <c r="H2830" s="129"/>
      <c r="I2830" s="129"/>
      <c r="J2830" s="129"/>
      <c r="K2830" s="129"/>
      <c r="L2830" s="129"/>
      <c r="M2830" s="129"/>
      <c r="N2830" s="129"/>
      <c r="O2830" s="129"/>
      <c r="P2830" s="129"/>
      <c r="Q2830" s="129"/>
      <c r="R2830" s="129"/>
      <c r="S2830" s="129"/>
      <c r="T2830" s="129"/>
      <c r="U2830" s="129"/>
      <c r="V2830" s="129"/>
      <c r="W2830" s="129"/>
      <c r="X2830" s="129"/>
      <c r="Y2830" s="129"/>
      <c r="Z2830" s="129"/>
      <c r="AA2830" s="129"/>
      <c r="AB2830" s="129"/>
    </row>
    <row r="2831" hidden="1">
      <c r="A2831" s="142" t="s">
        <v>1409</v>
      </c>
      <c r="B2831" s="147">
        <v>690.0</v>
      </c>
      <c r="C2831" s="147">
        <v>866.0</v>
      </c>
      <c r="D2831" s="132">
        <f t="shared" si="248"/>
        <v>176</v>
      </c>
      <c r="E2831" s="126" t="s">
        <v>123</v>
      </c>
      <c r="F2831" s="139"/>
      <c r="G2831" s="129"/>
      <c r="H2831" s="129"/>
      <c r="I2831" s="129"/>
      <c r="J2831" s="129"/>
      <c r="K2831" s="129"/>
      <c r="L2831" s="129"/>
      <c r="M2831" s="129"/>
      <c r="N2831" s="129"/>
      <c r="O2831" s="129"/>
      <c r="P2831" s="129"/>
      <c r="Q2831" s="129"/>
      <c r="R2831" s="129"/>
      <c r="S2831" s="129"/>
      <c r="T2831" s="129"/>
      <c r="U2831" s="129"/>
      <c r="V2831" s="129"/>
      <c r="W2831" s="129"/>
      <c r="X2831" s="129"/>
      <c r="Y2831" s="129"/>
      <c r="Z2831" s="129"/>
      <c r="AA2831" s="129"/>
      <c r="AB2831" s="129"/>
    </row>
    <row r="2832" hidden="1">
      <c r="A2832" s="123" t="s">
        <v>1448</v>
      </c>
      <c r="B2832" s="147">
        <v>990.0</v>
      </c>
      <c r="C2832" s="147">
        <v>1157.0</v>
      </c>
      <c r="D2832" s="125">
        <f t="shared" si="248"/>
        <v>167</v>
      </c>
      <c r="E2832" s="126" t="s">
        <v>123</v>
      </c>
      <c r="F2832" s="127"/>
      <c r="G2832" s="123"/>
    </row>
    <row r="2833" hidden="1">
      <c r="A2833" s="128" t="s">
        <v>1301</v>
      </c>
      <c r="B2833" s="147">
        <v>2390.0</v>
      </c>
      <c r="C2833" s="124">
        <v>2745.0</v>
      </c>
      <c r="D2833" s="132">
        <f t="shared" si="248"/>
        <v>355</v>
      </c>
      <c r="E2833" s="126" t="s">
        <v>123</v>
      </c>
      <c r="F2833" s="132"/>
      <c r="G2833" s="129"/>
      <c r="H2833" s="129"/>
      <c r="I2833" s="129"/>
      <c r="J2833" s="129"/>
      <c r="K2833" s="129"/>
      <c r="L2833" s="129"/>
      <c r="M2833" s="129"/>
      <c r="N2833" s="129"/>
      <c r="O2833" s="129"/>
      <c r="P2833" s="129"/>
      <c r="Q2833" s="129"/>
      <c r="R2833" s="129"/>
      <c r="S2833" s="129"/>
      <c r="T2833" s="129"/>
      <c r="U2833" s="129"/>
      <c r="V2833" s="129"/>
      <c r="W2833" s="129"/>
      <c r="X2833" s="129"/>
      <c r="Y2833" s="129"/>
      <c r="Z2833" s="129"/>
      <c r="AA2833" s="129"/>
      <c r="AB2833" s="129"/>
    </row>
    <row r="2834" hidden="1">
      <c r="A2834" s="142" t="s">
        <v>469</v>
      </c>
      <c r="B2834" s="147">
        <v>0.0</v>
      </c>
      <c r="C2834" s="147">
        <v>0.0</v>
      </c>
      <c r="D2834" s="132">
        <f t="shared" si="248"/>
        <v>0</v>
      </c>
      <c r="E2834" s="126" t="s">
        <v>123</v>
      </c>
      <c r="F2834" s="139"/>
      <c r="G2834" s="129"/>
      <c r="H2834" s="129"/>
      <c r="I2834" s="129"/>
      <c r="J2834" s="129"/>
      <c r="K2834" s="129"/>
      <c r="L2834" s="129"/>
      <c r="M2834" s="129"/>
      <c r="N2834" s="129"/>
      <c r="O2834" s="129"/>
      <c r="P2834" s="129"/>
      <c r="Q2834" s="129"/>
      <c r="R2834" s="129"/>
      <c r="S2834" s="129"/>
      <c r="T2834" s="129"/>
      <c r="U2834" s="129"/>
      <c r="V2834" s="129"/>
      <c r="W2834" s="129"/>
      <c r="X2834" s="129"/>
      <c r="Y2834" s="129"/>
      <c r="Z2834" s="129"/>
      <c r="AA2834" s="129"/>
      <c r="AB2834" s="129"/>
    </row>
    <row r="2835" hidden="1">
      <c r="A2835" s="128" t="s">
        <v>1093</v>
      </c>
      <c r="B2835" s="147">
        <v>1450.0</v>
      </c>
      <c r="C2835" s="147">
        <v>1596.0</v>
      </c>
      <c r="D2835" s="132">
        <f t="shared" si="248"/>
        <v>146</v>
      </c>
      <c r="E2835" s="171" t="s">
        <v>120</v>
      </c>
      <c r="F2835" s="139"/>
      <c r="G2835" s="129"/>
      <c r="H2835" s="129"/>
      <c r="I2835" s="129"/>
      <c r="J2835" s="129"/>
      <c r="K2835" s="129"/>
      <c r="L2835" s="129"/>
      <c r="M2835" s="129"/>
      <c r="N2835" s="129"/>
      <c r="O2835" s="129"/>
      <c r="P2835" s="129"/>
      <c r="Q2835" s="129"/>
      <c r="R2835" s="129"/>
      <c r="S2835" s="129"/>
      <c r="T2835" s="129"/>
      <c r="U2835" s="129"/>
      <c r="V2835" s="129"/>
      <c r="W2835" s="129"/>
      <c r="X2835" s="129"/>
      <c r="Y2835" s="129"/>
      <c r="Z2835" s="129"/>
      <c r="AA2835" s="129"/>
      <c r="AB2835" s="129"/>
    </row>
    <row r="2836" hidden="1">
      <c r="A2836" s="123" t="s">
        <v>967</v>
      </c>
      <c r="B2836" s="124">
        <v>1790.0</v>
      </c>
      <c r="C2836" s="124">
        <v>1930.0</v>
      </c>
      <c r="D2836" s="125">
        <f t="shared" si="248"/>
        <v>140</v>
      </c>
      <c r="E2836" s="126" t="s">
        <v>123</v>
      </c>
      <c r="F2836" s="124"/>
    </row>
    <row r="2837" hidden="1">
      <c r="A2837" s="128" t="s">
        <v>446</v>
      </c>
      <c r="B2837" s="147">
        <v>1340.0</v>
      </c>
      <c r="C2837" s="147">
        <v>1471.0</v>
      </c>
      <c r="D2837" s="132">
        <f t="shared" si="248"/>
        <v>131</v>
      </c>
      <c r="E2837" s="126" t="s">
        <v>123</v>
      </c>
      <c r="F2837" s="139"/>
      <c r="G2837" s="129"/>
      <c r="H2837" s="129"/>
      <c r="I2837" s="129"/>
      <c r="J2837" s="129"/>
      <c r="K2837" s="129"/>
      <c r="L2837" s="129"/>
      <c r="M2837" s="129"/>
      <c r="N2837" s="129"/>
      <c r="O2837" s="129"/>
      <c r="P2837" s="129"/>
      <c r="Q2837" s="129"/>
      <c r="R2837" s="129"/>
      <c r="S2837" s="129"/>
      <c r="T2837" s="129"/>
      <c r="U2837" s="129"/>
      <c r="V2837" s="129"/>
      <c r="W2837" s="129"/>
      <c r="X2837" s="129"/>
      <c r="Y2837" s="129"/>
      <c r="Z2837" s="129"/>
      <c r="AA2837" s="129"/>
      <c r="AB2837" s="129"/>
    </row>
    <row r="2838" hidden="1">
      <c r="A2838" s="150" t="s">
        <v>1209</v>
      </c>
      <c r="B2838" s="147">
        <v>1390.0</v>
      </c>
      <c r="C2838" s="147">
        <v>1544.0</v>
      </c>
      <c r="D2838" s="132">
        <f t="shared" si="248"/>
        <v>154</v>
      </c>
      <c r="E2838" s="132" t="s">
        <v>123</v>
      </c>
      <c r="F2838" s="132"/>
      <c r="G2838" s="129"/>
      <c r="H2838" s="129"/>
      <c r="I2838" s="129"/>
      <c r="J2838" s="129"/>
      <c r="K2838" s="129"/>
      <c r="L2838" s="129"/>
      <c r="M2838" s="129"/>
      <c r="N2838" s="129"/>
      <c r="O2838" s="129"/>
      <c r="P2838" s="129"/>
      <c r="Q2838" s="129"/>
      <c r="R2838" s="129"/>
      <c r="S2838" s="129"/>
      <c r="T2838" s="129"/>
      <c r="U2838" s="129"/>
      <c r="V2838" s="129"/>
      <c r="W2838" s="129"/>
      <c r="X2838" s="129"/>
      <c r="Y2838" s="129"/>
      <c r="Z2838" s="129"/>
      <c r="AA2838" s="129"/>
      <c r="AB2838" s="129"/>
    </row>
    <row r="2839" hidden="1">
      <c r="A2839" s="150" t="s">
        <v>1209</v>
      </c>
      <c r="B2839" s="147">
        <v>1390.0</v>
      </c>
      <c r="C2839" s="147">
        <v>1541.0</v>
      </c>
      <c r="D2839" s="132">
        <f t="shared" si="248"/>
        <v>151</v>
      </c>
      <c r="E2839" s="132" t="s">
        <v>123</v>
      </c>
      <c r="F2839" s="132"/>
      <c r="G2839" s="129"/>
      <c r="H2839" s="129"/>
      <c r="I2839" s="129"/>
      <c r="J2839" s="129"/>
      <c r="K2839" s="129"/>
      <c r="L2839" s="129"/>
      <c r="M2839" s="129"/>
      <c r="N2839" s="129"/>
      <c r="O2839" s="129"/>
      <c r="P2839" s="129"/>
      <c r="Q2839" s="129"/>
      <c r="R2839" s="129"/>
      <c r="S2839" s="129"/>
      <c r="T2839" s="129"/>
      <c r="U2839" s="129"/>
      <c r="V2839" s="129"/>
      <c r="W2839" s="129"/>
      <c r="X2839" s="129"/>
      <c r="Y2839" s="129"/>
      <c r="Z2839" s="129"/>
      <c r="AA2839" s="129"/>
      <c r="AB2839" s="129"/>
    </row>
    <row r="2840" hidden="1">
      <c r="A2840" s="150" t="s">
        <v>1093</v>
      </c>
      <c r="B2840" s="147">
        <v>2850.0</v>
      </c>
      <c r="C2840" s="147">
        <v>3148.0</v>
      </c>
      <c r="D2840" s="132">
        <f t="shared" si="248"/>
        <v>298</v>
      </c>
      <c r="E2840" s="394" t="s">
        <v>120</v>
      </c>
      <c r="F2840" s="139"/>
      <c r="G2840" s="129"/>
      <c r="H2840" s="129"/>
      <c r="I2840" s="129"/>
      <c r="J2840" s="129"/>
      <c r="K2840" s="129"/>
      <c r="L2840" s="129"/>
      <c r="M2840" s="129"/>
      <c r="N2840" s="129"/>
      <c r="O2840" s="129"/>
      <c r="P2840" s="129"/>
      <c r="Q2840" s="129"/>
      <c r="R2840" s="129"/>
      <c r="S2840" s="129"/>
      <c r="T2840" s="129"/>
      <c r="U2840" s="129"/>
      <c r="V2840" s="129"/>
      <c r="W2840" s="129"/>
      <c r="X2840" s="129"/>
      <c r="Y2840" s="129"/>
      <c r="Z2840" s="129"/>
      <c r="AA2840" s="129"/>
      <c r="AB2840" s="129"/>
    </row>
    <row r="2841" hidden="1">
      <c r="A2841" s="151" t="s">
        <v>444</v>
      </c>
      <c r="B2841" s="147">
        <v>0.0</v>
      </c>
      <c r="C2841" s="147">
        <v>0.0</v>
      </c>
      <c r="D2841" s="132">
        <f t="shared" si="248"/>
        <v>0</v>
      </c>
      <c r="E2841" s="132" t="s">
        <v>123</v>
      </c>
      <c r="F2841" s="139"/>
      <c r="G2841" s="150"/>
      <c r="H2841" s="129"/>
      <c r="I2841" s="129"/>
      <c r="J2841" s="129"/>
      <c r="K2841" s="129"/>
      <c r="L2841" s="129"/>
      <c r="M2841" s="129"/>
      <c r="N2841" s="129"/>
      <c r="O2841" s="129"/>
      <c r="P2841" s="129"/>
      <c r="Q2841" s="129"/>
      <c r="R2841" s="129"/>
      <c r="S2841" s="129"/>
      <c r="T2841" s="129"/>
      <c r="U2841" s="129"/>
      <c r="V2841" s="129"/>
      <c r="W2841" s="129"/>
      <c r="X2841" s="129"/>
      <c r="Y2841" s="129"/>
      <c r="Z2841" s="129"/>
      <c r="AA2841" s="129"/>
      <c r="AB2841" s="129"/>
    </row>
    <row r="2842" hidden="1">
      <c r="A2842" s="150" t="s">
        <v>1441</v>
      </c>
      <c r="B2842" s="147">
        <v>1140.0</v>
      </c>
      <c r="C2842" s="147">
        <v>1351.0</v>
      </c>
      <c r="D2842" s="132">
        <f t="shared" si="248"/>
        <v>211</v>
      </c>
      <c r="E2842" s="132" t="s">
        <v>123</v>
      </c>
      <c r="F2842" s="139"/>
      <c r="G2842" s="150"/>
      <c r="H2842" s="129"/>
      <c r="I2842" s="129"/>
      <c r="J2842" s="129"/>
      <c r="K2842" s="129"/>
      <c r="L2842" s="129"/>
      <c r="M2842" s="129"/>
      <c r="N2842" s="129"/>
      <c r="O2842" s="129"/>
      <c r="P2842" s="129"/>
      <c r="Q2842" s="129"/>
      <c r="R2842" s="129"/>
      <c r="S2842" s="129"/>
      <c r="T2842" s="129"/>
      <c r="U2842" s="129"/>
      <c r="V2842" s="129"/>
      <c r="W2842" s="129"/>
      <c r="X2842" s="129"/>
      <c r="Y2842" s="129"/>
      <c r="Z2842" s="129"/>
      <c r="AA2842" s="129"/>
      <c r="AB2842" s="129"/>
    </row>
    <row r="2843" hidden="1">
      <c r="A2843" s="123" t="s">
        <v>1326</v>
      </c>
      <c r="B2843" s="147">
        <v>2865.0</v>
      </c>
      <c r="C2843" s="124">
        <v>3263.0</v>
      </c>
      <c r="D2843" s="125">
        <f t="shared" si="248"/>
        <v>398</v>
      </c>
      <c r="E2843" s="126" t="s">
        <v>123</v>
      </c>
      <c r="F2843" s="124"/>
    </row>
    <row r="2844" hidden="1">
      <c r="A2844" s="159" t="s">
        <v>1444</v>
      </c>
      <c r="B2844" s="124">
        <v>1290.0</v>
      </c>
      <c r="C2844" s="147">
        <v>1444.0</v>
      </c>
      <c r="D2844" s="270">
        <f t="shared" si="248"/>
        <v>154</v>
      </c>
      <c r="E2844" s="126" t="s">
        <v>123</v>
      </c>
      <c r="F2844" s="139"/>
      <c r="G2844" s="129"/>
      <c r="H2844" s="129"/>
      <c r="I2844" s="129"/>
      <c r="J2844" s="129"/>
      <c r="K2844" s="129"/>
      <c r="L2844" s="129"/>
      <c r="M2844" s="129"/>
      <c r="N2844" s="129"/>
      <c r="O2844" s="129"/>
      <c r="P2844" s="129"/>
      <c r="Q2844" s="129"/>
      <c r="R2844" s="129"/>
      <c r="S2844" s="129"/>
      <c r="T2844" s="129"/>
      <c r="U2844" s="129"/>
      <c r="V2844" s="129"/>
      <c r="W2844" s="129"/>
      <c r="X2844" s="129"/>
      <c r="Y2844" s="129"/>
      <c r="Z2844" s="129"/>
      <c r="AA2844" s="129"/>
      <c r="AB2844" s="129"/>
    </row>
    <row r="2845" hidden="1">
      <c r="A2845" s="128" t="s">
        <v>418</v>
      </c>
      <c r="B2845" s="147">
        <v>350.0</v>
      </c>
      <c r="C2845" s="147">
        <v>550.0</v>
      </c>
      <c r="D2845" s="132">
        <f t="shared" si="248"/>
        <v>200</v>
      </c>
      <c r="E2845" s="126" t="s">
        <v>123</v>
      </c>
      <c r="F2845" s="139"/>
      <c r="G2845" s="129"/>
      <c r="H2845" s="129"/>
      <c r="I2845" s="129"/>
      <c r="J2845" s="129"/>
      <c r="K2845" s="129"/>
      <c r="L2845" s="129"/>
      <c r="M2845" s="129"/>
      <c r="N2845" s="129"/>
      <c r="O2845" s="129"/>
      <c r="P2845" s="129"/>
      <c r="Q2845" s="129"/>
      <c r="R2845" s="129"/>
      <c r="S2845" s="129"/>
      <c r="T2845" s="129"/>
      <c r="U2845" s="129"/>
      <c r="V2845" s="129"/>
      <c r="W2845" s="129"/>
      <c r="X2845" s="129"/>
      <c r="Y2845" s="129"/>
      <c r="Z2845" s="129"/>
      <c r="AA2845" s="129"/>
      <c r="AB2845" s="129"/>
    </row>
    <row r="2846" hidden="1">
      <c r="A2846" s="150" t="s">
        <v>1415</v>
      </c>
      <c r="B2846" s="147">
        <v>790.0</v>
      </c>
      <c r="C2846" s="147">
        <v>958.0</v>
      </c>
      <c r="D2846" s="132">
        <f t="shared" si="248"/>
        <v>168</v>
      </c>
      <c r="E2846" s="126" t="s">
        <v>123</v>
      </c>
      <c r="F2846" s="132"/>
      <c r="G2846" s="129"/>
      <c r="H2846" s="129"/>
      <c r="I2846" s="129"/>
      <c r="J2846" s="129"/>
      <c r="K2846" s="129"/>
      <c r="L2846" s="129"/>
      <c r="M2846" s="129"/>
      <c r="N2846" s="129"/>
      <c r="O2846" s="129"/>
      <c r="P2846" s="129"/>
      <c r="Q2846" s="129"/>
      <c r="R2846" s="129"/>
      <c r="S2846" s="129"/>
      <c r="T2846" s="129"/>
      <c r="U2846" s="129"/>
      <c r="V2846" s="129"/>
      <c r="W2846" s="129"/>
      <c r="X2846" s="129"/>
      <c r="Y2846" s="129"/>
      <c r="Z2846" s="129"/>
      <c r="AA2846" s="129"/>
      <c r="AB2846" s="129"/>
    </row>
    <row r="2847" hidden="1">
      <c r="A2847" s="128" t="s">
        <v>1140</v>
      </c>
      <c r="B2847" s="147">
        <v>2655.0</v>
      </c>
      <c r="C2847" s="147">
        <v>3016.0</v>
      </c>
      <c r="D2847" s="132">
        <f t="shared" si="248"/>
        <v>361</v>
      </c>
      <c r="E2847" s="171" t="s">
        <v>120</v>
      </c>
      <c r="F2847" s="139"/>
      <c r="G2847" s="129"/>
      <c r="H2847" s="129"/>
      <c r="I2847" s="129"/>
      <c r="J2847" s="129"/>
      <c r="K2847" s="129"/>
      <c r="L2847" s="129"/>
      <c r="M2847" s="129"/>
      <c r="N2847" s="129"/>
      <c r="O2847" s="129"/>
      <c r="P2847" s="129"/>
      <c r="Q2847" s="129"/>
      <c r="R2847" s="129"/>
      <c r="S2847" s="129"/>
      <c r="T2847" s="129"/>
      <c r="U2847" s="129"/>
      <c r="V2847" s="129"/>
      <c r="W2847" s="129"/>
      <c r="X2847" s="129"/>
      <c r="Y2847" s="129"/>
      <c r="Z2847" s="129"/>
      <c r="AA2847" s="129"/>
      <c r="AB2847" s="129"/>
    </row>
    <row r="2848" hidden="1">
      <c r="A2848" s="128" t="s">
        <v>1140</v>
      </c>
      <c r="B2848" s="147">
        <v>0.0</v>
      </c>
      <c r="C2848" s="147">
        <v>0.0</v>
      </c>
      <c r="D2848" s="132">
        <f t="shared" si="248"/>
        <v>0</v>
      </c>
      <c r="E2848" s="171" t="s">
        <v>120</v>
      </c>
      <c r="F2848" s="139"/>
      <c r="G2848" s="129"/>
      <c r="H2848" s="129"/>
      <c r="I2848" s="129"/>
      <c r="J2848" s="129"/>
      <c r="K2848" s="129"/>
      <c r="L2848" s="129"/>
      <c r="M2848" s="129"/>
      <c r="N2848" s="129"/>
      <c r="O2848" s="129"/>
      <c r="P2848" s="129"/>
      <c r="Q2848" s="129"/>
      <c r="R2848" s="129"/>
      <c r="S2848" s="129"/>
      <c r="T2848" s="129"/>
      <c r="U2848" s="129"/>
      <c r="V2848" s="129"/>
      <c r="W2848" s="129"/>
      <c r="X2848" s="129"/>
      <c r="Y2848" s="129"/>
      <c r="Z2848" s="129"/>
      <c r="AA2848" s="129"/>
      <c r="AB2848" s="129"/>
    </row>
    <row r="2849" hidden="1">
      <c r="A2849" s="128" t="s">
        <v>449</v>
      </c>
      <c r="B2849" s="147">
        <v>1040.0</v>
      </c>
      <c r="C2849" s="147">
        <v>1192.0</v>
      </c>
      <c r="D2849" s="125">
        <f t="shared" si="248"/>
        <v>152</v>
      </c>
      <c r="E2849" s="126" t="s">
        <v>123</v>
      </c>
      <c r="F2849" s="139"/>
      <c r="G2849" s="150"/>
      <c r="H2849" s="129"/>
      <c r="I2849" s="129"/>
      <c r="J2849" s="129"/>
      <c r="K2849" s="129"/>
      <c r="L2849" s="129"/>
      <c r="M2849" s="129"/>
      <c r="N2849" s="129"/>
      <c r="O2849" s="129"/>
      <c r="P2849" s="129"/>
      <c r="Q2849" s="129"/>
      <c r="R2849" s="129"/>
      <c r="S2849" s="129"/>
      <c r="T2849" s="129"/>
      <c r="U2849" s="129"/>
      <c r="V2849" s="129"/>
      <c r="W2849" s="129"/>
      <c r="X2849" s="129"/>
      <c r="Y2849" s="129"/>
      <c r="Z2849" s="129"/>
      <c r="AA2849" s="129"/>
      <c r="AB2849" s="129"/>
    </row>
    <row r="2850" hidden="1">
      <c r="A2850" s="128" t="s">
        <v>1308</v>
      </c>
      <c r="B2850" s="147">
        <v>1300.0</v>
      </c>
      <c r="C2850" s="147">
        <v>1495.0</v>
      </c>
      <c r="D2850" s="132">
        <f t="shared" si="248"/>
        <v>195</v>
      </c>
      <c r="E2850" s="171" t="s">
        <v>120</v>
      </c>
      <c r="F2850" s="132"/>
      <c r="G2850" s="129"/>
      <c r="H2850" s="129"/>
      <c r="I2850" s="129"/>
      <c r="J2850" s="129"/>
      <c r="K2850" s="129"/>
      <c r="L2850" s="129"/>
      <c r="M2850" s="129"/>
      <c r="N2850" s="129"/>
      <c r="O2850" s="129"/>
      <c r="P2850" s="129"/>
      <c r="Q2850" s="129"/>
      <c r="R2850" s="129"/>
      <c r="S2850" s="129"/>
      <c r="T2850" s="129"/>
      <c r="U2850" s="129"/>
      <c r="V2850" s="129"/>
      <c r="W2850" s="129"/>
      <c r="X2850" s="129"/>
      <c r="Y2850" s="129"/>
      <c r="Z2850" s="129"/>
      <c r="AA2850" s="129"/>
      <c r="AB2850" s="129"/>
    </row>
    <row r="2851" hidden="1">
      <c r="A2851" s="128" t="s">
        <v>122</v>
      </c>
      <c r="B2851" s="147">
        <v>1090.0</v>
      </c>
      <c r="C2851" s="147">
        <v>1290.0</v>
      </c>
      <c r="D2851" s="132">
        <f t="shared" si="248"/>
        <v>200</v>
      </c>
      <c r="E2851" s="132" t="s">
        <v>123</v>
      </c>
      <c r="F2851" s="139"/>
      <c r="G2851" s="129"/>
      <c r="H2851" s="129"/>
      <c r="I2851" s="129"/>
      <c r="J2851" s="129"/>
      <c r="K2851" s="129"/>
      <c r="L2851" s="129"/>
      <c r="M2851" s="129"/>
      <c r="N2851" s="129"/>
      <c r="O2851" s="129"/>
      <c r="P2851" s="129"/>
      <c r="Q2851" s="129"/>
      <c r="R2851" s="129"/>
      <c r="S2851" s="129"/>
      <c r="T2851" s="129"/>
      <c r="U2851" s="129"/>
      <c r="V2851" s="129"/>
      <c r="W2851" s="129"/>
      <c r="X2851" s="129"/>
      <c r="Y2851" s="129"/>
      <c r="Z2851" s="129"/>
      <c r="AA2851" s="129"/>
      <c r="AB2851" s="129"/>
    </row>
    <row r="2852" hidden="1">
      <c r="A2852" s="128" t="s">
        <v>407</v>
      </c>
      <c r="B2852" s="124">
        <v>790.0</v>
      </c>
      <c r="C2852" s="147">
        <v>990.0</v>
      </c>
      <c r="D2852" s="132">
        <f t="shared" si="248"/>
        <v>200</v>
      </c>
      <c r="E2852" s="126" t="s">
        <v>123</v>
      </c>
      <c r="F2852" s="139"/>
      <c r="G2852" s="129"/>
      <c r="H2852" s="129"/>
      <c r="I2852" s="129"/>
      <c r="J2852" s="129"/>
      <c r="K2852" s="129"/>
      <c r="L2852" s="129"/>
      <c r="M2852" s="129"/>
      <c r="N2852" s="129"/>
      <c r="O2852" s="129"/>
      <c r="P2852" s="129"/>
      <c r="Q2852" s="129"/>
      <c r="R2852" s="129"/>
      <c r="S2852" s="129"/>
      <c r="T2852" s="129"/>
      <c r="U2852" s="129"/>
      <c r="V2852" s="129"/>
      <c r="W2852" s="129"/>
      <c r="X2852" s="129"/>
      <c r="Y2852" s="129"/>
      <c r="Z2852" s="129"/>
      <c r="AA2852" s="129"/>
      <c r="AB2852" s="129"/>
    </row>
    <row r="2853" hidden="1">
      <c r="A2853" s="123" t="s">
        <v>416</v>
      </c>
      <c r="B2853" s="147">
        <v>550.0</v>
      </c>
      <c r="C2853" s="124">
        <v>750.0</v>
      </c>
      <c r="D2853" s="125">
        <f t="shared" si="248"/>
        <v>200</v>
      </c>
      <c r="E2853" s="126" t="s">
        <v>123</v>
      </c>
      <c r="F2853" s="124"/>
    </row>
    <row r="2854" hidden="1">
      <c r="A2854" s="123" t="s">
        <v>406</v>
      </c>
      <c r="B2854" s="147">
        <v>990.0</v>
      </c>
      <c r="C2854" s="124">
        <v>1490.0</v>
      </c>
      <c r="D2854" s="125">
        <f t="shared" si="248"/>
        <v>500</v>
      </c>
      <c r="E2854" s="126" t="s">
        <v>123</v>
      </c>
      <c r="F2854" s="124"/>
    </row>
    <row r="2855" hidden="1">
      <c r="A2855" s="128" t="s">
        <v>1300</v>
      </c>
      <c r="B2855" s="147">
        <v>1390.0</v>
      </c>
      <c r="C2855" s="147">
        <v>1591.0</v>
      </c>
      <c r="D2855" s="132">
        <f t="shared" si="248"/>
        <v>201</v>
      </c>
      <c r="E2855" s="126" t="s">
        <v>123</v>
      </c>
      <c r="F2855" s="132"/>
      <c r="G2855" s="129"/>
      <c r="H2855" s="129"/>
      <c r="I2855" s="129"/>
      <c r="J2855" s="129"/>
      <c r="K2855" s="129"/>
      <c r="L2855" s="129"/>
      <c r="M2855" s="129"/>
      <c r="N2855" s="129"/>
      <c r="O2855" s="129"/>
      <c r="P2855" s="129"/>
      <c r="Q2855" s="129"/>
      <c r="R2855" s="129"/>
      <c r="S2855" s="129"/>
      <c r="T2855" s="129"/>
      <c r="U2855" s="129"/>
      <c r="V2855" s="129"/>
      <c r="W2855" s="129"/>
      <c r="X2855" s="129"/>
      <c r="Y2855" s="129"/>
      <c r="Z2855" s="129"/>
      <c r="AA2855" s="129"/>
      <c r="AB2855" s="129"/>
    </row>
    <row r="2856" hidden="1">
      <c r="A2856" s="128" t="s">
        <v>126</v>
      </c>
      <c r="B2856" s="124">
        <v>1750.0</v>
      </c>
      <c r="C2856" s="147">
        <v>2133.0</v>
      </c>
      <c r="D2856" s="132">
        <f t="shared" si="248"/>
        <v>383</v>
      </c>
      <c r="E2856" s="126" t="s">
        <v>123</v>
      </c>
      <c r="F2856" s="139"/>
      <c r="G2856" s="129"/>
      <c r="H2856" s="129"/>
      <c r="I2856" s="129"/>
      <c r="J2856" s="129"/>
      <c r="K2856" s="129"/>
      <c r="L2856" s="129"/>
      <c r="M2856" s="129"/>
      <c r="N2856" s="129"/>
      <c r="O2856" s="129"/>
      <c r="P2856" s="129"/>
      <c r="Q2856" s="129"/>
      <c r="R2856" s="129"/>
      <c r="S2856" s="129"/>
      <c r="T2856" s="129"/>
      <c r="U2856" s="129"/>
      <c r="V2856" s="129"/>
      <c r="W2856" s="129"/>
      <c r="X2856" s="129"/>
      <c r="Y2856" s="129"/>
      <c r="Z2856" s="129"/>
      <c r="AA2856" s="129"/>
      <c r="AB2856" s="129"/>
    </row>
    <row r="2857" hidden="1">
      <c r="A2857" s="142" t="s">
        <v>1408</v>
      </c>
      <c r="B2857" s="147">
        <v>690.0</v>
      </c>
      <c r="C2857" s="147">
        <v>890.0</v>
      </c>
      <c r="D2857" s="132">
        <f t="shared" si="248"/>
        <v>200</v>
      </c>
      <c r="E2857" s="132" t="s">
        <v>123</v>
      </c>
      <c r="F2857" s="139"/>
      <c r="G2857" s="129"/>
      <c r="H2857" s="129"/>
      <c r="I2857" s="129"/>
      <c r="J2857" s="129"/>
      <c r="K2857" s="129"/>
      <c r="L2857" s="129"/>
      <c r="M2857" s="129"/>
      <c r="N2857" s="129"/>
      <c r="O2857" s="129"/>
      <c r="P2857" s="129"/>
      <c r="Q2857" s="129"/>
      <c r="R2857" s="129"/>
      <c r="S2857" s="129"/>
      <c r="T2857" s="129"/>
      <c r="U2857" s="129"/>
      <c r="V2857" s="129"/>
      <c r="W2857" s="129"/>
      <c r="X2857" s="129"/>
      <c r="Y2857" s="129"/>
      <c r="Z2857" s="129"/>
      <c r="AA2857" s="129"/>
      <c r="AB2857" s="129"/>
    </row>
    <row r="2858" hidden="1">
      <c r="A2858" s="142" t="s">
        <v>1124</v>
      </c>
      <c r="B2858" s="147">
        <v>590.0</v>
      </c>
      <c r="C2858" s="132">
        <v>790.0</v>
      </c>
      <c r="D2858" s="132">
        <f t="shared" si="248"/>
        <v>200</v>
      </c>
      <c r="E2858" s="132" t="s">
        <v>123</v>
      </c>
      <c r="F2858" s="139"/>
      <c r="G2858" s="129"/>
      <c r="H2858" s="129"/>
      <c r="I2858" s="129"/>
      <c r="J2858" s="129"/>
      <c r="K2858" s="129"/>
      <c r="L2858" s="129"/>
      <c r="M2858" s="129"/>
      <c r="N2858" s="129"/>
      <c r="O2858" s="129"/>
      <c r="P2858" s="129"/>
      <c r="Q2858" s="129"/>
      <c r="R2858" s="129"/>
      <c r="S2858" s="129"/>
      <c r="T2858" s="129"/>
      <c r="U2858" s="129"/>
      <c r="V2858" s="129"/>
      <c r="W2858" s="129"/>
      <c r="X2858" s="129"/>
      <c r="Y2858" s="129"/>
      <c r="Z2858" s="129"/>
      <c r="AA2858" s="129"/>
      <c r="AB2858" s="129"/>
    </row>
    <row r="2859" hidden="1">
      <c r="A2859" s="142" t="s">
        <v>1409</v>
      </c>
      <c r="B2859" s="147">
        <v>590.0</v>
      </c>
      <c r="C2859" s="147">
        <v>790.0</v>
      </c>
      <c r="D2859" s="132">
        <f t="shared" si="248"/>
        <v>200</v>
      </c>
      <c r="E2859" s="126" t="s">
        <v>123</v>
      </c>
      <c r="F2859" s="139"/>
      <c r="G2859" s="129"/>
      <c r="H2859" s="129"/>
      <c r="I2859" s="129"/>
      <c r="J2859" s="129"/>
      <c r="K2859" s="129"/>
      <c r="L2859" s="129"/>
      <c r="M2859" s="129"/>
      <c r="N2859" s="129"/>
      <c r="O2859" s="129"/>
      <c r="P2859" s="129"/>
      <c r="Q2859" s="129"/>
      <c r="R2859" s="129"/>
      <c r="S2859" s="129"/>
      <c r="T2859" s="129"/>
      <c r="U2859" s="129"/>
      <c r="V2859" s="129"/>
      <c r="W2859" s="129"/>
      <c r="X2859" s="129"/>
      <c r="Y2859" s="129"/>
      <c r="Z2859" s="129"/>
      <c r="AA2859" s="129"/>
      <c r="AB2859" s="129"/>
    </row>
    <row r="2860" hidden="1">
      <c r="A2860" s="128" t="s">
        <v>441</v>
      </c>
      <c r="B2860" s="124">
        <v>1450.0</v>
      </c>
      <c r="C2860" s="124">
        <v>1650.0</v>
      </c>
      <c r="D2860" s="132">
        <f t="shared" si="248"/>
        <v>200</v>
      </c>
      <c r="E2860" s="132" t="s">
        <v>123</v>
      </c>
      <c r="F2860" s="139"/>
      <c r="G2860" s="129"/>
      <c r="H2860" s="129"/>
      <c r="I2860" s="129"/>
      <c r="J2860" s="129"/>
      <c r="K2860" s="129"/>
      <c r="L2860" s="129"/>
      <c r="M2860" s="129"/>
      <c r="N2860" s="129"/>
      <c r="O2860" s="129"/>
      <c r="P2860" s="129"/>
      <c r="Q2860" s="129"/>
      <c r="R2860" s="129"/>
      <c r="S2860" s="129"/>
      <c r="T2860" s="129"/>
      <c r="U2860" s="129"/>
      <c r="V2860" s="129"/>
      <c r="W2860" s="129"/>
      <c r="X2860" s="129"/>
      <c r="Y2860" s="129"/>
      <c r="Z2860" s="129"/>
      <c r="AA2860" s="129"/>
      <c r="AB2860" s="129"/>
    </row>
    <row r="2861" hidden="1">
      <c r="A2861" s="142" t="s">
        <v>469</v>
      </c>
      <c r="B2861" s="147">
        <v>890.0</v>
      </c>
      <c r="C2861" s="147">
        <v>1059.0</v>
      </c>
      <c r="D2861" s="132">
        <f t="shared" si="248"/>
        <v>169</v>
      </c>
      <c r="E2861" s="126" t="s">
        <v>123</v>
      </c>
      <c r="F2861" s="139"/>
      <c r="G2861" s="129"/>
      <c r="H2861" s="129"/>
      <c r="I2861" s="129"/>
      <c r="J2861" s="129"/>
      <c r="K2861" s="129"/>
      <c r="L2861" s="129"/>
      <c r="M2861" s="129"/>
      <c r="N2861" s="129"/>
      <c r="O2861" s="129"/>
      <c r="P2861" s="129"/>
      <c r="Q2861" s="129"/>
      <c r="R2861" s="129"/>
      <c r="S2861" s="129"/>
      <c r="T2861" s="129"/>
      <c r="U2861" s="129"/>
      <c r="V2861" s="129"/>
      <c r="W2861" s="129"/>
      <c r="X2861" s="129"/>
      <c r="Y2861" s="129"/>
      <c r="Z2861" s="129"/>
      <c r="AA2861" s="129"/>
      <c r="AB2861" s="129"/>
    </row>
    <row r="2862" hidden="1">
      <c r="A2862" s="128" t="s">
        <v>1208</v>
      </c>
      <c r="B2862" s="147">
        <v>2600.0</v>
      </c>
      <c r="C2862" s="147">
        <v>2989.0</v>
      </c>
      <c r="D2862" s="132">
        <f t="shared" si="248"/>
        <v>389</v>
      </c>
      <c r="E2862" s="171" t="s">
        <v>120</v>
      </c>
      <c r="F2862" s="132"/>
      <c r="G2862" s="129"/>
      <c r="H2862" s="129"/>
      <c r="I2862" s="129"/>
      <c r="J2862" s="129"/>
      <c r="K2862" s="129"/>
      <c r="L2862" s="129"/>
      <c r="M2862" s="129"/>
      <c r="N2862" s="129"/>
      <c r="O2862" s="129"/>
      <c r="P2862" s="129"/>
      <c r="Q2862" s="129"/>
      <c r="R2862" s="129"/>
      <c r="S2862" s="129"/>
      <c r="T2862" s="129"/>
      <c r="U2862" s="129"/>
      <c r="V2862" s="129"/>
      <c r="W2862" s="129"/>
      <c r="X2862" s="129"/>
      <c r="Y2862" s="129"/>
      <c r="Z2862" s="129"/>
      <c r="AA2862" s="129"/>
      <c r="AB2862" s="129"/>
    </row>
    <row r="2863" hidden="1">
      <c r="A2863" s="128" t="s">
        <v>1208</v>
      </c>
      <c r="B2863" s="147">
        <v>0.0</v>
      </c>
      <c r="C2863" s="147">
        <v>0.0</v>
      </c>
      <c r="D2863" s="132">
        <f t="shared" si="248"/>
        <v>0</v>
      </c>
      <c r="E2863" s="171" t="s">
        <v>120</v>
      </c>
      <c r="F2863" s="132"/>
      <c r="G2863" s="129"/>
      <c r="H2863" s="129"/>
      <c r="I2863" s="129"/>
      <c r="J2863" s="129"/>
      <c r="K2863" s="129"/>
      <c r="L2863" s="129"/>
      <c r="M2863" s="129"/>
      <c r="N2863" s="129"/>
      <c r="O2863" s="129"/>
      <c r="P2863" s="129"/>
      <c r="Q2863" s="129"/>
      <c r="R2863" s="129"/>
      <c r="S2863" s="129"/>
      <c r="T2863" s="129"/>
      <c r="U2863" s="129"/>
      <c r="V2863" s="129"/>
      <c r="W2863" s="129"/>
      <c r="X2863" s="129"/>
      <c r="Y2863" s="129"/>
      <c r="Z2863" s="129"/>
      <c r="AA2863" s="129"/>
      <c r="AB2863" s="129"/>
    </row>
    <row r="2864" hidden="1">
      <c r="A2864" s="128" t="s">
        <v>1404</v>
      </c>
      <c r="B2864" s="147">
        <v>1250.0</v>
      </c>
      <c r="C2864" s="147">
        <v>1464.0</v>
      </c>
      <c r="D2864" s="132">
        <f t="shared" si="248"/>
        <v>214</v>
      </c>
      <c r="E2864" s="171" t="s">
        <v>120</v>
      </c>
      <c r="F2864" s="132"/>
      <c r="G2864" s="129"/>
      <c r="H2864" s="129"/>
      <c r="I2864" s="129"/>
      <c r="J2864" s="129"/>
      <c r="K2864" s="129"/>
      <c r="L2864" s="129"/>
      <c r="M2864" s="129"/>
      <c r="N2864" s="129"/>
      <c r="O2864" s="129"/>
      <c r="P2864" s="129"/>
      <c r="Q2864" s="129"/>
      <c r="R2864" s="129"/>
      <c r="S2864" s="129"/>
      <c r="T2864" s="129"/>
      <c r="U2864" s="129"/>
      <c r="V2864" s="129"/>
      <c r="W2864" s="129"/>
      <c r="X2864" s="129"/>
      <c r="Y2864" s="129"/>
      <c r="Z2864" s="129"/>
      <c r="AA2864" s="129"/>
      <c r="AB2864" s="129"/>
    </row>
    <row r="2865" hidden="1">
      <c r="A2865" s="150" t="s">
        <v>1440</v>
      </c>
      <c r="B2865" s="147">
        <v>740.0</v>
      </c>
      <c r="C2865" s="147">
        <v>860.0</v>
      </c>
      <c r="D2865" s="132">
        <f t="shared" si="248"/>
        <v>120</v>
      </c>
      <c r="E2865" s="171" t="s">
        <v>120</v>
      </c>
      <c r="F2865" s="132"/>
      <c r="G2865" s="129"/>
      <c r="H2865" s="129"/>
      <c r="I2865" s="129"/>
      <c r="J2865" s="129"/>
      <c r="K2865" s="129"/>
      <c r="L2865" s="129"/>
      <c r="M2865" s="129"/>
      <c r="N2865" s="129"/>
      <c r="O2865" s="129"/>
      <c r="P2865" s="129"/>
      <c r="Q2865" s="129"/>
      <c r="R2865" s="129"/>
      <c r="S2865" s="129"/>
      <c r="T2865" s="129"/>
      <c r="U2865" s="129"/>
      <c r="V2865" s="129"/>
      <c r="W2865" s="129"/>
      <c r="X2865" s="129"/>
      <c r="Y2865" s="129"/>
      <c r="Z2865" s="129"/>
      <c r="AA2865" s="129"/>
      <c r="AB2865" s="129"/>
    </row>
    <row r="2866" hidden="1">
      <c r="A2866" s="128" t="s">
        <v>1320</v>
      </c>
      <c r="B2866" s="147">
        <v>1400.0</v>
      </c>
      <c r="C2866" s="147">
        <v>1599.0</v>
      </c>
      <c r="D2866" s="132">
        <f t="shared" si="248"/>
        <v>199</v>
      </c>
      <c r="E2866" s="132" t="s">
        <v>123</v>
      </c>
      <c r="F2866" s="132"/>
      <c r="G2866" s="129"/>
      <c r="H2866" s="129"/>
      <c r="I2866" s="129"/>
      <c r="J2866" s="129"/>
      <c r="K2866" s="129"/>
      <c r="L2866" s="129"/>
      <c r="M2866" s="129"/>
      <c r="N2866" s="129"/>
      <c r="O2866" s="129"/>
      <c r="P2866" s="129"/>
      <c r="Q2866" s="129"/>
      <c r="R2866" s="129"/>
      <c r="S2866" s="129"/>
      <c r="T2866" s="129"/>
      <c r="U2866" s="129"/>
      <c r="V2866" s="129"/>
      <c r="W2866" s="129"/>
      <c r="X2866" s="129"/>
      <c r="Y2866" s="129"/>
      <c r="Z2866" s="129"/>
      <c r="AA2866" s="129"/>
      <c r="AB2866" s="129"/>
    </row>
    <row r="2867" hidden="1">
      <c r="A2867" s="128" t="s">
        <v>449</v>
      </c>
      <c r="B2867" s="147">
        <v>1040.0</v>
      </c>
      <c r="C2867" s="147">
        <v>1239.0</v>
      </c>
      <c r="D2867" s="125">
        <f t="shared" si="248"/>
        <v>199</v>
      </c>
      <c r="E2867" s="126" t="s">
        <v>123</v>
      </c>
      <c r="F2867" s="139"/>
      <c r="G2867" s="150"/>
      <c r="H2867" s="129"/>
      <c r="I2867" s="129"/>
      <c r="J2867" s="129"/>
      <c r="K2867" s="129"/>
      <c r="L2867" s="129"/>
      <c r="M2867" s="129"/>
      <c r="N2867" s="129"/>
      <c r="O2867" s="129"/>
      <c r="P2867" s="129"/>
      <c r="Q2867" s="129"/>
      <c r="R2867" s="129"/>
      <c r="S2867" s="129"/>
      <c r="T2867" s="129"/>
      <c r="U2867" s="129"/>
      <c r="V2867" s="129"/>
      <c r="W2867" s="129"/>
      <c r="X2867" s="129"/>
      <c r="Y2867" s="129"/>
      <c r="Z2867" s="129"/>
      <c r="AA2867" s="129"/>
      <c r="AB2867" s="129"/>
    </row>
    <row r="2868" hidden="1">
      <c r="A2868" s="150" t="s">
        <v>122</v>
      </c>
      <c r="B2868" s="147">
        <v>740.0</v>
      </c>
      <c r="C2868" s="147">
        <v>951.0</v>
      </c>
      <c r="D2868" s="132">
        <f t="shared" si="248"/>
        <v>211</v>
      </c>
      <c r="E2868" s="132" t="s">
        <v>123</v>
      </c>
      <c r="F2868" s="139"/>
      <c r="G2868" s="129"/>
      <c r="H2868" s="129"/>
      <c r="I2868" s="129"/>
      <c r="J2868" s="129"/>
      <c r="K2868" s="129"/>
      <c r="L2868" s="129"/>
      <c r="M2868" s="129"/>
      <c r="N2868" s="129"/>
      <c r="O2868" s="129"/>
      <c r="P2868" s="129"/>
      <c r="Q2868" s="129"/>
      <c r="R2868" s="129"/>
      <c r="S2868" s="129"/>
      <c r="T2868" s="129"/>
      <c r="U2868" s="129"/>
      <c r="V2868" s="129"/>
      <c r="W2868" s="129"/>
      <c r="X2868" s="129"/>
      <c r="Y2868" s="129"/>
      <c r="Z2868" s="129"/>
      <c r="AA2868" s="129"/>
      <c r="AB2868" s="129"/>
    </row>
    <row r="2869" hidden="1">
      <c r="A2869" s="150" t="s">
        <v>1209</v>
      </c>
      <c r="B2869" s="147">
        <v>1340.0</v>
      </c>
      <c r="C2869" s="147">
        <v>1546.0</v>
      </c>
      <c r="D2869" s="132">
        <f t="shared" si="248"/>
        <v>206</v>
      </c>
      <c r="E2869" s="132" t="s">
        <v>123</v>
      </c>
      <c r="F2869" s="132"/>
      <c r="G2869" s="129"/>
      <c r="H2869" s="129"/>
      <c r="I2869" s="129"/>
      <c r="J2869" s="129"/>
      <c r="K2869" s="129"/>
      <c r="L2869" s="129"/>
      <c r="M2869" s="129"/>
      <c r="N2869" s="129"/>
      <c r="O2869" s="129"/>
      <c r="P2869" s="129"/>
      <c r="Q2869" s="129"/>
      <c r="R2869" s="129"/>
      <c r="S2869" s="129"/>
      <c r="T2869" s="129"/>
      <c r="U2869" s="129"/>
      <c r="V2869" s="129"/>
      <c r="W2869" s="129"/>
      <c r="X2869" s="129"/>
      <c r="Y2869" s="129"/>
      <c r="Z2869" s="129"/>
      <c r="AA2869" s="129"/>
      <c r="AB2869" s="129"/>
    </row>
    <row r="2870" hidden="1">
      <c r="A2870" s="128" t="s">
        <v>1320</v>
      </c>
      <c r="B2870" s="147">
        <v>1400.0</v>
      </c>
      <c r="C2870" s="147">
        <v>1591.0</v>
      </c>
      <c r="D2870" s="132">
        <f t="shared" si="248"/>
        <v>191</v>
      </c>
      <c r="E2870" s="132" t="s">
        <v>123</v>
      </c>
      <c r="F2870" s="132"/>
      <c r="G2870" s="129"/>
      <c r="H2870" s="129"/>
      <c r="I2870" s="129"/>
      <c r="J2870" s="129"/>
      <c r="K2870" s="129"/>
      <c r="L2870" s="129"/>
      <c r="M2870" s="129"/>
      <c r="N2870" s="129"/>
      <c r="O2870" s="129"/>
      <c r="P2870" s="129"/>
      <c r="Q2870" s="129"/>
      <c r="R2870" s="129"/>
      <c r="S2870" s="129"/>
      <c r="T2870" s="129"/>
      <c r="U2870" s="129"/>
      <c r="V2870" s="129"/>
      <c r="W2870" s="129"/>
      <c r="X2870" s="129"/>
      <c r="Y2870" s="129"/>
      <c r="Z2870" s="129"/>
      <c r="AA2870" s="129"/>
      <c r="AB2870" s="129"/>
    </row>
    <row r="2871" hidden="1">
      <c r="A2871" s="128" t="s">
        <v>1179</v>
      </c>
      <c r="B2871" s="147">
        <v>1340.0</v>
      </c>
      <c r="C2871" s="147">
        <v>1546.0</v>
      </c>
      <c r="D2871" s="132">
        <f t="shared" si="248"/>
        <v>206</v>
      </c>
      <c r="E2871" s="171" t="s">
        <v>120</v>
      </c>
      <c r="F2871" s="139"/>
      <c r="G2871" s="129"/>
      <c r="H2871" s="129"/>
      <c r="I2871" s="129"/>
      <c r="J2871" s="129"/>
      <c r="K2871" s="129"/>
      <c r="L2871" s="129"/>
      <c r="M2871" s="129"/>
      <c r="N2871" s="129"/>
      <c r="O2871" s="129"/>
      <c r="P2871" s="129"/>
      <c r="Q2871" s="129"/>
      <c r="R2871" s="129"/>
      <c r="S2871" s="129"/>
      <c r="T2871" s="129"/>
      <c r="U2871" s="129"/>
      <c r="V2871" s="129"/>
      <c r="W2871" s="129"/>
      <c r="X2871" s="129"/>
      <c r="Y2871" s="129"/>
      <c r="Z2871" s="129"/>
      <c r="AA2871" s="129"/>
      <c r="AB2871" s="129"/>
    </row>
    <row r="2872" hidden="1">
      <c r="A2872" s="128" t="s">
        <v>1140</v>
      </c>
      <c r="B2872" s="147">
        <v>1340.0</v>
      </c>
      <c r="C2872" s="147">
        <v>1561.0</v>
      </c>
      <c r="D2872" s="132">
        <f t="shared" si="248"/>
        <v>221</v>
      </c>
      <c r="E2872" s="171" t="s">
        <v>120</v>
      </c>
      <c r="F2872" s="139"/>
      <c r="G2872" s="129"/>
      <c r="H2872" s="129"/>
      <c r="I2872" s="129"/>
      <c r="J2872" s="129"/>
      <c r="K2872" s="129"/>
      <c r="L2872" s="129"/>
      <c r="M2872" s="129"/>
      <c r="N2872" s="129"/>
      <c r="O2872" s="129"/>
      <c r="P2872" s="129"/>
      <c r="Q2872" s="129"/>
      <c r="R2872" s="129"/>
      <c r="S2872" s="129"/>
      <c r="T2872" s="129"/>
      <c r="U2872" s="129"/>
      <c r="V2872" s="129"/>
      <c r="W2872" s="129"/>
      <c r="X2872" s="129"/>
      <c r="Y2872" s="129"/>
      <c r="Z2872" s="129"/>
      <c r="AA2872" s="129"/>
      <c r="AB2872" s="129"/>
    </row>
    <row r="2873" hidden="1">
      <c r="A2873" s="150" t="s">
        <v>1209</v>
      </c>
      <c r="B2873" s="147">
        <v>1290.0</v>
      </c>
      <c r="C2873" s="147">
        <v>1497.0</v>
      </c>
      <c r="D2873" s="132">
        <f t="shared" si="248"/>
        <v>207</v>
      </c>
      <c r="E2873" s="132" t="s">
        <v>123</v>
      </c>
      <c r="F2873" s="132"/>
      <c r="G2873" s="129"/>
      <c r="H2873" s="129"/>
      <c r="I2873" s="129"/>
      <c r="J2873" s="129"/>
      <c r="K2873" s="129"/>
      <c r="L2873" s="129"/>
      <c r="M2873" s="129"/>
      <c r="N2873" s="129"/>
      <c r="O2873" s="129"/>
      <c r="P2873" s="129"/>
      <c r="Q2873" s="129"/>
      <c r="R2873" s="129"/>
      <c r="S2873" s="129"/>
      <c r="T2873" s="129"/>
      <c r="U2873" s="129"/>
      <c r="V2873" s="129"/>
      <c r="W2873" s="129"/>
      <c r="X2873" s="129"/>
      <c r="Y2873" s="129"/>
      <c r="Z2873" s="129"/>
      <c r="AA2873" s="129"/>
      <c r="AB2873" s="129"/>
    </row>
    <row r="2874" hidden="1">
      <c r="A2874" s="150" t="s">
        <v>1440</v>
      </c>
      <c r="B2874" s="147">
        <v>740.0</v>
      </c>
      <c r="C2874" s="147">
        <v>855.0</v>
      </c>
      <c r="D2874" s="132">
        <f t="shared" si="248"/>
        <v>115</v>
      </c>
      <c r="E2874" s="171" t="s">
        <v>120</v>
      </c>
      <c r="F2874" s="132"/>
      <c r="G2874" s="129"/>
      <c r="H2874" s="129"/>
      <c r="I2874" s="129"/>
      <c r="J2874" s="129"/>
      <c r="K2874" s="129"/>
      <c r="L2874" s="129"/>
      <c r="M2874" s="129"/>
      <c r="N2874" s="129"/>
      <c r="O2874" s="129"/>
      <c r="P2874" s="129"/>
      <c r="Q2874" s="129"/>
      <c r="R2874" s="129"/>
      <c r="S2874" s="129"/>
      <c r="T2874" s="129"/>
      <c r="U2874" s="129"/>
      <c r="V2874" s="129"/>
      <c r="W2874" s="129"/>
      <c r="X2874" s="129"/>
      <c r="Y2874" s="129"/>
      <c r="Z2874" s="129"/>
      <c r="AA2874" s="129"/>
      <c r="AB2874" s="129"/>
    </row>
    <row r="2875" hidden="1">
      <c r="A2875" s="150" t="s">
        <v>1209</v>
      </c>
      <c r="B2875" s="147">
        <v>1290.0</v>
      </c>
      <c r="C2875" s="147">
        <v>1497.0</v>
      </c>
      <c r="D2875" s="132">
        <f t="shared" si="248"/>
        <v>207</v>
      </c>
      <c r="E2875" s="132" t="s">
        <v>123</v>
      </c>
      <c r="F2875" s="132"/>
      <c r="G2875" s="129"/>
      <c r="H2875" s="129"/>
      <c r="I2875" s="129"/>
      <c r="J2875" s="129"/>
      <c r="K2875" s="129"/>
      <c r="L2875" s="129"/>
      <c r="M2875" s="129"/>
      <c r="N2875" s="129"/>
      <c r="O2875" s="129"/>
      <c r="P2875" s="129"/>
      <c r="Q2875" s="129"/>
      <c r="R2875" s="129"/>
      <c r="S2875" s="129"/>
      <c r="T2875" s="129"/>
      <c r="U2875" s="129"/>
      <c r="V2875" s="129"/>
      <c r="W2875" s="129"/>
      <c r="X2875" s="129"/>
      <c r="Y2875" s="129"/>
      <c r="Z2875" s="129"/>
      <c r="AA2875" s="129"/>
      <c r="AB2875" s="129"/>
    </row>
    <row r="2876" hidden="1">
      <c r="A2876" s="142" t="s">
        <v>1449</v>
      </c>
      <c r="B2876" s="147">
        <v>840.0</v>
      </c>
      <c r="C2876" s="147">
        <v>1067.0</v>
      </c>
      <c r="D2876" s="132">
        <f t="shared" si="248"/>
        <v>227</v>
      </c>
      <c r="E2876" s="126" t="s">
        <v>123</v>
      </c>
      <c r="F2876" s="139"/>
      <c r="G2876" s="129"/>
      <c r="H2876" s="129"/>
      <c r="I2876" s="129"/>
      <c r="J2876" s="129"/>
      <c r="K2876" s="129"/>
      <c r="L2876" s="129"/>
      <c r="M2876" s="129"/>
      <c r="N2876" s="129"/>
      <c r="O2876" s="129"/>
      <c r="P2876" s="129"/>
      <c r="Q2876" s="129"/>
      <c r="R2876" s="129"/>
      <c r="S2876" s="129"/>
      <c r="T2876" s="129"/>
      <c r="U2876" s="129"/>
      <c r="V2876" s="129"/>
      <c r="W2876" s="129"/>
      <c r="X2876" s="129"/>
      <c r="Y2876" s="129"/>
      <c r="Z2876" s="129"/>
      <c r="AA2876" s="129"/>
      <c r="AB2876" s="129"/>
    </row>
    <row r="2877" hidden="1">
      <c r="A2877" s="123" t="s">
        <v>395</v>
      </c>
      <c r="B2877" s="124">
        <v>1750.0</v>
      </c>
      <c r="C2877" s="124">
        <v>2181.0</v>
      </c>
      <c r="D2877" s="125">
        <f t="shared" si="248"/>
        <v>431</v>
      </c>
      <c r="E2877" s="126" t="s">
        <v>123</v>
      </c>
      <c r="F2877" s="124"/>
    </row>
    <row r="2878" hidden="1">
      <c r="A2878" s="128" t="s">
        <v>1187</v>
      </c>
      <c r="B2878" s="147">
        <v>740.0</v>
      </c>
      <c r="C2878" s="147">
        <v>871.0</v>
      </c>
      <c r="D2878" s="132">
        <f t="shared" si="248"/>
        <v>131</v>
      </c>
      <c r="E2878" s="126" t="s">
        <v>123</v>
      </c>
      <c r="F2878" s="132"/>
      <c r="G2878" s="129"/>
      <c r="H2878" s="129"/>
      <c r="I2878" s="129"/>
      <c r="J2878" s="129"/>
      <c r="K2878" s="129"/>
      <c r="L2878" s="129"/>
      <c r="M2878" s="129"/>
      <c r="N2878" s="129"/>
      <c r="O2878" s="129"/>
      <c r="P2878" s="129"/>
      <c r="Q2878" s="129"/>
      <c r="R2878" s="129"/>
      <c r="S2878" s="129"/>
      <c r="T2878" s="129"/>
      <c r="U2878" s="129"/>
      <c r="V2878" s="129"/>
      <c r="W2878" s="129"/>
      <c r="X2878" s="129"/>
      <c r="Y2878" s="129"/>
      <c r="Z2878" s="129"/>
      <c r="AA2878" s="129"/>
      <c r="AB2878" s="129"/>
    </row>
    <row r="2879" hidden="1">
      <c r="A2879" s="123" t="s">
        <v>1450</v>
      </c>
      <c r="B2879" s="124">
        <v>1700.0</v>
      </c>
      <c r="C2879" s="124">
        <v>2108.0</v>
      </c>
      <c r="D2879" s="125">
        <f t="shared" si="248"/>
        <v>408</v>
      </c>
      <c r="E2879" s="126" t="s">
        <v>123</v>
      </c>
      <c r="F2879" s="124"/>
      <c r="G2879" s="123"/>
    </row>
    <row r="2880" hidden="1">
      <c r="A2880" s="151" t="s">
        <v>444</v>
      </c>
      <c r="B2880" s="147">
        <v>1400.0</v>
      </c>
      <c r="C2880" s="147">
        <v>1650.0</v>
      </c>
      <c r="D2880" s="132">
        <f t="shared" si="248"/>
        <v>250</v>
      </c>
      <c r="E2880" s="132" t="s">
        <v>123</v>
      </c>
      <c r="F2880" s="139"/>
      <c r="G2880" s="150"/>
      <c r="H2880" s="129"/>
      <c r="I2880" s="129"/>
      <c r="J2880" s="129"/>
      <c r="K2880" s="129"/>
      <c r="L2880" s="129"/>
      <c r="M2880" s="129"/>
      <c r="N2880" s="129"/>
      <c r="O2880" s="129"/>
      <c r="P2880" s="129"/>
      <c r="Q2880" s="129"/>
      <c r="R2880" s="129"/>
      <c r="S2880" s="129"/>
      <c r="T2880" s="129"/>
      <c r="U2880" s="129"/>
      <c r="V2880" s="129"/>
      <c r="W2880" s="129"/>
      <c r="X2880" s="129"/>
      <c r="Y2880" s="129"/>
      <c r="Z2880" s="129"/>
      <c r="AA2880" s="129"/>
      <c r="AB2880" s="129"/>
    </row>
    <row r="2881" hidden="1">
      <c r="A2881" s="150" t="s">
        <v>1440</v>
      </c>
      <c r="B2881" s="147">
        <v>740.0</v>
      </c>
      <c r="C2881" s="147">
        <v>860.0</v>
      </c>
      <c r="D2881" s="132">
        <f t="shared" si="248"/>
        <v>120</v>
      </c>
      <c r="E2881" s="171" t="s">
        <v>120</v>
      </c>
      <c r="F2881" s="132"/>
      <c r="G2881" s="129"/>
      <c r="H2881" s="129"/>
      <c r="I2881" s="129"/>
      <c r="J2881" s="129"/>
      <c r="K2881" s="129"/>
      <c r="L2881" s="129"/>
      <c r="M2881" s="129"/>
      <c r="N2881" s="129"/>
      <c r="O2881" s="129"/>
      <c r="P2881" s="129"/>
      <c r="Q2881" s="129"/>
      <c r="R2881" s="129"/>
      <c r="S2881" s="129"/>
      <c r="T2881" s="129"/>
      <c r="U2881" s="129"/>
      <c r="V2881" s="129"/>
      <c r="W2881" s="129"/>
      <c r="X2881" s="129"/>
      <c r="Y2881" s="129"/>
      <c r="Z2881" s="129"/>
      <c r="AA2881" s="129"/>
      <c r="AB2881" s="129"/>
    </row>
    <row r="2882" hidden="1">
      <c r="A2882" s="150" t="s">
        <v>1431</v>
      </c>
      <c r="B2882" s="147">
        <v>840.0</v>
      </c>
      <c r="C2882" s="124">
        <v>1055.0</v>
      </c>
      <c r="D2882" s="132">
        <f t="shared" si="248"/>
        <v>215</v>
      </c>
      <c r="E2882" s="126" t="s">
        <v>123</v>
      </c>
      <c r="F2882" s="147"/>
      <c r="G2882" s="129"/>
      <c r="H2882" s="129"/>
      <c r="I2882" s="129"/>
      <c r="J2882" s="129"/>
      <c r="K2882" s="129"/>
      <c r="L2882" s="129"/>
      <c r="M2882" s="129"/>
      <c r="N2882" s="129"/>
      <c r="O2882" s="129"/>
      <c r="P2882" s="129"/>
      <c r="Q2882" s="129"/>
      <c r="R2882" s="129"/>
      <c r="S2882" s="129"/>
      <c r="T2882" s="129"/>
      <c r="U2882" s="129"/>
      <c r="V2882" s="129"/>
      <c r="W2882" s="129"/>
      <c r="X2882" s="129"/>
      <c r="Y2882" s="129"/>
      <c r="Z2882" s="129"/>
      <c r="AA2882" s="129"/>
      <c r="AB2882" s="129"/>
    </row>
    <row r="2883" hidden="1">
      <c r="A2883" s="150" t="s">
        <v>1209</v>
      </c>
      <c r="B2883" s="147">
        <v>1340.0</v>
      </c>
      <c r="C2883" s="147">
        <v>1541.0</v>
      </c>
      <c r="D2883" s="132">
        <f t="shared" si="248"/>
        <v>201</v>
      </c>
      <c r="E2883" s="132" t="s">
        <v>123</v>
      </c>
      <c r="F2883" s="132"/>
      <c r="G2883" s="129"/>
      <c r="H2883" s="129"/>
      <c r="I2883" s="129"/>
      <c r="J2883" s="129"/>
      <c r="K2883" s="129"/>
      <c r="L2883" s="129"/>
      <c r="M2883" s="129"/>
      <c r="N2883" s="129"/>
      <c r="O2883" s="129"/>
      <c r="P2883" s="129"/>
      <c r="Q2883" s="129"/>
      <c r="R2883" s="129"/>
      <c r="S2883" s="129"/>
      <c r="T2883" s="129"/>
      <c r="U2883" s="129"/>
      <c r="V2883" s="129"/>
      <c r="W2883" s="129"/>
      <c r="X2883" s="129"/>
      <c r="Y2883" s="129"/>
      <c r="Z2883" s="129"/>
      <c r="AA2883" s="129"/>
      <c r="AB2883" s="129"/>
    </row>
    <row r="2884" hidden="1">
      <c r="A2884" s="128" t="s">
        <v>1093</v>
      </c>
      <c r="B2884" s="147">
        <v>1350.0</v>
      </c>
      <c r="C2884" s="147">
        <v>1586.0</v>
      </c>
      <c r="D2884" s="132">
        <f t="shared" si="248"/>
        <v>236</v>
      </c>
      <c r="E2884" s="171" t="s">
        <v>120</v>
      </c>
      <c r="F2884" s="139"/>
      <c r="G2884" s="129"/>
      <c r="H2884" s="129"/>
      <c r="I2884" s="129"/>
      <c r="J2884" s="129"/>
      <c r="K2884" s="129"/>
      <c r="L2884" s="129"/>
      <c r="M2884" s="129"/>
      <c r="N2884" s="129"/>
      <c r="O2884" s="129"/>
      <c r="P2884" s="129"/>
      <c r="Q2884" s="129"/>
      <c r="R2884" s="129"/>
      <c r="S2884" s="129"/>
      <c r="T2884" s="129"/>
      <c r="U2884" s="129"/>
      <c r="V2884" s="129"/>
      <c r="W2884" s="129"/>
      <c r="X2884" s="129"/>
      <c r="Y2884" s="129"/>
      <c r="Z2884" s="129"/>
      <c r="AA2884" s="129"/>
      <c r="AB2884" s="129"/>
    </row>
    <row r="2885" hidden="1">
      <c r="A2885" s="128" t="s">
        <v>1093</v>
      </c>
      <c r="B2885" s="147">
        <v>1400.0</v>
      </c>
      <c r="C2885" s="147">
        <v>1600.0</v>
      </c>
      <c r="D2885" s="132">
        <f t="shared" si="248"/>
        <v>200</v>
      </c>
      <c r="E2885" s="171" t="s">
        <v>120</v>
      </c>
      <c r="F2885" s="139"/>
      <c r="G2885" s="129"/>
      <c r="H2885" s="129"/>
      <c r="I2885" s="129"/>
      <c r="J2885" s="129"/>
      <c r="K2885" s="129"/>
      <c r="L2885" s="129"/>
      <c r="M2885" s="129"/>
      <c r="N2885" s="129"/>
      <c r="O2885" s="129"/>
      <c r="P2885" s="129"/>
      <c r="Q2885" s="129"/>
      <c r="R2885" s="129"/>
      <c r="S2885" s="129"/>
      <c r="T2885" s="129"/>
      <c r="U2885" s="129"/>
      <c r="V2885" s="129"/>
      <c r="W2885" s="129"/>
      <c r="X2885" s="129"/>
      <c r="Y2885" s="129"/>
      <c r="Z2885" s="129"/>
      <c r="AA2885" s="129"/>
      <c r="AB2885" s="129"/>
    </row>
    <row r="2886" hidden="1">
      <c r="A2886" s="128" t="s">
        <v>1087</v>
      </c>
      <c r="B2886" s="147">
        <v>1290.0</v>
      </c>
      <c r="C2886" s="147">
        <v>1597.0</v>
      </c>
      <c r="D2886" s="132">
        <f t="shared" si="248"/>
        <v>307</v>
      </c>
      <c r="E2886" s="132" t="s">
        <v>123</v>
      </c>
      <c r="F2886" s="132"/>
      <c r="G2886" s="129"/>
      <c r="H2886" s="129"/>
      <c r="I2886" s="129"/>
      <c r="J2886" s="129"/>
      <c r="K2886" s="129"/>
      <c r="L2886" s="129"/>
      <c r="M2886" s="129"/>
      <c r="N2886" s="129"/>
      <c r="O2886" s="129"/>
      <c r="P2886" s="129"/>
      <c r="Q2886" s="129"/>
      <c r="R2886" s="129"/>
      <c r="S2886" s="129"/>
      <c r="T2886" s="129"/>
      <c r="U2886" s="129"/>
      <c r="V2886" s="129"/>
      <c r="W2886" s="129"/>
      <c r="X2886" s="129"/>
      <c r="Y2886" s="129"/>
      <c r="Z2886" s="129"/>
      <c r="AA2886" s="129"/>
      <c r="AB2886" s="129"/>
    </row>
    <row r="2887" hidden="1">
      <c r="A2887" s="128" t="s">
        <v>1093</v>
      </c>
      <c r="B2887" s="147">
        <v>1400.0</v>
      </c>
      <c r="C2887" s="147">
        <v>1607.0</v>
      </c>
      <c r="D2887" s="132">
        <f t="shared" si="248"/>
        <v>207</v>
      </c>
      <c r="E2887" s="171" t="s">
        <v>120</v>
      </c>
      <c r="F2887" s="139"/>
      <c r="G2887" s="129"/>
      <c r="H2887" s="129"/>
      <c r="I2887" s="129"/>
      <c r="J2887" s="129"/>
      <c r="K2887" s="129"/>
      <c r="L2887" s="129"/>
      <c r="M2887" s="129"/>
      <c r="N2887" s="129"/>
      <c r="O2887" s="129"/>
      <c r="P2887" s="129"/>
      <c r="Q2887" s="129"/>
      <c r="R2887" s="129"/>
      <c r="S2887" s="129"/>
      <c r="T2887" s="129"/>
      <c r="U2887" s="129"/>
      <c r="V2887" s="129"/>
      <c r="W2887" s="129"/>
      <c r="X2887" s="129"/>
      <c r="Y2887" s="129"/>
      <c r="Z2887" s="129"/>
      <c r="AA2887" s="129"/>
      <c r="AB2887" s="129"/>
    </row>
    <row r="2888" hidden="1">
      <c r="A2888" s="128" t="s">
        <v>1451</v>
      </c>
      <c r="B2888" s="124">
        <v>700.0</v>
      </c>
      <c r="C2888" s="124">
        <v>812.0</v>
      </c>
      <c r="D2888" s="132">
        <f t="shared" si="248"/>
        <v>112</v>
      </c>
      <c r="E2888" s="126" t="s">
        <v>123</v>
      </c>
      <c r="F2888" s="139"/>
      <c r="G2888" s="129"/>
      <c r="H2888" s="129"/>
      <c r="I2888" s="129"/>
      <c r="J2888" s="129"/>
      <c r="K2888" s="129"/>
      <c r="L2888" s="129"/>
      <c r="M2888" s="129"/>
      <c r="N2888" s="129"/>
      <c r="O2888" s="129"/>
      <c r="P2888" s="129"/>
      <c r="Q2888" s="129"/>
      <c r="R2888" s="129"/>
      <c r="S2888" s="129"/>
      <c r="T2888" s="129"/>
      <c r="U2888" s="129"/>
      <c r="V2888" s="129"/>
      <c r="W2888" s="129"/>
      <c r="X2888" s="129"/>
      <c r="Y2888" s="129"/>
      <c r="Z2888" s="129"/>
      <c r="AA2888" s="129"/>
      <c r="AB2888" s="129"/>
    </row>
    <row r="2889" hidden="1">
      <c r="A2889" s="128" t="s">
        <v>1274</v>
      </c>
      <c r="B2889" s="147">
        <v>990.0</v>
      </c>
      <c r="C2889" s="147">
        <v>1205.0</v>
      </c>
      <c r="D2889" s="132">
        <f t="shared" si="248"/>
        <v>215</v>
      </c>
      <c r="E2889" s="126" t="s">
        <v>123</v>
      </c>
      <c r="F2889" s="132"/>
      <c r="G2889" s="129"/>
      <c r="H2889" s="129"/>
      <c r="I2889" s="129"/>
      <c r="J2889" s="129"/>
      <c r="K2889" s="129"/>
      <c r="L2889" s="129"/>
      <c r="M2889" s="129"/>
      <c r="N2889" s="129"/>
      <c r="O2889" s="129"/>
      <c r="P2889" s="129"/>
      <c r="Q2889" s="129"/>
      <c r="R2889" s="129"/>
      <c r="S2889" s="129"/>
      <c r="T2889" s="129"/>
      <c r="U2889" s="129"/>
      <c r="V2889" s="129"/>
      <c r="W2889" s="129"/>
      <c r="X2889" s="129"/>
      <c r="Y2889" s="129"/>
      <c r="Z2889" s="129"/>
      <c r="AA2889" s="129"/>
      <c r="AB2889" s="129"/>
    </row>
    <row r="2890" hidden="1">
      <c r="A2890" s="128" t="s">
        <v>1405</v>
      </c>
      <c r="B2890" s="147">
        <v>940.0</v>
      </c>
      <c r="C2890" s="147">
        <v>1163.0</v>
      </c>
      <c r="D2890" s="132">
        <f t="shared" si="248"/>
        <v>223</v>
      </c>
      <c r="E2890" s="132" t="s">
        <v>123</v>
      </c>
      <c r="F2890" s="139"/>
      <c r="G2890" s="150"/>
      <c r="H2890" s="129"/>
      <c r="I2890" s="129"/>
      <c r="J2890" s="129"/>
      <c r="K2890" s="129"/>
      <c r="L2890" s="129"/>
      <c r="M2890" s="129"/>
      <c r="N2890" s="129"/>
      <c r="O2890" s="129"/>
      <c r="P2890" s="129"/>
      <c r="Q2890" s="129"/>
      <c r="R2890" s="129"/>
      <c r="S2890" s="129"/>
      <c r="T2890" s="129"/>
      <c r="U2890" s="129"/>
      <c r="V2890" s="129"/>
      <c r="W2890" s="129"/>
      <c r="X2890" s="129"/>
      <c r="Y2890" s="129"/>
      <c r="Z2890" s="129"/>
      <c r="AA2890" s="129"/>
      <c r="AB2890" s="129"/>
    </row>
    <row r="2891" hidden="1">
      <c r="A2891" s="150" t="s">
        <v>1219</v>
      </c>
      <c r="B2891" s="147">
        <v>840.0</v>
      </c>
      <c r="C2891" s="124">
        <v>1055.0</v>
      </c>
      <c r="D2891" s="132">
        <f t="shared" si="248"/>
        <v>215</v>
      </c>
      <c r="E2891" s="126" t="s">
        <v>123</v>
      </c>
      <c r="F2891" s="139"/>
      <c r="G2891" s="129"/>
      <c r="H2891" s="129"/>
      <c r="I2891" s="129"/>
      <c r="J2891" s="129"/>
      <c r="K2891" s="129"/>
      <c r="L2891" s="129"/>
      <c r="M2891" s="129"/>
      <c r="N2891" s="129"/>
      <c r="O2891" s="129"/>
      <c r="P2891" s="129"/>
      <c r="Q2891" s="129"/>
      <c r="R2891" s="129"/>
      <c r="S2891" s="129"/>
      <c r="T2891" s="129"/>
      <c r="U2891" s="129"/>
      <c r="V2891" s="129"/>
      <c r="W2891" s="129"/>
      <c r="X2891" s="129"/>
      <c r="Y2891" s="129"/>
      <c r="Z2891" s="129"/>
      <c r="AA2891" s="129"/>
      <c r="AB2891" s="129"/>
    </row>
    <row r="2892" hidden="1">
      <c r="A2892" s="128" t="s">
        <v>1209</v>
      </c>
      <c r="B2892" s="147">
        <v>1340.0</v>
      </c>
      <c r="C2892" s="147">
        <v>1546.0</v>
      </c>
      <c r="D2892" s="132">
        <f t="shared" si="248"/>
        <v>206</v>
      </c>
      <c r="E2892" s="126" t="s">
        <v>123</v>
      </c>
      <c r="F2892" s="132"/>
      <c r="G2892" s="129"/>
      <c r="H2892" s="129"/>
      <c r="I2892" s="129"/>
      <c r="J2892" s="129"/>
      <c r="K2892" s="129"/>
      <c r="L2892" s="129"/>
      <c r="M2892" s="129"/>
      <c r="N2892" s="129"/>
      <c r="O2892" s="129"/>
      <c r="P2892" s="129"/>
      <c r="Q2892" s="129"/>
      <c r="R2892" s="129"/>
      <c r="S2892" s="129"/>
      <c r="T2892" s="129"/>
      <c r="U2892" s="129"/>
      <c r="V2892" s="129"/>
      <c r="W2892" s="129"/>
      <c r="X2892" s="129"/>
      <c r="Y2892" s="129"/>
      <c r="Z2892" s="129"/>
      <c r="AA2892" s="129"/>
      <c r="AB2892" s="129"/>
    </row>
    <row r="2893" hidden="1">
      <c r="A2893" s="150" t="s">
        <v>1209</v>
      </c>
      <c r="B2893" s="147">
        <v>1340.0</v>
      </c>
      <c r="C2893" s="147">
        <v>1546.0</v>
      </c>
      <c r="D2893" s="132">
        <f t="shared" si="248"/>
        <v>206</v>
      </c>
      <c r="E2893" s="132" t="s">
        <v>123</v>
      </c>
      <c r="F2893" s="132"/>
      <c r="G2893" s="129"/>
      <c r="H2893" s="129"/>
      <c r="I2893" s="129"/>
      <c r="J2893" s="129"/>
      <c r="K2893" s="129"/>
      <c r="L2893" s="129"/>
      <c r="M2893" s="129"/>
      <c r="N2893" s="129"/>
      <c r="O2893" s="129"/>
      <c r="P2893" s="129"/>
      <c r="Q2893" s="129"/>
      <c r="R2893" s="129"/>
      <c r="S2893" s="129"/>
      <c r="T2893" s="129"/>
      <c r="U2893" s="129"/>
      <c r="V2893" s="129"/>
      <c r="W2893" s="129"/>
      <c r="X2893" s="129"/>
      <c r="Y2893" s="129"/>
      <c r="Z2893" s="129"/>
      <c r="AA2893" s="129"/>
      <c r="AB2893" s="129"/>
    </row>
    <row r="2894" hidden="1">
      <c r="A2894" s="128" t="s">
        <v>1371</v>
      </c>
      <c r="B2894" s="147">
        <v>940.0</v>
      </c>
      <c r="C2894" s="124">
        <v>1147.0</v>
      </c>
      <c r="D2894" s="125">
        <f t="shared" si="248"/>
        <v>207</v>
      </c>
      <c r="E2894" s="126" t="s">
        <v>123</v>
      </c>
      <c r="F2894" s="124"/>
      <c r="G2894" s="129"/>
      <c r="H2894" s="129"/>
      <c r="I2894" s="129"/>
      <c r="J2894" s="129"/>
      <c r="K2894" s="129"/>
      <c r="L2894" s="129"/>
      <c r="M2894" s="129"/>
      <c r="N2894" s="129"/>
      <c r="O2894" s="129"/>
      <c r="P2894" s="129"/>
      <c r="Q2894" s="129"/>
      <c r="R2894" s="129"/>
      <c r="S2894" s="129"/>
      <c r="T2894" s="129"/>
      <c r="U2894" s="129"/>
      <c r="V2894" s="129"/>
      <c r="W2894" s="129"/>
      <c r="X2894" s="129"/>
      <c r="Y2894" s="129"/>
      <c r="Z2894" s="129"/>
      <c r="AA2894" s="129"/>
      <c r="AB2894" s="129"/>
    </row>
    <row r="2895" hidden="1"/>
    <row r="2896" hidden="1">
      <c r="A2896" s="122" t="s">
        <v>57</v>
      </c>
      <c r="B2896" s="133">
        <f t="shared" ref="B2896:D2896" si="249">SUM(B2777:B2895)</f>
        <v>167550</v>
      </c>
      <c r="C2896" s="133">
        <f t="shared" si="249"/>
        <v>191434</v>
      </c>
      <c r="D2896" s="133">
        <f t="shared" si="249"/>
        <v>23884</v>
      </c>
      <c r="E2896" s="135">
        <f>D2896/(C2896/100)</f>
        <v>12.47636261</v>
      </c>
    </row>
    <row r="2897" hidden="1"/>
    <row r="2898" hidden="1">
      <c r="A2898" s="141">
        <v>44105.0</v>
      </c>
      <c r="B2898" s="139"/>
      <c r="C2898" s="139"/>
      <c r="D2898" s="139"/>
      <c r="E2898" s="129"/>
      <c r="F2898" s="129"/>
      <c r="G2898" s="129"/>
      <c r="H2898" s="129"/>
      <c r="I2898" s="129"/>
      <c r="J2898" s="129"/>
      <c r="K2898" s="129"/>
      <c r="L2898" s="129"/>
      <c r="M2898" s="129"/>
      <c r="N2898" s="129"/>
      <c r="O2898" s="129"/>
      <c r="P2898" s="129"/>
      <c r="Q2898" s="129"/>
      <c r="R2898" s="129"/>
      <c r="S2898" s="129"/>
      <c r="T2898" s="129"/>
      <c r="U2898" s="129"/>
      <c r="V2898" s="129"/>
      <c r="W2898" s="129"/>
      <c r="X2898" s="129"/>
      <c r="Y2898" s="129"/>
      <c r="Z2898" s="129"/>
      <c r="AA2898" s="129"/>
      <c r="AB2898" s="129"/>
    </row>
    <row r="2899" hidden="1">
      <c r="A2899" s="151" t="s">
        <v>464</v>
      </c>
      <c r="B2899" s="147">
        <v>1150.0</v>
      </c>
      <c r="C2899" s="124">
        <v>1345.0</v>
      </c>
      <c r="D2899" s="132">
        <f t="shared" ref="D2899:D3002" si="250">C2899-B2899</f>
        <v>195</v>
      </c>
      <c r="E2899" s="126" t="s">
        <v>123</v>
      </c>
      <c r="F2899" s="139"/>
      <c r="G2899" s="129"/>
      <c r="H2899" s="129"/>
      <c r="I2899" s="129"/>
      <c r="J2899" s="129"/>
      <c r="K2899" s="129"/>
      <c r="L2899" s="129"/>
      <c r="M2899" s="129"/>
      <c r="N2899" s="129"/>
      <c r="O2899" s="129"/>
      <c r="P2899" s="129"/>
      <c r="Q2899" s="129"/>
      <c r="R2899" s="129"/>
      <c r="S2899" s="129"/>
      <c r="T2899" s="129"/>
      <c r="U2899" s="129"/>
      <c r="V2899" s="129"/>
      <c r="W2899" s="129"/>
      <c r="X2899" s="129"/>
      <c r="Y2899" s="129"/>
      <c r="Z2899" s="129"/>
      <c r="AA2899" s="129"/>
      <c r="AB2899" s="129"/>
    </row>
    <row r="2900" hidden="1">
      <c r="A2900" s="128" t="s">
        <v>1401</v>
      </c>
      <c r="B2900" s="147">
        <v>1000.0</v>
      </c>
      <c r="C2900" s="147">
        <v>1171.0</v>
      </c>
      <c r="D2900" s="132">
        <f t="shared" si="250"/>
        <v>171</v>
      </c>
      <c r="E2900" s="126" t="s">
        <v>120</v>
      </c>
      <c r="F2900" s="147"/>
      <c r="G2900" s="129"/>
      <c r="H2900" s="129"/>
      <c r="I2900" s="129"/>
      <c r="J2900" s="129"/>
      <c r="K2900" s="129"/>
      <c r="L2900" s="129"/>
      <c r="M2900" s="129"/>
      <c r="N2900" s="129"/>
      <c r="O2900" s="129"/>
      <c r="P2900" s="129"/>
      <c r="Q2900" s="129"/>
      <c r="R2900" s="129"/>
      <c r="S2900" s="129"/>
      <c r="T2900" s="129"/>
      <c r="U2900" s="129"/>
      <c r="V2900" s="129"/>
      <c r="W2900" s="129"/>
      <c r="X2900" s="129"/>
      <c r="Y2900" s="129"/>
      <c r="Z2900" s="129"/>
      <c r="AA2900" s="129"/>
      <c r="AB2900" s="129"/>
    </row>
    <row r="2901" hidden="1">
      <c r="A2901" s="123" t="s">
        <v>1450</v>
      </c>
      <c r="B2901" s="124">
        <v>1750.0</v>
      </c>
      <c r="C2901" s="124">
        <v>2160.0</v>
      </c>
      <c r="D2901" s="125">
        <f t="shared" si="250"/>
        <v>410</v>
      </c>
      <c r="E2901" s="126" t="s">
        <v>123</v>
      </c>
      <c r="F2901" s="124"/>
      <c r="G2901" s="123"/>
    </row>
    <row r="2902" hidden="1">
      <c r="A2902" s="123" t="s">
        <v>1095</v>
      </c>
      <c r="B2902" s="124">
        <v>2150.0</v>
      </c>
      <c r="C2902" s="124">
        <v>2551.0</v>
      </c>
      <c r="D2902" s="125">
        <f t="shared" si="250"/>
        <v>401</v>
      </c>
      <c r="E2902" s="126" t="s">
        <v>123</v>
      </c>
      <c r="F2902" s="124"/>
    </row>
    <row r="2903" hidden="1">
      <c r="A2903" s="123" t="s">
        <v>443</v>
      </c>
      <c r="B2903" s="124">
        <v>1400.0</v>
      </c>
      <c r="C2903" s="124">
        <v>1600.0</v>
      </c>
      <c r="D2903" s="125">
        <f t="shared" si="250"/>
        <v>200</v>
      </c>
      <c r="E2903" s="126" t="s">
        <v>123</v>
      </c>
      <c r="F2903" s="124"/>
      <c r="G2903" s="123"/>
    </row>
    <row r="2904" hidden="1">
      <c r="A2904" s="128" t="s">
        <v>1401</v>
      </c>
      <c r="B2904" s="147">
        <v>1000.0</v>
      </c>
      <c r="C2904" s="147">
        <v>1180.0</v>
      </c>
      <c r="D2904" s="132">
        <f t="shared" si="250"/>
        <v>180</v>
      </c>
      <c r="E2904" s="126" t="s">
        <v>120</v>
      </c>
      <c r="F2904" s="147"/>
      <c r="G2904" s="129"/>
      <c r="H2904" s="129"/>
      <c r="I2904" s="129"/>
      <c r="J2904" s="129"/>
      <c r="K2904" s="129"/>
      <c r="L2904" s="129"/>
      <c r="M2904" s="129"/>
      <c r="N2904" s="129"/>
      <c r="O2904" s="129"/>
      <c r="P2904" s="129"/>
      <c r="Q2904" s="129"/>
      <c r="R2904" s="129"/>
      <c r="S2904" s="129"/>
      <c r="T2904" s="129"/>
      <c r="U2904" s="129"/>
      <c r="V2904" s="129"/>
      <c r="W2904" s="129"/>
      <c r="X2904" s="129"/>
      <c r="Y2904" s="129"/>
      <c r="Z2904" s="129"/>
      <c r="AA2904" s="129"/>
      <c r="AB2904" s="129"/>
    </row>
    <row r="2905" hidden="1">
      <c r="A2905" s="123" t="s">
        <v>395</v>
      </c>
      <c r="B2905" s="124">
        <v>1750.0</v>
      </c>
      <c r="C2905" s="124">
        <v>2190.0</v>
      </c>
      <c r="D2905" s="125">
        <f t="shared" si="250"/>
        <v>440</v>
      </c>
      <c r="E2905" s="126" t="s">
        <v>123</v>
      </c>
      <c r="F2905" s="124"/>
    </row>
    <row r="2906" hidden="1">
      <c r="A2906" s="128" t="s">
        <v>1451</v>
      </c>
      <c r="B2906" s="124">
        <v>700.0</v>
      </c>
      <c r="C2906" s="124">
        <v>812.0</v>
      </c>
      <c r="D2906" s="132">
        <f t="shared" si="250"/>
        <v>112</v>
      </c>
      <c r="E2906" s="126" t="s">
        <v>123</v>
      </c>
      <c r="F2906" s="139"/>
      <c r="G2906" s="129"/>
      <c r="H2906" s="129"/>
      <c r="I2906" s="129"/>
      <c r="J2906" s="129"/>
      <c r="K2906" s="129"/>
      <c r="L2906" s="129"/>
      <c r="M2906" s="129"/>
      <c r="N2906" s="129"/>
      <c r="O2906" s="129"/>
      <c r="P2906" s="129"/>
      <c r="Q2906" s="129"/>
      <c r="R2906" s="129"/>
      <c r="S2906" s="129"/>
      <c r="T2906" s="129"/>
      <c r="U2906" s="129"/>
      <c r="V2906" s="129"/>
      <c r="W2906" s="129"/>
      <c r="X2906" s="129"/>
      <c r="Y2906" s="129"/>
      <c r="Z2906" s="129"/>
      <c r="AA2906" s="129"/>
      <c r="AB2906" s="129"/>
    </row>
    <row r="2907" hidden="1">
      <c r="A2907" s="151" t="s">
        <v>464</v>
      </c>
      <c r="B2907" s="147">
        <v>1150.0</v>
      </c>
      <c r="C2907" s="124">
        <v>1345.0</v>
      </c>
      <c r="D2907" s="132">
        <f t="shared" si="250"/>
        <v>195</v>
      </c>
      <c r="E2907" s="126" t="s">
        <v>123</v>
      </c>
      <c r="F2907" s="139"/>
      <c r="G2907" s="129"/>
      <c r="H2907" s="129"/>
      <c r="I2907" s="129"/>
      <c r="J2907" s="129"/>
      <c r="K2907" s="129"/>
      <c r="L2907" s="129"/>
      <c r="M2907" s="129"/>
      <c r="N2907" s="129"/>
      <c r="O2907" s="129"/>
      <c r="P2907" s="129"/>
      <c r="Q2907" s="129"/>
      <c r="R2907" s="129"/>
      <c r="S2907" s="129"/>
      <c r="T2907" s="129"/>
      <c r="U2907" s="129"/>
      <c r="V2907" s="129"/>
      <c r="W2907" s="129"/>
      <c r="X2907" s="129"/>
      <c r="Y2907" s="129"/>
      <c r="Z2907" s="129"/>
      <c r="AA2907" s="129"/>
      <c r="AB2907" s="129"/>
    </row>
    <row r="2908" hidden="1">
      <c r="A2908" s="123" t="s">
        <v>1095</v>
      </c>
      <c r="B2908" s="124">
        <v>2250.0</v>
      </c>
      <c r="C2908" s="124">
        <v>2750.0</v>
      </c>
      <c r="D2908" s="125">
        <f t="shared" si="250"/>
        <v>500</v>
      </c>
      <c r="E2908" s="126" t="s">
        <v>123</v>
      </c>
      <c r="F2908" s="124"/>
    </row>
    <row r="2909" hidden="1">
      <c r="A2909" s="128" t="s">
        <v>1452</v>
      </c>
      <c r="B2909" s="147">
        <v>1990.0</v>
      </c>
      <c r="C2909" s="147">
        <v>2490.0</v>
      </c>
      <c r="D2909" s="132">
        <f t="shared" si="250"/>
        <v>500</v>
      </c>
      <c r="E2909" s="126" t="s">
        <v>123</v>
      </c>
      <c r="F2909" s="132"/>
      <c r="G2909" s="129"/>
      <c r="H2909" s="129"/>
      <c r="I2909" s="129"/>
      <c r="J2909" s="129"/>
      <c r="K2909" s="129"/>
      <c r="L2909" s="129"/>
      <c r="M2909" s="129"/>
      <c r="N2909" s="129"/>
      <c r="O2909" s="129"/>
      <c r="P2909" s="129"/>
      <c r="Q2909" s="129"/>
      <c r="R2909" s="129"/>
      <c r="S2909" s="129"/>
      <c r="T2909" s="129"/>
      <c r="U2909" s="129"/>
      <c r="V2909" s="129"/>
      <c r="W2909" s="129"/>
      <c r="X2909" s="129"/>
      <c r="Y2909" s="129"/>
      <c r="Z2909" s="129"/>
      <c r="AA2909" s="129"/>
      <c r="AB2909" s="129"/>
    </row>
    <row r="2910" hidden="1">
      <c r="A2910" s="123" t="s">
        <v>1450</v>
      </c>
      <c r="B2910" s="124">
        <v>1750.0</v>
      </c>
      <c r="C2910" s="124">
        <v>2250.0</v>
      </c>
      <c r="D2910" s="125">
        <f t="shared" si="250"/>
        <v>500</v>
      </c>
      <c r="E2910" s="126" t="s">
        <v>123</v>
      </c>
      <c r="F2910" s="124"/>
      <c r="G2910" s="123"/>
    </row>
    <row r="2911" hidden="1">
      <c r="A2911" s="123" t="s">
        <v>395</v>
      </c>
      <c r="B2911" s="124">
        <v>1750.0</v>
      </c>
      <c r="C2911" s="124">
        <v>2250.0</v>
      </c>
      <c r="D2911" s="125">
        <f t="shared" si="250"/>
        <v>500</v>
      </c>
      <c r="E2911" s="126" t="s">
        <v>123</v>
      </c>
      <c r="F2911" s="124"/>
    </row>
    <row r="2912" hidden="1">
      <c r="A2912" s="123" t="s">
        <v>1453</v>
      </c>
      <c r="B2912" s="124">
        <v>3490.0</v>
      </c>
      <c r="C2912" s="124">
        <v>4490.0</v>
      </c>
      <c r="D2912" s="125">
        <f t="shared" si="250"/>
        <v>1000</v>
      </c>
      <c r="E2912" s="126" t="s">
        <v>123</v>
      </c>
      <c r="F2912" s="124"/>
    </row>
    <row r="2913" hidden="1">
      <c r="A2913" s="142" t="s">
        <v>469</v>
      </c>
      <c r="B2913" s="147">
        <v>840.0</v>
      </c>
      <c r="C2913" s="147">
        <v>1051.0</v>
      </c>
      <c r="D2913" s="132">
        <f t="shared" si="250"/>
        <v>211</v>
      </c>
      <c r="E2913" s="126" t="s">
        <v>123</v>
      </c>
      <c r="F2913" s="139"/>
      <c r="G2913" s="129"/>
      <c r="H2913" s="129"/>
      <c r="I2913" s="129"/>
      <c r="J2913" s="129"/>
      <c r="K2913" s="129"/>
      <c r="L2913" s="129"/>
      <c r="M2913" s="129"/>
      <c r="N2913" s="129"/>
      <c r="O2913" s="129"/>
      <c r="P2913" s="129"/>
      <c r="Q2913" s="129"/>
      <c r="R2913" s="129"/>
      <c r="S2913" s="129"/>
      <c r="T2913" s="129"/>
      <c r="U2913" s="129"/>
      <c r="V2913" s="129"/>
      <c r="W2913" s="129"/>
      <c r="X2913" s="129"/>
      <c r="Y2913" s="129"/>
      <c r="Z2913" s="129"/>
      <c r="AA2913" s="129"/>
      <c r="AB2913" s="129"/>
    </row>
    <row r="2914" hidden="1">
      <c r="A2914" s="123" t="s">
        <v>1450</v>
      </c>
      <c r="B2914" s="124">
        <v>1750.0</v>
      </c>
      <c r="C2914" s="124">
        <v>2156.0</v>
      </c>
      <c r="D2914" s="125">
        <f t="shared" si="250"/>
        <v>406</v>
      </c>
      <c r="E2914" s="126" t="s">
        <v>123</v>
      </c>
      <c r="F2914" s="124"/>
      <c r="G2914" s="123"/>
    </row>
    <row r="2915" hidden="1">
      <c r="A2915" s="128" t="s">
        <v>1428</v>
      </c>
      <c r="B2915" s="147">
        <v>9990.0</v>
      </c>
      <c r="C2915" s="147">
        <v>10411.0</v>
      </c>
      <c r="D2915" s="132">
        <f t="shared" si="250"/>
        <v>421</v>
      </c>
      <c r="E2915" s="147" t="s">
        <v>1311</v>
      </c>
      <c r="F2915" s="139"/>
      <c r="G2915" s="129"/>
      <c r="H2915" s="129"/>
      <c r="I2915" s="129"/>
      <c r="J2915" s="129"/>
      <c r="K2915" s="129"/>
      <c r="L2915" s="129"/>
      <c r="M2915" s="129"/>
      <c r="N2915" s="129"/>
      <c r="O2915" s="129"/>
      <c r="P2915" s="129"/>
      <c r="Q2915" s="129"/>
      <c r="R2915" s="129"/>
      <c r="S2915" s="129"/>
      <c r="T2915" s="129"/>
      <c r="U2915" s="129"/>
      <c r="V2915" s="129"/>
      <c r="W2915" s="129"/>
      <c r="X2915" s="129"/>
      <c r="Y2915" s="129"/>
      <c r="Z2915" s="129"/>
      <c r="AA2915" s="129"/>
      <c r="AB2915" s="129"/>
    </row>
    <row r="2916" hidden="1">
      <c r="A2916" s="128" t="s">
        <v>1371</v>
      </c>
      <c r="B2916" s="147">
        <v>1580.0</v>
      </c>
      <c r="C2916" s="124">
        <v>1929.0</v>
      </c>
      <c r="D2916" s="125">
        <f t="shared" si="250"/>
        <v>349</v>
      </c>
      <c r="E2916" s="126" t="s">
        <v>123</v>
      </c>
      <c r="F2916" s="124"/>
      <c r="G2916" s="129"/>
      <c r="H2916" s="129"/>
      <c r="I2916" s="129"/>
      <c r="J2916" s="129"/>
      <c r="K2916" s="129"/>
      <c r="L2916" s="129"/>
      <c r="M2916" s="129"/>
      <c r="N2916" s="129"/>
      <c r="O2916" s="129"/>
      <c r="P2916" s="129"/>
      <c r="Q2916" s="129"/>
      <c r="R2916" s="129"/>
      <c r="S2916" s="129"/>
      <c r="T2916" s="129"/>
      <c r="U2916" s="129"/>
      <c r="V2916" s="129"/>
      <c r="W2916" s="129"/>
      <c r="X2916" s="129"/>
      <c r="Y2916" s="129"/>
      <c r="Z2916" s="129"/>
      <c r="AA2916" s="129"/>
      <c r="AB2916" s="129"/>
    </row>
    <row r="2917" hidden="1">
      <c r="A2917" s="142" t="s">
        <v>1454</v>
      </c>
      <c r="B2917" s="147">
        <v>0.0</v>
      </c>
      <c r="C2917" s="147">
        <v>0.0</v>
      </c>
      <c r="D2917" s="132">
        <f t="shared" si="250"/>
        <v>0</v>
      </c>
      <c r="E2917" s="132" t="s">
        <v>123</v>
      </c>
      <c r="F2917" s="139"/>
      <c r="G2917" s="129"/>
      <c r="H2917" s="129"/>
      <c r="I2917" s="129"/>
      <c r="J2917" s="129"/>
      <c r="K2917" s="129"/>
      <c r="L2917" s="129"/>
      <c r="M2917" s="129"/>
      <c r="N2917" s="129"/>
      <c r="O2917" s="129"/>
      <c r="P2917" s="129"/>
      <c r="Q2917" s="129"/>
      <c r="R2917" s="129"/>
      <c r="S2917" s="129"/>
      <c r="T2917" s="129"/>
      <c r="U2917" s="129"/>
      <c r="V2917" s="129"/>
      <c r="W2917" s="129"/>
      <c r="X2917" s="129"/>
      <c r="Y2917" s="129"/>
      <c r="Z2917" s="129"/>
      <c r="AA2917" s="129"/>
      <c r="AB2917" s="129"/>
    </row>
    <row r="2918" hidden="1">
      <c r="A2918" s="142" t="s">
        <v>1121</v>
      </c>
      <c r="B2918" s="147">
        <v>2440.0</v>
      </c>
      <c r="C2918" s="147">
        <v>2862.0</v>
      </c>
      <c r="D2918" s="132">
        <f t="shared" si="250"/>
        <v>422</v>
      </c>
      <c r="E2918" s="132" t="s">
        <v>123</v>
      </c>
      <c r="F2918" s="139"/>
      <c r="G2918" s="129"/>
      <c r="H2918" s="129"/>
      <c r="I2918" s="129"/>
      <c r="J2918" s="129"/>
      <c r="K2918" s="129"/>
      <c r="L2918" s="129"/>
      <c r="M2918" s="129"/>
      <c r="N2918" s="129"/>
      <c r="O2918" s="129"/>
      <c r="P2918" s="129"/>
      <c r="Q2918" s="129"/>
      <c r="R2918" s="129"/>
      <c r="S2918" s="129"/>
      <c r="T2918" s="129"/>
      <c r="U2918" s="129"/>
      <c r="V2918" s="129"/>
      <c r="W2918" s="129"/>
      <c r="X2918" s="129"/>
      <c r="Y2918" s="129"/>
      <c r="Z2918" s="129"/>
      <c r="AA2918" s="129"/>
      <c r="AB2918" s="129"/>
    </row>
    <row r="2919" hidden="1">
      <c r="A2919" s="128" t="s">
        <v>1312</v>
      </c>
      <c r="B2919" s="147">
        <v>0.0</v>
      </c>
      <c r="C2919" s="147">
        <v>0.0</v>
      </c>
      <c r="D2919" s="132">
        <f t="shared" si="250"/>
        <v>0</v>
      </c>
      <c r="E2919" s="126" t="s">
        <v>123</v>
      </c>
      <c r="F2919" s="139"/>
      <c r="G2919" s="129"/>
      <c r="H2919" s="129"/>
      <c r="I2919" s="129"/>
      <c r="J2919" s="129"/>
      <c r="K2919" s="129"/>
      <c r="L2919" s="129"/>
      <c r="M2919" s="129"/>
      <c r="N2919" s="129"/>
      <c r="O2919" s="129"/>
      <c r="P2919" s="129"/>
      <c r="Q2919" s="129"/>
      <c r="R2919" s="129"/>
      <c r="S2919" s="129"/>
      <c r="T2919" s="129"/>
      <c r="U2919" s="129"/>
      <c r="V2919" s="129"/>
      <c r="W2919" s="129"/>
      <c r="X2919" s="129"/>
      <c r="Y2919" s="129"/>
      <c r="Z2919" s="129"/>
      <c r="AA2919" s="129"/>
      <c r="AB2919" s="129"/>
    </row>
    <row r="2920" hidden="1">
      <c r="A2920" s="128" t="s">
        <v>1300</v>
      </c>
      <c r="B2920" s="147">
        <v>1290.0</v>
      </c>
      <c r="C2920" s="147">
        <v>1495.0</v>
      </c>
      <c r="D2920" s="132">
        <f t="shared" si="250"/>
        <v>205</v>
      </c>
      <c r="E2920" s="126" t="s">
        <v>123</v>
      </c>
      <c r="F2920" s="132"/>
      <c r="G2920" s="129"/>
      <c r="H2920" s="129"/>
      <c r="I2920" s="129"/>
      <c r="J2920" s="129"/>
      <c r="K2920" s="129"/>
      <c r="L2920" s="129"/>
      <c r="M2920" s="129"/>
      <c r="N2920" s="129"/>
      <c r="O2920" s="129"/>
      <c r="P2920" s="129"/>
      <c r="Q2920" s="129"/>
      <c r="R2920" s="129"/>
      <c r="S2920" s="129"/>
      <c r="T2920" s="129"/>
      <c r="U2920" s="129"/>
      <c r="V2920" s="129"/>
      <c r="W2920" s="129"/>
      <c r="X2920" s="129"/>
      <c r="Y2920" s="129"/>
      <c r="Z2920" s="129"/>
      <c r="AA2920" s="129"/>
      <c r="AB2920" s="129"/>
    </row>
    <row r="2921" hidden="1">
      <c r="A2921" s="128" t="s">
        <v>1455</v>
      </c>
      <c r="B2921" s="147">
        <v>2550.0</v>
      </c>
      <c r="C2921" s="147">
        <v>2921.0</v>
      </c>
      <c r="D2921" s="132">
        <f t="shared" si="250"/>
        <v>371</v>
      </c>
      <c r="E2921" s="171" t="s">
        <v>120</v>
      </c>
      <c r="F2921" s="139"/>
      <c r="G2921" s="129"/>
      <c r="H2921" s="129"/>
      <c r="I2921" s="129"/>
      <c r="J2921" s="129"/>
      <c r="K2921" s="129"/>
      <c r="L2921" s="129"/>
      <c r="M2921" s="129"/>
      <c r="N2921" s="129"/>
      <c r="O2921" s="129"/>
      <c r="P2921" s="129"/>
      <c r="Q2921" s="129"/>
      <c r="R2921" s="129"/>
      <c r="S2921" s="129"/>
      <c r="T2921" s="129"/>
      <c r="U2921" s="129"/>
      <c r="V2921" s="129"/>
      <c r="W2921" s="129"/>
      <c r="X2921" s="129"/>
      <c r="Y2921" s="129"/>
      <c r="Z2921" s="129"/>
      <c r="AA2921" s="129"/>
      <c r="AB2921" s="129"/>
    </row>
    <row r="2922" hidden="1">
      <c r="A2922" s="128" t="s">
        <v>1455</v>
      </c>
      <c r="B2922" s="147">
        <v>0.0</v>
      </c>
      <c r="C2922" s="147">
        <v>0.0</v>
      </c>
      <c r="D2922" s="132">
        <f t="shared" si="250"/>
        <v>0</v>
      </c>
      <c r="E2922" s="171" t="s">
        <v>120</v>
      </c>
      <c r="F2922" s="139"/>
      <c r="G2922" s="129"/>
      <c r="H2922" s="129"/>
      <c r="I2922" s="129"/>
      <c r="J2922" s="129"/>
      <c r="K2922" s="129"/>
      <c r="L2922" s="129"/>
      <c r="M2922" s="129"/>
      <c r="N2922" s="129"/>
      <c r="O2922" s="129"/>
      <c r="P2922" s="129"/>
      <c r="Q2922" s="129"/>
      <c r="R2922" s="129"/>
      <c r="S2922" s="129"/>
      <c r="T2922" s="129"/>
      <c r="U2922" s="129"/>
      <c r="V2922" s="129"/>
      <c r="W2922" s="129"/>
      <c r="X2922" s="129"/>
      <c r="Y2922" s="129"/>
      <c r="Z2922" s="129"/>
      <c r="AA2922" s="129"/>
      <c r="AB2922" s="129"/>
    </row>
    <row r="2923" hidden="1">
      <c r="A2923" s="123" t="s">
        <v>1450</v>
      </c>
      <c r="B2923" s="124">
        <v>1750.0</v>
      </c>
      <c r="C2923" s="124">
        <v>2250.0</v>
      </c>
      <c r="D2923" s="125">
        <f t="shared" si="250"/>
        <v>500</v>
      </c>
      <c r="E2923" s="126" t="s">
        <v>123</v>
      </c>
      <c r="F2923" s="124"/>
      <c r="G2923" s="123"/>
    </row>
    <row r="2924" hidden="1">
      <c r="A2924" s="128" t="s">
        <v>1350</v>
      </c>
      <c r="B2924" s="147">
        <v>1250.0</v>
      </c>
      <c r="C2924" s="147">
        <v>1500.0</v>
      </c>
      <c r="D2924" s="132">
        <f t="shared" si="250"/>
        <v>250</v>
      </c>
      <c r="E2924" s="171" t="s">
        <v>120</v>
      </c>
      <c r="F2924" s="132"/>
      <c r="G2924" s="129"/>
      <c r="H2924" s="129"/>
      <c r="I2924" s="129"/>
      <c r="J2924" s="129"/>
      <c r="K2924" s="129"/>
      <c r="L2924" s="129"/>
      <c r="M2924" s="129"/>
      <c r="N2924" s="129"/>
      <c r="O2924" s="129"/>
      <c r="P2924" s="129"/>
      <c r="Q2924" s="129"/>
      <c r="R2924" s="129"/>
      <c r="S2924" s="129"/>
      <c r="T2924" s="129"/>
      <c r="U2924" s="129"/>
      <c r="V2924" s="129"/>
      <c r="W2924" s="129"/>
      <c r="X2924" s="129"/>
      <c r="Y2924" s="129"/>
      <c r="Z2924" s="129"/>
      <c r="AA2924" s="129"/>
      <c r="AB2924" s="129"/>
    </row>
    <row r="2925" hidden="1">
      <c r="A2925" s="128" t="s">
        <v>1126</v>
      </c>
      <c r="B2925" s="147">
        <v>1980.0</v>
      </c>
      <c r="C2925" s="147">
        <v>2396.0</v>
      </c>
      <c r="D2925" s="132">
        <f t="shared" si="250"/>
        <v>416</v>
      </c>
      <c r="E2925" s="126" t="s">
        <v>123</v>
      </c>
      <c r="F2925" s="139"/>
      <c r="G2925" s="129"/>
      <c r="H2925" s="129"/>
      <c r="I2925" s="129"/>
      <c r="J2925" s="129"/>
      <c r="K2925" s="129"/>
      <c r="L2925" s="129"/>
      <c r="M2925" s="129"/>
      <c r="N2925" s="129"/>
      <c r="O2925" s="129"/>
      <c r="P2925" s="129"/>
      <c r="Q2925" s="129"/>
      <c r="R2925" s="129"/>
      <c r="S2925" s="129"/>
      <c r="T2925" s="129"/>
      <c r="U2925" s="129"/>
      <c r="V2925" s="129"/>
      <c r="W2925" s="129"/>
      <c r="X2925" s="129"/>
      <c r="Y2925" s="129"/>
      <c r="Z2925" s="129"/>
      <c r="AA2925" s="129"/>
      <c r="AB2925" s="129"/>
    </row>
    <row r="2926" hidden="1">
      <c r="A2926" s="123" t="s">
        <v>1125</v>
      </c>
      <c r="B2926" s="147">
        <v>0.0</v>
      </c>
      <c r="C2926" s="147">
        <v>0.0</v>
      </c>
      <c r="D2926" s="125">
        <f t="shared" si="250"/>
        <v>0</v>
      </c>
      <c r="E2926" s="126" t="s">
        <v>123</v>
      </c>
      <c r="F2926" s="124"/>
    </row>
    <row r="2927" hidden="1">
      <c r="A2927" s="159" t="s">
        <v>1444</v>
      </c>
      <c r="B2927" s="124">
        <v>2390.0</v>
      </c>
      <c r="C2927" s="147">
        <v>3051.0</v>
      </c>
      <c r="D2927" s="270">
        <f t="shared" si="250"/>
        <v>661</v>
      </c>
      <c r="E2927" s="126" t="s">
        <v>123</v>
      </c>
      <c r="F2927" s="139"/>
      <c r="G2927" s="129"/>
      <c r="H2927" s="129"/>
      <c r="I2927" s="129"/>
      <c r="J2927" s="129"/>
      <c r="K2927" s="129"/>
      <c r="L2927" s="129"/>
      <c r="M2927" s="129"/>
      <c r="N2927" s="129"/>
      <c r="O2927" s="129"/>
      <c r="P2927" s="129"/>
      <c r="Q2927" s="129"/>
      <c r="R2927" s="129"/>
      <c r="S2927" s="129"/>
      <c r="T2927" s="129"/>
      <c r="U2927" s="129"/>
      <c r="V2927" s="129"/>
      <c r="W2927" s="129"/>
      <c r="X2927" s="129"/>
      <c r="Y2927" s="129"/>
      <c r="Z2927" s="129"/>
      <c r="AA2927" s="129"/>
      <c r="AB2927" s="129"/>
    </row>
    <row r="2928" hidden="1">
      <c r="A2928" s="123" t="s">
        <v>404</v>
      </c>
      <c r="B2928" s="147">
        <v>0.0</v>
      </c>
      <c r="C2928" s="124">
        <v>0.0</v>
      </c>
      <c r="D2928" s="125">
        <f t="shared" si="250"/>
        <v>0</v>
      </c>
      <c r="E2928" s="126" t="s">
        <v>123</v>
      </c>
      <c r="F2928" s="124"/>
    </row>
    <row r="2929" hidden="1">
      <c r="A2929" s="128" t="s">
        <v>1209</v>
      </c>
      <c r="B2929" s="147">
        <v>1400.0</v>
      </c>
      <c r="C2929" s="147">
        <v>1594.0</v>
      </c>
      <c r="D2929" s="132">
        <f t="shared" si="250"/>
        <v>194</v>
      </c>
      <c r="E2929" s="126" t="s">
        <v>123</v>
      </c>
      <c r="F2929" s="132"/>
      <c r="G2929" s="129"/>
      <c r="H2929" s="129"/>
      <c r="I2929" s="129"/>
      <c r="J2929" s="129"/>
      <c r="K2929" s="129"/>
      <c r="L2929" s="129"/>
      <c r="M2929" s="129"/>
      <c r="N2929" s="129"/>
      <c r="O2929" s="129"/>
      <c r="P2929" s="129"/>
      <c r="Q2929" s="129"/>
      <c r="R2929" s="129"/>
      <c r="S2929" s="129"/>
      <c r="T2929" s="129"/>
      <c r="U2929" s="129"/>
      <c r="V2929" s="129"/>
      <c r="W2929" s="129"/>
      <c r="X2929" s="129"/>
      <c r="Y2929" s="129"/>
      <c r="Z2929" s="129"/>
      <c r="AA2929" s="129"/>
      <c r="AB2929" s="129"/>
    </row>
    <row r="2930" hidden="1">
      <c r="A2930" s="123" t="s">
        <v>402</v>
      </c>
      <c r="B2930" s="147">
        <v>1490.0</v>
      </c>
      <c r="C2930" s="124">
        <v>1930.0</v>
      </c>
      <c r="D2930" s="125">
        <f t="shared" si="250"/>
        <v>440</v>
      </c>
      <c r="E2930" s="126" t="s">
        <v>123</v>
      </c>
      <c r="F2930" s="124"/>
    </row>
    <row r="2931" hidden="1">
      <c r="A2931" s="128" t="s">
        <v>1456</v>
      </c>
      <c r="B2931" s="147">
        <v>9990.0</v>
      </c>
      <c r="C2931" s="147">
        <v>10405.0</v>
      </c>
      <c r="D2931" s="132">
        <f t="shared" si="250"/>
        <v>415</v>
      </c>
      <c r="E2931" s="132" t="s">
        <v>1311</v>
      </c>
      <c r="F2931" s="139"/>
      <c r="G2931" s="129"/>
      <c r="H2931" s="129"/>
      <c r="I2931" s="129"/>
      <c r="J2931" s="129"/>
      <c r="K2931" s="129"/>
      <c r="L2931" s="129"/>
      <c r="M2931" s="129"/>
      <c r="N2931" s="129"/>
      <c r="O2931" s="129"/>
      <c r="P2931" s="129"/>
      <c r="Q2931" s="129"/>
      <c r="R2931" s="129"/>
      <c r="S2931" s="129"/>
      <c r="T2931" s="129"/>
      <c r="U2931" s="129"/>
      <c r="V2931" s="129"/>
      <c r="W2931" s="129"/>
      <c r="X2931" s="129"/>
      <c r="Y2931" s="129"/>
      <c r="Z2931" s="129"/>
      <c r="AA2931" s="129"/>
      <c r="AB2931" s="129"/>
    </row>
    <row r="2932" hidden="1">
      <c r="A2932" s="128" t="s">
        <v>1308</v>
      </c>
      <c r="B2932" s="147">
        <v>1350.0</v>
      </c>
      <c r="C2932" s="147">
        <v>1514.0</v>
      </c>
      <c r="D2932" s="132">
        <f t="shared" si="250"/>
        <v>164</v>
      </c>
      <c r="E2932" s="171" t="s">
        <v>120</v>
      </c>
      <c r="F2932" s="132"/>
      <c r="G2932" s="129"/>
      <c r="H2932" s="129"/>
      <c r="I2932" s="129"/>
      <c r="J2932" s="129"/>
      <c r="K2932" s="129"/>
      <c r="L2932" s="129"/>
      <c r="M2932" s="129"/>
      <c r="N2932" s="129"/>
      <c r="O2932" s="129"/>
      <c r="P2932" s="129"/>
      <c r="Q2932" s="129"/>
      <c r="R2932" s="129"/>
      <c r="S2932" s="129"/>
      <c r="T2932" s="129"/>
      <c r="U2932" s="129"/>
      <c r="V2932" s="129"/>
      <c r="W2932" s="129"/>
      <c r="X2932" s="129"/>
      <c r="Y2932" s="129"/>
      <c r="Z2932" s="129"/>
      <c r="AA2932" s="129"/>
      <c r="AB2932" s="129"/>
    </row>
    <row r="2933" hidden="1">
      <c r="A2933" s="142" t="s">
        <v>1449</v>
      </c>
      <c r="B2933" s="147">
        <v>890.0</v>
      </c>
      <c r="C2933" s="147">
        <v>1065.0</v>
      </c>
      <c r="D2933" s="132">
        <f t="shared" si="250"/>
        <v>175</v>
      </c>
      <c r="E2933" s="126" t="s">
        <v>123</v>
      </c>
      <c r="F2933" s="139"/>
      <c r="G2933" s="129"/>
      <c r="H2933" s="129"/>
      <c r="I2933" s="129"/>
      <c r="J2933" s="129"/>
      <c r="K2933" s="129"/>
      <c r="L2933" s="129"/>
      <c r="M2933" s="129"/>
      <c r="N2933" s="129"/>
      <c r="O2933" s="129"/>
      <c r="P2933" s="129"/>
      <c r="Q2933" s="129"/>
      <c r="R2933" s="129"/>
      <c r="S2933" s="129"/>
      <c r="T2933" s="129"/>
      <c r="U2933" s="129"/>
      <c r="V2933" s="129"/>
      <c r="W2933" s="129"/>
      <c r="X2933" s="129"/>
      <c r="Y2933" s="129"/>
      <c r="Z2933" s="129"/>
      <c r="AA2933" s="129"/>
      <c r="AB2933" s="129"/>
    </row>
    <row r="2934" hidden="1">
      <c r="A2934" s="123" t="s">
        <v>1457</v>
      </c>
      <c r="B2934" s="147">
        <v>9990.0</v>
      </c>
      <c r="C2934" s="147">
        <v>10102.0</v>
      </c>
      <c r="D2934" s="125">
        <f t="shared" si="250"/>
        <v>112</v>
      </c>
      <c r="E2934" s="126" t="s">
        <v>118</v>
      </c>
      <c r="F2934" s="124"/>
    </row>
    <row r="2935" hidden="1">
      <c r="A2935" s="128" t="s">
        <v>1300</v>
      </c>
      <c r="B2935" s="147">
        <v>1350.0</v>
      </c>
      <c r="C2935" s="147">
        <v>1548.0</v>
      </c>
      <c r="D2935" s="132">
        <f t="shared" si="250"/>
        <v>198</v>
      </c>
      <c r="E2935" s="126" t="s">
        <v>123</v>
      </c>
      <c r="F2935" s="132"/>
      <c r="G2935" s="129"/>
      <c r="H2935" s="129"/>
      <c r="I2935" s="129"/>
      <c r="J2935" s="129"/>
      <c r="K2935" s="129"/>
      <c r="L2935" s="129"/>
      <c r="M2935" s="129"/>
      <c r="N2935" s="129"/>
      <c r="O2935" s="129"/>
      <c r="P2935" s="129"/>
      <c r="Q2935" s="129"/>
      <c r="R2935" s="129"/>
      <c r="S2935" s="129"/>
      <c r="T2935" s="129"/>
      <c r="U2935" s="129"/>
      <c r="V2935" s="129"/>
      <c r="W2935" s="129"/>
      <c r="X2935" s="129"/>
      <c r="Y2935" s="129"/>
      <c r="Z2935" s="129"/>
      <c r="AA2935" s="129"/>
      <c r="AB2935" s="129"/>
    </row>
    <row r="2936" hidden="1">
      <c r="A2936" s="123" t="s">
        <v>1458</v>
      </c>
      <c r="B2936" s="124">
        <v>1400.0</v>
      </c>
      <c r="C2936" s="124">
        <v>1577.0</v>
      </c>
      <c r="D2936" s="125">
        <f t="shared" si="250"/>
        <v>177</v>
      </c>
      <c r="E2936" s="126" t="s">
        <v>123</v>
      </c>
      <c r="F2936" s="124"/>
      <c r="G2936" s="123"/>
    </row>
    <row r="2937" hidden="1">
      <c r="A2937" s="142" t="s">
        <v>1321</v>
      </c>
      <c r="B2937" s="147">
        <v>990.0</v>
      </c>
      <c r="C2937" s="147">
        <v>1168.0</v>
      </c>
      <c r="D2937" s="132">
        <f t="shared" si="250"/>
        <v>178</v>
      </c>
      <c r="E2937" s="126" t="s">
        <v>123</v>
      </c>
      <c r="F2937" s="139"/>
      <c r="G2937" s="129"/>
      <c r="H2937" s="129"/>
      <c r="I2937" s="129"/>
      <c r="J2937" s="129"/>
      <c r="K2937" s="129"/>
      <c r="L2937" s="129"/>
      <c r="M2937" s="129"/>
      <c r="N2937" s="129"/>
      <c r="O2937" s="129"/>
      <c r="P2937" s="129"/>
      <c r="Q2937" s="129"/>
      <c r="R2937" s="129"/>
      <c r="S2937" s="129"/>
      <c r="T2937" s="129"/>
      <c r="U2937" s="129"/>
      <c r="V2937" s="129"/>
      <c r="W2937" s="129"/>
      <c r="X2937" s="129"/>
      <c r="Y2937" s="129"/>
      <c r="Z2937" s="129"/>
      <c r="AA2937" s="129"/>
      <c r="AB2937" s="129"/>
    </row>
    <row r="2938" hidden="1">
      <c r="A2938" s="128" t="s">
        <v>1216</v>
      </c>
      <c r="B2938" s="147">
        <v>1390.0</v>
      </c>
      <c r="C2938" s="147">
        <v>1553.0</v>
      </c>
      <c r="D2938" s="132">
        <f t="shared" si="250"/>
        <v>163</v>
      </c>
      <c r="E2938" s="171" t="s">
        <v>120</v>
      </c>
      <c r="F2938" s="139"/>
      <c r="G2938" s="129"/>
      <c r="H2938" s="129"/>
      <c r="I2938" s="129"/>
      <c r="J2938" s="129"/>
      <c r="K2938" s="129"/>
      <c r="L2938" s="129"/>
      <c r="M2938" s="129"/>
      <c r="N2938" s="129"/>
      <c r="O2938" s="129"/>
      <c r="P2938" s="129"/>
      <c r="Q2938" s="129"/>
      <c r="R2938" s="129"/>
      <c r="S2938" s="129"/>
      <c r="T2938" s="129"/>
      <c r="U2938" s="129"/>
      <c r="V2938" s="129"/>
      <c r="W2938" s="129"/>
      <c r="X2938" s="129"/>
      <c r="Y2938" s="129"/>
      <c r="Z2938" s="129"/>
      <c r="AA2938" s="129"/>
      <c r="AB2938" s="129"/>
    </row>
    <row r="2939" hidden="1">
      <c r="A2939" s="123" t="s">
        <v>1213</v>
      </c>
      <c r="B2939" s="147">
        <v>1350.0</v>
      </c>
      <c r="C2939" s="147">
        <v>1507.0</v>
      </c>
      <c r="D2939" s="132">
        <f t="shared" si="250"/>
        <v>157</v>
      </c>
      <c r="E2939" s="171" t="s">
        <v>120</v>
      </c>
      <c r="F2939" s="124"/>
    </row>
    <row r="2940" hidden="1">
      <c r="A2940" s="128" t="s">
        <v>1459</v>
      </c>
      <c r="B2940" s="147">
        <v>9990.0</v>
      </c>
      <c r="C2940" s="147">
        <v>10650.0</v>
      </c>
      <c r="D2940" s="132">
        <f t="shared" si="250"/>
        <v>660</v>
      </c>
      <c r="E2940" s="147" t="s">
        <v>1311</v>
      </c>
      <c r="F2940" s="139"/>
      <c r="G2940" s="129"/>
      <c r="H2940" s="129"/>
      <c r="I2940" s="129"/>
      <c r="J2940" s="129"/>
      <c r="K2940" s="129"/>
      <c r="L2940" s="129"/>
      <c r="M2940" s="129"/>
      <c r="N2940" s="129"/>
      <c r="O2940" s="129"/>
      <c r="P2940" s="129"/>
      <c r="Q2940" s="129"/>
      <c r="R2940" s="129"/>
      <c r="S2940" s="129"/>
      <c r="T2940" s="129"/>
      <c r="U2940" s="129"/>
      <c r="V2940" s="129"/>
      <c r="W2940" s="129"/>
      <c r="X2940" s="129"/>
      <c r="Y2940" s="129"/>
      <c r="Z2940" s="129"/>
      <c r="AA2940" s="129"/>
      <c r="AB2940" s="129"/>
    </row>
    <row r="2941" hidden="1">
      <c r="A2941" s="128" t="s">
        <v>1460</v>
      </c>
      <c r="B2941" s="147">
        <v>1390.0</v>
      </c>
      <c r="C2941" s="147">
        <v>1590.0</v>
      </c>
      <c r="D2941" s="132">
        <f t="shared" si="250"/>
        <v>200</v>
      </c>
      <c r="E2941" s="171" t="s">
        <v>120</v>
      </c>
      <c r="F2941" s="139"/>
      <c r="G2941" s="150"/>
      <c r="H2941" s="129"/>
      <c r="I2941" s="129"/>
      <c r="J2941" s="129"/>
      <c r="K2941" s="129"/>
      <c r="L2941" s="129"/>
      <c r="M2941" s="129"/>
      <c r="N2941" s="129"/>
      <c r="O2941" s="129"/>
      <c r="P2941" s="129"/>
      <c r="Q2941" s="129"/>
      <c r="R2941" s="129"/>
      <c r="S2941" s="129"/>
      <c r="T2941" s="129"/>
      <c r="U2941" s="129"/>
      <c r="V2941" s="129"/>
      <c r="W2941" s="129"/>
      <c r="X2941" s="129"/>
      <c r="Y2941" s="129"/>
      <c r="Z2941" s="129"/>
      <c r="AA2941" s="129"/>
      <c r="AB2941" s="129"/>
    </row>
    <row r="2942" hidden="1">
      <c r="A2942" s="128" t="s">
        <v>1401</v>
      </c>
      <c r="B2942" s="147">
        <v>790.0</v>
      </c>
      <c r="C2942" s="147">
        <v>990.0</v>
      </c>
      <c r="D2942" s="132">
        <f t="shared" si="250"/>
        <v>200</v>
      </c>
      <c r="E2942" s="126" t="s">
        <v>123</v>
      </c>
      <c r="F2942" s="147"/>
      <c r="G2942" s="129"/>
      <c r="H2942" s="129"/>
      <c r="I2942" s="129"/>
      <c r="J2942" s="129"/>
      <c r="K2942" s="129"/>
      <c r="L2942" s="129"/>
      <c r="M2942" s="129"/>
      <c r="N2942" s="129"/>
      <c r="O2942" s="129"/>
      <c r="P2942" s="129"/>
      <c r="Q2942" s="129"/>
      <c r="R2942" s="129"/>
      <c r="S2942" s="129"/>
      <c r="T2942" s="129"/>
      <c r="U2942" s="129"/>
      <c r="V2942" s="129"/>
      <c r="W2942" s="129"/>
      <c r="X2942" s="129"/>
      <c r="Y2942" s="129"/>
      <c r="Z2942" s="129"/>
      <c r="AA2942" s="129"/>
      <c r="AB2942" s="129"/>
    </row>
    <row r="2943" hidden="1">
      <c r="A2943" s="123" t="s">
        <v>1326</v>
      </c>
      <c r="B2943" s="147">
        <v>2750.0</v>
      </c>
      <c r="C2943" s="124">
        <v>3250.0</v>
      </c>
      <c r="D2943" s="125">
        <f t="shared" si="250"/>
        <v>500</v>
      </c>
      <c r="E2943" s="126" t="s">
        <v>123</v>
      </c>
      <c r="F2943" s="124"/>
    </row>
    <row r="2944" hidden="1">
      <c r="A2944" s="128" t="s">
        <v>126</v>
      </c>
      <c r="B2944" s="147">
        <v>2340.0</v>
      </c>
      <c r="C2944" s="147">
        <v>2918.0</v>
      </c>
      <c r="D2944" s="132">
        <f t="shared" si="250"/>
        <v>578</v>
      </c>
      <c r="E2944" s="126" t="s">
        <v>123</v>
      </c>
      <c r="F2944" s="139"/>
      <c r="G2944" s="129"/>
      <c r="H2944" s="129"/>
      <c r="I2944" s="129"/>
      <c r="J2944" s="129"/>
      <c r="K2944" s="129"/>
      <c r="L2944" s="129"/>
      <c r="M2944" s="129"/>
      <c r="N2944" s="129"/>
      <c r="O2944" s="129"/>
      <c r="P2944" s="129"/>
      <c r="Q2944" s="129"/>
      <c r="R2944" s="129"/>
      <c r="S2944" s="129"/>
      <c r="T2944" s="129"/>
      <c r="U2944" s="129"/>
      <c r="V2944" s="129"/>
      <c r="W2944" s="129"/>
      <c r="X2944" s="129"/>
      <c r="Y2944" s="129"/>
      <c r="Z2944" s="129"/>
      <c r="AA2944" s="129"/>
      <c r="AB2944" s="129"/>
    </row>
    <row r="2945" hidden="1">
      <c r="A2945" s="123" t="s">
        <v>1461</v>
      </c>
      <c r="B2945" s="124">
        <v>0.0</v>
      </c>
      <c r="C2945" s="124">
        <v>0.0</v>
      </c>
      <c r="D2945" s="125">
        <f t="shared" si="250"/>
        <v>0</v>
      </c>
      <c r="E2945" s="126" t="s">
        <v>123</v>
      </c>
      <c r="F2945" s="124"/>
    </row>
    <row r="2946" hidden="1">
      <c r="A2946" s="128" t="s">
        <v>1382</v>
      </c>
      <c r="B2946" s="124">
        <v>1550.0</v>
      </c>
      <c r="C2946" s="124">
        <v>1750.0</v>
      </c>
      <c r="D2946" s="132">
        <f t="shared" si="250"/>
        <v>200</v>
      </c>
      <c r="E2946" s="126" t="s">
        <v>123</v>
      </c>
      <c r="F2946" s="132"/>
      <c r="G2946" s="129"/>
      <c r="H2946" s="129"/>
      <c r="I2946" s="129"/>
      <c r="J2946" s="129"/>
      <c r="K2946" s="129"/>
      <c r="L2946" s="129"/>
      <c r="M2946" s="129"/>
      <c r="N2946" s="129"/>
      <c r="O2946" s="129"/>
      <c r="P2946" s="129"/>
      <c r="Q2946" s="129"/>
      <c r="R2946" s="129"/>
      <c r="S2946" s="129"/>
      <c r="T2946" s="129"/>
      <c r="U2946" s="129"/>
      <c r="V2946" s="129"/>
      <c r="W2946" s="129"/>
      <c r="X2946" s="129"/>
      <c r="Y2946" s="129"/>
      <c r="Z2946" s="129"/>
      <c r="AA2946" s="129"/>
      <c r="AB2946" s="129"/>
    </row>
    <row r="2947" hidden="1">
      <c r="A2947" s="142" t="s">
        <v>1462</v>
      </c>
      <c r="B2947" s="147">
        <v>690.0</v>
      </c>
      <c r="C2947" s="147">
        <v>863.0</v>
      </c>
      <c r="D2947" s="132">
        <f t="shared" si="250"/>
        <v>173</v>
      </c>
      <c r="E2947" s="126" t="s">
        <v>123</v>
      </c>
      <c r="F2947" s="139"/>
      <c r="G2947" s="129"/>
      <c r="H2947" s="129"/>
      <c r="I2947" s="129"/>
      <c r="J2947" s="129"/>
      <c r="K2947" s="129"/>
      <c r="L2947" s="129"/>
      <c r="M2947" s="129"/>
      <c r="N2947" s="129"/>
      <c r="O2947" s="129"/>
      <c r="P2947" s="129"/>
      <c r="Q2947" s="129"/>
      <c r="R2947" s="129"/>
      <c r="S2947" s="129"/>
      <c r="T2947" s="129"/>
      <c r="U2947" s="129"/>
      <c r="V2947" s="129"/>
      <c r="W2947" s="129"/>
      <c r="X2947" s="129"/>
      <c r="Y2947" s="129"/>
      <c r="Z2947" s="129"/>
      <c r="AA2947" s="129"/>
      <c r="AB2947" s="129"/>
    </row>
    <row r="2948" hidden="1">
      <c r="A2948" s="151" t="s">
        <v>464</v>
      </c>
      <c r="B2948" s="147">
        <v>1250.0</v>
      </c>
      <c r="C2948" s="124">
        <v>1394.0</v>
      </c>
      <c r="D2948" s="132">
        <f t="shared" si="250"/>
        <v>144</v>
      </c>
      <c r="E2948" s="126" t="s">
        <v>123</v>
      </c>
      <c r="F2948" s="139"/>
      <c r="G2948" s="129"/>
      <c r="H2948" s="129"/>
      <c r="I2948" s="129"/>
      <c r="J2948" s="129"/>
      <c r="K2948" s="129"/>
      <c r="L2948" s="129"/>
      <c r="M2948" s="129"/>
      <c r="N2948" s="129"/>
      <c r="O2948" s="129"/>
      <c r="P2948" s="129"/>
      <c r="Q2948" s="129"/>
      <c r="R2948" s="129"/>
      <c r="S2948" s="129"/>
      <c r="T2948" s="129"/>
      <c r="U2948" s="129"/>
      <c r="V2948" s="129"/>
      <c r="W2948" s="129"/>
      <c r="X2948" s="129"/>
      <c r="Y2948" s="129"/>
      <c r="Z2948" s="129"/>
      <c r="AA2948" s="129"/>
      <c r="AB2948" s="129"/>
    </row>
    <row r="2949" hidden="1">
      <c r="A2949" s="128" t="s">
        <v>1300</v>
      </c>
      <c r="B2949" s="147">
        <v>1350.0</v>
      </c>
      <c r="C2949" s="147">
        <v>1541.0</v>
      </c>
      <c r="D2949" s="132">
        <f t="shared" si="250"/>
        <v>191</v>
      </c>
      <c r="E2949" s="126" t="s">
        <v>123</v>
      </c>
      <c r="F2949" s="132"/>
      <c r="G2949" s="129"/>
      <c r="H2949" s="129"/>
      <c r="I2949" s="129"/>
      <c r="J2949" s="129"/>
      <c r="K2949" s="129"/>
      <c r="L2949" s="129"/>
      <c r="M2949" s="129"/>
      <c r="N2949" s="129"/>
      <c r="O2949" s="129"/>
      <c r="P2949" s="129"/>
      <c r="Q2949" s="129"/>
      <c r="R2949" s="129"/>
      <c r="S2949" s="129"/>
      <c r="T2949" s="129"/>
      <c r="U2949" s="129"/>
      <c r="V2949" s="129"/>
      <c r="W2949" s="129"/>
      <c r="X2949" s="129"/>
      <c r="Y2949" s="129"/>
      <c r="Z2949" s="129"/>
      <c r="AA2949" s="129"/>
      <c r="AB2949" s="129"/>
    </row>
    <row r="2950" hidden="1">
      <c r="A2950" s="128" t="s">
        <v>1463</v>
      </c>
      <c r="B2950" s="147">
        <v>10000.0</v>
      </c>
      <c r="C2950" s="147">
        <v>10650.0</v>
      </c>
      <c r="D2950" s="132">
        <f t="shared" si="250"/>
        <v>650</v>
      </c>
      <c r="E2950" s="147" t="s">
        <v>1311</v>
      </c>
      <c r="F2950" s="139"/>
      <c r="G2950" s="129"/>
      <c r="H2950" s="129"/>
      <c r="I2950" s="129"/>
      <c r="J2950" s="129"/>
      <c r="K2950" s="129"/>
      <c r="L2950" s="129"/>
      <c r="M2950" s="129"/>
      <c r="N2950" s="129"/>
      <c r="O2950" s="129"/>
      <c r="P2950" s="129"/>
      <c r="Q2950" s="129"/>
      <c r="R2950" s="129"/>
      <c r="S2950" s="129"/>
      <c r="T2950" s="129"/>
      <c r="U2950" s="129"/>
      <c r="V2950" s="129"/>
      <c r="W2950" s="129"/>
      <c r="X2950" s="129"/>
      <c r="Y2950" s="129"/>
      <c r="Z2950" s="129"/>
      <c r="AA2950" s="129"/>
      <c r="AB2950" s="129"/>
    </row>
    <row r="2951" hidden="1">
      <c r="A2951" s="123" t="s">
        <v>1464</v>
      </c>
      <c r="B2951" s="147">
        <v>1090.0</v>
      </c>
      <c r="C2951" s="147">
        <v>1271.0</v>
      </c>
      <c r="D2951" s="125">
        <f t="shared" si="250"/>
        <v>181</v>
      </c>
      <c r="E2951" s="126" t="s">
        <v>123</v>
      </c>
      <c r="F2951" s="127"/>
      <c r="G2951" s="123"/>
    </row>
    <row r="2952" hidden="1">
      <c r="A2952" s="142" t="s">
        <v>1087</v>
      </c>
      <c r="B2952" s="147">
        <v>1290.0</v>
      </c>
      <c r="C2952" s="124">
        <v>1440.0</v>
      </c>
      <c r="D2952" s="132">
        <f t="shared" si="250"/>
        <v>150</v>
      </c>
      <c r="E2952" s="126" t="s">
        <v>123</v>
      </c>
      <c r="F2952" s="139"/>
      <c r="G2952" s="129"/>
      <c r="H2952" s="129"/>
      <c r="I2952" s="129"/>
      <c r="J2952" s="129"/>
      <c r="K2952" s="129"/>
      <c r="L2952" s="129"/>
      <c r="M2952" s="129"/>
      <c r="N2952" s="129"/>
      <c r="O2952" s="129"/>
      <c r="P2952" s="129"/>
      <c r="Q2952" s="129"/>
      <c r="R2952" s="129"/>
      <c r="S2952" s="129"/>
      <c r="T2952" s="129"/>
      <c r="U2952" s="129"/>
      <c r="V2952" s="129"/>
      <c r="W2952" s="129"/>
      <c r="X2952" s="129"/>
      <c r="Y2952" s="129"/>
      <c r="Z2952" s="129"/>
      <c r="AA2952" s="129"/>
      <c r="AB2952" s="129"/>
    </row>
    <row r="2953" hidden="1">
      <c r="A2953" s="128" t="s">
        <v>1465</v>
      </c>
      <c r="B2953" s="210">
        <v>1740.0</v>
      </c>
      <c r="C2953" s="210">
        <v>1964.0</v>
      </c>
      <c r="D2953" s="208">
        <f t="shared" si="250"/>
        <v>224</v>
      </c>
      <c r="E2953" s="132" t="s">
        <v>1311</v>
      </c>
      <c r="F2953" s="139"/>
      <c r="G2953" s="129"/>
      <c r="H2953" s="129"/>
      <c r="I2953" s="129"/>
      <c r="J2953" s="129"/>
      <c r="K2953" s="129"/>
      <c r="L2953" s="129"/>
      <c r="M2953" s="129"/>
      <c r="N2953" s="129"/>
      <c r="O2953" s="129"/>
      <c r="P2953" s="129"/>
      <c r="Q2953" s="129"/>
      <c r="R2953" s="129"/>
      <c r="S2953" s="129"/>
      <c r="T2953" s="129"/>
      <c r="U2953" s="129"/>
      <c r="V2953" s="129"/>
      <c r="W2953" s="129"/>
      <c r="X2953" s="129"/>
      <c r="Y2953" s="129"/>
      <c r="Z2953" s="129"/>
      <c r="AA2953" s="129"/>
      <c r="AB2953" s="129"/>
    </row>
    <row r="2954" hidden="1">
      <c r="A2954" s="128" t="s">
        <v>1140</v>
      </c>
      <c r="B2954" s="147">
        <v>1390.0</v>
      </c>
      <c r="C2954" s="147">
        <v>1561.0</v>
      </c>
      <c r="D2954" s="132">
        <f t="shared" si="250"/>
        <v>171</v>
      </c>
      <c r="E2954" s="171" t="s">
        <v>120</v>
      </c>
      <c r="F2954" s="139"/>
      <c r="G2954" s="129"/>
      <c r="H2954" s="129"/>
      <c r="I2954" s="129"/>
      <c r="J2954" s="129"/>
      <c r="K2954" s="129"/>
      <c r="L2954" s="129"/>
      <c r="M2954" s="129"/>
      <c r="N2954" s="129"/>
      <c r="O2954" s="129"/>
      <c r="P2954" s="129"/>
      <c r="Q2954" s="129"/>
      <c r="R2954" s="129"/>
      <c r="S2954" s="129"/>
      <c r="T2954" s="129"/>
      <c r="U2954" s="129"/>
      <c r="V2954" s="129"/>
      <c r="W2954" s="129"/>
      <c r="X2954" s="129"/>
      <c r="Y2954" s="129"/>
      <c r="Z2954" s="129"/>
      <c r="AA2954" s="129"/>
      <c r="AB2954" s="129"/>
    </row>
    <row r="2955" hidden="1">
      <c r="A2955" s="128" t="s">
        <v>1140</v>
      </c>
      <c r="B2955" s="147">
        <v>1340.0</v>
      </c>
      <c r="C2955" s="147">
        <v>1520.0</v>
      </c>
      <c r="D2955" s="132">
        <f t="shared" si="250"/>
        <v>180</v>
      </c>
      <c r="E2955" s="171" t="s">
        <v>120</v>
      </c>
      <c r="F2955" s="139"/>
      <c r="G2955" s="129"/>
      <c r="H2955" s="129"/>
      <c r="I2955" s="129"/>
      <c r="J2955" s="129"/>
      <c r="K2955" s="129"/>
      <c r="L2955" s="129"/>
      <c r="M2955" s="129"/>
      <c r="N2955" s="129"/>
      <c r="O2955" s="129"/>
      <c r="P2955" s="129"/>
      <c r="Q2955" s="129"/>
      <c r="R2955" s="129"/>
      <c r="S2955" s="129"/>
      <c r="T2955" s="129"/>
      <c r="U2955" s="129"/>
      <c r="V2955" s="129"/>
      <c r="W2955" s="129"/>
      <c r="X2955" s="129"/>
      <c r="Y2955" s="129"/>
      <c r="Z2955" s="129"/>
      <c r="AA2955" s="129"/>
      <c r="AB2955" s="129"/>
    </row>
    <row r="2956" hidden="1">
      <c r="A2956" s="128" t="s">
        <v>1140</v>
      </c>
      <c r="B2956" s="147">
        <v>1340.0</v>
      </c>
      <c r="C2956" s="147">
        <v>1526.0</v>
      </c>
      <c r="D2956" s="132">
        <f t="shared" si="250"/>
        <v>186</v>
      </c>
      <c r="E2956" s="171" t="s">
        <v>120</v>
      </c>
      <c r="F2956" s="139"/>
      <c r="G2956" s="129"/>
      <c r="H2956" s="129"/>
      <c r="I2956" s="129"/>
      <c r="J2956" s="129"/>
      <c r="K2956" s="129"/>
      <c r="L2956" s="129"/>
      <c r="M2956" s="129"/>
      <c r="N2956" s="129"/>
      <c r="O2956" s="129"/>
      <c r="P2956" s="129"/>
      <c r="Q2956" s="129"/>
      <c r="R2956" s="129"/>
      <c r="S2956" s="129"/>
      <c r="T2956" s="129"/>
      <c r="U2956" s="129"/>
      <c r="V2956" s="129"/>
      <c r="W2956" s="129"/>
      <c r="X2956" s="129"/>
      <c r="Y2956" s="129"/>
      <c r="Z2956" s="129"/>
      <c r="AA2956" s="129"/>
      <c r="AB2956" s="129"/>
    </row>
    <row r="2957" hidden="1">
      <c r="A2957" s="128" t="s">
        <v>1140</v>
      </c>
      <c r="B2957" s="147">
        <v>1340.0</v>
      </c>
      <c r="C2957" s="147">
        <v>1520.0</v>
      </c>
      <c r="D2957" s="132">
        <f t="shared" si="250"/>
        <v>180</v>
      </c>
      <c r="E2957" s="171" t="s">
        <v>120</v>
      </c>
      <c r="F2957" s="139"/>
      <c r="G2957" s="129"/>
      <c r="H2957" s="129"/>
      <c r="I2957" s="129"/>
      <c r="J2957" s="129"/>
      <c r="K2957" s="129"/>
      <c r="L2957" s="129"/>
      <c r="M2957" s="129"/>
      <c r="N2957" s="129"/>
      <c r="O2957" s="129"/>
      <c r="P2957" s="129"/>
      <c r="Q2957" s="129"/>
      <c r="R2957" s="129"/>
      <c r="S2957" s="129"/>
      <c r="T2957" s="129"/>
      <c r="U2957" s="129"/>
      <c r="V2957" s="129"/>
      <c r="W2957" s="129"/>
      <c r="X2957" s="129"/>
      <c r="Y2957" s="129"/>
      <c r="Z2957" s="129"/>
      <c r="AA2957" s="129"/>
      <c r="AB2957" s="129"/>
    </row>
    <row r="2958" hidden="1">
      <c r="A2958" s="128" t="s">
        <v>1466</v>
      </c>
      <c r="B2958" s="147">
        <v>1390.0</v>
      </c>
      <c r="C2958" s="147">
        <v>1610.0</v>
      </c>
      <c r="D2958" s="132">
        <f t="shared" si="250"/>
        <v>220</v>
      </c>
      <c r="E2958" s="171" t="s">
        <v>120</v>
      </c>
      <c r="F2958" s="139"/>
      <c r="G2958" s="150"/>
      <c r="H2958" s="129"/>
      <c r="I2958" s="129"/>
      <c r="J2958" s="129"/>
      <c r="K2958" s="129"/>
      <c r="L2958" s="129"/>
      <c r="M2958" s="129"/>
      <c r="N2958" s="129"/>
      <c r="O2958" s="129"/>
      <c r="P2958" s="129"/>
      <c r="Q2958" s="129"/>
      <c r="R2958" s="129"/>
      <c r="S2958" s="129"/>
      <c r="T2958" s="129"/>
      <c r="U2958" s="129"/>
      <c r="V2958" s="129"/>
      <c r="W2958" s="129"/>
      <c r="X2958" s="129"/>
      <c r="Y2958" s="129"/>
      <c r="Z2958" s="129"/>
      <c r="AA2958" s="129"/>
      <c r="AB2958" s="129"/>
    </row>
    <row r="2959" hidden="1">
      <c r="A2959" s="123" t="s">
        <v>1464</v>
      </c>
      <c r="B2959" s="147">
        <v>990.0</v>
      </c>
      <c r="C2959" s="147">
        <v>1197.0</v>
      </c>
      <c r="D2959" s="125">
        <f t="shared" si="250"/>
        <v>207</v>
      </c>
      <c r="E2959" s="126" t="s">
        <v>123</v>
      </c>
      <c r="F2959" s="127"/>
      <c r="G2959" s="123"/>
    </row>
    <row r="2960" hidden="1">
      <c r="A2960" s="128" t="s">
        <v>1308</v>
      </c>
      <c r="B2960" s="147">
        <v>1300.0</v>
      </c>
      <c r="C2960" s="147">
        <v>1506.0</v>
      </c>
      <c r="D2960" s="132">
        <f t="shared" si="250"/>
        <v>206</v>
      </c>
      <c r="E2960" s="171" t="s">
        <v>120</v>
      </c>
      <c r="F2960" s="132"/>
      <c r="G2960" s="129"/>
      <c r="H2960" s="129"/>
      <c r="I2960" s="129"/>
      <c r="J2960" s="129"/>
      <c r="K2960" s="129"/>
      <c r="L2960" s="129"/>
      <c r="M2960" s="129"/>
      <c r="N2960" s="129"/>
      <c r="O2960" s="129"/>
      <c r="P2960" s="129"/>
      <c r="Q2960" s="129"/>
      <c r="R2960" s="129"/>
      <c r="S2960" s="129"/>
      <c r="T2960" s="129"/>
      <c r="U2960" s="129"/>
      <c r="V2960" s="129"/>
      <c r="W2960" s="129"/>
      <c r="X2960" s="129"/>
      <c r="Y2960" s="129"/>
      <c r="Z2960" s="129"/>
      <c r="AA2960" s="129"/>
      <c r="AB2960" s="129"/>
    </row>
    <row r="2961" hidden="1">
      <c r="A2961" s="128" t="s">
        <v>1400</v>
      </c>
      <c r="B2961" s="147">
        <v>1250.0</v>
      </c>
      <c r="C2961" s="147">
        <v>1458.0</v>
      </c>
      <c r="D2961" s="132">
        <f t="shared" si="250"/>
        <v>208</v>
      </c>
      <c r="E2961" s="171" t="s">
        <v>120</v>
      </c>
      <c r="F2961" s="132"/>
      <c r="G2961" s="129"/>
      <c r="H2961" s="129"/>
      <c r="I2961" s="129"/>
      <c r="J2961" s="129"/>
      <c r="K2961" s="129"/>
      <c r="L2961" s="129"/>
      <c r="M2961" s="129"/>
      <c r="N2961" s="129"/>
      <c r="O2961" s="129"/>
      <c r="P2961" s="129"/>
      <c r="Q2961" s="129"/>
      <c r="R2961" s="129"/>
      <c r="S2961" s="129"/>
      <c r="T2961" s="129"/>
      <c r="U2961" s="129"/>
      <c r="V2961" s="129"/>
      <c r="W2961" s="129"/>
      <c r="X2961" s="129"/>
      <c r="Y2961" s="129"/>
      <c r="Z2961" s="129"/>
      <c r="AA2961" s="129"/>
      <c r="AB2961" s="129"/>
    </row>
    <row r="2962" hidden="1">
      <c r="A2962" s="128" t="s">
        <v>1361</v>
      </c>
      <c r="B2962" s="147">
        <v>490.0</v>
      </c>
      <c r="C2962" s="147">
        <v>690.0</v>
      </c>
      <c r="D2962" s="132">
        <f t="shared" si="250"/>
        <v>200</v>
      </c>
      <c r="E2962" s="171" t="s">
        <v>120</v>
      </c>
      <c r="F2962" s="139"/>
      <c r="G2962" s="129"/>
      <c r="H2962" s="129"/>
      <c r="I2962" s="129"/>
      <c r="J2962" s="129"/>
      <c r="K2962" s="129"/>
      <c r="L2962" s="129"/>
      <c r="M2962" s="129"/>
      <c r="N2962" s="129"/>
      <c r="O2962" s="129"/>
      <c r="P2962" s="129"/>
      <c r="Q2962" s="129"/>
      <c r="R2962" s="129"/>
      <c r="S2962" s="129"/>
      <c r="T2962" s="129"/>
      <c r="U2962" s="129"/>
      <c r="V2962" s="129"/>
      <c r="W2962" s="129"/>
      <c r="X2962" s="129"/>
      <c r="Y2962" s="129"/>
      <c r="Z2962" s="129"/>
      <c r="AA2962" s="129"/>
      <c r="AB2962" s="129"/>
    </row>
    <row r="2963" hidden="1">
      <c r="A2963" s="128" t="s">
        <v>408</v>
      </c>
      <c r="B2963" s="147">
        <v>490.0</v>
      </c>
      <c r="C2963" s="147">
        <v>690.0</v>
      </c>
      <c r="D2963" s="132">
        <f t="shared" si="250"/>
        <v>200</v>
      </c>
      <c r="E2963" s="126" t="s">
        <v>123</v>
      </c>
      <c r="F2963" s="139"/>
      <c r="G2963" s="129"/>
      <c r="H2963" s="129"/>
      <c r="I2963" s="129"/>
      <c r="J2963" s="129"/>
      <c r="K2963" s="129"/>
      <c r="L2963" s="129"/>
      <c r="M2963" s="129"/>
      <c r="N2963" s="129"/>
      <c r="O2963" s="129"/>
      <c r="P2963" s="129"/>
      <c r="Q2963" s="129"/>
      <c r="R2963" s="129"/>
      <c r="S2963" s="129"/>
      <c r="T2963" s="129"/>
      <c r="U2963" s="129"/>
      <c r="V2963" s="129"/>
      <c r="W2963" s="129"/>
      <c r="X2963" s="129"/>
      <c r="Y2963" s="129"/>
      <c r="Z2963" s="129"/>
      <c r="AA2963" s="129"/>
      <c r="AB2963" s="129"/>
    </row>
    <row r="2964" hidden="1">
      <c r="A2964" s="128" t="s">
        <v>1140</v>
      </c>
      <c r="B2964" s="147">
        <v>1390.0</v>
      </c>
      <c r="C2964" s="147">
        <v>1569.0</v>
      </c>
      <c r="D2964" s="132">
        <f t="shared" si="250"/>
        <v>179</v>
      </c>
      <c r="E2964" s="171" t="s">
        <v>120</v>
      </c>
      <c r="F2964" s="139"/>
      <c r="G2964" s="129"/>
      <c r="H2964" s="129"/>
      <c r="I2964" s="129"/>
      <c r="J2964" s="129"/>
      <c r="K2964" s="129"/>
      <c r="L2964" s="129"/>
      <c r="M2964" s="129"/>
      <c r="N2964" s="129"/>
      <c r="O2964" s="129"/>
      <c r="P2964" s="129"/>
      <c r="Q2964" s="129"/>
      <c r="R2964" s="129"/>
      <c r="S2964" s="129"/>
      <c r="T2964" s="129"/>
      <c r="U2964" s="129"/>
      <c r="V2964" s="129"/>
      <c r="W2964" s="129"/>
      <c r="X2964" s="129"/>
      <c r="Y2964" s="129"/>
      <c r="Z2964" s="129"/>
      <c r="AA2964" s="129"/>
      <c r="AB2964" s="129"/>
    </row>
    <row r="2965" hidden="1">
      <c r="A2965" s="128" t="s">
        <v>1455</v>
      </c>
      <c r="B2965" s="147">
        <v>1350.0</v>
      </c>
      <c r="C2965" s="147">
        <v>1514.0</v>
      </c>
      <c r="D2965" s="132">
        <f t="shared" si="250"/>
        <v>164</v>
      </c>
      <c r="E2965" s="171" t="s">
        <v>120</v>
      </c>
      <c r="F2965" s="139"/>
      <c r="G2965" s="129"/>
      <c r="H2965" s="129"/>
      <c r="I2965" s="129"/>
      <c r="J2965" s="129"/>
      <c r="K2965" s="129"/>
      <c r="L2965" s="129"/>
      <c r="M2965" s="129"/>
      <c r="N2965" s="129"/>
      <c r="O2965" s="129"/>
      <c r="P2965" s="129"/>
      <c r="Q2965" s="129"/>
      <c r="R2965" s="129"/>
      <c r="S2965" s="129"/>
      <c r="T2965" s="129"/>
      <c r="U2965" s="129"/>
      <c r="V2965" s="129"/>
      <c r="W2965" s="129"/>
      <c r="X2965" s="129"/>
      <c r="Y2965" s="129"/>
      <c r="Z2965" s="129"/>
      <c r="AA2965" s="129"/>
      <c r="AB2965" s="129"/>
    </row>
    <row r="2966" hidden="1">
      <c r="A2966" s="128" t="s">
        <v>1209</v>
      </c>
      <c r="B2966" s="147">
        <v>1450.0</v>
      </c>
      <c r="C2966" s="147">
        <v>1598.0</v>
      </c>
      <c r="D2966" s="132">
        <f t="shared" si="250"/>
        <v>148</v>
      </c>
      <c r="E2966" s="126" t="s">
        <v>123</v>
      </c>
      <c r="F2966" s="132"/>
      <c r="G2966" s="129"/>
      <c r="H2966" s="129"/>
      <c r="I2966" s="129"/>
      <c r="J2966" s="129"/>
      <c r="K2966" s="129"/>
      <c r="L2966" s="129"/>
      <c r="M2966" s="129"/>
      <c r="N2966" s="129"/>
      <c r="O2966" s="129"/>
      <c r="P2966" s="129"/>
      <c r="Q2966" s="129"/>
      <c r="R2966" s="129"/>
      <c r="S2966" s="129"/>
      <c r="T2966" s="129"/>
      <c r="U2966" s="129"/>
      <c r="V2966" s="129"/>
      <c r="W2966" s="129"/>
      <c r="X2966" s="129"/>
      <c r="Y2966" s="129"/>
      <c r="Z2966" s="129"/>
      <c r="AA2966" s="129"/>
      <c r="AB2966" s="129"/>
    </row>
    <row r="2967" hidden="1">
      <c r="A2967" s="128" t="s">
        <v>1208</v>
      </c>
      <c r="B2967" s="147">
        <v>1350.0</v>
      </c>
      <c r="C2967" s="147">
        <v>1520.0</v>
      </c>
      <c r="D2967" s="132">
        <f t="shared" si="250"/>
        <v>170</v>
      </c>
      <c r="E2967" s="171" t="s">
        <v>120</v>
      </c>
      <c r="F2967" s="132"/>
      <c r="G2967" s="129"/>
      <c r="H2967" s="129"/>
      <c r="I2967" s="129"/>
      <c r="J2967" s="129"/>
      <c r="K2967" s="129"/>
      <c r="L2967" s="129"/>
      <c r="M2967" s="129"/>
      <c r="N2967" s="129"/>
      <c r="O2967" s="129"/>
      <c r="P2967" s="129"/>
      <c r="Q2967" s="129"/>
      <c r="R2967" s="129"/>
      <c r="S2967" s="129"/>
      <c r="T2967" s="129"/>
      <c r="U2967" s="129"/>
      <c r="V2967" s="129"/>
      <c r="W2967" s="129"/>
      <c r="X2967" s="129"/>
      <c r="Y2967" s="129"/>
      <c r="Z2967" s="129"/>
      <c r="AA2967" s="129"/>
      <c r="AB2967" s="129"/>
    </row>
    <row r="2968" hidden="1">
      <c r="A2968" s="128" t="s">
        <v>1208</v>
      </c>
      <c r="B2968" s="147">
        <v>1350.0</v>
      </c>
      <c r="C2968" s="147">
        <v>1514.0</v>
      </c>
      <c r="D2968" s="132">
        <f t="shared" si="250"/>
        <v>164</v>
      </c>
      <c r="E2968" s="171" t="s">
        <v>120</v>
      </c>
      <c r="F2968" s="132"/>
      <c r="G2968" s="129"/>
      <c r="H2968" s="129"/>
      <c r="I2968" s="129"/>
      <c r="J2968" s="129"/>
      <c r="K2968" s="129"/>
      <c r="L2968" s="129"/>
      <c r="M2968" s="129"/>
      <c r="N2968" s="129"/>
      <c r="O2968" s="129"/>
      <c r="P2968" s="129"/>
      <c r="Q2968" s="129"/>
      <c r="R2968" s="129"/>
      <c r="S2968" s="129"/>
      <c r="T2968" s="129"/>
      <c r="U2968" s="129"/>
      <c r="V2968" s="129"/>
      <c r="W2968" s="129"/>
      <c r="X2968" s="129"/>
      <c r="Y2968" s="129"/>
      <c r="Z2968" s="129"/>
      <c r="AA2968" s="129"/>
      <c r="AB2968" s="129"/>
    </row>
    <row r="2969" hidden="1">
      <c r="A2969" s="128" t="s">
        <v>1308</v>
      </c>
      <c r="B2969" s="147">
        <v>1350.0</v>
      </c>
      <c r="C2969" s="147">
        <v>1520.0</v>
      </c>
      <c r="D2969" s="132">
        <f t="shared" si="250"/>
        <v>170</v>
      </c>
      <c r="E2969" s="171" t="s">
        <v>120</v>
      </c>
      <c r="F2969" s="132"/>
      <c r="G2969" s="129"/>
      <c r="H2969" s="129"/>
      <c r="I2969" s="129"/>
      <c r="J2969" s="129"/>
      <c r="K2969" s="129"/>
      <c r="L2969" s="129"/>
      <c r="M2969" s="129"/>
      <c r="N2969" s="129"/>
      <c r="O2969" s="129"/>
      <c r="P2969" s="129"/>
      <c r="Q2969" s="129"/>
      <c r="R2969" s="129"/>
      <c r="S2969" s="129"/>
      <c r="T2969" s="129"/>
      <c r="U2969" s="129"/>
      <c r="V2969" s="129"/>
      <c r="W2969" s="129"/>
      <c r="X2969" s="129"/>
      <c r="Y2969" s="129"/>
      <c r="Z2969" s="129"/>
      <c r="AA2969" s="129"/>
      <c r="AB2969" s="129"/>
    </row>
    <row r="2970" hidden="1">
      <c r="A2970" s="128" t="s">
        <v>1093</v>
      </c>
      <c r="B2970" s="147">
        <v>1450.0</v>
      </c>
      <c r="C2970" s="147">
        <v>1619.0</v>
      </c>
      <c r="D2970" s="132">
        <f t="shared" si="250"/>
        <v>169</v>
      </c>
      <c r="E2970" s="171" t="s">
        <v>120</v>
      </c>
      <c r="F2970" s="139"/>
      <c r="G2970" s="129"/>
      <c r="H2970" s="129"/>
      <c r="I2970" s="129"/>
      <c r="J2970" s="129"/>
      <c r="K2970" s="129"/>
      <c r="L2970" s="129"/>
      <c r="M2970" s="129"/>
      <c r="N2970" s="129"/>
      <c r="O2970" s="129"/>
      <c r="P2970" s="129"/>
      <c r="Q2970" s="129"/>
      <c r="R2970" s="129"/>
      <c r="S2970" s="129"/>
      <c r="T2970" s="129"/>
      <c r="U2970" s="129"/>
      <c r="V2970" s="129"/>
      <c r="W2970" s="129"/>
      <c r="X2970" s="129"/>
      <c r="Y2970" s="129"/>
      <c r="Z2970" s="129"/>
      <c r="AA2970" s="129"/>
      <c r="AB2970" s="129"/>
    </row>
    <row r="2971" hidden="1">
      <c r="A2971" s="128" t="s">
        <v>1467</v>
      </c>
      <c r="B2971" s="124">
        <v>1090.0</v>
      </c>
      <c r="C2971" s="124">
        <v>1245.0</v>
      </c>
      <c r="D2971" s="132">
        <f t="shared" si="250"/>
        <v>155</v>
      </c>
      <c r="E2971" s="126" t="s">
        <v>123</v>
      </c>
      <c r="F2971" s="139"/>
      <c r="G2971" s="129"/>
      <c r="H2971" s="129"/>
      <c r="I2971" s="129"/>
      <c r="J2971" s="129"/>
      <c r="K2971" s="129"/>
      <c r="L2971" s="129"/>
      <c r="M2971" s="129"/>
      <c r="N2971" s="129"/>
      <c r="O2971" s="129"/>
      <c r="P2971" s="129"/>
      <c r="Q2971" s="129"/>
      <c r="R2971" s="129"/>
      <c r="S2971" s="129"/>
      <c r="T2971" s="129"/>
      <c r="U2971" s="129"/>
      <c r="V2971" s="129"/>
      <c r="W2971" s="129"/>
      <c r="X2971" s="129"/>
      <c r="Y2971" s="129"/>
      <c r="Z2971" s="129"/>
      <c r="AA2971" s="129"/>
      <c r="AB2971" s="129"/>
    </row>
    <row r="2972" hidden="1">
      <c r="A2972" s="128" t="s">
        <v>1350</v>
      </c>
      <c r="B2972" s="147">
        <v>1350.0</v>
      </c>
      <c r="C2972" s="147">
        <v>1510.0</v>
      </c>
      <c r="D2972" s="132">
        <f t="shared" si="250"/>
        <v>160</v>
      </c>
      <c r="E2972" s="171" t="s">
        <v>120</v>
      </c>
      <c r="F2972" s="132"/>
      <c r="G2972" s="129"/>
      <c r="H2972" s="129"/>
      <c r="I2972" s="129"/>
      <c r="J2972" s="129"/>
      <c r="K2972" s="129"/>
      <c r="L2972" s="129"/>
      <c r="M2972" s="129"/>
      <c r="N2972" s="129"/>
      <c r="O2972" s="129"/>
      <c r="P2972" s="129"/>
      <c r="Q2972" s="129"/>
      <c r="R2972" s="129"/>
      <c r="S2972" s="129"/>
      <c r="T2972" s="129"/>
      <c r="U2972" s="129"/>
      <c r="V2972" s="129"/>
      <c r="W2972" s="129"/>
      <c r="X2972" s="129"/>
      <c r="Y2972" s="129"/>
      <c r="Z2972" s="129"/>
      <c r="AA2972" s="129"/>
      <c r="AB2972" s="129"/>
    </row>
    <row r="2973" hidden="1">
      <c r="A2973" s="128" t="s">
        <v>126</v>
      </c>
      <c r="B2973" s="147">
        <v>1750.0</v>
      </c>
      <c r="C2973" s="147">
        <v>2250.0</v>
      </c>
      <c r="D2973" s="132">
        <f t="shared" si="250"/>
        <v>500</v>
      </c>
      <c r="E2973" s="126" t="s">
        <v>123</v>
      </c>
      <c r="F2973" s="139"/>
      <c r="G2973" s="129"/>
      <c r="H2973" s="129"/>
      <c r="I2973" s="129"/>
      <c r="J2973" s="129"/>
      <c r="K2973" s="129"/>
      <c r="L2973" s="129"/>
      <c r="M2973" s="129"/>
      <c r="N2973" s="129"/>
      <c r="O2973" s="129"/>
      <c r="P2973" s="129"/>
      <c r="Q2973" s="129"/>
      <c r="R2973" s="129"/>
      <c r="S2973" s="129"/>
      <c r="T2973" s="129"/>
      <c r="U2973" s="129"/>
      <c r="V2973" s="129"/>
      <c r="W2973" s="129"/>
      <c r="X2973" s="129"/>
      <c r="Y2973" s="129"/>
      <c r="Z2973" s="129"/>
      <c r="AA2973" s="129"/>
      <c r="AB2973" s="129"/>
    </row>
    <row r="2974" hidden="1">
      <c r="A2974" s="123" t="s">
        <v>1422</v>
      </c>
      <c r="B2974" s="124">
        <v>790.0</v>
      </c>
      <c r="C2974" s="124">
        <v>990.0</v>
      </c>
      <c r="D2974" s="125">
        <f t="shared" si="250"/>
        <v>200</v>
      </c>
      <c r="E2974" s="126" t="s">
        <v>123</v>
      </c>
      <c r="F2974" s="124"/>
    </row>
    <row r="2975" hidden="1">
      <c r="A2975" s="128" t="s">
        <v>1274</v>
      </c>
      <c r="B2975" s="147">
        <v>1090.0</v>
      </c>
      <c r="C2975" s="147">
        <v>1290.0</v>
      </c>
      <c r="D2975" s="132">
        <f t="shared" si="250"/>
        <v>200</v>
      </c>
      <c r="E2975" s="126" t="s">
        <v>123</v>
      </c>
      <c r="F2975" s="132"/>
      <c r="G2975" s="129"/>
      <c r="H2975" s="129"/>
      <c r="I2975" s="129"/>
      <c r="J2975" s="129"/>
      <c r="K2975" s="129"/>
      <c r="L2975" s="129"/>
      <c r="M2975" s="129"/>
      <c r="N2975" s="129"/>
      <c r="O2975" s="129"/>
      <c r="P2975" s="129"/>
      <c r="Q2975" s="129"/>
      <c r="R2975" s="129"/>
      <c r="S2975" s="129"/>
      <c r="T2975" s="129"/>
      <c r="U2975" s="129"/>
      <c r="V2975" s="129"/>
      <c r="W2975" s="129"/>
      <c r="X2975" s="129"/>
      <c r="Y2975" s="129"/>
      <c r="Z2975" s="129"/>
      <c r="AA2975" s="129"/>
      <c r="AB2975" s="129"/>
    </row>
    <row r="2976" hidden="1">
      <c r="A2976" s="151" t="s">
        <v>464</v>
      </c>
      <c r="B2976" s="147">
        <v>1290.0</v>
      </c>
      <c r="C2976" s="124">
        <v>1490.0</v>
      </c>
      <c r="D2976" s="132">
        <f t="shared" si="250"/>
        <v>200</v>
      </c>
      <c r="E2976" s="126" t="s">
        <v>123</v>
      </c>
      <c r="F2976" s="139"/>
      <c r="G2976" s="129"/>
      <c r="H2976" s="129"/>
      <c r="I2976" s="129"/>
      <c r="J2976" s="129"/>
      <c r="K2976" s="129"/>
      <c r="L2976" s="129"/>
      <c r="M2976" s="129"/>
      <c r="N2976" s="129"/>
      <c r="O2976" s="129"/>
      <c r="P2976" s="129"/>
      <c r="Q2976" s="129"/>
      <c r="R2976" s="129"/>
      <c r="S2976" s="129"/>
      <c r="T2976" s="129"/>
      <c r="U2976" s="129"/>
      <c r="V2976" s="129"/>
      <c r="W2976" s="129"/>
      <c r="X2976" s="129"/>
      <c r="Y2976" s="129"/>
      <c r="Z2976" s="129"/>
      <c r="AA2976" s="129"/>
      <c r="AB2976" s="129"/>
    </row>
    <row r="2977" hidden="1">
      <c r="A2977" s="150" t="s">
        <v>1300</v>
      </c>
      <c r="B2977" s="132">
        <v>1390.0</v>
      </c>
      <c r="C2977" s="132">
        <v>1590.0</v>
      </c>
      <c r="D2977" s="132">
        <f t="shared" si="250"/>
        <v>200</v>
      </c>
      <c r="E2977" s="132" t="s">
        <v>123</v>
      </c>
      <c r="F2977" s="132"/>
      <c r="G2977" s="129"/>
      <c r="H2977" s="129"/>
      <c r="I2977" s="129"/>
      <c r="J2977" s="129"/>
      <c r="K2977" s="129"/>
      <c r="L2977" s="129"/>
      <c r="M2977" s="129"/>
      <c r="N2977" s="129"/>
      <c r="O2977" s="129"/>
      <c r="P2977" s="129"/>
      <c r="Q2977" s="129"/>
      <c r="R2977" s="129"/>
      <c r="S2977" s="129"/>
      <c r="T2977" s="129"/>
      <c r="U2977" s="129"/>
      <c r="V2977" s="129"/>
      <c r="W2977" s="129"/>
      <c r="X2977" s="129"/>
      <c r="Y2977" s="129"/>
      <c r="Z2977" s="129"/>
      <c r="AA2977" s="129"/>
      <c r="AB2977" s="129"/>
    </row>
    <row r="2978" hidden="1">
      <c r="A2978" s="142" t="s">
        <v>466</v>
      </c>
      <c r="B2978" s="147">
        <v>990.0</v>
      </c>
      <c r="C2978" s="147">
        <v>1190.0</v>
      </c>
      <c r="D2978" s="132">
        <f t="shared" si="250"/>
        <v>200</v>
      </c>
      <c r="E2978" s="126" t="s">
        <v>123</v>
      </c>
      <c r="F2978" s="139"/>
      <c r="G2978" s="129"/>
      <c r="H2978" s="129"/>
      <c r="I2978" s="129"/>
      <c r="J2978" s="129"/>
      <c r="K2978" s="129"/>
      <c r="L2978" s="129"/>
      <c r="M2978" s="129"/>
      <c r="N2978" s="129"/>
      <c r="O2978" s="129"/>
      <c r="P2978" s="129"/>
      <c r="Q2978" s="129"/>
      <c r="R2978" s="129"/>
      <c r="S2978" s="129"/>
      <c r="T2978" s="129"/>
      <c r="U2978" s="129"/>
      <c r="V2978" s="129"/>
      <c r="W2978" s="129"/>
      <c r="X2978" s="129"/>
      <c r="Y2978" s="129"/>
      <c r="Z2978" s="129"/>
      <c r="AA2978" s="129"/>
      <c r="AB2978" s="129"/>
    </row>
    <row r="2979" hidden="1">
      <c r="A2979" s="128" t="s">
        <v>1126</v>
      </c>
      <c r="B2979" s="147">
        <v>2080.0</v>
      </c>
      <c r="C2979" s="147">
        <v>2415.0</v>
      </c>
      <c r="D2979" s="132">
        <f t="shared" si="250"/>
        <v>335</v>
      </c>
      <c r="E2979" s="126" t="s">
        <v>123</v>
      </c>
      <c r="F2979" s="139"/>
      <c r="G2979" s="129"/>
      <c r="H2979" s="129"/>
      <c r="I2979" s="129"/>
      <c r="J2979" s="129"/>
      <c r="K2979" s="129"/>
      <c r="L2979" s="129"/>
      <c r="M2979" s="129"/>
      <c r="N2979" s="129"/>
      <c r="O2979" s="129"/>
      <c r="P2979" s="129"/>
      <c r="Q2979" s="129"/>
      <c r="R2979" s="129"/>
      <c r="S2979" s="129"/>
      <c r="T2979" s="129"/>
      <c r="U2979" s="129"/>
      <c r="V2979" s="129"/>
      <c r="W2979" s="129"/>
      <c r="X2979" s="129"/>
      <c r="Y2979" s="129"/>
      <c r="Z2979" s="129"/>
      <c r="AA2979" s="129"/>
      <c r="AB2979" s="129"/>
    </row>
    <row r="2980" hidden="1">
      <c r="A2980" s="123" t="s">
        <v>1125</v>
      </c>
      <c r="B2980" s="147">
        <v>0.0</v>
      </c>
      <c r="C2980" s="147">
        <v>0.0</v>
      </c>
      <c r="D2980" s="125">
        <f t="shared" si="250"/>
        <v>0</v>
      </c>
      <c r="E2980" s="126" t="s">
        <v>123</v>
      </c>
      <c r="F2980" s="124"/>
    </row>
    <row r="2981" hidden="1">
      <c r="A2981" s="128" t="s">
        <v>126</v>
      </c>
      <c r="B2981" s="147">
        <v>1750.0</v>
      </c>
      <c r="C2981" s="147">
        <v>2181.0</v>
      </c>
      <c r="D2981" s="132">
        <f t="shared" si="250"/>
        <v>431</v>
      </c>
      <c r="E2981" s="126" t="s">
        <v>123</v>
      </c>
      <c r="F2981" s="139"/>
      <c r="G2981" s="129"/>
      <c r="H2981" s="129"/>
      <c r="I2981" s="129"/>
      <c r="J2981" s="129"/>
      <c r="K2981" s="129"/>
      <c r="L2981" s="129"/>
      <c r="M2981" s="129"/>
      <c r="N2981" s="129"/>
      <c r="O2981" s="129"/>
      <c r="P2981" s="129"/>
      <c r="Q2981" s="129"/>
      <c r="R2981" s="129"/>
      <c r="S2981" s="129"/>
      <c r="T2981" s="129"/>
      <c r="U2981" s="129"/>
      <c r="V2981" s="129"/>
      <c r="W2981" s="129"/>
      <c r="X2981" s="129"/>
      <c r="Y2981" s="129"/>
      <c r="Z2981" s="129"/>
      <c r="AA2981" s="129"/>
      <c r="AB2981" s="129"/>
    </row>
    <row r="2982" hidden="1">
      <c r="A2982" s="123" t="s">
        <v>1212</v>
      </c>
      <c r="B2982" s="147">
        <v>1290.0</v>
      </c>
      <c r="C2982" s="147">
        <v>1442.0</v>
      </c>
      <c r="D2982" s="125">
        <f t="shared" si="250"/>
        <v>152</v>
      </c>
      <c r="E2982" s="126" t="s">
        <v>123</v>
      </c>
      <c r="F2982" s="127"/>
      <c r="G2982" s="123"/>
    </row>
    <row r="2983" hidden="1">
      <c r="A2983" s="123" t="s">
        <v>1212</v>
      </c>
      <c r="B2983" s="147">
        <v>1290.0</v>
      </c>
      <c r="C2983" s="147">
        <v>1490.0</v>
      </c>
      <c r="D2983" s="125">
        <f t="shared" si="250"/>
        <v>200</v>
      </c>
      <c r="E2983" s="126" t="s">
        <v>123</v>
      </c>
      <c r="F2983" s="127"/>
      <c r="G2983" s="123"/>
    </row>
    <row r="2984" hidden="1">
      <c r="A2984" s="128" t="s">
        <v>449</v>
      </c>
      <c r="B2984" s="147">
        <v>1190.0</v>
      </c>
      <c r="C2984" s="147">
        <v>1390.0</v>
      </c>
      <c r="D2984" s="125">
        <f t="shared" si="250"/>
        <v>200</v>
      </c>
      <c r="E2984" s="126" t="s">
        <v>123</v>
      </c>
      <c r="F2984" s="139"/>
      <c r="G2984" s="150"/>
      <c r="H2984" s="129"/>
      <c r="I2984" s="129"/>
      <c r="J2984" s="129"/>
      <c r="K2984" s="129"/>
      <c r="L2984" s="129"/>
      <c r="M2984" s="129"/>
      <c r="N2984" s="129"/>
      <c r="O2984" s="129"/>
      <c r="P2984" s="129"/>
      <c r="Q2984" s="129"/>
      <c r="R2984" s="129"/>
      <c r="S2984" s="129"/>
      <c r="T2984" s="129"/>
      <c r="U2984" s="129"/>
      <c r="V2984" s="129"/>
      <c r="W2984" s="129"/>
      <c r="X2984" s="129"/>
      <c r="Y2984" s="129"/>
      <c r="Z2984" s="129"/>
      <c r="AA2984" s="129"/>
      <c r="AB2984" s="129"/>
    </row>
    <row r="2985" hidden="1">
      <c r="A2985" s="128" t="s">
        <v>1301</v>
      </c>
      <c r="B2985" s="147">
        <v>2840.0</v>
      </c>
      <c r="C2985" s="147">
        <v>3169.0</v>
      </c>
      <c r="D2985" s="132">
        <f t="shared" si="250"/>
        <v>329</v>
      </c>
      <c r="E2985" s="132" t="s">
        <v>123</v>
      </c>
      <c r="F2985" s="132"/>
      <c r="G2985" s="129"/>
      <c r="H2985" s="129"/>
      <c r="I2985" s="129"/>
      <c r="J2985" s="129"/>
      <c r="K2985" s="129"/>
      <c r="L2985" s="129"/>
      <c r="M2985" s="129"/>
      <c r="N2985" s="129"/>
      <c r="O2985" s="129"/>
      <c r="P2985" s="129"/>
      <c r="Q2985" s="129"/>
      <c r="R2985" s="129"/>
      <c r="S2985" s="129"/>
      <c r="T2985" s="129"/>
      <c r="U2985" s="129"/>
      <c r="V2985" s="129"/>
      <c r="W2985" s="129"/>
      <c r="X2985" s="129"/>
      <c r="Y2985" s="129"/>
      <c r="Z2985" s="129"/>
      <c r="AA2985" s="129"/>
      <c r="AB2985" s="129"/>
    </row>
    <row r="2986" hidden="1">
      <c r="A2986" s="128" t="s">
        <v>1093</v>
      </c>
      <c r="B2986" s="147">
        <v>0.0</v>
      </c>
      <c r="C2986" s="147">
        <v>0.0</v>
      </c>
      <c r="D2986" s="132">
        <f t="shared" si="250"/>
        <v>0</v>
      </c>
      <c r="E2986" s="171" t="s">
        <v>120</v>
      </c>
      <c r="F2986" s="139"/>
      <c r="G2986" s="129"/>
      <c r="H2986" s="129"/>
      <c r="I2986" s="129"/>
      <c r="J2986" s="129"/>
      <c r="K2986" s="129"/>
      <c r="L2986" s="129"/>
      <c r="M2986" s="129"/>
      <c r="N2986" s="129"/>
      <c r="O2986" s="129"/>
      <c r="P2986" s="129"/>
      <c r="Q2986" s="129"/>
      <c r="R2986" s="129"/>
      <c r="S2986" s="129"/>
      <c r="T2986" s="129"/>
      <c r="U2986" s="129"/>
      <c r="V2986" s="129"/>
      <c r="W2986" s="129"/>
      <c r="X2986" s="129"/>
      <c r="Y2986" s="129"/>
      <c r="Z2986" s="129"/>
      <c r="AA2986" s="129"/>
      <c r="AB2986" s="129"/>
    </row>
    <row r="2987" hidden="1">
      <c r="A2987" s="123" t="s">
        <v>1468</v>
      </c>
      <c r="B2987" s="124">
        <v>1090.0</v>
      </c>
      <c r="C2987" s="124">
        <v>1251.0</v>
      </c>
      <c r="D2987" s="125">
        <f t="shared" si="250"/>
        <v>161</v>
      </c>
      <c r="E2987" s="126" t="s">
        <v>123</v>
      </c>
      <c r="F2987" s="124"/>
    </row>
    <row r="2988" hidden="1">
      <c r="A2988" s="150" t="s">
        <v>1469</v>
      </c>
      <c r="B2988" s="147">
        <v>1450.0</v>
      </c>
      <c r="C2988" s="147">
        <v>1557.0</v>
      </c>
      <c r="D2988" s="132">
        <f t="shared" si="250"/>
        <v>107</v>
      </c>
      <c r="E2988" s="126" t="s">
        <v>123</v>
      </c>
      <c r="F2988" s="139"/>
      <c r="G2988" s="150"/>
      <c r="H2988" s="129"/>
      <c r="I2988" s="129"/>
      <c r="J2988" s="129"/>
      <c r="K2988" s="129"/>
      <c r="L2988" s="129"/>
      <c r="M2988" s="129"/>
      <c r="N2988" s="129"/>
      <c r="O2988" s="129"/>
      <c r="P2988" s="129"/>
      <c r="Q2988" s="129"/>
      <c r="R2988" s="129"/>
      <c r="S2988" s="129"/>
      <c r="T2988" s="129"/>
      <c r="U2988" s="129"/>
      <c r="V2988" s="129"/>
      <c r="W2988" s="129"/>
      <c r="X2988" s="129"/>
      <c r="Y2988" s="129"/>
      <c r="Z2988" s="129"/>
      <c r="AA2988" s="129"/>
      <c r="AB2988" s="129"/>
    </row>
    <row r="2989" hidden="1">
      <c r="A2989" s="128" t="s">
        <v>459</v>
      </c>
      <c r="B2989" s="147">
        <v>990.0</v>
      </c>
      <c r="C2989" s="124">
        <v>973.0</v>
      </c>
      <c r="D2989" s="132">
        <f t="shared" si="250"/>
        <v>-17</v>
      </c>
      <c r="E2989" s="126" t="s">
        <v>123</v>
      </c>
      <c r="F2989" s="124"/>
      <c r="G2989" s="129"/>
      <c r="H2989" s="129"/>
      <c r="I2989" s="129"/>
      <c r="J2989" s="129"/>
      <c r="K2989" s="129"/>
      <c r="L2989" s="129"/>
      <c r="M2989" s="129"/>
      <c r="N2989" s="129"/>
      <c r="O2989" s="129"/>
      <c r="P2989" s="129"/>
      <c r="Q2989" s="129"/>
      <c r="R2989" s="129"/>
      <c r="S2989" s="129"/>
      <c r="T2989" s="129"/>
      <c r="U2989" s="129"/>
      <c r="V2989" s="129"/>
      <c r="W2989" s="129"/>
      <c r="X2989" s="129"/>
      <c r="Y2989" s="129"/>
      <c r="Z2989" s="129"/>
      <c r="AA2989" s="129"/>
      <c r="AB2989" s="129"/>
    </row>
    <row r="2990" hidden="1">
      <c r="A2990" s="123" t="s">
        <v>395</v>
      </c>
      <c r="B2990" s="124">
        <v>1750.0</v>
      </c>
      <c r="C2990" s="124">
        <v>2181.0</v>
      </c>
      <c r="D2990" s="125">
        <f t="shared" si="250"/>
        <v>431</v>
      </c>
      <c r="E2990" s="126" t="s">
        <v>123</v>
      </c>
      <c r="F2990" s="124"/>
    </row>
    <row r="2991" hidden="1">
      <c r="A2991" s="150" t="s">
        <v>1219</v>
      </c>
      <c r="B2991" s="147">
        <v>990.0</v>
      </c>
      <c r="C2991" s="124">
        <v>968.0</v>
      </c>
      <c r="D2991" s="132">
        <f t="shared" si="250"/>
        <v>-22</v>
      </c>
      <c r="E2991" s="126" t="s">
        <v>123</v>
      </c>
      <c r="F2991" s="139"/>
      <c r="G2991" s="129"/>
      <c r="H2991" s="129"/>
      <c r="I2991" s="129"/>
      <c r="J2991" s="129"/>
      <c r="K2991" s="129"/>
      <c r="L2991" s="129"/>
      <c r="M2991" s="129"/>
      <c r="N2991" s="129"/>
      <c r="O2991" s="129"/>
      <c r="P2991" s="129"/>
      <c r="Q2991" s="129"/>
      <c r="R2991" s="129"/>
      <c r="S2991" s="129"/>
      <c r="T2991" s="129"/>
      <c r="U2991" s="129"/>
      <c r="V2991" s="129"/>
      <c r="W2991" s="129"/>
      <c r="X2991" s="129"/>
      <c r="Y2991" s="129"/>
      <c r="Z2991" s="129"/>
      <c r="AA2991" s="129"/>
      <c r="AB2991" s="129"/>
    </row>
    <row r="2992" hidden="1">
      <c r="A2992" s="123" t="s">
        <v>1458</v>
      </c>
      <c r="B2992" s="124">
        <v>1450.0</v>
      </c>
      <c r="C2992" s="124">
        <v>1572.0</v>
      </c>
      <c r="D2992" s="125">
        <f t="shared" si="250"/>
        <v>122</v>
      </c>
      <c r="E2992" s="126" t="s">
        <v>123</v>
      </c>
      <c r="F2992" s="132"/>
      <c r="G2992" s="123"/>
    </row>
    <row r="2993" hidden="1">
      <c r="A2993" s="128" t="s">
        <v>1126</v>
      </c>
      <c r="B2993" s="147">
        <v>1090.0</v>
      </c>
      <c r="C2993" s="147">
        <v>1255.0</v>
      </c>
      <c r="D2993" s="132">
        <f t="shared" si="250"/>
        <v>165</v>
      </c>
      <c r="E2993" s="126" t="s">
        <v>123</v>
      </c>
      <c r="F2993" s="139"/>
      <c r="G2993" s="129"/>
      <c r="H2993" s="129"/>
      <c r="I2993" s="129"/>
      <c r="J2993" s="129"/>
      <c r="K2993" s="129"/>
      <c r="L2993" s="129"/>
      <c r="M2993" s="129"/>
      <c r="N2993" s="129"/>
      <c r="O2993" s="129"/>
      <c r="P2993" s="129"/>
      <c r="Q2993" s="129"/>
      <c r="R2993" s="129"/>
      <c r="S2993" s="129"/>
      <c r="T2993" s="129"/>
      <c r="U2993" s="129"/>
      <c r="V2993" s="129"/>
      <c r="W2993" s="129"/>
      <c r="X2993" s="129"/>
      <c r="Y2993" s="129"/>
      <c r="Z2993" s="129"/>
      <c r="AA2993" s="129"/>
      <c r="AB2993" s="129"/>
    </row>
    <row r="2994" hidden="1">
      <c r="A2994" s="128" t="s">
        <v>126</v>
      </c>
      <c r="B2994" s="147">
        <v>1750.0</v>
      </c>
      <c r="C2994" s="147">
        <v>2177.0</v>
      </c>
      <c r="D2994" s="132">
        <f t="shared" si="250"/>
        <v>427</v>
      </c>
      <c r="E2994" s="126" t="s">
        <v>123</v>
      </c>
      <c r="F2994" s="139"/>
      <c r="G2994" s="129"/>
      <c r="H2994" s="129"/>
      <c r="I2994" s="129"/>
      <c r="J2994" s="129"/>
      <c r="K2994" s="129"/>
      <c r="L2994" s="129"/>
      <c r="M2994" s="129"/>
      <c r="N2994" s="129"/>
      <c r="O2994" s="129"/>
      <c r="P2994" s="129"/>
      <c r="Q2994" s="129"/>
      <c r="R2994" s="129"/>
      <c r="S2994" s="129"/>
      <c r="T2994" s="129"/>
      <c r="U2994" s="129"/>
      <c r="V2994" s="129"/>
      <c r="W2994" s="129"/>
      <c r="X2994" s="129"/>
      <c r="Y2994" s="129"/>
      <c r="Z2994" s="129"/>
      <c r="AA2994" s="129"/>
      <c r="AB2994" s="129"/>
    </row>
    <row r="2995" hidden="1">
      <c r="A2995" s="128" t="s">
        <v>1382</v>
      </c>
      <c r="B2995" s="132">
        <v>1450.0</v>
      </c>
      <c r="C2995" s="147">
        <v>1622.0</v>
      </c>
      <c r="D2995" s="132">
        <f t="shared" si="250"/>
        <v>172</v>
      </c>
      <c r="E2995" s="132" t="s">
        <v>123</v>
      </c>
      <c r="F2995" s="132"/>
      <c r="G2995" s="129"/>
      <c r="H2995" s="129"/>
      <c r="I2995" s="129"/>
      <c r="J2995" s="129"/>
      <c r="K2995" s="129"/>
      <c r="L2995" s="129"/>
      <c r="M2995" s="129"/>
      <c r="N2995" s="129"/>
      <c r="O2995" s="129"/>
      <c r="P2995" s="129"/>
      <c r="Q2995" s="129"/>
      <c r="R2995" s="129"/>
      <c r="S2995" s="129"/>
      <c r="T2995" s="129"/>
      <c r="U2995" s="129"/>
      <c r="V2995" s="129"/>
      <c r="W2995" s="129"/>
      <c r="X2995" s="129"/>
      <c r="Y2995" s="129"/>
      <c r="Z2995" s="129"/>
      <c r="AA2995" s="129"/>
      <c r="AB2995" s="129"/>
    </row>
    <row r="2996" hidden="1">
      <c r="A2996" s="128" t="s">
        <v>1350</v>
      </c>
      <c r="B2996" s="147">
        <v>1390.0</v>
      </c>
      <c r="C2996" s="147">
        <v>1548.0</v>
      </c>
      <c r="D2996" s="132">
        <f t="shared" si="250"/>
        <v>158</v>
      </c>
      <c r="E2996" s="171" t="s">
        <v>120</v>
      </c>
      <c r="F2996" s="132"/>
      <c r="G2996" s="129"/>
      <c r="H2996" s="129"/>
      <c r="I2996" s="129"/>
      <c r="J2996" s="129"/>
      <c r="K2996" s="129"/>
      <c r="L2996" s="129"/>
      <c r="M2996" s="129"/>
      <c r="N2996" s="129"/>
      <c r="O2996" s="129"/>
      <c r="P2996" s="129"/>
      <c r="Q2996" s="129"/>
      <c r="R2996" s="129"/>
      <c r="S2996" s="129"/>
      <c r="T2996" s="129"/>
      <c r="U2996" s="129"/>
      <c r="V2996" s="129"/>
      <c r="W2996" s="129"/>
      <c r="X2996" s="129"/>
      <c r="Y2996" s="129"/>
      <c r="Z2996" s="129"/>
      <c r="AA2996" s="129"/>
      <c r="AB2996" s="129"/>
    </row>
    <row r="2997" hidden="1">
      <c r="A2997" s="123" t="s">
        <v>1458</v>
      </c>
      <c r="B2997" s="124">
        <v>1450.0</v>
      </c>
      <c r="C2997" s="124">
        <v>1572.0</v>
      </c>
      <c r="D2997" s="125">
        <f t="shared" si="250"/>
        <v>122</v>
      </c>
      <c r="E2997" s="126" t="s">
        <v>123</v>
      </c>
      <c r="F2997" s="132"/>
      <c r="G2997" s="123"/>
    </row>
    <row r="2998" hidden="1">
      <c r="A2998" s="151" t="s">
        <v>464</v>
      </c>
      <c r="B2998" s="147">
        <v>1290.0</v>
      </c>
      <c r="C2998" s="124">
        <v>1442.0</v>
      </c>
      <c r="D2998" s="132">
        <f t="shared" si="250"/>
        <v>152</v>
      </c>
      <c r="E2998" s="126" t="s">
        <v>123</v>
      </c>
      <c r="F2998" s="139"/>
      <c r="G2998" s="129"/>
      <c r="H2998" s="129"/>
      <c r="I2998" s="129"/>
      <c r="J2998" s="129"/>
      <c r="K2998" s="129"/>
      <c r="L2998" s="129"/>
      <c r="M2998" s="129"/>
      <c r="N2998" s="129"/>
      <c r="O2998" s="129"/>
      <c r="P2998" s="129"/>
      <c r="Q2998" s="129"/>
      <c r="R2998" s="129"/>
      <c r="S2998" s="129"/>
      <c r="T2998" s="129"/>
      <c r="U2998" s="129"/>
      <c r="V2998" s="129"/>
      <c r="W2998" s="129"/>
      <c r="X2998" s="129"/>
      <c r="Y2998" s="129"/>
      <c r="Z2998" s="129"/>
      <c r="AA2998" s="129"/>
      <c r="AB2998" s="129"/>
    </row>
    <row r="2999" hidden="1">
      <c r="A2999" s="142" t="s">
        <v>469</v>
      </c>
      <c r="B2999" s="147">
        <v>990.0</v>
      </c>
      <c r="C2999" s="147">
        <v>968.0</v>
      </c>
      <c r="D2999" s="132">
        <f t="shared" si="250"/>
        <v>-22</v>
      </c>
      <c r="E2999" s="126" t="s">
        <v>123</v>
      </c>
      <c r="F2999" s="139"/>
      <c r="G2999" s="129"/>
      <c r="H2999" s="129"/>
      <c r="I2999" s="129"/>
      <c r="J2999" s="129"/>
      <c r="K2999" s="129"/>
      <c r="L2999" s="129"/>
      <c r="M2999" s="129"/>
      <c r="N2999" s="129"/>
      <c r="O2999" s="129"/>
      <c r="P2999" s="129"/>
      <c r="Q2999" s="129"/>
      <c r="R2999" s="129"/>
      <c r="S2999" s="129"/>
      <c r="T2999" s="129"/>
      <c r="U2999" s="129"/>
      <c r="V2999" s="129"/>
      <c r="W2999" s="129"/>
      <c r="X2999" s="129"/>
      <c r="Y2999" s="129"/>
      <c r="Z2999" s="129"/>
      <c r="AA2999" s="129"/>
      <c r="AB2999" s="129"/>
    </row>
    <row r="3000" hidden="1">
      <c r="A3000" s="123" t="s">
        <v>449</v>
      </c>
      <c r="B3000" s="147">
        <v>1190.0</v>
      </c>
      <c r="C3000" s="147">
        <v>1340.0</v>
      </c>
      <c r="D3000" s="125">
        <f t="shared" si="250"/>
        <v>150</v>
      </c>
      <c r="E3000" s="126" t="s">
        <v>123</v>
      </c>
      <c r="F3000" s="127"/>
      <c r="G3000" s="123"/>
    </row>
    <row r="3001" hidden="1">
      <c r="A3001" s="123" t="s">
        <v>457</v>
      </c>
      <c r="B3001" s="147">
        <v>990.0</v>
      </c>
      <c r="C3001" s="124">
        <v>969.0</v>
      </c>
      <c r="D3001" s="125">
        <f t="shared" si="250"/>
        <v>-21</v>
      </c>
      <c r="E3001" s="126" t="s">
        <v>123</v>
      </c>
      <c r="F3001" s="124"/>
    </row>
    <row r="3002" hidden="1">
      <c r="A3002" s="123" t="s">
        <v>1453</v>
      </c>
      <c r="B3002" s="124">
        <v>4990.0</v>
      </c>
      <c r="C3002" s="124">
        <v>6299.0</v>
      </c>
      <c r="D3002" s="125">
        <f t="shared" si="250"/>
        <v>1309</v>
      </c>
      <c r="E3002" s="126" t="s">
        <v>123</v>
      </c>
      <c r="F3002" s="124"/>
    </row>
    <row r="3003" hidden="1">
      <c r="A3003" s="123" t="s">
        <v>395</v>
      </c>
      <c r="B3003" s="124">
        <v>0.0</v>
      </c>
      <c r="C3003" s="124">
        <v>0.0</v>
      </c>
      <c r="D3003" s="123">
        <v>0.0</v>
      </c>
      <c r="E3003" s="126" t="s">
        <v>123</v>
      </c>
      <c r="F3003" s="124"/>
    </row>
    <row r="3004" hidden="1">
      <c r="A3004" s="128" t="s">
        <v>1470</v>
      </c>
      <c r="B3004" s="124">
        <v>990.0</v>
      </c>
      <c r="C3004" s="124">
        <v>1229.0</v>
      </c>
      <c r="D3004" s="132">
        <f>C3004-B3004</f>
        <v>239</v>
      </c>
      <c r="E3004" s="126" t="s">
        <v>123</v>
      </c>
      <c r="F3004" s="139"/>
      <c r="G3004" s="129"/>
      <c r="H3004" s="129"/>
      <c r="I3004" s="129"/>
      <c r="J3004" s="129"/>
      <c r="K3004" s="129"/>
      <c r="L3004" s="129"/>
      <c r="M3004" s="129"/>
      <c r="N3004" s="129"/>
      <c r="O3004" s="129"/>
      <c r="P3004" s="129"/>
      <c r="Q3004" s="129"/>
      <c r="R3004" s="129"/>
      <c r="S3004" s="129"/>
      <c r="T3004" s="129"/>
      <c r="U3004" s="129"/>
      <c r="V3004" s="129"/>
      <c r="W3004" s="129"/>
      <c r="X3004" s="129"/>
      <c r="Y3004" s="129"/>
      <c r="Z3004" s="129"/>
      <c r="AA3004" s="129"/>
      <c r="AB3004" s="129"/>
    </row>
    <row r="3005" hidden="1">
      <c r="A3005" s="143"/>
      <c r="B3005" s="139"/>
      <c r="C3005" s="139"/>
      <c r="D3005" s="139"/>
      <c r="E3005" s="129"/>
      <c r="F3005" s="129"/>
      <c r="G3005" s="129"/>
      <c r="H3005" s="129"/>
      <c r="I3005" s="129"/>
      <c r="J3005" s="129"/>
      <c r="K3005" s="129"/>
      <c r="L3005" s="129"/>
      <c r="M3005" s="129"/>
      <c r="N3005" s="129"/>
      <c r="O3005" s="129"/>
      <c r="P3005" s="129"/>
      <c r="Q3005" s="129"/>
      <c r="R3005" s="129"/>
      <c r="S3005" s="129"/>
      <c r="T3005" s="129"/>
      <c r="U3005" s="129"/>
      <c r="V3005" s="129"/>
      <c r="W3005" s="129"/>
      <c r="X3005" s="129"/>
      <c r="Y3005" s="129"/>
      <c r="Z3005" s="129"/>
      <c r="AA3005" s="129"/>
      <c r="AB3005" s="129"/>
    </row>
    <row r="3006" hidden="1">
      <c r="A3006" s="144" t="s">
        <v>57</v>
      </c>
      <c r="B3006" s="145">
        <f t="shared" ref="B3006:D3006" si="251">SUM(B2898:B3005)</f>
        <v>185380</v>
      </c>
      <c r="C3006" s="145">
        <f t="shared" si="251"/>
        <v>211537</v>
      </c>
      <c r="D3006" s="145">
        <f t="shared" si="251"/>
        <v>26157</v>
      </c>
      <c r="E3006" s="146">
        <f>D3006/(C3006/100)</f>
        <v>12.36521271</v>
      </c>
      <c r="F3006" s="129"/>
      <c r="G3006" s="129"/>
      <c r="H3006" s="129"/>
      <c r="I3006" s="129"/>
      <c r="J3006" s="129"/>
      <c r="K3006" s="129"/>
      <c r="L3006" s="129"/>
      <c r="M3006" s="129"/>
      <c r="N3006" s="129"/>
      <c r="O3006" s="129"/>
      <c r="P3006" s="129"/>
      <c r="Q3006" s="129"/>
      <c r="R3006" s="129"/>
      <c r="S3006" s="129"/>
      <c r="T3006" s="129"/>
      <c r="U3006" s="129"/>
      <c r="V3006" s="129"/>
      <c r="W3006" s="129"/>
      <c r="X3006" s="129"/>
      <c r="Y3006" s="129"/>
      <c r="Z3006" s="129"/>
      <c r="AA3006" s="129"/>
      <c r="AB3006" s="129"/>
    </row>
    <row r="3007" hidden="1">
      <c r="A3007" s="141"/>
      <c r="B3007" s="139"/>
      <c r="C3007" s="139"/>
      <c r="D3007" s="139"/>
      <c r="E3007" s="129"/>
      <c r="F3007" s="129"/>
      <c r="G3007" s="129"/>
      <c r="H3007" s="129"/>
      <c r="I3007" s="129"/>
      <c r="J3007" s="129"/>
      <c r="K3007" s="129"/>
      <c r="L3007" s="129"/>
      <c r="M3007" s="129"/>
      <c r="N3007" s="129"/>
      <c r="O3007" s="129"/>
      <c r="P3007" s="129"/>
      <c r="Q3007" s="129"/>
      <c r="R3007" s="129"/>
      <c r="S3007" s="129"/>
      <c r="T3007" s="129"/>
      <c r="U3007" s="129"/>
      <c r="V3007" s="129"/>
      <c r="W3007" s="129"/>
      <c r="X3007" s="129"/>
      <c r="Y3007" s="129"/>
      <c r="Z3007" s="129"/>
      <c r="AA3007" s="129"/>
      <c r="AB3007" s="129"/>
    </row>
    <row r="3008" hidden="1">
      <c r="A3008" s="141">
        <v>44075.0</v>
      </c>
      <c r="B3008" s="139"/>
      <c r="C3008" s="139"/>
      <c r="D3008" s="139"/>
      <c r="E3008" s="129"/>
      <c r="F3008" s="129"/>
      <c r="G3008" s="129"/>
      <c r="H3008" s="129"/>
      <c r="I3008" s="129"/>
      <c r="J3008" s="129"/>
      <c r="K3008" s="129"/>
      <c r="L3008" s="129"/>
      <c r="M3008" s="129"/>
      <c r="N3008" s="129"/>
      <c r="O3008" s="129"/>
      <c r="P3008" s="129"/>
      <c r="Q3008" s="129"/>
      <c r="R3008" s="129"/>
      <c r="S3008" s="129"/>
      <c r="T3008" s="129"/>
      <c r="U3008" s="129"/>
      <c r="V3008" s="129"/>
      <c r="W3008" s="129"/>
      <c r="X3008" s="129"/>
      <c r="Y3008" s="129"/>
      <c r="Z3008" s="129"/>
      <c r="AA3008" s="129"/>
      <c r="AB3008" s="129"/>
    </row>
    <row r="3009" hidden="1">
      <c r="A3009" s="142" t="s">
        <v>1449</v>
      </c>
      <c r="B3009" s="147">
        <v>2870.0</v>
      </c>
      <c r="C3009" s="124">
        <v>2834.0</v>
      </c>
      <c r="D3009" s="132">
        <f t="shared" ref="D3009:D3167" si="252">C3009-B3009</f>
        <v>-36</v>
      </c>
      <c r="E3009" s="126" t="s">
        <v>123</v>
      </c>
      <c r="F3009" s="139"/>
      <c r="G3009" s="129"/>
      <c r="H3009" s="129"/>
      <c r="I3009" s="129"/>
      <c r="J3009" s="129"/>
      <c r="K3009" s="129"/>
      <c r="L3009" s="129"/>
      <c r="M3009" s="129"/>
      <c r="N3009" s="129"/>
      <c r="O3009" s="129"/>
      <c r="P3009" s="129"/>
      <c r="Q3009" s="129"/>
      <c r="R3009" s="129"/>
      <c r="S3009" s="129"/>
      <c r="T3009" s="129"/>
      <c r="U3009" s="129"/>
      <c r="V3009" s="129"/>
      <c r="W3009" s="129"/>
      <c r="X3009" s="129"/>
      <c r="Y3009" s="129"/>
      <c r="Z3009" s="129"/>
      <c r="AA3009" s="129"/>
      <c r="AB3009" s="129"/>
    </row>
    <row r="3010" hidden="1">
      <c r="A3010" s="142" t="s">
        <v>469</v>
      </c>
      <c r="B3010" s="147">
        <v>0.0</v>
      </c>
      <c r="C3010" s="124">
        <v>0.0</v>
      </c>
      <c r="D3010" s="132">
        <f t="shared" si="252"/>
        <v>0</v>
      </c>
      <c r="E3010" s="126" t="s">
        <v>123</v>
      </c>
      <c r="F3010" s="139"/>
      <c r="G3010" s="129"/>
      <c r="H3010" s="129"/>
      <c r="I3010" s="129"/>
      <c r="J3010" s="129"/>
      <c r="K3010" s="129"/>
      <c r="L3010" s="129"/>
      <c r="M3010" s="129"/>
      <c r="N3010" s="129"/>
      <c r="O3010" s="129"/>
      <c r="P3010" s="129"/>
      <c r="Q3010" s="129"/>
      <c r="R3010" s="129"/>
      <c r="S3010" s="129"/>
      <c r="T3010" s="129"/>
      <c r="U3010" s="129"/>
      <c r="V3010" s="129"/>
      <c r="W3010" s="129"/>
      <c r="X3010" s="129"/>
      <c r="Y3010" s="129"/>
      <c r="Z3010" s="129"/>
      <c r="AA3010" s="129"/>
      <c r="AB3010" s="129"/>
    </row>
    <row r="3011" hidden="1">
      <c r="A3011" s="128" t="s">
        <v>459</v>
      </c>
      <c r="B3011" s="147">
        <v>0.0</v>
      </c>
      <c r="C3011" s="124">
        <v>0.0</v>
      </c>
      <c r="D3011" s="132">
        <f t="shared" si="252"/>
        <v>0</v>
      </c>
      <c r="E3011" s="126" t="s">
        <v>123</v>
      </c>
      <c r="F3011" s="124"/>
      <c r="G3011" s="129"/>
      <c r="H3011" s="129"/>
      <c r="I3011" s="129"/>
      <c r="J3011" s="129"/>
      <c r="K3011" s="129"/>
      <c r="L3011" s="129"/>
      <c r="M3011" s="129"/>
      <c r="N3011" s="129"/>
      <c r="O3011" s="129"/>
      <c r="P3011" s="129"/>
      <c r="Q3011" s="129"/>
      <c r="R3011" s="129"/>
      <c r="S3011" s="129"/>
      <c r="T3011" s="129"/>
      <c r="U3011" s="129"/>
      <c r="V3011" s="129"/>
      <c r="W3011" s="129"/>
      <c r="X3011" s="129"/>
      <c r="Y3011" s="129"/>
      <c r="Z3011" s="129"/>
      <c r="AA3011" s="129"/>
      <c r="AB3011" s="129"/>
    </row>
    <row r="3012" hidden="1">
      <c r="A3012" s="123" t="s">
        <v>1116</v>
      </c>
      <c r="B3012" s="124">
        <v>1290.0</v>
      </c>
      <c r="C3012" s="124">
        <v>1490.0</v>
      </c>
      <c r="D3012" s="125">
        <f t="shared" si="252"/>
        <v>200</v>
      </c>
      <c r="E3012" s="126" t="s">
        <v>123</v>
      </c>
      <c r="F3012" s="124"/>
    </row>
    <row r="3013" hidden="1">
      <c r="A3013" s="128" t="s">
        <v>1107</v>
      </c>
      <c r="B3013" s="147">
        <v>1090.0</v>
      </c>
      <c r="C3013" s="147">
        <v>1290.0</v>
      </c>
      <c r="D3013" s="132">
        <f t="shared" si="252"/>
        <v>200</v>
      </c>
      <c r="E3013" s="126" t="s">
        <v>123</v>
      </c>
      <c r="F3013" s="139"/>
      <c r="G3013" s="129"/>
      <c r="H3013" s="129"/>
      <c r="I3013" s="129"/>
      <c r="J3013" s="129"/>
      <c r="K3013" s="129"/>
      <c r="L3013" s="129"/>
      <c r="M3013" s="129"/>
      <c r="N3013" s="129"/>
      <c r="O3013" s="129"/>
      <c r="P3013" s="129"/>
      <c r="Q3013" s="129"/>
      <c r="R3013" s="129"/>
      <c r="S3013" s="129"/>
      <c r="T3013" s="129"/>
      <c r="U3013" s="129"/>
      <c r="V3013" s="129"/>
      <c r="W3013" s="129"/>
      <c r="X3013" s="129"/>
      <c r="Y3013" s="129"/>
      <c r="Z3013" s="129"/>
      <c r="AA3013" s="129"/>
      <c r="AB3013" s="129"/>
    </row>
    <row r="3014" hidden="1">
      <c r="A3014" s="128" t="s">
        <v>1471</v>
      </c>
      <c r="B3014" s="147">
        <v>690.0</v>
      </c>
      <c r="C3014" s="147">
        <v>890.0</v>
      </c>
      <c r="D3014" s="132">
        <f t="shared" si="252"/>
        <v>200</v>
      </c>
      <c r="E3014" s="126" t="s">
        <v>123</v>
      </c>
      <c r="F3014" s="139"/>
      <c r="G3014" s="129"/>
      <c r="H3014" s="129"/>
      <c r="I3014" s="129"/>
      <c r="J3014" s="129"/>
      <c r="K3014" s="129"/>
      <c r="L3014" s="129"/>
      <c r="M3014" s="129"/>
      <c r="N3014" s="129"/>
      <c r="O3014" s="129"/>
      <c r="P3014" s="129"/>
      <c r="Q3014" s="129"/>
      <c r="R3014" s="129"/>
      <c r="S3014" s="129"/>
      <c r="T3014" s="129"/>
      <c r="U3014" s="129"/>
      <c r="V3014" s="129"/>
      <c r="W3014" s="129"/>
      <c r="X3014" s="129"/>
      <c r="Y3014" s="129"/>
      <c r="Z3014" s="129"/>
      <c r="AA3014" s="129"/>
      <c r="AB3014" s="129"/>
    </row>
    <row r="3015" hidden="1">
      <c r="A3015" s="123" t="s">
        <v>435</v>
      </c>
      <c r="B3015" s="147">
        <v>1250.0</v>
      </c>
      <c r="C3015" s="147">
        <v>1250.0</v>
      </c>
      <c r="D3015" s="132">
        <f t="shared" si="252"/>
        <v>0</v>
      </c>
      <c r="E3015" s="126" t="s">
        <v>123</v>
      </c>
      <c r="F3015" s="124"/>
    </row>
    <row r="3016" hidden="1">
      <c r="A3016" s="159" t="s">
        <v>1310</v>
      </c>
      <c r="B3016" s="147">
        <v>1250.0</v>
      </c>
      <c r="C3016" s="147">
        <v>1250.0</v>
      </c>
      <c r="D3016" s="132">
        <f t="shared" si="252"/>
        <v>0</v>
      </c>
      <c r="E3016" s="126" t="s">
        <v>123</v>
      </c>
      <c r="F3016" s="147"/>
      <c r="G3016" s="129"/>
      <c r="H3016" s="129"/>
      <c r="I3016" s="129"/>
      <c r="J3016" s="129"/>
      <c r="K3016" s="129"/>
      <c r="L3016" s="129"/>
      <c r="M3016" s="129"/>
      <c r="N3016" s="129"/>
      <c r="O3016" s="129"/>
      <c r="P3016" s="129"/>
      <c r="Q3016" s="129"/>
      <c r="R3016" s="129"/>
      <c r="S3016" s="129"/>
      <c r="T3016" s="129"/>
      <c r="U3016" s="129"/>
      <c r="V3016" s="129"/>
      <c r="W3016" s="129"/>
      <c r="X3016" s="129"/>
      <c r="Y3016" s="129"/>
      <c r="Z3016" s="129"/>
      <c r="AA3016" s="129"/>
      <c r="AB3016" s="129"/>
    </row>
    <row r="3017" hidden="1">
      <c r="A3017" s="128" t="s">
        <v>1328</v>
      </c>
      <c r="B3017" s="147">
        <v>1250.0</v>
      </c>
      <c r="C3017" s="147">
        <v>1250.0</v>
      </c>
      <c r="D3017" s="132">
        <f t="shared" si="252"/>
        <v>0</v>
      </c>
      <c r="E3017" s="126" t="s">
        <v>123</v>
      </c>
      <c r="F3017" s="147"/>
      <c r="G3017" s="129"/>
      <c r="H3017" s="129"/>
      <c r="I3017" s="129"/>
      <c r="J3017" s="129"/>
      <c r="K3017" s="129"/>
      <c r="L3017" s="129"/>
      <c r="M3017" s="129"/>
      <c r="N3017" s="129"/>
      <c r="O3017" s="129"/>
      <c r="P3017" s="129"/>
      <c r="Q3017" s="129"/>
      <c r="R3017" s="129"/>
      <c r="S3017" s="129"/>
      <c r="T3017" s="129"/>
      <c r="U3017" s="129"/>
      <c r="V3017" s="129"/>
      <c r="W3017" s="129"/>
      <c r="X3017" s="129"/>
      <c r="Y3017" s="129"/>
      <c r="Z3017" s="129"/>
      <c r="AA3017" s="129"/>
      <c r="AB3017" s="129"/>
    </row>
    <row r="3018" hidden="1">
      <c r="A3018" s="128" t="s">
        <v>1324</v>
      </c>
      <c r="B3018" s="147">
        <v>1250.0</v>
      </c>
      <c r="C3018" s="147">
        <v>1250.0</v>
      </c>
      <c r="D3018" s="132">
        <f t="shared" si="252"/>
        <v>0</v>
      </c>
      <c r="E3018" s="126" t="s">
        <v>123</v>
      </c>
      <c r="F3018" s="147"/>
      <c r="G3018" s="129"/>
      <c r="H3018" s="129"/>
      <c r="I3018" s="129"/>
      <c r="J3018" s="129"/>
      <c r="K3018" s="129"/>
      <c r="L3018" s="129"/>
      <c r="M3018" s="129"/>
      <c r="N3018" s="129"/>
      <c r="O3018" s="129"/>
      <c r="P3018" s="129"/>
      <c r="Q3018" s="129"/>
      <c r="R3018" s="129"/>
      <c r="S3018" s="129"/>
      <c r="T3018" s="129"/>
      <c r="U3018" s="129"/>
      <c r="V3018" s="129"/>
      <c r="W3018" s="129"/>
      <c r="X3018" s="129"/>
      <c r="Y3018" s="129"/>
      <c r="Z3018" s="129"/>
      <c r="AA3018" s="129"/>
      <c r="AB3018" s="129"/>
    </row>
    <row r="3019" hidden="1">
      <c r="A3019" s="128" t="s">
        <v>793</v>
      </c>
      <c r="B3019" s="147">
        <v>990.0</v>
      </c>
      <c r="C3019" s="124">
        <v>990.0</v>
      </c>
      <c r="D3019" s="125">
        <f t="shared" si="252"/>
        <v>0</v>
      </c>
      <c r="E3019" s="126" t="s">
        <v>123</v>
      </c>
      <c r="F3019" s="124"/>
      <c r="G3019" s="129"/>
      <c r="H3019" s="129"/>
      <c r="I3019" s="129"/>
      <c r="J3019" s="129"/>
      <c r="K3019" s="129"/>
      <c r="L3019" s="129"/>
      <c r="M3019" s="129"/>
      <c r="N3019" s="129"/>
      <c r="O3019" s="129"/>
      <c r="P3019" s="129"/>
      <c r="Q3019" s="129"/>
      <c r="R3019" s="129"/>
      <c r="S3019" s="129"/>
      <c r="T3019" s="129"/>
      <c r="U3019" s="129"/>
      <c r="V3019" s="129"/>
      <c r="W3019" s="129"/>
      <c r="X3019" s="129"/>
      <c r="Y3019" s="129"/>
      <c r="Z3019" s="129"/>
      <c r="AA3019" s="129"/>
      <c r="AB3019" s="129"/>
    </row>
    <row r="3020" hidden="1">
      <c r="A3020" s="142" t="s">
        <v>1449</v>
      </c>
      <c r="B3020" s="147">
        <v>990.0</v>
      </c>
      <c r="C3020" s="124">
        <v>990.0</v>
      </c>
      <c r="D3020" s="132">
        <f t="shared" si="252"/>
        <v>0</v>
      </c>
      <c r="E3020" s="126" t="s">
        <v>123</v>
      </c>
      <c r="F3020" s="139"/>
      <c r="G3020" s="129"/>
      <c r="H3020" s="129"/>
      <c r="I3020" s="129"/>
      <c r="J3020" s="129"/>
      <c r="K3020" s="129"/>
      <c r="L3020" s="129"/>
      <c r="M3020" s="129"/>
      <c r="N3020" s="129"/>
      <c r="O3020" s="129"/>
      <c r="P3020" s="129"/>
      <c r="Q3020" s="129"/>
      <c r="R3020" s="129"/>
      <c r="S3020" s="129"/>
      <c r="T3020" s="129"/>
      <c r="U3020" s="129"/>
      <c r="V3020" s="129"/>
      <c r="W3020" s="129"/>
      <c r="X3020" s="129"/>
      <c r="Y3020" s="129"/>
      <c r="Z3020" s="129"/>
      <c r="AA3020" s="129"/>
      <c r="AB3020" s="129"/>
    </row>
    <row r="3021" hidden="1">
      <c r="A3021" s="150" t="s">
        <v>1219</v>
      </c>
      <c r="B3021" s="147">
        <v>990.0</v>
      </c>
      <c r="C3021" s="124">
        <v>990.0</v>
      </c>
      <c r="D3021" s="132">
        <f t="shared" si="252"/>
        <v>0</v>
      </c>
      <c r="E3021" s="126" t="s">
        <v>123</v>
      </c>
      <c r="F3021" s="139"/>
      <c r="G3021" s="129"/>
      <c r="H3021" s="129"/>
      <c r="I3021" s="129"/>
      <c r="J3021" s="129"/>
      <c r="K3021" s="129"/>
      <c r="L3021" s="129"/>
      <c r="M3021" s="129"/>
      <c r="N3021" s="129"/>
      <c r="O3021" s="129"/>
      <c r="P3021" s="129"/>
      <c r="Q3021" s="129"/>
      <c r="R3021" s="129"/>
      <c r="S3021" s="129"/>
      <c r="T3021" s="129"/>
      <c r="U3021" s="129"/>
      <c r="V3021" s="129"/>
      <c r="W3021" s="129"/>
      <c r="X3021" s="129"/>
      <c r="Y3021" s="129"/>
      <c r="Z3021" s="129"/>
      <c r="AA3021" s="129"/>
      <c r="AB3021" s="129"/>
    </row>
    <row r="3022" hidden="1">
      <c r="A3022" s="150" t="s">
        <v>1431</v>
      </c>
      <c r="B3022" s="147">
        <v>990.0</v>
      </c>
      <c r="C3022" s="124">
        <v>990.0</v>
      </c>
      <c r="D3022" s="132">
        <f t="shared" si="252"/>
        <v>0</v>
      </c>
      <c r="E3022" s="126" t="s">
        <v>123</v>
      </c>
      <c r="F3022" s="147"/>
      <c r="G3022" s="129"/>
      <c r="H3022" s="129"/>
      <c r="I3022" s="129"/>
      <c r="J3022" s="129"/>
      <c r="K3022" s="129"/>
      <c r="L3022" s="129"/>
      <c r="M3022" s="129"/>
      <c r="N3022" s="129"/>
      <c r="O3022" s="129"/>
      <c r="P3022" s="129"/>
      <c r="Q3022" s="129"/>
      <c r="R3022" s="129"/>
      <c r="S3022" s="129"/>
      <c r="T3022" s="129"/>
      <c r="U3022" s="129"/>
      <c r="V3022" s="129"/>
      <c r="W3022" s="129"/>
      <c r="X3022" s="129"/>
      <c r="Y3022" s="129"/>
      <c r="Z3022" s="129"/>
      <c r="AA3022" s="129"/>
      <c r="AB3022" s="129"/>
    </row>
    <row r="3023" hidden="1">
      <c r="A3023" s="142" t="s">
        <v>469</v>
      </c>
      <c r="B3023" s="147">
        <v>990.0</v>
      </c>
      <c r="C3023" s="124">
        <v>990.0</v>
      </c>
      <c r="D3023" s="132">
        <f t="shared" si="252"/>
        <v>0</v>
      </c>
      <c r="E3023" s="126" t="s">
        <v>123</v>
      </c>
      <c r="F3023" s="139"/>
      <c r="G3023" s="129"/>
      <c r="H3023" s="129"/>
      <c r="I3023" s="129"/>
      <c r="J3023" s="129"/>
      <c r="K3023" s="129"/>
      <c r="L3023" s="129"/>
      <c r="M3023" s="129"/>
      <c r="N3023" s="129"/>
      <c r="O3023" s="129"/>
      <c r="P3023" s="129"/>
      <c r="Q3023" s="129"/>
      <c r="R3023" s="129"/>
      <c r="S3023" s="129"/>
      <c r="T3023" s="129"/>
      <c r="U3023" s="129"/>
      <c r="V3023" s="129"/>
      <c r="W3023" s="129"/>
      <c r="X3023" s="129"/>
      <c r="Y3023" s="129"/>
      <c r="Z3023" s="129"/>
      <c r="AA3023" s="129"/>
      <c r="AB3023" s="129"/>
    </row>
    <row r="3024" hidden="1">
      <c r="A3024" s="128" t="s">
        <v>459</v>
      </c>
      <c r="B3024" s="147">
        <v>990.0</v>
      </c>
      <c r="C3024" s="124">
        <v>990.0</v>
      </c>
      <c r="D3024" s="132">
        <f t="shared" si="252"/>
        <v>0</v>
      </c>
      <c r="E3024" s="126" t="s">
        <v>123</v>
      </c>
      <c r="F3024" s="124"/>
      <c r="G3024" s="129"/>
      <c r="H3024" s="129"/>
      <c r="I3024" s="129"/>
      <c r="J3024" s="129"/>
      <c r="K3024" s="129"/>
      <c r="L3024" s="129"/>
      <c r="M3024" s="129"/>
      <c r="N3024" s="129"/>
      <c r="O3024" s="129"/>
      <c r="P3024" s="129"/>
      <c r="Q3024" s="129"/>
      <c r="R3024" s="129"/>
      <c r="S3024" s="129"/>
      <c r="T3024" s="129"/>
      <c r="U3024" s="129"/>
      <c r="V3024" s="129"/>
      <c r="W3024" s="129"/>
      <c r="X3024" s="129"/>
      <c r="Y3024" s="129"/>
      <c r="Z3024" s="129"/>
      <c r="AA3024" s="129"/>
      <c r="AB3024" s="129"/>
    </row>
    <row r="3025" hidden="1">
      <c r="A3025" s="150" t="s">
        <v>1179</v>
      </c>
      <c r="B3025" s="147">
        <v>4110.0</v>
      </c>
      <c r="C3025" s="147">
        <v>4973.0</v>
      </c>
      <c r="D3025" s="132">
        <f t="shared" si="252"/>
        <v>863</v>
      </c>
      <c r="E3025" s="171" t="s">
        <v>120</v>
      </c>
      <c r="F3025" s="132"/>
      <c r="G3025" s="129"/>
      <c r="H3025" s="129"/>
      <c r="I3025" s="129"/>
      <c r="J3025" s="129"/>
      <c r="K3025" s="129"/>
      <c r="L3025" s="129"/>
      <c r="M3025" s="129"/>
      <c r="N3025" s="129"/>
      <c r="O3025" s="129"/>
      <c r="P3025" s="129"/>
      <c r="Q3025" s="129"/>
      <c r="R3025" s="129"/>
      <c r="S3025" s="129"/>
      <c r="T3025" s="129"/>
      <c r="U3025" s="129"/>
      <c r="V3025" s="129"/>
      <c r="W3025" s="129"/>
      <c r="X3025" s="129"/>
      <c r="Y3025" s="129"/>
      <c r="Z3025" s="129"/>
      <c r="AA3025" s="129"/>
      <c r="AB3025" s="129"/>
    </row>
    <row r="3026" hidden="1">
      <c r="A3026" s="128" t="s">
        <v>1472</v>
      </c>
      <c r="B3026" s="124">
        <v>0.0</v>
      </c>
      <c r="C3026" s="124">
        <v>0.0</v>
      </c>
      <c r="D3026" s="132">
        <f t="shared" si="252"/>
        <v>0</v>
      </c>
      <c r="E3026" s="126" t="s">
        <v>123</v>
      </c>
      <c r="F3026" s="139"/>
      <c r="G3026" s="129"/>
      <c r="H3026" s="129"/>
      <c r="I3026" s="129"/>
      <c r="J3026" s="129"/>
      <c r="K3026" s="129"/>
      <c r="L3026" s="129"/>
      <c r="M3026" s="129"/>
      <c r="N3026" s="129"/>
      <c r="O3026" s="129"/>
      <c r="P3026" s="129"/>
      <c r="Q3026" s="129"/>
      <c r="R3026" s="129"/>
      <c r="S3026" s="129"/>
      <c r="T3026" s="129"/>
      <c r="U3026" s="129"/>
      <c r="V3026" s="129"/>
      <c r="W3026" s="129"/>
      <c r="X3026" s="129"/>
      <c r="Y3026" s="129"/>
      <c r="Z3026" s="129"/>
      <c r="AA3026" s="129"/>
      <c r="AB3026" s="129"/>
    </row>
    <row r="3027" hidden="1">
      <c r="A3027" s="128" t="s">
        <v>1472</v>
      </c>
      <c r="B3027" s="124">
        <v>0.0</v>
      </c>
      <c r="C3027" s="124">
        <v>0.0</v>
      </c>
      <c r="D3027" s="132">
        <f t="shared" si="252"/>
        <v>0</v>
      </c>
      <c r="E3027" s="126" t="s">
        <v>123</v>
      </c>
      <c r="F3027" s="139"/>
      <c r="G3027" s="129"/>
      <c r="H3027" s="129"/>
      <c r="I3027" s="129"/>
      <c r="J3027" s="129"/>
      <c r="K3027" s="129"/>
      <c r="L3027" s="129"/>
      <c r="M3027" s="129"/>
      <c r="N3027" s="129"/>
      <c r="O3027" s="129"/>
      <c r="P3027" s="129"/>
      <c r="Q3027" s="129"/>
      <c r="R3027" s="129"/>
      <c r="S3027" s="129"/>
      <c r="T3027" s="129"/>
      <c r="U3027" s="129"/>
      <c r="V3027" s="129"/>
      <c r="W3027" s="129"/>
      <c r="X3027" s="129"/>
      <c r="Y3027" s="129"/>
      <c r="Z3027" s="129"/>
      <c r="AA3027" s="129"/>
      <c r="AB3027" s="129"/>
    </row>
    <row r="3028" hidden="1">
      <c r="A3028" s="128" t="s">
        <v>1472</v>
      </c>
      <c r="B3028" s="124">
        <v>0.0</v>
      </c>
      <c r="C3028" s="124">
        <v>0.0</v>
      </c>
      <c r="D3028" s="132">
        <f t="shared" si="252"/>
        <v>0</v>
      </c>
      <c r="E3028" s="126" t="s">
        <v>123</v>
      </c>
      <c r="F3028" s="139"/>
      <c r="G3028" s="129"/>
      <c r="H3028" s="129"/>
      <c r="I3028" s="129"/>
      <c r="J3028" s="129"/>
      <c r="K3028" s="129"/>
      <c r="L3028" s="129"/>
      <c r="M3028" s="129"/>
      <c r="N3028" s="129"/>
      <c r="O3028" s="129"/>
      <c r="P3028" s="129"/>
      <c r="Q3028" s="129"/>
      <c r="R3028" s="129"/>
      <c r="S3028" s="129"/>
      <c r="T3028" s="129"/>
      <c r="U3028" s="129"/>
      <c r="V3028" s="129"/>
      <c r="W3028" s="129"/>
      <c r="X3028" s="129"/>
      <c r="Y3028" s="129"/>
      <c r="Z3028" s="129"/>
      <c r="AA3028" s="129"/>
      <c r="AB3028" s="129"/>
    </row>
    <row r="3029" hidden="1">
      <c r="A3029" s="128" t="s">
        <v>1209</v>
      </c>
      <c r="B3029" s="147">
        <v>1350.0</v>
      </c>
      <c r="C3029" s="147">
        <v>1508.0</v>
      </c>
      <c r="D3029" s="132">
        <f t="shared" si="252"/>
        <v>158</v>
      </c>
      <c r="E3029" s="126" t="s">
        <v>123</v>
      </c>
      <c r="F3029" s="132"/>
      <c r="G3029" s="129"/>
      <c r="H3029" s="129"/>
      <c r="I3029" s="129"/>
      <c r="J3029" s="129"/>
      <c r="K3029" s="129"/>
      <c r="L3029" s="129"/>
      <c r="M3029" s="129"/>
      <c r="N3029" s="129"/>
      <c r="O3029" s="129"/>
      <c r="P3029" s="129"/>
      <c r="Q3029" s="129"/>
      <c r="R3029" s="129"/>
      <c r="S3029" s="129"/>
      <c r="T3029" s="129"/>
      <c r="U3029" s="129"/>
      <c r="V3029" s="129"/>
      <c r="W3029" s="129"/>
      <c r="X3029" s="129"/>
      <c r="Y3029" s="129"/>
      <c r="Z3029" s="129"/>
      <c r="AA3029" s="129"/>
      <c r="AB3029" s="129"/>
    </row>
    <row r="3030" hidden="1">
      <c r="A3030" s="128" t="s">
        <v>551</v>
      </c>
      <c r="B3030" s="147">
        <v>750.0</v>
      </c>
      <c r="C3030" s="147">
        <v>758.0</v>
      </c>
      <c r="D3030" s="132">
        <f t="shared" si="252"/>
        <v>8</v>
      </c>
      <c r="E3030" s="171" t="s">
        <v>120</v>
      </c>
      <c r="F3030" s="128"/>
      <c r="G3030" s="129"/>
      <c r="H3030" s="129"/>
      <c r="I3030" s="129"/>
      <c r="J3030" s="129"/>
      <c r="K3030" s="129"/>
      <c r="L3030" s="129"/>
      <c r="M3030" s="129"/>
      <c r="N3030" s="129"/>
      <c r="O3030" s="129"/>
      <c r="P3030" s="129"/>
      <c r="Q3030" s="129"/>
      <c r="R3030" s="129"/>
      <c r="S3030" s="129"/>
      <c r="T3030" s="129"/>
      <c r="U3030" s="129"/>
      <c r="V3030" s="129"/>
      <c r="W3030" s="129"/>
      <c r="X3030" s="129"/>
      <c r="Y3030" s="129"/>
      <c r="Z3030" s="129"/>
      <c r="AA3030" s="129"/>
      <c r="AB3030" s="129"/>
    </row>
    <row r="3031" hidden="1">
      <c r="A3031" s="128" t="s">
        <v>1472</v>
      </c>
      <c r="B3031" s="124">
        <v>1980.0</v>
      </c>
      <c r="C3031" s="124">
        <v>2443.0</v>
      </c>
      <c r="D3031" s="132">
        <f t="shared" si="252"/>
        <v>463</v>
      </c>
      <c r="E3031" s="126" t="s">
        <v>123</v>
      </c>
      <c r="F3031" s="139"/>
      <c r="G3031" s="129"/>
      <c r="H3031" s="129"/>
      <c r="I3031" s="129"/>
      <c r="J3031" s="129"/>
      <c r="K3031" s="129"/>
      <c r="L3031" s="129"/>
      <c r="M3031" s="129"/>
      <c r="N3031" s="129"/>
      <c r="O3031" s="129"/>
      <c r="P3031" s="129"/>
      <c r="Q3031" s="129"/>
      <c r="R3031" s="129"/>
      <c r="S3031" s="129"/>
      <c r="T3031" s="129"/>
      <c r="U3031" s="129"/>
      <c r="V3031" s="129"/>
      <c r="W3031" s="129"/>
      <c r="X3031" s="129"/>
      <c r="Y3031" s="129"/>
      <c r="Z3031" s="129"/>
      <c r="AA3031" s="129"/>
      <c r="AB3031" s="129"/>
    </row>
    <row r="3032" hidden="1">
      <c r="A3032" s="128" t="s">
        <v>1472</v>
      </c>
      <c r="B3032" s="124">
        <v>0.0</v>
      </c>
      <c r="C3032" s="124">
        <v>0.0</v>
      </c>
      <c r="D3032" s="132">
        <f t="shared" si="252"/>
        <v>0</v>
      </c>
      <c r="E3032" s="126" t="s">
        <v>123</v>
      </c>
      <c r="F3032" s="139"/>
      <c r="G3032" s="129"/>
      <c r="H3032" s="129"/>
      <c r="I3032" s="129"/>
      <c r="J3032" s="129"/>
      <c r="K3032" s="129"/>
      <c r="L3032" s="129"/>
      <c r="M3032" s="129"/>
      <c r="N3032" s="129"/>
      <c r="O3032" s="129"/>
      <c r="P3032" s="129"/>
      <c r="Q3032" s="129"/>
      <c r="R3032" s="129"/>
      <c r="S3032" s="129"/>
      <c r="T3032" s="129"/>
      <c r="U3032" s="129"/>
      <c r="V3032" s="129"/>
      <c r="W3032" s="129"/>
      <c r="X3032" s="129"/>
      <c r="Y3032" s="129"/>
      <c r="Z3032" s="129"/>
      <c r="AA3032" s="129"/>
      <c r="AB3032" s="129"/>
    </row>
    <row r="3033" hidden="1">
      <c r="A3033" s="128" t="s">
        <v>1470</v>
      </c>
      <c r="B3033" s="124">
        <v>990.0</v>
      </c>
      <c r="C3033" s="124">
        <v>1228.0</v>
      </c>
      <c r="D3033" s="132">
        <f t="shared" si="252"/>
        <v>238</v>
      </c>
      <c r="E3033" s="126" t="s">
        <v>123</v>
      </c>
      <c r="F3033" s="139"/>
      <c r="G3033" s="129"/>
      <c r="H3033" s="129"/>
      <c r="I3033" s="129"/>
      <c r="J3033" s="129"/>
      <c r="K3033" s="129"/>
      <c r="L3033" s="129"/>
      <c r="M3033" s="129"/>
      <c r="N3033" s="129"/>
      <c r="O3033" s="129"/>
      <c r="P3033" s="129"/>
      <c r="Q3033" s="129"/>
      <c r="R3033" s="129"/>
      <c r="S3033" s="129"/>
      <c r="T3033" s="129"/>
      <c r="U3033" s="129"/>
      <c r="V3033" s="129"/>
      <c r="W3033" s="129"/>
      <c r="X3033" s="129"/>
      <c r="Y3033" s="129"/>
      <c r="Z3033" s="129"/>
      <c r="AA3033" s="129"/>
      <c r="AB3033" s="129"/>
    </row>
    <row r="3034" hidden="1">
      <c r="A3034" s="128" t="s">
        <v>1148</v>
      </c>
      <c r="B3034" s="147">
        <v>750.0</v>
      </c>
      <c r="C3034" s="147">
        <v>754.0</v>
      </c>
      <c r="D3034" s="132">
        <f t="shared" si="252"/>
        <v>4</v>
      </c>
      <c r="E3034" s="126" t="s">
        <v>123</v>
      </c>
      <c r="F3034" s="147"/>
      <c r="G3034" s="129"/>
      <c r="H3034" s="129"/>
      <c r="I3034" s="129"/>
      <c r="J3034" s="129"/>
      <c r="K3034" s="129"/>
      <c r="L3034" s="129"/>
      <c r="M3034" s="129"/>
      <c r="N3034" s="129"/>
      <c r="O3034" s="129"/>
      <c r="P3034" s="129"/>
      <c r="Q3034" s="129"/>
      <c r="R3034" s="129"/>
      <c r="S3034" s="129"/>
      <c r="T3034" s="129"/>
      <c r="U3034" s="129"/>
      <c r="V3034" s="129"/>
      <c r="W3034" s="129"/>
      <c r="X3034" s="129"/>
      <c r="Y3034" s="129"/>
      <c r="Z3034" s="129"/>
      <c r="AA3034" s="129"/>
      <c r="AB3034" s="129"/>
    </row>
    <row r="3035" hidden="1">
      <c r="A3035" s="128" t="s">
        <v>1473</v>
      </c>
      <c r="B3035" s="147">
        <v>10000.0</v>
      </c>
      <c r="C3035" s="147">
        <v>10895.0</v>
      </c>
      <c r="D3035" s="132">
        <f t="shared" si="252"/>
        <v>895</v>
      </c>
      <c r="E3035" s="147" t="s">
        <v>1311</v>
      </c>
      <c r="F3035" s="139"/>
      <c r="G3035" s="129"/>
      <c r="H3035" s="129"/>
      <c r="I3035" s="129"/>
      <c r="J3035" s="129"/>
      <c r="K3035" s="129"/>
      <c r="L3035" s="129"/>
      <c r="M3035" s="129"/>
      <c r="N3035" s="129"/>
      <c r="O3035" s="129"/>
      <c r="P3035" s="129"/>
      <c r="Q3035" s="129"/>
      <c r="R3035" s="129"/>
      <c r="S3035" s="129"/>
      <c r="T3035" s="129"/>
      <c r="U3035" s="129"/>
      <c r="V3035" s="129"/>
      <c r="W3035" s="129"/>
      <c r="X3035" s="129"/>
      <c r="Y3035" s="129"/>
      <c r="Z3035" s="129"/>
      <c r="AA3035" s="129"/>
      <c r="AB3035" s="129"/>
    </row>
    <row r="3036" hidden="1">
      <c r="A3036" s="128" t="s">
        <v>1093</v>
      </c>
      <c r="B3036" s="147">
        <v>1390.0</v>
      </c>
      <c r="C3036" s="147">
        <v>1519.0</v>
      </c>
      <c r="D3036" s="132">
        <f t="shared" si="252"/>
        <v>129</v>
      </c>
      <c r="E3036" s="171" t="s">
        <v>120</v>
      </c>
      <c r="F3036" s="139"/>
      <c r="G3036" s="129"/>
      <c r="H3036" s="129"/>
      <c r="I3036" s="129"/>
      <c r="J3036" s="129"/>
      <c r="K3036" s="129"/>
      <c r="L3036" s="129"/>
      <c r="M3036" s="129"/>
      <c r="N3036" s="129"/>
      <c r="O3036" s="129"/>
      <c r="P3036" s="129"/>
      <c r="Q3036" s="129"/>
      <c r="R3036" s="129"/>
      <c r="S3036" s="129"/>
      <c r="T3036" s="129"/>
      <c r="U3036" s="129"/>
      <c r="V3036" s="129"/>
      <c r="W3036" s="129"/>
      <c r="X3036" s="129"/>
      <c r="Y3036" s="129"/>
      <c r="Z3036" s="129"/>
      <c r="AA3036" s="129"/>
      <c r="AB3036" s="129"/>
    </row>
    <row r="3037" hidden="1">
      <c r="A3037" s="123" t="s">
        <v>370</v>
      </c>
      <c r="B3037" s="124">
        <v>3850.0</v>
      </c>
      <c r="C3037" s="124">
        <v>4432.0</v>
      </c>
      <c r="D3037" s="125">
        <f t="shared" si="252"/>
        <v>582</v>
      </c>
      <c r="E3037" s="126" t="s">
        <v>123</v>
      </c>
      <c r="F3037" s="124"/>
    </row>
    <row r="3038" hidden="1">
      <c r="A3038" s="128" t="s">
        <v>126</v>
      </c>
      <c r="B3038" s="147">
        <v>1750.0</v>
      </c>
      <c r="C3038" s="147">
        <v>2181.0</v>
      </c>
      <c r="D3038" s="132">
        <f t="shared" si="252"/>
        <v>431</v>
      </c>
      <c r="E3038" s="126" t="s">
        <v>123</v>
      </c>
      <c r="F3038" s="139"/>
      <c r="G3038" s="129"/>
      <c r="H3038" s="129"/>
      <c r="I3038" s="129"/>
      <c r="J3038" s="129"/>
      <c r="K3038" s="129"/>
      <c r="L3038" s="129"/>
      <c r="M3038" s="129"/>
      <c r="N3038" s="129"/>
      <c r="O3038" s="129"/>
      <c r="P3038" s="129"/>
      <c r="Q3038" s="129"/>
      <c r="R3038" s="129"/>
      <c r="S3038" s="129"/>
      <c r="T3038" s="129"/>
      <c r="U3038" s="129"/>
      <c r="V3038" s="129"/>
      <c r="W3038" s="129"/>
      <c r="X3038" s="129"/>
      <c r="Y3038" s="129"/>
      <c r="Z3038" s="129"/>
      <c r="AA3038" s="129"/>
      <c r="AB3038" s="129"/>
    </row>
    <row r="3039" hidden="1">
      <c r="A3039" s="128" t="s">
        <v>1148</v>
      </c>
      <c r="B3039" s="147">
        <v>750.0</v>
      </c>
      <c r="C3039" s="147">
        <v>757.0</v>
      </c>
      <c r="D3039" s="132">
        <f t="shared" si="252"/>
        <v>7</v>
      </c>
      <c r="E3039" s="126" t="s">
        <v>123</v>
      </c>
      <c r="F3039" s="147"/>
      <c r="G3039" s="129"/>
      <c r="H3039" s="129"/>
      <c r="I3039" s="129"/>
      <c r="J3039" s="129"/>
      <c r="K3039" s="129"/>
      <c r="L3039" s="129"/>
      <c r="M3039" s="129"/>
      <c r="N3039" s="129"/>
      <c r="O3039" s="129"/>
      <c r="P3039" s="129"/>
      <c r="Q3039" s="129"/>
      <c r="R3039" s="129"/>
      <c r="S3039" s="129"/>
      <c r="T3039" s="129"/>
      <c r="U3039" s="129"/>
      <c r="V3039" s="129"/>
      <c r="W3039" s="129"/>
      <c r="X3039" s="129"/>
      <c r="Y3039" s="129"/>
      <c r="Z3039" s="129"/>
      <c r="AA3039" s="129"/>
      <c r="AB3039" s="129"/>
    </row>
    <row r="3040" hidden="1">
      <c r="A3040" s="150" t="s">
        <v>1440</v>
      </c>
      <c r="B3040" s="147">
        <v>750.0</v>
      </c>
      <c r="C3040" s="147">
        <v>758.0</v>
      </c>
      <c r="D3040" s="132">
        <f t="shared" si="252"/>
        <v>8</v>
      </c>
      <c r="E3040" s="171" t="s">
        <v>120</v>
      </c>
      <c r="F3040" s="132"/>
      <c r="G3040" s="129"/>
      <c r="H3040" s="129"/>
      <c r="I3040" s="129"/>
      <c r="J3040" s="129"/>
      <c r="K3040" s="129"/>
      <c r="L3040" s="129"/>
      <c r="M3040" s="129"/>
      <c r="N3040" s="129"/>
      <c r="O3040" s="129"/>
      <c r="P3040" s="129"/>
      <c r="Q3040" s="129"/>
      <c r="R3040" s="129"/>
      <c r="S3040" s="129"/>
      <c r="T3040" s="129"/>
      <c r="U3040" s="129"/>
      <c r="V3040" s="129"/>
      <c r="W3040" s="129"/>
      <c r="X3040" s="129"/>
      <c r="Y3040" s="129"/>
      <c r="Z3040" s="129"/>
      <c r="AA3040" s="129"/>
      <c r="AB3040" s="129"/>
    </row>
    <row r="3041" hidden="1">
      <c r="A3041" s="128" t="s">
        <v>1466</v>
      </c>
      <c r="B3041" s="147">
        <v>2750.0</v>
      </c>
      <c r="C3041" s="147">
        <v>2951.0</v>
      </c>
      <c r="D3041" s="132">
        <f t="shared" si="252"/>
        <v>201</v>
      </c>
      <c r="E3041" s="171" t="s">
        <v>120</v>
      </c>
      <c r="F3041" s="139"/>
      <c r="G3041" s="150"/>
      <c r="H3041" s="129"/>
      <c r="I3041" s="129"/>
      <c r="J3041" s="129"/>
      <c r="K3041" s="129"/>
      <c r="L3041" s="129"/>
      <c r="M3041" s="129"/>
      <c r="N3041" s="129"/>
      <c r="O3041" s="129"/>
      <c r="P3041" s="129"/>
      <c r="Q3041" s="129"/>
      <c r="R3041" s="129"/>
      <c r="S3041" s="129"/>
      <c r="T3041" s="129"/>
      <c r="U3041" s="129"/>
      <c r="V3041" s="129"/>
      <c r="W3041" s="129"/>
      <c r="X3041" s="129"/>
      <c r="Y3041" s="129"/>
      <c r="Z3041" s="129"/>
      <c r="AA3041" s="129"/>
      <c r="AB3041" s="129"/>
    </row>
    <row r="3042" hidden="1">
      <c r="A3042" s="128" t="s">
        <v>1466</v>
      </c>
      <c r="B3042" s="147">
        <v>0.0</v>
      </c>
      <c r="C3042" s="147">
        <v>0.0</v>
      </c>
      <c r="D3042" s="132">
        <f t="shared" si="252"/>
        <v>0</v>
      </c>
      <c r="E3042" s="171" t="s">
        <v>120</v>
      </c>
      <c r="F3042" s="139"/>
      <c r="G3042" s="150"/>
      <c r="H3042" s="129"/>
      <c r="I3042" s="129"/>
      <c r="J3042" s="129"/>
      <c r="K3042" s="129"/>
      <c r="L3042" s="129"/>
      <c r="M3042" s="129"/>
      <c r="N3042" s="129"/>
      <c r="O3042" s="129"/>
      <c r="P3042" s="129"/>
      <c r="Q3042" s="129"/>
      <c r="R3042" s="129"/>
      <c r="S3042" s="129"/>
      <c r="T3042" s="129"/>
      <c r="U3042" s="129"/>
      <c r="V3042" s="129"/>
      <c r="W3042" s="129"/>
      <c r="X3042" s="129"/>
      <c r="Y3042" s="129"/>
      <c r="Z3042" s="129"/>
      <c r="AA3042" s="129"/>
      <c r="AB3042" s="129"/>
    </row>
    <row r="3043" hidden="1">
      <c r="A3043" s="128" t="s">
        <v>404</v>
      </c>
      <c r="B3043" s="147">
        <v>1290.0</v>
      </c>
      <c r="C3043" s="147">
        <v>1449.0</v>
      </c>
      <c r="D3043" s="132">
        <f t="shared" si="252"/>
        <v>159</v>
      </c>
      <c r="E3043" s="126" t="s">
        <v>123</v>
      </c>
      <c r="F3043" s="124"/>
      <c r="G3043" s="129"/>
      <c r="H3043" s="129"/>
      <c r="I3043" s="129"/>
      <c r="J3043" s="129"/>
      <c r="K3043" s="129"/>
      <c r="L3043" s="129"/>
      <c r="M3043" s="129"/>
      <c r="N3043" s="129"/>
      <c r="O3043" s="129"/>
      <c r="P3043" s="129"/>
      <c r="Q3043" s="129"/>
      <c r="R3043" s="129"/>
      <c r="S3043" s="129"/>
      <c r="T3043" s="129"/>
      <c r="U3043" s="129"/>
      <c r="V3043" s="129"/>
      <c r="W3043" s="129"/>
      <c r="X3043" s="129"/>
      <c r="Y3043" s="129"/>
      <c r="Z3043" s="129"/>
      <c r="AA3043" s="129"/>
      <c r="AB3043" s="129"/>
    </row>
    <row r="3044" hidden="1">
      <c r="A3044" s="128" t="s">
        <v>1350</v>
      </c>
      <c r="B3044" s="147">
        <v>1290.0</v>
      </c>
      <c r="C3044" s="147">
        <v>1447.0</v>
      </c>
      <c r="D3044" s="132">
        <f t="shared" si="252"/>
        <v>157</v>
      </c>
      <c r="E3044" s="171" t="s">
        <v>120</v>
      </c>
      <c r="F3044" s="132"/>
      <c r="G3044" s="129"/>
      <c r="H3044" s="129"/>
      <c r="I3044" s="129"/>
      <c r="J3044" s="129"/>
      <c r="K3044" s="129"/>
      <c r="L3044" s="129"/>
      <c r="M3044" s="129"/>
      <c r="N3044" s="129"/>
      <c r="O3044" s="129"/>
      <c r="P3044" s="129"/>
      <c r="Q3044" s="129"/>
      <c r="R3044" s="129"/>
      <c r="S3044" s="129"/>
      <c r="T3044" s="129"/>
      <c r="U3044" s="129"/>
      <c r="V3044" s="129"/>
      <c r="W3044" s="129"/>
      <c r="X3044" s="129"/>
      <c r="Y3044" s="129"/>
      <c r="Z3044" s="129"/>
      <c r="AA3044" s="129"/>
      <c r="AB3044" s="129"/>
    </row>
    <row r="3045" hidden="1">
      <c r="A3045" s="128" t="s">
        <v>1474</v>
      </c>
      <c r="B3045" s="147">
        <v>650.0</v>
      </c>
      <c r="C3045" s="147">
        <v>753.0</v>
      </c>
      <c r="D3045" s="132">
        <f t="shared" si="252"/>
        <v>103</v>
      </c>
      <c r="E3045" s="171" t="s">
        <v>120</v>
      </c>
      <c r="F3045" s="147"/>
      <c r="G3045" s="129"/>
      <c r="H3045" s="129"/>
      <c r="I3045" s="129"/>
      <c r="J3045" s="129"/>
      <c r="K3045" s="129"/>
      <c r="L3045" s="129"/>
      <c r="M3045" s="129"/>
      <c r="N3045" s="129"/>
      <c r="O3045" s="129"/>
      <c r="P3045" s="129"/>
      <c r="Q3045" s="129"/>
      <c r="R3045" s="129"/>
      <c r="S3045" s="129"/>
      <c r="T3045" s="129"/>
      <c r="U3045" s="129"/>
      <c r="V3045" s="129"/>
      <c r="W3045" s="129"/>
      <c r="X3045" s="129"/>
      <c r="Y3045" s="129"/>
      <c r="Z3045" s="129"/>
      <c r="AA3045" s="129"/>
      <c r="AB3045" s="129"/>
    </row>
    <row r="3046" hidden="1">
      <c r="A3046" s="128" t="s">
        <v>1475</v>
      </c>
      <c r="B3046" s="147">
        <v>15150.0</v>
      </c>
      <c r="C3046" s="147">
        <v>16250.0</v>
      </c>
      <c r="D3046" s="132">
        <f t="shared" si="252"/>
        <v>1100</v>
      </c>
      <c r="E3046" s="147" t="s">
        <v>1311</v>
      </c>
      <c r="F3046" s="139"/>
      <c r="G3046" s="129"/>
      <c r="H3046" s="129"/>
      <c r="I3046" s="129"/>
      <c r="J3046" s="129"/>
      <c r="K3046" s="129"/>
      <c r="L3046" s="129"/>
      <c r="M3046" s="129"/>
      <c r="N3046" s="129"/>
      <c r="O3046" s="129"/>
      <c r="P3046" s="129"/>
      <c r="Q3046" s="129"/>
      <c r="R3046" s="129"/>
      <c r="S3046" s="129"/>
      <c r="T3046" s="129"/>
      <c r="U3046" s="129"/>
      <c r="V3046" s="129"/>
      <c r="W3046" s="129"/>
      <c r="X3046" s="129"/>
      <c r="Y3046" s="129"/>
      <c r="Z3046" s="129"/>
      <c r="AA3046" s="129"/>
      <c r="AB3046" s="129"/>
    </row>
    <row r="3047" hidden="1">
      <c r="A3047" s="128" t="s">
        <v>1093</v>
      </c>
      <c r="B3047" s="147">
        <v>0.0</v>
      </c>
      <c r="C3047" s="147">
        <v>0.0</v>
      </c>
      <c r="D3047" s="132">
        <f t="shared" si="252"/>
        <v>0</v>
      </c>
      <c r="E3047" s="171" t="s">
        <v>120</v>
      </c>
      <c r="F3047" s="139"/>
      <c r="G3047" s="129"/>
      <c r="H3047" s="129"/>
      <c r="I3047" s="129"/>
      <c r="J3047" s="129"/>
      <c r="K3047" s="129"/>
      <c r="L3047" s="129"/>
      <c r="M3047" s="129"/>
      <c r="N3047" s="129"/>
      <c r="O3047" s="129"/>
      <c r="P3047" s="129"/>
      <c r="Q3047" s="129"/>
      <c r="R3047" s="129"/>
      <c r="S3047" s="129"/>
      <c r="T3047" s="129"/>
      <c r="U3047" s="129"/>
      <c r="V3047" s="129"/>
      <c r="W3047" s="129"/>
      <c r="X3047" s="129"/>
      <c r="Y3047" s="129"/>
      <c r="Z3047" s="129"/>
      <c r="AA3047" s="129"/>
      <c r="AB3047" s="129"/>
    </row>
    <row r="3048" hidden="1">
      <c r="A3048" s="128" t="s">
        <v>1140</v>
      </c>
      <c r="B3048" s="147">
        <v>0.0</v>
      </c>
      <c r="C3048" s="147">
        <v>0.0</v>
      </c>
      <c r="D3048" s="132">
        <f t="shared" si="252"/>
        <v>0</v>
      </c>
      <c r="E3048" s="171" t="s">
        <v>120</v>
      </c>
      <c r="F3048" s="139"/>
      <c r="G3048" s="129"/>
      <c r="H3048" s="129"/>
      <c r="I3048" s="129"/>
      <c r="J3048" s="129"/>
      <c r="K3048" s="129"/>
      <c r="L3048" s="129"/>
      <c r="M3048" s="129"/>
      <c r="N3048" s="129"/>
      <c r="O3048" s="129"/>
      <c r="P3048" s="129"/>
      <c r="Q3048" s="129"/>
      <c r="R3048" s="129"/>
      <c r="S3048" s="129"/>
      <c r="T3048" s="129"/>
      <c r="U3048" s="129"/>
      <c r="V3048" s="129"/>
      <c r="W3048" s="129"/>
      <c r="X3048" s="129"/>
      <c r="Y3048" s="129"/>
      <c r="Z3048" s="129"/>
      <c r="AA3048" s="129"/>
      <c r="AB3048" s="129"/>
    </row>
    <row r="3049" hidden="1">
      <c r="A3049" s="142" t="s">
        <v>1476</v>
      </c>
      <c r="B3049" s="147">
        <v>0.0</v>
      </c>
      <c r="C3049" s="147">
        <v>0.0</v>
      </c>
      <c r="D3049" s="132">
        <f t="shared" si="252"/>
        <v>0</v>
      </c>
      <c r="E3049" s="147" t="s">
        <v>123</v>
      </c>
      <c r="F3049" s="139"/>
      <c r="G3049" s="129"/>
      <c r="H3049" s="129"/>
      <c r="I3049" s="129"/>
      <c r="J3049" s="129"/>
      <c r="K3049" s="129"/>
      <c r="L3049" s="129"/>
      <c r="M3049" s="129"/>
      <c r="N3049" s="129"/>
      <c r="O3049" s="129"/>
      <c r="P3049" s="129"/>
      <c r="Q3049" s="129"/>
      <c r="R3049" s="129"/>
      <c r="S3049" s="129"/>
      <c r="T3049" s="129"/>
      <c r="U3049" s="129"/>
      <c r="V3049" s="129"/>
      <c r="W3049" s="129"/>
      <c r="X3049" s="129"/>
      <c r="Y3049" s="129"/>
      <c r="Z3049" s="129"/>
      <c r="AA3049" s="129"/>
      <c r="AB3049" s="129"/>
    </row>
    <row r="3050" hidden="1">
      <c r="A3050" s="150" t="s">
        <v>1440</v>
      </c>
      <c r="B3050" s="147">
        <v>750.0</v>
      </c>
      <c r="C3050" s="147">
        <v>758.0</v>
      </c>
      <c r="D3050" s="132">
        <f t="shared" si="252"/>
        <v>8</v>
      </c>
      <c r="E3050" s="171" t="s">
        <v>120</v>
      </c>
      <c r="F3050" s="132"/>
      <c r="G3050" s="129"/>
      <c r="H3050" s="129"/>
      <c r="I3050" s="129"/>
      <c r="J3050" s="129"/>
      <c r="K3050" s="129"/>
      <c r="L3050" s="129"/>
      <c r="M3050" s="129"/>
      <c r="N3050" s="129"/>
      <c r="O3050" s="129"/>
      <c r="P3050" s="129"/>
      <c r="Q3050" s="129"/>
      <c r="R3050" s="129"/>
      <c r="S3050" s="129"/>
      <c r="T3050" s="129"/>
      <c r="U3050" s="129"/>
      <c r="V3050" s="129"/>
      <c r="W3050" s="129"/>
      <c r="X3050" s="129"/>
      <c r="Y3050" s="129"/>
      <c r="Z3050" s="129"/>
      <c r="AA3050" s="129"/>
      <c r="AB3050" s="129"/>
    </row>
    <row r="3051" hidden="1">
      <c r="A3051" s="123" t="s">
        <v>1213</v>
      </c>
      <c r="B3051" s="147">
        <v>1290.0</v>
      </c>
      <c r="C3051" s="147">
        <v>1447.0</v>
      </c>
      <c r="D3051" s="132">
        <f t="shared" si="252"/>
        <v>157</v>
      </c>
      <c r="E3051" s="171" t="s">
        <v>120</v>
      </c>
      <c r="F3051" s="124"/>
    </row>
    <row r="3052" hidden="1">
      <c r="A3052" s="128" t="s">
        <v>1148</v>
      </c>
      <c r="B3052" s="147">
        <v>750.0</v>
      </c>
      <c r="C3052" s="147">
        <v>756.0</v>
      </c>
      <c r="D3052" s="132">
        <f t="shared" si="252"/>
        <v>6</v>
      </c>
      <c r="E3052" s="126" t="s">
        <v>123</v>
      </c>
      <c r="F3052" s="147"/>
      <c r="G3052" s="129"/>
      <c r="H3052" s="129"/>
      <c r="I3052" s="129"/>
      <c r="J3052" s="129"/>
      <c r="K3052" s="129"/>
      <c r="L3052" s="129"/>
      <c r="M3052" s="129"/>
      <c r="N3052" s="129"/>
      <c r="O3052" s="129"/>
      <c r="P3052" s="129"/>
      <c r="Q3052" s="129"/>
      <c r="R3052" s="129"/>
      <c r="S3052" s="129"/>
      <c r="T3052" s="129"/>
      <c r="U3052" s="129"/>
      <c r="V3052" s="129"/>
      <c r="W3052" s="129"/>
      <c r="X3052" s="129"/>
      <c r="Y3052" s="129"/>
      <c r="Z3052" s="129"/>
      <c r="AA3052" s="129"/>
      <c r="AB3052" s="129"/>
    </row>
    <row r="3053" hidden="1">
      <c r="A3053" s="150" t="s">
        <v>1179</v>
      </c>
      <c r="B3053" s="147">
        <v>1290.0</v>
      </c>
      <c r="C3053" s="147">
        <v>1447.0</v>
      </c>
      <c r="D3053" s="132">
        <f t="shared" si="252"/>
        <v>157</v>
      </c>
      <c r="E3053" s="171" t="s">
        <v>120</v>
      </c>
      <c r="F3053" s="147"/>
      <c r="G3053" s="129"/>
      <c r="H3053" s="129"/>
      <c r="I3053" s="129"/>
      <c r="J3053" s="129"/>
      <c r="K3053" s="129"/>
      <c r="L3053" s="129"/>
      <c r="M3053" s="129"/>
      <c r="N3053" s="129"/>
      <c r="O3053" s="129"/>
      <c r="P3053" s="129"/>
      <c r="Q3053" s="129"/>
      <c r="R3053" s="129"/>
      <c r="S3053" s="129"/>
      <c r="T3053" s="129"/>
      <c r="U3053" s="129"/>
      <c r="V3053" s="129"/>
      <c r="W3053" s="129"/>
      <c r="X3053" s="129"/>
      <c r="Y3053" s="129"/>
      <c r="Z3053" s="129"/>
      <c r="AA3053" s="129"/>
      <c r="AB3053" s="129"/>
    </row>
    <row r="3054" hidden="1">
      <c r="A3054" s="128" t="s">
        <v>1477</v>
      </c>
      <c r="B3054" s="147">
        <v>1390.0</v>
      </c>
      <c r="C3054" s="147">
        <v>1544.0</v>
      </c>
      <c r="D3054" s="132">
        <f t="shared" si="252"/>
        <v>154</v>
      </c>
      <c r="E3054" s="171" t="s">
        <v>120</v>
      </c>
      <c r="F3054" s="132"/>
      <c r="G3054" s="129"/>
      <c r="H3054" s="129"/>
      <c r="I3054" s="129"/>
      <c r="J3054" s="129"/>
      <c r="K3054" s="129"/>
      <c r="L3054" s="129"/>
      <c r="M3054" s="129"/>
      <c r="N3054" s="129"/>
      <c r="O3054" s="129"/>
      <c r="P3054" s="129"/>
      <c r="Q3054" s="129"/>
      <c r="R3054" s="129"/>
      <c r="S3054" s="129"/>
      <c r="T3054" s="129"/>
      <c r="U3054" s="129"/>
      <c r="V3054" s="129"/>
      <c r="W3054" s="129"/>
      <c r="X3054" s="129"/>
      <c r="Y3054" s="129"/>
      <c r="Z3054" s="129"/>
      <c r="AA3054" s="129"/>
      <c r="AB3054" s="129"/>
    </row>
    <row r="3055" hidden="1">
      <c r="A3055" s="123" t="s">
        <v>1213</v>
      </c>
      <c r="B3055" s="147">
        <v>2640.0</v>
      </c>
      <c r="C3055" s="147">
        <v>2947.0</v>
      </c>
      <c r="D3055" s="132">
        <f t="shared" si="252"/>
        <v>307</v>
      </c>
      <c r="E3055" s="171" t="s">
        <v>120</v>
      </c>
      <c r="F3055" s="124"/>
    </row>
    <row r="3056" hidden="1">
      <c r="A3056" s="128" t="s">
        <v>1477</v>
      </c>
      <c r="B3056" s="147">
        <v>0.0</v>
      </c>
      <c r="C3056" s="147">
        <v>0.0</v>
      </c>
      <c r="D3056" s="132">
        <f t="shared" si="252"/>
        <v>0</v>
      </c>
      <c r="E3056" s="171" t="s">
        <v>120</v>
      </c>
      <c r="F3056" s="132"/>
      <c r="G3056" s="129"/>
      <c r="H3056" s="129"/>
      <c r="I3056" s="129"/>
      <c r="J3056" s="129"/>
      <c r="K3056" s="129"/>
      <c r="L3056" s="129"/>
      <c r="M3056" s="129"/>
      <c r="N3056" s="129"/>
      <c r="O3056" s="129"/>
      <c r="P3056" s="129"/>
      <c r="Q3056" s="129"/>
      <c r="R3056" s="129"/>
      <c r="S3056" s="129"/>
      <c r="T3056" s="129"/>
      <c r="U3056" s="129"/>
      <c r="V3056" s="129"/>
      <c r="W3056" s="129"/>
      <c r="X3056" s="129"/>
      <c r="Y3056" s="129"/>
      <c r="Z3056" s="129"/>
      <c r="AA3056" s="129"/>
      <c r="AB3056" s="129"/>
    </row>
    <row r="3057" hidden="1">
      <c r="A3057" s="150" t="s">
        <v>1179</v>
      </c>
      <c r="B3057" s="147">
        <v>2640.0</v>
      </c>
      <c r="C3057" s="147">
        <v>2950.0</v>
      </c>
      <c r="D3057" s="132">
        <f t="shared" si="252"/>
        <v>310</v>
      </c>
      <c r="E3057" s="171" t="s">
        <v>120</v>
      </c>
      <c r="F3057" s="147"/>
      <c r="G3057" s="129"/>
      <c r="H3057" s="129"/>
      <c r="I3057" s="129"/>
      <c r="J3057" s="129"/>
      <c r="K3057" s="129"/>
      <c r="L3057" s="129"/>
      <c r="M3057" s="129"/>
      <c r="N3057" s="129"/>
      <c r="O3057" s="129"/>
      <c r="P3057" s="129"/>
      <c r="Q3057" s="129"/>
      <c r="R3057" s="129"/>
      <c r="S3057" s="129"/>
      <c r="T3057" s="129"/>
      <c r="U3057" s="129"/>
      <c r="V3057" s="129"/>
      <c r="W3057" s="129"/>
      <c r="X3057" s="129"/>
      <c r="Y3057" s="129"/>
      <c r="Z3057" s="129"/>
      <c r="AA3057" s="129"/>
      <c r="AB3057" s="129"/>
    </row>
    <row r="3058" hidden="1">
      <c r="A3058" s="123" t="s">
        <v>1213</v>
      </c>
      <c r="B3058" s="147">
        <v>0.0</v>
      </c>
      <c r="C3058" s="147">
        <v>0.0</v>
      </c>
      <c r="D3058" s="132">
        <f t="shared" si="252"/>
        <v>0</v>
      </c>
      <c r="E3058" s="171" t="s">
        <v>120</v>
      </c>
      <c r="F3058" s="124"/>
    </row>
    <row r="3059" hidden="1">
      <c r="A3059" s="128" t="s">
        <v>1478</v>
      </c>
      <c r="B3059" s="147">
        <v>1450.0</v>
      </c>
      <c r="C3059" s="147">
        <v>1544.0</v>
      </c>
      <c r="D3059" s="132">
        <f t="shared" si="252"/>
        <v>94</v>
      </c>
      <c r="E3059" s="171" t="s">
        <v>120</v>
      </c>
      <c r="F3059" s="132"/>
      <c r="G3059" s="129"/>
      <c r="H3059" s="129"/>
      <c r="I3059" s="129"/>
      <c r="J3059" s="129"/>
      <c r="K3059" s="129"/>
      <c r="L3059" s="129"/>
      <c r="M3059" s="129"/>
      <c r="N3059" s="129"/>
      <c r="O3059" s="129"/>
      <c r="P3059" s="129"/>
      <c r="Q3059" s="129"/>
      <c r="R3059" s="129"/>
      <c r="S3059" s="129"/>
      <c r="T3059" s="129"/>
      <c r="U3059" s="129"/>
      <c r="V3059" s="129"/>
      <c r="W3059" s="129"/>
      <c r="X3059" s="129"/>
      <c r="Y3059" s="129"/>
      <c r="Z3059" s="129"/>
      <c r="AA3059" s="129"/>
      <c r="AB3059" s="129"/>
    </row>
    <row r="3060" hidden="1">
      <c r="A3060" s="123" t="s">
        <v>1213</v>
      </c>
      <c r="B3060" s="147">
        <v>2640.0</v>
      </c>
      <c r="C3060" s="147">
        <v>2947.0</v>
      </c>
      <c r="D3060" s="132">
        <f t="shared" si="252"/>
        <v>307</v>
      </c>
      <c r="E3060" s="171" t="s">
        <v>120</v>
      </c>
      <c r="F3060" s="124"/>
    </row>
    <row r="3061" hidden="1">
      <c r="A3061" s="128" t="s">
        <v>1477</v>
      </c>
      <c r="B3061" s="147">
        <v>0.0</v>
      </c>
      <c r="C3061" s="147">
        <v>0.0</v>
      </c>
      <c r="D3061" s="132">
        <f t="shared" si="252"/>
        <v>0</v>
      </c>
      <c r="E3061" s="171" t="s">
        <v>120</v>
      </c>
      <c r="F3061" s="132"/>
      <c r="G3061" s="129"/>
      <c r="H3061" s="129"/>
      <c r="I3061" s="129"/>
      <c r="J3061" s="129"/>
      <c r="K3061" s="129"/>
      <c r="L3061" s="129"/>
      <c r="M3061" s="129"/>
      <c r="N3061" s="129"/>
      <c r="O3061" s="129"/>
      <c r="P3061" s="129"/>
      <c r="Q3061" s="129"/>
      <c r="R3061" s="129"/>
      <c r="S3061" s="129"/>
      <c r="T3061" s="129"/>
      <c r="U3061" s="129"/>
      <c r="V3061" s="129"/>
      <c r="W3061" s="129"/>
      <c r="X3061" s="129"/>
      <c r="Y3061" s="129"/>
      <c r="Z3061" s="129"/>
      <c r="AA3061" s="129"/>
      <c r="AB3061" s="129"/>
    </row>
    <row r="3062" hidden="1">
      <c r="A3062" s="123" t="s">
        <v>1213</v>
      </c>
      <c r="B3062" s="147">
        <v>2690.0</v>
      </c>
      <c r="C3062" s="147">
        <v>2965.0</v>
      </c>
      <c r="D3062" s="132">
        <f t="shared" si="252"/>
        <v>275</v>
      </c>
      <c r="E3062" s="171" t="s">
        <v>120</v>
      </c>
      <c r="F3062" s="124"/>
    </row>
    <row r="3063" hidden="1">
      <c r="A3063" s="128" t="s">
        <v>1466</v>
      </c>
      <c r="B3063" s="147">
        <v>0.0</v>
      </c>
      <c r="C3063" s="147">
        <v>0.0</v>
      </c>
      <c r="D3063" s="132">
        <f t="shared" si="252"/>
        <v>0</v>
      </c>
      <c r="E3063" s="171" t="s">
        <v>120</v>
      </c>
      <c r="F3063" s="139"/>
      <c r="G3063" s="150"/>
      <c r="H3063" s="129"/>
      <c r="I3063" s="129"/>
      <c r="J3063" s="129"/>
      <c r="K3063" s="129"/>
      <c r="L3063" s="129"/>
      <c r="M3063" s="129"/>
      <c r="N3063" s="129"/>
      <c r="O3063" s="129"/>
      <c r="P3063" s="129"/>
      <c r="Q3063" s="129"/>
      <c r="R3063" s="129"/>
      <c r="S3063" s="129"/>
      <c r="T3063" s="129"/>
      <c r="U3063" s="129"/>
      <c r="V3063" s="129"/>
      <c r="W3063" s="129"/>
      <c r="X3063" s="129"/>
      <c r="Y3063" s="129"/>
      <c r="Z3063" s="129"/>
      <c r="AA3063" s="129"/>
      <c r="AB3063" s="129"/>
    </row>
    <row r="3064" hidden="1">
      <c r="A3064" s="128" t="s">
        <v>1472</v>
      </c>
      <c r="B3064" s="124">
        <v>990.0</v>
      </c>
      <c r="C3064" s="124">
        <v>1224.0</v>
      </c>
      <c r="D3064" s="132">
        <f t="shared" si="252"/>
        <v>234</v>
      </c>
      <c r="E3064" s="126" t="s">
        <v>123</v>
      </c>
      <c r="F3064" s="139"/>
      <c r="G3064" s="129"/>
      <c r="H3064" s="129"/>
      <c r="I3064" s="129"/>
      <c r="J3064" s="129"/>
      <c r="K3064" s="129"/>
      <c r="L3064" s="129"/>
      <c r="M3064" s="129"/>
      <c r="N3064" s="129"/>
      <c r="O3064" s="129"/>
      <c r="P3064" s="129"/>
      <c r="Q3064" s="129"/>
      <c r="R3064" s="129"/>
      <c r="S3064" s="129"/>
      <c r="T3064" s="129"/>
      <c r="U3064" s="129"/>
      <c r="V3064" s="129"/>
      <c r="W3064" s="129"/>
      <c r="X3064" s="129"/>
      <c r="Y3064" s="129"/>
      <c r="Z3064" s="129"/>
      <c r="AA3064" s="129"/>
      <c r="AB3064" s="129"/>
    </row>
    <row r="3065" hidden="1">
      <c r="A3065" s="128" t="s">
        <v>1126</v>
      </c>
      <c r="B3065" s="147">
        <v>1050.0</v>
      </c>
      <c r="C3065" s="147">
        <v>1211.0</v>
      </c>
      <c r="D3065" s="132">
        <f t="shared" si="252"/>
        <v>161</v>
      </c>
      <c r="E3065" s="126" t="s">
        <v>123</v>
      </c>
      <c r="F3065" s="139"/>
      <c r="G3065" s="129"/>
      <c r="H3065" s="129"/>
      <c r="I3065" s="129"/>
      <c r="J3065" s="129"/>
      <c r="K3065" s="129"/>
      <c r="L3065" s="129"/>
      <c r="M3065" s="129"/>
      <c r="N3065" s="129"/>
      <c r="O3065" s="129"/>
      <c r="P3065" s="129"/>
      <c r="Q3065" s="129"/>
      <c r="R3065" s="129"/>
      <c r="S3065" s="129"/>
      <c r="T3065" s="129"/>
      <c r="U3065" s="129"/>
      <c r="V3065" s="129"/>
      <c r="W3065" s="129"/>
      <c r="X3065" s="129"/>
      <c r="Y3065" s="129"/>
      <c r="Z3065" s="129"/>
      <c r="AA3065" s="129"/>
      <c r="AB3065" s="129"/>
    </row>
    <row r="3066" hidden="1">
      <c r="A3066" s="150" t="s">
        <v>1415</v>
      </c>
      <c r="B3066" s="147">
        <v>990.0</v>
      </c>
      <c r="C3066" s="147">
        <v>990.0</v>
      </c>
      <c r="D3066" s="132">
        <f t="shared" si="252"/>
        <v>0</v>
      </c>
      <c r="E3066" s="126" t="s">
        <v>123</v>
      </c>
      <c r="F3066" s="132"/>
      <c r="G3066" s="129"/>
      <c r="H3066" s="129"/>
      <c r="I3066" s="129"/>
      <c r="J3066" s="129"/>
      <c r="K3066" s="129"/>
      <c r="L3066" s="129"/>
      <c r="M3066" s="129"/>
      <c r="N3066" s="129"/>
      <c r="O3066" s="129"/>
      <c r="P3066" s="129"/>
      <c r="Q3066" s="129"/>
      <c r="R3066" s="129"/>
      <c r="S3066" s="129"/>
      <c r="T3066" s="129"/>
      <c r="U3066" s="129"/>
      <c r="V3066" s="129"/>
      <c r="W3066" s="129"/>
      <c r="X3066" s="129"/>
      <c r="Y3066" s="129"/>
      <c r="Z3066" s="129"/>
      <c r="AA3066" s="129"/>
      <c r="AB3066" s="129"/>
    </row>
    <row r="3067" hidden="1">
      <c r="A3067" s="128" t="s">
        <v>1148</v>
      </c>
      <c r="B3067" s="147">
        <v>750.0</v>
      </c>
      <c r="C3067" s="147">
        <v>750.0</v>
      </c>
      <c r="D3067" s="132">
        <f t="shared" si="252"/>
        <v>0</v>
      </c>
      <c r="E3067" s="126" t="s">
        <v>123</v>
      </c>
      <c r="F3067" s="147"/>
      <c r="G3067" s="129"/>
      <c r="H3067" s="129"/>
      <c r="I3067" s="129"/>
      <c r="J3067" s="129"/>
      <c r="K3067" s="129"/>
      <c r="L3067" s="129"/>
      <c r="M3067" s="129"/>
      <c r="N3067" s="129"/>
      <c r="O3067" s="129"/>
      <c r="P3067" s="129"/>
      <c r="Q3067" s="129"/>
      <c r="R3067" s="129"/>
      <c r="S3067" s="129"/>
      <c r="T3067" s="129"/>
      <c r="U3067" s="129"/>
      <c r="V3067" s="129"/>
      <c r="W3067" s="129"/>
      <c r="X3067" s="129"/>
      <c r="Y3067" s="129"/>
      <c r="Z3067" s="129"/>
      <c r="AA3067" s="129"/>
      <c r="AB3067" s="129"/>
    </row>
    <row r="3068" hidden="1">
      <c r="A3068" s="129" t="s">
        <v>1180</v>
      </c>
      <c r="B3068" s="132">
        <v>1450.0</v>
      </c>
      <c r="C3068" s="132">
        <v>1650.0</v>
      </c>
      <c r="D3068" s="132">
        <f t="shared" si="252"/>
        <v>200</v>
      </c>
      <c r="E3068" s="149" t="s">
        <v>123</v>
      </c>
      <c r="F3068" s="132"/>
      <c r="G3068" s="129"/>
      <c r="H3068" s="129"/>
      <c r="I3068" s="129"/>
      <c r="J3068" s="129"/>
      <c r="K3068" s="129"/>
      <c r="L3068" s="129"/>
      <c r="M3068" s="129"/>
      <c r="N3068" s="129"/>
      <c r="O3068" s="129"/>
      <c r="P3068" s="129"/>
      <c r="Q3068" s="129"/>
      <c r="R3068" s="129"/>
      <c r="S3068" s="129"/>
      <c r="T3068" s="129"/>
      <c r="U3068" s="129"/>
      <c r="V3068" s="129"/>
      <c r="W3068" s="129"/>
      <c r="X3068" s="129"/>
      <c r="Y3068" s="129"/>
      <c r="Z3068" s="129"/>
      <c r="AA3068" s="129"/>
      <c r="AB3068" s="129"/>
    </row>
    <row r="3069" hidden="1">
      <c r="A3069" s="129" t="s">
        <v>1180</v>
      </c>
      <c r="B3069" s="132">
        <v>1450.0</v>
      </c>
      <c r="C3069" s="132">
        <v>1650.0</v>
      </c>
      <c r="D3069" s="132">
        <f t="shared" si="252"/>
        <v>200</v>
      </c>
      <c r="E3069" s="149" t="s">
        <v>123</v>
      </c>
      <c r="F3069" s="132"/>
      <c r="G3069" s="129"/>
      <c r="H3069" s="129"/>
      <c r="I3069" s="129"/>
      <c r="J3069" s="129"/>
      <c r="K3069" s="129"/>
      <c r="L3069" s="129"/>
      <c r="M3069" s="129"/>
      <c r="N3069" s="129"/>
      <c r="O3069" s="129"/>
      <c r="P3069" s="129"/>
      <c r="Q3069" s="129"/>
      <c r="R3069" s="129"/>
      <c r="S3069" s="129"/>
      <c r="T3069" s="129"/>
      <c r="U3069" s="129"/>
      <c r="V3069" s="129"/>
      <c r="W3069" s="129"/>
      <c r="X3069" s="129"/>
      <c r="Y3069" s="129"/>
      <c r="Z3069" s="129"/>
      <c r="AA3069" s="129"/>
      <c r="AB3069" s="129"/>
    </row>
    <row r="3070" hidden="1">
      <c r="A3070" s="129" t="s">
        <v>1382</v>
      </c>
      <c r="B3070" s="132">
        <v>1450.0</v>
      </c>
      <c r="C3070" s="132">
        <v>1650.0</v>
      </c>
      <c r="D3070" s="132">
        <f t="shared" si="252"/>
        <v>200</v>
      </c>
      <c r="E3070" s="149" t="s">
        <v>123</v>
      </c>
      <c r="F3070" s="132"/>
      <c r="G3070" s="129"/>
      <c r="H3070" s="129"/>
      <c r="I3070" s="129"/>
      <c r="J3070" s="129"/>
      <c r="K3070" s="129"/>
      <c r="L3070" s="129"/>
      <c r="M3070" s="129"/>
      <c r="N3070" s="129"/>
      <c r="O3070" s="129"/>
      <c r="P3070" s="129"/>
      <c r="Q3070" s="129"/>
      <c r="R3070" s="129"/>
      <c r="S3070" s="129"/>
      <c r="T3070" s="129"/>
      <c r="U3070" s="129"/>
      <c r="V3070" s="129"/>
      <c r="W3070" s="129"/>
      <c r="X3070" s="129"/>
      <c r="Y3070" s="129"/>
      <c r="Z3070" s="129"/>
      <c r="AA3070" s="129"/>
      <c r="AB3070" s="129"/>
    </row>
    <row r="3071" hidden="1">
      <c r="A3071" s="128" t="s">
        <v>1373</v>
      </c>
      <c r="B3071" s="147">
        <v>750.0</v>
      </c>
      <c r="C3071" s="147">
        <v>753.0</v>
      </c>
      <c r="D3071" s="132">
        <f t="shared" si="252"/>
        <v>3</v>
      </c>
      <c r="E3071" s="171" t="s">
        <v>120</v>
      </c>
      <c r="F3071" s="132"/>
      <c r="G3071" s="129"/>
      <c r="H3071" s="129"/>
      <c r="I3071" s="129"/>
      <c r="J3071" s="129"/>
      <c r="K3071" s="129"/>
      <c r="L3071" s="129"/>
      <c r="M3071" s="129"/>
      <c r="N3071" s="129"/>
      <c r="O3071" s="129"/>
      <c r="P3071" s="129"/>
      <c r="Q3071" s="129"/>
      <c r="R3071" s="129"/>
      <c r="S3071" s="129"/>
      <c r="T3071" s="129"/>
      <c r="U3071" s="129"/>
      <c r="V3071" s="129"/>
      <c r="W3071" s="129"/>
      <c r="X3071" s="129"/>
      <c r="Y3071" s="129"/>
      <c r="Z3071" s="129"/>
      <c r="AA3071" s="129"/>
      <c r="AB3071" s="129"/>
    </row>
    <row r="3072" hidden="1">
      <c r="A3072" s="128" t="s">
        <v>1148</v>
      </c>
      <c r="B3072" s="147">
        <v>750.0</v>
      </c>
      <c r="C3072" s="147">
        <v>754.0</v>
      </c>
      <c r="D3072" s="132">
        <f t="shared" si="252"/>
        <v>4</v>
      </c>
      <c r="E3072" s="126" t="s">
        <v>123</v>
      </c>
      <c r="F3072" s="132"/>
      <c r="G3072" s="129"/>
      <c r="H3072" s="129"/>
      <c r="I3072" s="129"/>
      <c r="J3072" s="129"/>
      <c r="K3072" s="129"/>
      <c r="L3072" s="129"/>
      <c r="M3072" s="129"/>
      <c r="N3072" s="129"/>
      <c r="O3072" s="129"/>
      <c r="P3072" s="129"/>
      <c r="Q3072" s="129"/>
      <c r="R3072" s="129"/>
      <c r="S3072" s="129"/>
      <c r="T3072" s="129"/>
      <c r="U3072" s="129"/>
      <c r="V3072" s="129"/>
      <c r="W3072" s="129"/>
      <c r="X3072" s="129"/>
      <c r="Y3072" s="129"/>
      <c r="Z3072" s="129"/>
      <c r="AA3072" s="129"/>
      <c r="AB3072" s="129"/>
    </row>
    <row r="3073" hidden="1">
      <c r="A3073" s="128" t="s">
        <v>1373</v>
      </c>
      <c r="B3073" s="147">
        <v>750.0</v>
      </c>
      <c r="C3073" s="147">
        <v>757.0</v>
      </c>
      <c r="D3073" s="132">
        <f t="shared" si="252"/>
        <v>7</v>
      </c>
      <c r="E3073" s="171" t="s">
        <v>120</v>
      </c>
      <c r="F3073" s="132"/>
      <c r="G3073" s="129"/>
      <c r="H3073" s="129"/>
      <c r="I3073" s="129"/>
      <c r="J3073" s="129"/>
      <c r="K3073" s="129"/>
      <c r="L3073" s="129"/>
      <c r="M3073" s="129"/>
      <c r="N3073" s="129"/>
      <c r="O3073" s="129"/>
      <c r="P3073" s="129"/>
      <c r="Q3073" s="129"/>
      <c r="R3073" s="129"/>
      <c r="S3073" s="129"/>
      <c r="T3073" s="129"/>
      <c r="U3073" s="129"/>
      <c r="V3073" s="129"/>
      <c r="W3073" s="129"/>
      <c r="X3073" s="129"/>
      <c r="Y3073" s="129"/>
      <c r="Z3073" s="129"/>
      <c r="AA3073" s="129"/>
      <c r="AB3073" s="129"/>
    </row>
    <row r="3074" hidden="1">
      <c r="A3074" s="128" t="s">
        <v>1382</v>
      </c>
      <c r="B3074" s="147">
        <v>1350.0</v>
      </c>
      <c r="C3074" s="147">
        <v>1509.0</v>
      </c>
      <c r="D3074" s="132">
        <f t="shared" si="252"/>
        <v>159</v>
      </c>
      <c r="E3074" s="126" t="s">
        <v>123</v>
      </c>
      <c r="F3074" s="132"/>
      <c r="G3074" s="129"/>
      <c r="H3074" s="129"/>
      <c r="I3074" s="129"/>
      <c r="J3074" s="129"/>
      <c r="K3074" s="129"/>
      <c r="L3074" s="129"/>
      <c r="M3074" s="129"/>
      <c r="N3074" s="129"/>
      <c r="O3074" s="129"/>
      <c r="P3074" s="129"/>
      <c r="Q3074" s="129"/>
      <c r="R3074" s="129"/>
      <c r="S3074" s="129"/>
      <c r="T3074" s="129"/>
      <c r="U3074" s="129"/>
      <c r="V3074" s="129"/>
      <c r="W3074" s="129"/>
      <c r="X3074" s="129"/>
      <c r="Y3074" s="129"/>
      <c r="Z3074" s="129"/>
      <c r="AA3074" s="129"/>
      <c r="AB3074" s="129"/>
    </row>
    <row r="3075" hidden="1">
      <c r="A3075" s="128" t="s">
        <v>1215</v>
      </c>
      <c r="B3075" s="147">
        <v>2580.0</v>
      </c>
      <c r="C3075" s="147">
        <v>2787.0</v>
      </c>
      <c r="D3075" s="132">
        <f t="shared" si="252"/>
        <v>207</v>
      </c>
      <c r="E3075" s="171" t="s">
        <v>120</v>
      </c>
      <c r="F3075" s="139"/>
      <c r="G3075" s="129"/>
      <c r="H3075" s="129"/>
      <c r="I3075" s="129"/>
      <c r="J3075" s="129"/>
      <c r="K3075" s="129"/>
      <c r="L3075" s="129"/>
      <c r="M3075" s="129"/>
      <c r="N3075" s="129"/>
      <c r="O3075" s="129"/>
      <c r="P3075" s="129"/>
      <c r="Q3075" s="129"/>
      <c r="R3075" s="129"/>
      <c r="S3075" s="129"/>
      <c r="T3075" s="129"/>
      <c r="U3075" s="129"/>
      <c r="V3075" s="129"/>
      <c r="W3075" s="129"/>
      <c r="X3075" s="129"/>
      <c r="Y3075" s="129"/>
      <c r="Z3075" s="129"/>
      <c r="AA3075" s="129"/>
      <c r="AB3075" s="129"/>
    </row>
    <row r="3076" hidden="1">
      <c r="A3076" s="128" t="s">
        <v>1215</v>
      </c>
      <c r="B3076" s="147">
        <v>0.0</v>
      </c>
      <c r="C3076" s="147">
        <v>0.0</v>
      </c>
      <c r="D3076" s="132">
        <f t="shared" si="252"/>
        <v>0</v>
      </c>
      <c r="E3076" s="171" t="s">
        <v>120</v>
      </c>
      <c r="F3076" s="139"/>
      <c r="G3076" s="129"/>
      <c r="H3076" s="129"/>
      <c r="I3076" s="129"/>
      <c r="J3076" s="129"/>
      <c r="K3076" s="129"/>
      <c r="L3076" s="129"/>
      <c r="M3076" s="129"/>
      <c r="N3076" s="129"/>
      <c r="O3076" s="129"/>
      <c r="P3076" s="129"/>
      <c r="Q3076" s="129"/>
      <c r="R3076" s="129"/>
      <c r="S3076" s="129"/>
      <c r="T3076" s="129"/>
      <c r="U3076" s="129"/>
      <c r="V3076" s="129"/>
      <c r="W3076" s="129"/>
      <c r="X3076" s="129"/>
      <c r="Y3076" s="129"/>
      <c r="Z3076" s="129"/>
      <c r="AA3076" s="129"/>
      <c r="AB3076" s="129"/>
    </row>
    <row r="3077" hidden="1">
      <c r="A3077" s="150" t="s">
        <v>1179</v>
      </c>
      <c r="B3077" s="147">
        <v>4620.0</v>
      </c>
      <c r="C3077" s="147">
        <v>5514.0</v>
      </c>
      <c r="D3077" s="132">
        <f t="shared" si="252"/>
        <v>894</v>
      </c>
      <c r="E3077" s="147" t="s">
        <v>120</v>
      </c>
      <c r="F3077" s="132"/>
      <c r="G3077" s="129"/>
      <c r="H3077" s="129"/>
      <c r="I3077" s="129"/>
      <c r="J3077" s="129"/>
      <c r="K3077" s="129"/>
      <c r="L3077" s="129"/>
      <c r="M3077" s="129"/>
      <c r="N3077" s="129"/>
      <c r="O3077" s="129"/>
      <c r="P3077" s="129"/>
      <c r="Q3077" s="129"/>
      <c r="R3077" s="129"/>
      <c r="S3077" s="129"/>
      <c r="T3077" s="129"/>
      <c r="U3077" s="129"/>
      <c r="V3077" s="129"/>
      <c r="W3077" s="129"/>
      <c r="X3077" s="129"/>
      <c r="Y3077" s="129"/>
      <c r="Z3077" s="129"/>
      <c r="AA3077" s="129"/>
      <c r="AB3077" s="129"/>
    </row>
    <row r="3078" hidden="1">
      <c r="A3078" s="123" t="s">
        <v>1479</v>
      </c>
      <c r="B3078" s="124">
        <v>0.0</v>
      </c>
      <c r="C3078" s="124">
        <v>0.0</v>
      </c>
      <c r="D3078" s="125">
        <f t="shared" si="252"/>
        <v>0</v>
      </c>
      <c r="E3078" s="171" t="s">
        <v>123</v>
      </c>
      <c r="F3078" s="124"/>
    </row>
    <row r="3079" hidden="1">
      <c r="A3079" s="128" t="s">
        <v>1140</v>
      </c>
      <c r="B3079" s="147">
        <v>0.0</v>
      </c>
      <c r="C3079" s="147">
        <v>0.0</v>
      </c>
      <c r="D3079" s="132">
        <f t="shared" si="252"/>
        <v>0</v>
      </c>
      <c r="E3079" s="147" t="s">
        <v>120</v>
      </c>
      <c r="F3079" s="139"/>
      <c r="G3079" s="129"/>
      <c r="H3079" s="129"/>
      <c r="I3079" s="129"/>
      <c r="J3079" s="129"/>
      <c r="K3079" s="129"/>
      <c r="L3079" s="129"/>
      <c r="M3079" s="129"/>
      <c r="N3079" s="129"/>
      <c r="O3079" s="129"/>
      <c r="P3079" s="129"/>
      <c r="Q3079" s="129"/>
      <c r="R3079" s="129"/>
      <c r="S3079" s="129"/>
      <c r="T3079" s="129"/>
      <c r="U3079" s="129"/>
      <c r="V3079" s="129"/>
      <c r="W3079" s="129"/>
      <c r="X3079" s="129"/>
      <c r="Y3079" s="129"/>
      <c r="Z3079" s="129"/>
      <c r="AA3079" s="129"/>
      <c r="AB3079" s="129"/>
    </row>
    <row r="3080" hidden="1">
      <c r="A3080" s="128" t="s">
        <v>1215</v>
      </c>
      <c r="B3080" s="147">
        <v>1290.0</v>
      </c>
      <c r="C3080" s="147">
        <v>1449.0</v>
      </c>
      <c r="D3080" s="132">
        <f t="shared" si="252"/>
        <v>159</v>
      </c>
      <c r="E3080" s="147" t="s">
        <v>120</v>
      </c>
      <c r="F3080" s="139"/>
      <c r="G3080" s="129"/>
      <c r="H3080" s="129"/>
      <c r="I3080" s="129"/>
      <c r="J3080" s="129"/>
      <c r="K3080" s="129"/>
      <c r="L3080" s="129"/>
      <c r="M3080" s="129"/>
      <c r="N3080" s="129"/>
      <c r="O3080" s="129"/>
      <c r="P3080" s="129"/>
      <c r="Q3080" s="129"/>
      <c r="R3080" s="129"/>
      <c r="S3080" s="129"/>
      <c r="T3080" s="129"/>
      <c r="U3080" s="129"/>
      <c r="V3080" s="129"/>
      <c r="W3080" s="129"/>
      <c r="X3080" s="129"/>
      <c r="Y3080" s="129"/>
      <c r="Z3080" s="129"/>
      <c r="AA3080" s="129"/>
      <c r="AB3080" s="129"/>
    </row>
    <row r="3081" hidden="1">
      <c r="A3081" s="128" t="s">
        <v>1215</v>
      </c>
      <c r="B3081" s="147">
        <v>1290.0</v>
      </c>
      <c r="C3081" s="147">
        <v>1449.0</v>
      </c>
      <c r="D3081" s="132">
        <f t="shared" si="252"/>
        <v>159</v>
      </c>
      <c r="E3081" s="147" t="s">
        <v>120</v>
      </c>
      <c r="F3081" s="139"/>
      <c r="G3081" s="129"/>
      <c r="H3081" s="129"/>
      <c r="I3081" s="129"/>
      <c r="J3081" s="129"/>
      <c r="K3081" s="129"/>
      <c r="L3081" s="129"/>
      <c r="M3081" s="129"/>
      <c r="N3081" s="129"/>
      <c r="O3081" s="129"/>
      <c r="P3081" s="129"/>
      <c r="Q3081" s="129"/>
      <c r="R3081" s="129"/>
      <c r="S3081" s="129"/>
      <c r="T3081" s="129"/>
      <c r="U3081" s="129"/>
      <c r="V3081" s="129"/>
      <c r="W3081" s="129"/>
      <c r="X3081" s="129"/>
      <c r="Y3081" s="129"/>
      <c r="Z3081" s="129"/>
      <c r="AA3081" s="129"/>
      <c r="AB3081" s="129"/>
    </row>
    <row r="3082" hidden="1">
      <c r="A3082" s="128" t="s">
        <v>1400</v>
      </c>
      <c r="B3082" s="147">
        <v>1290.0</v>
      </c>
      <c r="C3082" s="147">
        <v>1449.0</v>
      </c>
      <c r="D3082" s="132">
        <f t="shared" si="252"/>
        <v>159</v>
      </c>
      <c r="E3082" s="147" t="s">
        <v>120</v>
      </c>
      <c r="F3082" s="132"/>
      <c r="G3082" s="129"/>
      <c r="H3082" s="129"/>
      <c r="I3082" s="129"/>
      <c r="J3082" s="129"/>
      <c r="K3082" s="129"/>
      <c r="L3082" s="129"/>
      <c r="M3082" s="129"/>
      <c r="N3082" s="129"/>
      <c r="O3082" s="129"/>
      <c r="P3082" s="129"/>
      <c r="Q3082" s="129"/>
      <c r="R3082" s="129"/>
      <c r="S3082" s="129"/>
      <c r="T3082" s="129"/>
      <c r="U3082" s="129"/>
      <c r="V3082" s="129"/>
      <c r="W3082" s="129"/>
      <c r="X3082" s="129"/>
      <c r="Y3082" s="129"/>
      <c r="Z3082" s="129"/>
      <c r="AA3082" s="129"/>
      <c r="AB3082" s="129"/>
    </row>
    <row r="3083" hidden="1">
      <c r="A3083" s="128" t="s">
        <v>1215</v>
      </c>
      <c r="B3083" s="147">
        <v>5043.0</v>
      </c>
      <c r="C3083" s="147">
        <v>5017.0</v>
      </c>
      <c r="D3083" s="132">
        <f t="shared" si="252"/>
        <v>-26</v>
      </c>
      <c r="E3083" s="147" t="s">
        <v>120</v>
      </c>
      <c r="F3083" s="139"/>
      <c r="G3083" s="129"/>
      <c r="H3083" s="129"/>
      <c r="I3083" s="129"/>
      <c r="J3083" s="129"/>
      <c r="K3083" s="129"/>
      <c r="L3083" s="129"/>
      <c r="M3083" s="129"/>
      <c r="N3083" s="129"/>
      <c r="O3083" s="129"/>
      <c r="P3083" s="129"/>
      <c r="Q3083" s="129"/>
      <c r="R3083" s="129"/>
      <c r="S3083" s="129"/>
      <c r="T3083" s="129"/>
      <c r="U3083" s="129"/>
      <c r="V3083" s="129"/>
      <c r="W3083" s="129"/>
      <c r="X3083" s="129"/>
      <c r="Y3083" s="129"/>
      <c r="Z3083" s="129"/>
      <c r="AA3083" s="129"/>
      <c r="AB3083" s="129"/>
    </row>
    <row r="3084" hidden="1">
      <c r="A3084" s="128" t="s">
        <v>455</v>
      </c>
      <c r="B3084" s="147">
        <v>0.0</v>
      </c>
      <c r="C3084" s="147">
        <v>0.0</v>
      </c>
      <c r="D3084" s="132">
        <f t="shared" si="252"/>
        <v>0</v>
      </c>
      <c r="E3084" s="147" t="s">
        <v>120</v>
      </c>
      <c r="F3084" s="132"/>
      <c r="G3084" s="129"/>
      <c r="H3084" s="129"/>
      <c r="I3084" s="129"/>
      <c r="J3084" s="129"/>
      <c r="K3084" s="129"/>
      <c r="L3084" s="129"/>
      <c r="M3084" s="129"/>
      <c r="N3084" s="129"/>
      <c r="O3084" s="129"/>
      <c r="P3084" s="129"/>
      <c r="Q3084" s="129"/>
      <c r="R3084" s="129"/>
      <c r="S3084" s="129"/>
      <c r="T3084" s="129"/>
      <c r="U3084" s="129"/>
      <c r="V3084" s="129"/>
      <c r="W3084" s="129"/>
      <c r="X3084" s="129"/>
      <c r="Y3084" s="129"/>
      <c r="Z3084" s="129"/>
      <c r="AA3084" s="129"/>
      <c r="AB3084" s="129"/>
    </row>
    <row r="3085" hidden="1">
      <c r="A3085" s="128" t="s">
        <v>455</v>
      </c>
      <c r="B3085" s="147">
        <v>0.0</v>
      </c>
      <c r="C3085" s="147">
        <v>0.0</v>
      </c>
      <c r="D3085" s="132">
        <f t="shared" si="252"/>
        <v>0</v>
      </c>
      <c r="E3085" s="147" t="s">
        <v>120</v>
      </c>
      <c r="F3085" s="132"/>
      <c r="G3085" s="129"/>
      <c r="H3085" s="129"/>
      <c r="I3085" s="129"/>
      <c r="J3085" s="129"/>
      <c r="K3085" s="129"/>
      <c r="L3085" s="129"/>
      <c r="M3085" s="129"/>
      <c r="N3085" s="129"/>
      <c r="O3085" s="129"/>
      <c r="P3085" s="129"/>
      <c r="Q3085" s="129"/>
      <c r="R3085" s="129"/>
      <c r="S3085" s="129"/>
      <c r="T3085" s="129"/>
      <c r="U3085" s="129"/>
      <c r="V3085" s="129"/>
      <c r="W3085" s="129"/>
      <c r="X3085" s="129"/>
      <c r="Y3085" s="129"/>
      <c r="Z3085" s="129"/>
      <c r="AA3085" s="129"/>
      <c r="AB3085" s="129"/>
    </row>
    <row r="3086" hidden="1">
      <c r="A3086" s="128" t="s">
        <v>455</v>
      </c>
      <c r="B3086" s="147">
        <v>0.0</v>
      </c>
      <c r="C3086" s="147">
        <v>0.0</v>
      </c>
      <c r="D3086" s="132">
        <f t="shared" si="252"/>
        <v>0</v>
      </c>
      <c r="E3086" s="147" t="s">
        <v>120</v>
      </c>
      <c r="F3086" s="132"/>
      <c r="G3086" s="129"/>
      <c r="H3086" s="129"/>
      <c r="I3086" s="129"/>
      <c r="J3086" s="129"/>
      <c r="K3086" s="129"/>
      <c r="L3086" s="129"/>
      <c r="M3086" s="129"/>
      <c r="N3086" s="129"/>
      <c r="O3086" s="129"/>
      <c r="P3086" s="129"/>
      <c r="Q3086" s="129"/>
      <c r="R3086" s="129"/>
      <c r="S3086" s="129"/>
      <c r="T3086" s="129"/>
      <c r="U3086" s="129"/>
      <c r="V3086" s="129"/>
      <c r="W3086" s="129"/>
      <c r="X3086" s="129"/>
      <c r="Y3086" s="129"/>
      <c r="Z3086" s="129"/>
      <c r="AA3086" s="129"/>
      <c r="AB3086" s="129"/>
    </row>
    <row r="3087" hidden="1">
      <c r="A3087" s="128" t="s">
        <v>1480</v>
      </c>
      <c r="B3087" s="147">
        <v>5250.0</v>
      </c>
      <c r="C3087" s="147">
        <v>6269.0</v>
      </c>
      <c r="D3087" s="132">
        <f t="shared" si="252"/>
        <v>1019</v>
      </c>
      <c r="E3087" s="147" t="s">
        <v>1311</v>
      </c>
      <c r="F3087" s="139"/>
      <c r="G3087" s="129"/>
      <c r="H3087" s="129"/>
      <c r="I3087" s="129"/>
      <c r="J3087" s="129"/>
      <c r="K3087" s="129"/>
      <c r="L3087" s="129"/>
      <c r="M3087" s="129"/>
      <c r="N3087" s="129"/>
      <c r="O3087" s="129"/>
      <c r="P3087" s="129"/>
      <c r="Q3087" s="129"/>
      <c r="R3087" s="129"/>
      <c r="S3087" s="129"/>
      <c r="T3087" s="129"/>
      <c r="U3087" s="129"/>
      <c r="V3087" s="129"/>
      <c r="W3087" s="129"/>
      <c r="X3087" s="129"/>
      <c r="Y3087" s="129"/>
      <c r="Z3087" s="129"/>
      <c r="AA3087" s="129"/>
      <c r="AB3087" s="129"/>
    </row>
    <row r="3088" hidden="1">
      <c r="A3088" s="142" t="s">
        <v>1187</v>
      </c>
      <c r="B3088" s="147">
        <v>690.0</v>
      </c>
      <c r="C3088" s="124">
        <v>920.0</v>
      </c>
      <c r="D3088" s="132">
        <f t="shared" si="252"/>
        <v>230</v>
      </c>
      <c r="E3088" s="171" t="s">
        <v>123</v>
      </c>
      <c r="F3088" s="139"/>
      <c r="G3088" s="129"/>
      <c r="H3088" s="129"/>
      <c r="I3088" s="129"/>
      <c r="J3088" s="129"/>
      <c r="K3088" s="129"/>
      <c r="L3088" s="129"/>
      <c r="M3088" s="129"/>
      <c r="N3088" s="129"/>
      <c r="O3088" s="129"/>
      <c r="P3088" s="129"/>
      <c r="Q3088" s="129"/>
      <c r="R3088" s="129"/>
      <c r="S3088" s="129"/>
      <c r="T3088" s="129"/>
      <c r="U3088" s="129"/>
      <c r="V3088" s="129"/>
      <c r="W3088" s="129"/>
      <c r="X3088" s="129"/>
      <c r="Y3088" s="129"/>
      <c r="Z3088" s="129"/>
      <c r="AA3088" s="129"/>
      <c r="AB3088" s="129"/>
    </row>
    <row r="3089" hidden="1">
      <c r="A3089" s="128" t="s">
        <v>1215</v>
      </c>
      <c r="B3089" s="147">
        <v>1290.0</v>
      </c>
      <c r="C3089" s="147">
        <v>1446.0</v>
      </c>
      <c r="D3089" s="132">
        <f t="shared" si="252"/>
        <v>156</v>
      </c>
      <c r="E3089" s="147" t="s">
        <v>123</v>
      </c>
      <c r="F3089" s="139"/>
      <c r="G3089" s="129"/>
      <c r="H3089" s="129"/>
      <c r="I3089" s="129"/>
      <c r="J3089" s="129"/>
      <c r="K3089" s="129"/>
      <c r="L3089" s="129"/>
      <c r="M3089" s="129"/>
      <c r="N3089" s="129"/>
      <c r="O3089" s="129"/>
      <c r="P3089" s="129"/>
      <c r="Q3089" s="129"/>
      <c r="R3089" s="129"/>
      <c r="S3089" s="129"/>
      <c r="T3089" s="129"/>
      <c r="U3089" s="129"/>
      <c r="V3089" s="129"/>
      <c r="W3089" s="129"/>
      <c r="X3089" s="129"/>
      <c r="Y3089" s="129"/>
      <c r="Z3089" s="129"/>
      <c r="AA3089" s="129"/>
      <c r="AB3089" s="129"/>
    </row>
    <row r="3090" hidden="1">
      <c r="A3090" s="128" t="s">
        <v>1481</v>
      </c>
      <c r="B3090" s="147">
        <v>10750.0</v>
      </c>
      <c r="C3090" s="147">
        <v>11385.0</v>
      </c>
      <c r="D3090" s="132">
        <f t="shared" si="252"/>
        <v>635</v>
      </c>
      <c r="E3090" s="147" t="s">
        <v>1311</v>
      </c>
      <c r="F3090" s="139"/>
      <c r="G3090" s="129"/>
      <c r="H3090" s="129"/>
      <c r="I3090" s="129"/>
      <c r="J3090" s="129"/>
      <c r="K3090" s="129"/>
      <c r="L3090" s="129"/>
      <c r="M3090" s="129"/>
      <c r="N3090" s="129"/>
      <c r="O3090" s="129"/>
      <c r="P3090" s="129"/>
      <c r="Q3090" s="129"/>
      <c r="R3090" s="129"/>
      <c r="S3090" s="129"/>
      <c r="T3090" s="129"/>
      <c r="U3090" s="129"/>
      <c r="V3090" s="129"/>
      <c r="W3090" s="129"/>
      <c r="X3090" s="129"/>
      <c r="Y3090" s="129"/>
      <c r="Z3090" s="129"/>
      <c r="AA3090" s="129"/>
      <c r="AB3090" s="129"/>
    </row>
    <row r="3091" hidden="1">
      <c r="A3091" s="128" t="s">
        <v>1481</v>
      </c>
      <c r="B3091" s="147">
        <v>10750.0</v>
      </c>
      <c r="C3091" s="147">
        <v>11393.0</v>
      </c>
      <c r="D3091" s="132">
        <f t="shared" si="252"/>
        <v>643</v>
      </c>
      <c r="E3091" s="147" t="s">
        <v>1311</v>
      </c>
      <c r="F3091" s="139"/>
      <c r="G3091" s="129"/>
      <c r="H3091" s="129"/>
      <c r="I3091" s="129"/>
      <c r="J3091" s="129"/>
      <c r="K3091" s="129"/>
      <c r="L3091" s="129"/>
      <c r="M3091" s="129"/>
      <c r="N3091" s="129"/>
      <c r="O3091" s="129"/>
      <c r="P3091" s="129"/>
      <c r="Q3091" s="129"/>
      <c r="R3091" s="129"/>
      <c r="S3091" s="129"/>
      <c r="T3091" s="129"/>
      <c r="U3091" s="129"/>
      <c r="V3091" s="129"/>
      <c r="W3091" s="129"/>
      <c r="X3091" s="129"/>
      <c r="Y3091" s="129"/>
      <c r="Z3091" s="129"/>
      <c r="AA3091" s="129"/>
      <c r="AB3091" s="129"/>
    </row>
    <row r="3092" hidden="1">
      <c r="A3092" s="142" t="s">
        <v>1482</v>
      </c>
      <c r="B3092" s="147">
        <v>990.0</v>
      </c>
      <c r="C3092" s="124">
        <v>1217.0</v>
      </c>
      <c r="D3092" s="132">
        <f t="shared" si="252"/>
        <v>227</v>
      </c>
      <c r="E3092" s="147" t="s">
        <v>123</v>
      </c>
      <c r="F3092" s="139"/>
      <c r="G3092" s="129"/>
      <c r="H3092" s="129"/>
      <c r="I3092" s="129"/>
      <c r="J3092" s="129"/>
      <c r="K3092" s="129"/>
      <c r="L3092" s="129"/>
      <c r="M3092" s="129"/>
      <c r="N3092" s="129"/>
      <c r="O3092" s="129"/>
      <c r="P3092" s="129"/>
      <c r="Q3092" s="129"/>
      <c r="R3092" s="129"/>
      <c r="S3092" s="129"/>
      <c r="T3092" s="129"/>
      <c r="U3092" s="129"/>
      <c r="V3092" s="129"/>
      <c r="W3092" s="129"/>
      <c r="X3092" s="129"/>
      <c r="Y3092" s="129"/>
      <c r="Z3092" s="129"/>
      <c r="AA3092" s="129"/>
      <c r="AB3092" s="129"/>
    </row>
    <row r="3093" hidden="1">
      <c r="A3093" s="128" t="s">
        <v>793</v>
      </c>
      <c r="B3093" s="124">
        <v>890.0</v>
      </c>
      <c r="C3093" s="147">
        <v>1063.0</v>
      </c>
      <c r="D3093" s="125">
        <f t="shared" si="252"/>
        <v>173</v>
      </c>
      <c r="E3093" s="147" t="s">
        <v>120</v>
      </c>
      <c r="F3093" s="124"/>
      <c r="G3093" s="129"/>
      <c r="H3093" s="129"/>
      <c r="I3093" s="129"/>
      <c r="J3093" s="129"/>
      <c r="K3093" s="129"/>
      <c r="L3093" s="129"/>
      <c r="M3093" s="129"/>
      <c r="N3093" s="129"/>
      <c r="O3093" s="129"/>
      <c r="P3093" s="129"/>
      <c r="Q3093" s="129"/>
      <c r="R3093" s="129"/>
      <c r="S3093" s="129"/>
      <c r="T3093" s="129"/>
      <c r="U3093" s="129"/>
      <c r="V3093" s="129"/>
      <c r="W3093" s="129"/>
      <c r="X3093" s="129"/>
      <c r="Y3093" s="129"/>
      <c r="Z3093" s="129"/>
      <c r="AA3093" s="129"/>
      <c r="AB3093" s="129"/>
    </row>
    <row r="3094" hidden="1">
      <c r="A3094" s="123" t="s">
        <v>1213</v>
      </c>
      <c r="B3094" s="147">
        <v>1390.0</v>
      </c>
      <c r="C3094" s="147">
        <v>1590.0</v>
      </c>
      <c r="D3094" s="132">
        <f t="shared" si="252"/>
        <v>200</v>
      </c>
      <c r="E3094" s="147" t="s">
        <v>120</v>
      </c>
      <c r="F3094" s="124"/>
    </row>
    <row r="3095" hidden="1">
      <c r="A3095" s="123" t="s">
        <v>1483</v>
      </c>
      <c r="B3095" s="124">
        <v>1390.0</v>
      </c>
      <c r="C3095" s="124">
        <v>1514.0</v>
      </c>
      <c r="D3095" s="125">
        <f t="shared" si="252"/>
        <v>124</v>
      </c>
      <c r="E3095" s="147" t="s">
        <v>123</v>
      </c>
      <c r="F3095" s="124"/>
    </row>
    <row r="3096" hidden="1">
      <c r="A3096" s="128" t="s">
        <v>1484</v>
      </c>
      <c r="B3096" s="147">
        <v>10650.0</v>
      </c>
      <c r="C3096" s="147">
        <v>11395.0</v>
      </c>
      <c r="D3096" s="132">
        <f t="shared" si="252"/>
        <v>745</v>
      </c>
      <c r="E3096" s="147" t="s">
        <v>1311</v>
      </c>
      <c r="F3096" s="139"/>
      <c r="G3096" s="129"/>
      <c r="H3096" s="129"/>
      <c r="I3096" s="129"/>
      <c r="J3096" s="129"/>
      <c r="K3096" s="129"/>
      <c r="L3096" s="129"/>
      <c r="M3096" s="129"/>
      <c r="N3096" s="129"/>
      <c r="O3096" s="129"/>
      <c r="P3096" s="129"/>
      <c r="Q3096" s="129"/>
      <c r="R3096" s="129"/>
      <c r="S3096" s="129"/>
      <c r="T3096" s="129"/>
      <c r="U3096" s="129"/>
      <c r="V3096" s="129"/>
      <c r="W3096" s="129"/>
      <c r="X3096" s="129"/>
      <c r="Y3096" s="129"/>
      <c r="Z3096" s="129"/>
      <c r="AA3096" s="129"/>
      <c r="AB3096" s="129"/>
    </row>
    <row r="3097" hidden="1">
      <c r="A3097" s="128" t="s">
        <v>1485</v>
      </c>
      <c r="B3097" s="147">
        <v>1290.0</v>
      </c>
      <c r="C3097" s="147">
        <v>1416.0</v>
      </c>
      <c r="D3097" s="132">
        <f t="shared" si="252"/>
        <v>126</v>
      </c>
      <c r="E3097" s="147" t="s">
        <v>120</v>
      </c>
      <c r="F3097" s="139"/>
      <c r="G3097" s="129"/>
      <c r="H3097" s="129"/>
      <c r="I3097" s="129"/>
      <c r="J3097" s="129"/>
      <c r="K3097" s="129"/>
      <c r="L3097" s="129"/>
      <c r="M3097" s="129"/>
      <c r="N3097" s="129"/>
      <c r="O3097" s="129"/>
      <c r="P3097" s="129"/>
      <c r="Q3097" s="129"/>
      <c r="R3097" s="129"/>
      <c r="S3097" s="129"/>
      <c r="T3097" s="129"/>
      <c r="U3097" s="129"/>
      <c r="V3097" s="129"/>
      <c r="W3097" s="129"/>
      <c r="X3097" s="129"/>
      <c r="Y3097" s="129"/>
      <c r="Z3097" s="129"/>
      <c r="AA3097" s="129"/>
      <c r="AB3097" s="129"/>
    </row>
    <row r="3098" hidden="1">
      <c r="A3098" s="128" t="s">
        <v>1125</v>
      </c>
      <c r="B3098" s="147">
        <v>1050.0</v>
      </c>
      <c r="C3098" s="147">
        <v>1211.0</v>
      </c>
      <c r="D3098" s="132">
        <f t="shared" si="252"/>
        <v>161</v>
      </c>
      <c r="E3098" s="147" t="s">
        <v>123</v>
      </c>
      <c r="F3098" s="139"/>
      <c r="G3098" s="129"/>
      <c r="H3098" s="129"/>
      <c r="I3098" s="129"/>
      <c r="J3098" s="129"/>
      <c r="K3098" s="129"/>
      <c r="L3098" s="129"/>
      <c r="M3098" s="129"/>
      <c r="N3098" s="129"/>
      <c r="O3098" s="129"/>
      <c r="P3098" s="129"/>
      <c r="Q3098" s="129"/>
      <c r="R3098" s="129"/>
      <c r="S3098" s="129"/>
      <c r="T3098" s="129"/>
      <c r="U3098" s="129"/>
      <c r="V3098" s="129"/>
      <c r="W3098" s="129"/>
      <c r="X3098" s="129"/>
      <c r="Y3098" s="129"/>
      <c r="Z3098" s="129"/>
      <c r="AA3098" s="129"/>
      <c r="AB3098" s="129"/>
    </row>
    <row r="3099" hidden="1">
      <c r="A3099" s="150" t="s">
        <v>1479</v>
      </c>
      <c r="B3099" s="147">
        <v>1990.0</v>
      </c>
      <c r="C3099" s="147">
        <v>2465.0</v>
      </c>
      <c r="D3099" s="132">
        <f t="shared" si="252"/>
        <v>475</v>
      </c>
      <c r="E3099" s="147" t="s">
        <v>123</v>
      </c>
      <c r="F3099" s="139"/>
      <c r="G3099" s="129"/>
      <c r="H3099" s="129"/>
      <c r="I3099" s="129"/>
      <c r="J3099" s="129"/>
      <c r="K3099" s="129"/>
      <c r="L3099" s="129"/>
      <c r="M3099" s="129"/>
      <c r="N3099" s="129"/>
      <c r="O3099" s="129"/>
      <c r="P3099" s="129"/>
      <c r="Q3099" s="129"/>
      <c r="R3099" s="129"/>
      <c r="S3099" s="129"/>
      <c r="T3099" s="129"/>
      <c r="U3099" s="129"/>
      <c r="V3099" s="129"/>
      <c r="W3099" s="129"/>
      <c r="X3099" s="129"/>
      <c r="Y3099" s="129"/>
      <c r="Z3099" s="129"/>
      <c r="AA3099" s="129"/>
      <c r="AB3099" s="129"/>
    </row>
    <row r="3100" hidden="1">
      <c r="A3100" s="128" t="s">
        <v>1093</v>
      </c>
      <c r="B3100" s="147">
        <v>4290.0</v>
      </c>
      <c r="C3100" s="147">
        <v>4831.0</v>
      </c>
      <c r="D3100" s="132">
        <f t="shared" si="252"/>
        <v>541</v>
      </c>
      <c r="E3100" s="171" t="s">
        <v>120</v>
      </c>
      <c r="F3100" s="139"/>
      <c r="G3100" s="129"/>
      <c r="H3100" s="129"/>
      <c r="I3100" s="129"/>
      <c r="J3100" s="129"/>
      <c r="K3100" s="129"/>
      <c r="L3100" s="129"/>
      <c r="M3100" s="129"/>
      <c r="N3100" s="129"/>
      <c r="O3100" s="129"/>
      <c r="P3100" s="129"/>
      <c r="Q3100" s="129"/>
      <c r="R3100" s="129"/>
      <c r="S3100" s="129"/>
      <c r="T3100" s="129"/>
      <c r="U3100" s="129"/>
      <c r="V3100" s="129"/>
      <c r="W3100" s="129"/>
      <c r="X3100" s="129"/>
      <c r="Y3100" s="129"/>
      <c r="Z3100" s="129"/>
      <c r="AA3100" s="129"/>
      <c r="AB3100" s="129"/>
    </row>
    <row r="3101" hidden="1">
      <c r="A3101" s="128" t="s">
        <v>1382</v>
      </c>
      <c r="B3101" s="147">
        <v>0.0</v>
      </c>
      <c r="C3101" s="147">
        <v>0.0</v>
      </c>
      <c r="D3101" s="132">
        <f t="shared" si="252"/>
        <v>0</v>
      </c>
      <c r="E3101" s="147" t="s">
        <v>123</v>
      </c>
      <c r="F3101" s="132"/>
      <c r="G3101" s="129"/>
      <c r="H3101" s="129"/>
      <c r="I3101" s="129"/>
      <c r="J3101" s="129"/>
      <c r="K3101" s="129"/>
      <c r="L3101" s="129"/>
      <c r="M3101" s="129"/>
      <c r="N3101" s="129"/>
      <c r="O3101" s="129"/>
      <c r="P3101" s="129"/>
      <c r="Q3101" s="129"/>
      <c r="R3101" s="129"/>
      <c r="S3101" s="129"/>
      <c r="T3101" s="129"/>
      <c r="U3101" s="129"/>
      <c r="V3101" s="129"/>
      <c r="W3101" s="129"/>
      <c r="X3101" s="129"/>
      <c r="Y3101" s="129"/>
      <c r="Z3101" s="129"/>
      <c r="AA3101" s="129"/>
      <c r="AB3101" s="129"/>
    </row>
    <row r="3102" hidden="1">
      <c r="A3102" s="128" t="s">
        <v>1180</v>
      </c>
      <c r="B3102" s="147">
        <v>0.0</v>
      </c>
      <c r="C3102" s="147">
        <v>0.0</v>
      </c>
      <c r="D3102" s="132">
        <f t="shared" si="252"/>
        <v>0</v>
      </c>
      <c r="E3102" s="147" t="s">
        <v>123</v>
      </c>
      <c r="F3102" s="132"/>
      <c r="G3102" s="129"/>
      <c r="H3102" s="129"/>
      <c r="I3102" s="129"/>
      <c r="J3102" s="129"/>
      <c r="K3102" s="129"/>
      <c r="L3102" s="129"/>
      <c r="M3102" s="129"/>
      <c r="N3102" s="129"/>
      <c r="O3102" s="129"/>
      <c r="P3102" s="129"/>
      <c r="Q3102" s="129"/>
      <c r="R3102" s="129"/>
      <c r="S3102" s="129"/>
      <c r="T3102" s="129"/>
      <c r="U3102" s="129"/>
      <c r="V3102" s="129"/>
      <c r="W3102" s="129"/>
      <c r="X3102" s="129"/>
      <c r="Y3102" s="129"/>
      <c r="Z3102" s="129"/>
      <c r="AA3102" s="129"/>
      <c r="AB3102" s="129"/>
    </row>
    <row r="3103" hidden="1">
      <c r="A3103" s="128" t="s">
        <v>1208</v>
      </c>
      <c r="B3103" s="147">
        <v>1290.0</v>
      </c>
      <c r="C3103" s="147">
        <v>1450.0</v>
      </c>
      <c r="D3103" s="132">
        <f t="shared" si="252"/>
        <v>160</v>
      </c>
      <c r="E3103" s="171" t="s">
        <v>120</v>
      </c>
      <c r="F3103" s="132"/>
      <c r="G3103" s="129"/>
      <c r="H3103" s="129"/>
      <c r="I3103" s="129"/>
      <c r="J3103" s="129"/>
      <c r="K3103" s="129"/>
      <c r="L3103" s="129"/>
      <c r="M3103" s="129"/>
      <c r="N3103" s="129"/>
      <c r="O3103" s="129"/>
      <c r="P3103" s="129"/>
      <c r="Q3103" s="129"/>
      <c r="R3103" s="129"/>
      <c r="S3103" s="129"/>
      <c r="T3103" s="129"/>
      <c r="U3103" s="129"/>
      <c r="V3103" s="129"/>
      <c r="W3103" s="129"/>
      <c r="X3103" s="129"/>
      <c r="Y3103" s="129"/>
      <c r="Z3103" s="129"/>
      <c r="AA3103" s="129"/>
      <c r="AB3103" s="129"/>
    </row>
    <row r="3104" hidden="1">
      <c r="A3104" s="128" t="s">
        <v>1208</v>
      </c>
      <c r="B3104" s="147">
        <v>1290.0</v>
      </c>
      <c r="C3104" s="147">
        <v>1450.0</v>
      </c>
      <c r="D3104" s="132">
        <f t="shared" si="252"/>
        <v>160</v>
      </c>
      <c r="E3104" s="171" t="s">
        <v>120</v>
      </c>
      <c r="F3104" s="132"/>
      <c r="G3104" s="129"/>
      <c r="H3104" s="129"/>
      <c r="I3104" s="129"/>
      <c r="J3104" s="129"/>
      <c r="K3104" s="129"/>
      <c r="L3104" s="129"/>
      <c r="M3104" s="129"/>
      <c r="N3104" s="129"/>
      <c r="O3104" s="129"/>
      <c r="P3104" s="129"/>
      <c r="Q3104" s="129"/>
      <c r="R3104" s="129"/>
      <c r="S3104" s="129"/>
      <c r="T3104" s="129"/>
      <c r="U3104" s="129"/>
      <c r="V3104" s="129"/>
      <c r="W3104" s="129"/>
      <c r="X3104" s="129"/>
      <c r="Y3104" s="129"/>
      <c r="Z3104" s="129"/>
      <c r="AA3104" s="129"/>
      <c r="AB3104" s="129"/>
    </row>
    <row r="3105" hidden="1">
      <c r="A3105" s="123" t="s">
        <v>1213</v>
      </c>
      <c r="B3105" s="147">
        <v>1290.0</v>
      </c>
      <c r="C3105" s="147">
        <v>1450.0</v>
      </c>
      <c r="D3105" s="132">
        <f t="shared" si="252"/>
        <v>160</v>
      </c>
      <c r="E3105" s="171" t="s">
        <v>120</v>
      </c>
      <c r="F3105" s="124"/>
    </row>
    <row r="3106" hidden="1">
      <c r="A3106" s="128" t="s">
        <v>1486</v>
      </c>
      <c r="B3106" s="210">
        <v>1740.0</v>
      </c>
      <c r="C3106" s="210">
        <v>1932.0</v>
      </c>
      <c r="D3106" s="208">
        <f t="shared" si="252"/>
        <v>192</v>
      </c>
      <c r="E3106" s="147" t="s">
        <v>1311</v>
      </c>
      <c r="F3106" s="139"/>
      <c r="G3106" s="129"/>
      <c r="H3106" s="129"/>
      <c r="I3106" s="129"/>
      <c r="J3106" s="129"/>
      <c r="K3106" s="129"/>
      <c r="L3106" s="129"/>
      <c r="M3106" s="129"/>
      <c r="N3106" s="129"/>
      <c r="O3106" s="129"/>
      <c r="P3106" s="129"/>
      <c r="Q3106" s="129"/>
      <c r="R3106" s="129"/>
      <c r="S3106" s="129"/>
      <c r="T3106" s="129"/>
      <c r="U3106" s="129"/>
      <c r="V3106" s="129"/>
      <c r="W3106" s="129"/>
      <c r="X3106" s="129"/>
      <c r="Y3106" s="129"/>
      <c r="Z3106" s="129"/>
      <c r="AA3106" s="129"/>
      <c r="AB3106" s="129"/>
    </row>
    <row r="3107" hidden="1">
      <c r="A3107" s="123" t="s">
        <v>1212</v>
      </c>
      <c r="B3107" s="147">
        <v>1290.0</v>
      </c>
      <c r="C3107" s="147">
        <v>1419.0</v>
      </c>
      <c r="D3107" s="125">
        <f t="shared" si="252"/>
        <v>129</v>
      </c>
      <c r="E3107" s="147" t="s">
        <v>123</v>
      </c>
      <c r="F3107" s="127"/>
      <c r="G3107" s="123"/>
    </row>
    <row r="3108" hidden="1">
      <c r="A3108" s="123" t="s">
        <v>1487</v>
      </c>
      <c r="B3108" s="124">
        <v>1990.0</v>
      </c>
      <c r="C3108" s="124">
        <v>2415.0</v>
      </c>
      <c r="D3108" s="125">
        <f t="shared" si="252"/>
        <v>425</v>
      </c>
      <c r="E3108" s="147" t="s">
        <v>123</v>
      </c>
      <c r="F3108" s="124"/>
    </row>
    <row r="3109" hidden="1">
      <c r="A3109" s="128" t="s">
        <v>1382</v>
      </c>
      <c r="B3109" s="147">
        <v>1350.0</v>
      </c>
      <c r="C3109" s="147">
        <v>1493.0</v>
      </c>
      <c r="D3109" s="132">
        <f t="shared" si="252"/>
        <v>143</v>
      </c>
      <c r="E3109" s="147" t="s">
        <v>123</v>
      </c>
      <c r="F3109" s="132"/>
      <c r="G3109" s="129"/>
      <c r="H3109" s="129"/>
      <c r="I3109" s="129"/>
      <c r="J3109" s="129"/>
      <c r="K3109" s="129"/>
      <c r="L3109" s="129"/>
      <c r="M3109" s="129"/>
      <c r="N3109" s="129"/>
      <c r="O3109" s="129"/>
      <c r="P3109" s="129"/>
      <c r="Q3109" s="129"/>
      <c r="R3109" s="129"/>
      <c r="S3109" s="129"/>
      <c r="T3109" s="129"/>
      <c r="U3109" s="129"/>
      <c r="V3109" s="129"/>
      <c r="W3109" s="129"/>
      <c r="X3109" s="129"/>
      <c r="Y3109" s="129"/>
      <c r="Z3109" s="129"/>
      <c r="AA3109" s="129"/>
      <c r="AB3109" s="129"/>
    </row>
    <row r="3110" hidden="1">
      <c r="A3110" s="128" t="s">
        <v>1471</v>
      </c>
      <c r="B3110" s="147">
        <v>690.0</v>
      </c>
      <c r="C3110" s="147">
        <v>865.0</v>
      </c>
      <c r="D3110" s="132">
        <f t="shared" si="252"/>
        <v>175</v>
      </c>
      <c r="E3110" s="147" t="s">
        <v>123</v>
      </c>
      <c r="F3110" s="139"/>
      <c r="G3110" s="129"/>
      <c r="H3110" s="129"/>
      <c r="I3110" s="129"/>
      <c r="J3110" s="129"/>
      <c r="K3110" s="129"/>
      <c r="L3110" s="129"/>
      <c r="M3110" s="129"/>
      <c r="N3110" s="129"/>
      <c r="O3110" s="129"/>
      <c r="P3110" s="129"/>
      <c r="Q3110" s="129"/>
      <c r="R3110" s="129"/>
      <c r="S3110" s="129"/>
      <c r="T3110" s="129"/>
      <c r="U3110" s="129"/>
      <c r="V3110" s="129"/>
      <c r="W3110" s="129"/>
      <c r="X3110" s="129"/>
      <c r="Y3110" s="129"/>
      <c r="Z3110" s="129"/>
      <c r="AA3110" s="129"/>
      <c r="AB3110" s="129"/>
    </row>
    <row r="3111" hidden="1">
      <c r="A3111" s="123" t="s">
        <v>1458</v>
      </c>
      <c r="B3111" s="124">
        <v>1490.0</v>
      </c>
      <c r="C3111" s="124">
        <v>1605.0</v>
      </c>
      <c r="D3111" s="125">
        <f t="shared" si="252"/>
        <v>115</v>
      </c>
      <c r="E3111" s="126" t="s">
        <v>123</v>
      </c>
      <c r="F3111" s="132"/>
      <c r="G3111" s="123"/>
    </row>
    <row r="3112" hidden="1">
      <c r="A3112" s="128" t="s">
        <v>1301</v>
      </c>
      <c r="B3112" s="147">
        <v>1350.0</v>
      </c>
      <c r="C3112" s="147">
        <v>1494.0</v>
      </c>
      <c r="D3112" s="132">
        <f t="shared" si="252"/>
        <v>144</v>
      </c>
      <c r="E3112" s="147" t="s">
        <v>123</v>
      </c>
      <c r="F3112" s="132"/>
      <c r="G3112" s="129"/>
      <c r="H3112" s="129"/>
      <c r="I3112" s="129"/>
      <c r="J3112" s="129"/>
      <c r="K3112" s="129"/>
      <c r="L3112" s="129"/>
      <c r="M3112" s="129"/>
      <c r="N3112" s="129"/>
      <c r="O3112" s="129"/>
      <c r="P3112" s="129"/>
      <c r="Q3112" s="129"/>
      <c r="R3112" s="129"/>
      <c r="S3112" s="129"/>
      <c r="T3112" s="129"/>
      <c r="U3112" s="129"/>
      <c r="V3112" s="129"/>
      <c r="W3112" s="129"/>
      <c r="X3112" s="129"/>
      <c r="Y3112" s="129"/>
      <c r="Z3112" s="129"/>
      <c r="AA3112" s="129"/>
      <c r="AB3112" s="129"/>
    </row>
    <row r="3113" hidden="1">
      <c r="A3113" s="128" t="s">
        <v>1209</v>
      </c>
      <c r="B3113" s="147">
        <v>1350.0</v>
      </c>
      <c r="C3113" s="147">
        <v>1501.0</v>
      </c>
      <c r="D3113" s="132">
        <f t="shared" si="252"/>
        <v>151</v>
      </c>
      <c r="E3113" s="147" t="s">
        <v>123</v>
      </c>
      <c r="F3113" s="132"/>
      <c r="G3113" s="129"/>
      <c r="H3113" s="129"/>
      <c r="I3113" s="129"/>
      <c r="J3113" s="129"/>
      <c r="K3113" s="129"/>
      <c r="L3113" s="129"/>
      <c r="M3113" s="129"/>
      <c r="N3113" s="129"/>
      <c r="O3113" s="129"/>
      <c r="P3113" s="129"/>
      <c r="Q3113" s="129"/>
      <c r="R3113" s="129"/>
      <c r="S3113" s="129"/>
      <c r="T3113" s="129"/>
      <c r="U3113" s="129"/>
      <c r="V3113" s="129"/>
      <c r="W3113" s="129"/>
      <c r="X3113" s="129"/>
      <c r="Y3113" s="129"/>
      <c r="Z3113" s="129"/>
      <c r="AA3113" s="129"/>
      <c r="AB3113" s="129"/>
    </row>
    <row r="3114" hidden="1">
      <c r="A3114" s="128" t="s">
        <v>1209</v>
      </c>
      <c r="B3114" s="147">
        <v>1450.0</v>
      </c>
      <c r="C3114" s="147">
        <v>1598.0</v>
      </c>
      <c r="D3114" s="132">
        <f t="shared" si="252"/>
        <v>148</v>
      </c>
      <c r="E3114" s="147" t="s">
        <v>123</v>
      </c>
      <c r="F3114" s="132"/>
      <c r="G3114" s="129"/>
      <c r="H3114" s="129"/>
      <c r="I3114" s="129"/>
      <c r="J3114" s="129"/>
      <c r="K3114" s="129"/>
      <c r="L3114" s="129"/>
      <c r="M3114" s="129"/>
      <c r="N3114" s="129"/>
      <c r="O3114" s="129"/>
      <c r="P3114" s="129"/>
      <c r="Q3114" s="129"/>
      <c r="R3114" s="129"/>
      <c r="S3114" s="129"/>
      <c r="T3114" s="129"/>
      <c r="U3114" s="129"/>
      <c r="V3114" s="129"/>
      <c r="W3114" s="129"/>
      <c r="X3114" s="129"/>
      <c r="Y3114" s="129"/>
      <c r="Z3114" s="129"/>
      <c r="AA3114" s="129"/>
      <c r="AB3114" s="129"/>
    </row>
    <row r="3115" hidden="1">
      <c r="A3115" s="128" t="s">
        <v>1209</v>
      </c>
      <c r="B3115" s="147">
        <v>1350.0</v>
      </c>
      <c r="C3115" s="147">
        <v>1494.0</v>
      </c>
      <c r="D3115" s="132">
        <f t="shared" si="252"/>
        <v>144</v>
      </c>
      <c r="E3115" s="147" t="s">
        <v>123</v>
      </c>
      <c r="F3115" s="132"/>
      <c r="G3115" s="129"/>
      <c r="H3115" s="129"/>
      <c r="I3115" s="129"/>
      <c r="J3115" s="129"/>
      <c r="K3115" s="129"/>
      <c r="L3115" s="129"/>
      <c r="M3115" s="129"/>
      <c r="N3115" s="129"/>
      <c r="O3115" s="129"/>
      <c r="P3115" s="129"/>
      <c r="Q3115" s="129"/>
      <c r="R3115" s="129"/>
      <c r="S3115" s="129"/>
      <c r="T3115" s="129"/>
      <c r="U3115" s="129"/>
      <c r="V3115" s="129"/>
      <c r="W3115" s="129"/>
      <c r="X3115" s="129"/>
      <c r="Y3115" s="129"/>
      <c r="Z3115" s="129"/>
      <c r="AA3115" s="129"/>
      <c r="AB3115" s="129"/>
    </row>
    <row r="3116" hidden="1">
      <c r="A3116" s="128" t="s">
        <v>1216</v>
      </c>
      <c r="B3116" s="147">
        <v>1390.0</v>
      </c>
      <c r="C3116" s="147">
        <v>1561.0</v>
      </c>
      <c r="D3116" s="132">
        <f t="shared" si="252"/>
        <v>171</v>
      </c>
      <c r="E3116" s="147" t="s">
        <v>120</v>
      </c>
      <c r="F3116" s="139"/>
      <c r="G3116" s="129"/>
      <c r="H3116" s="129"/>
      <c r="I3116" s="129"/>
      <c r="J3116" s="129"/>
      <c r="K3116" s="129"/>
      <c r="L3116" s="129"/>
      <c r="M3116" s="129"/>
      <c r="N3116" s="129"/>
      <c r="O3116" s="129"/>
      <c r="P3116" s="129"/>
      <c r="Q3116" s="129"/>
      <c r="R3116" s="129"/>
      <c r="S3116" s="129"/>
      <c r="T3116" s="129"/>
      <c r="U3116" s="129"/>
      <c r="V3116" s="129"/>
      <c r="W3116" s="129"/>
      <c r="X3116" s="129"/>
      <c r="Y3116" s="129"/>
      <c r="Z3116" s="129"/>
      <c r="AA3116" s="129"/>
      <c r="AB3116" s="129"/>
    </row>
    <row r="3117" hidden="1">
      <c r="A3117" s="128" t="s">
        <v>1488</v>
      </c>
      <c r="B3117" s="147">
        <v>10750.0</v>
      </c>
      <c r="C3117" s="147">
        <v>11750.0</v>
      </c>
      <c r="D3117" s="132">
        <f t="shared" si="252"/>
        <v>1000</v>
      </c>
      <c r="E3117" s="147" t="s">
        <v>1311</v>
      </c>
      <c r="F3117" s="139"/>
      <c r="G3117" s="129"/>
      <c r="H3117" s="129"/>
      <c r="I3117" s="129"/>
      <c r="J3117" s="129"/>
      <c r="K3117" s="129"/>
      <c r="L3117" s="129"/>
      <c r="M3117" s="129"/>
      <c r="N3117" s="129"/>
      <c r="O3117" s="129"/>
      <c r="P3117" s="129"/>
      <c r="Q3117" s="129"/>
      <c r="R3117" s="129"/>
      <c r="S3117" s="129"/>
      <c r="T3117" s="129"/>
      <c r="U3117" s="129"/>
      <c r="V3117" s="129"/>
      <c r="W3117" s="129"/>
      <c r="X3117" s="129"/>
      <c r="Y3117" s="129"/>
      <c r="Z3117" s="129"/>
      <c r="AA3117" s="129"/>
      <c r="AB3117" s="129"/>
    </row>
    <row r="3118" hidden="1">
      <c r="A3118" s="128" t="s">
        <v>1489</v>
      </c>
      <c r="B3118" s="210">
        <v>3250.0</v>
      </c>
      <c r="C3118" s="210">
        <v>3500.0</v>
      </c>
      <c r="D3118" s="208">
        <f t="shared" si="252"/>
        <v>250</v>
      </c>
      <c r="E3118" s="147" t="s">
        <v>1311</v>
      </c>
      <c r="F3118" s="139"/>
      <c r="G3118" s="129"/>
      <c r="H3118" s="129"/>
      <c r="I3118" s="129"/>
      <c r="J3118" s="129"/>
      <c r="K3118" s="129"/>
      <c r="L3118" s="129"/>
      <c r="M3118" s="129"/>
      <c r="N3118" s="129"/>
      <c r="O3118" s="129"/>
      <c r="P3118" s="129"/>
      <c r="Q3118" s="129"/>
      <c r="R3118" s="129"/>
      <c r="S3118" s="129"/>
      <c r="T3118" s="129"/>
      <c r="U3118" s="129"/>
      <c r="V3118" s="129"/>
      <c r="W3118" s="129"/>
      <c r="X3118" s="129"/>
      <c r="Y3118" s="129"/>
      <c r="Z3118" s="129"/>
      <c r="AA3118" s="129"/>
      <c r="AB3118" s="129"/>
    </row>
    <row r="3119" hidden="1">
      <c r="A3119" s="123" t="s">
        <v>395</v>
      </c>
      <c r="B3119" s="124">
        <v>1750.0</v>
      </c>
      <c r="C3119" s="124">
        <v>2181.0</v>
      </c>
      <c r="D3119" s="125">
        <f t="shared" si="252"/>
        <v>431</v>
      </c>
      <c r="E3119" s="147" t="s">
        <v>123</v>
      </c>
      <c r="F3119" s="124"/>
    </row>
    <row r="3120" hidden="1">
      <c r="A3120" s="128" t="s">
        <v>1490</v>
      </c>
      <c r="B3120" s="147">
        <v>10250.0</v>
      </c>
      <c r="C3120" s="147">
        <v>11401.0</v>
      </c>
      <c r="D3120" s="132">
        <f t="shared" si="252"/>
        <v>1151</v>
      </c>
      <c r="E3120" s="147" t="s">
        <v>1311</v>
      </c>
      <c r="F3120" s="139"/>
      <c r="G3120" s="129"/>
      <c r="H3120" s="129"/>
      <c r="I3120" s="129"/>
      <c r="J3120" s="129"/>
      <c r="K3120" s="129"/>
      <c r="L3120" s="129"/>
      <c r="M3120" s="129"/>
      <c r="N3120" s="129"/>
      <c r="O3120" s="129"/>
      <c r="P3120" s="129"/>
      <c r="Q3120" s="129"/>
      <c r="R3120" s="129"/>
      <c r="S3120" s="129"/>
      <c r="T3120" s="129"/>
      <c r="U3120" s="129"/>
      <c r="V3120" s="129"/>
      <c r="W3120" s="129"/>
      <c r="X3120" s="129"/>
      <c r="Y3120" s="129"/>
      <c r="Z3120" s="129"/>
      <c r="AA3120" s="129"/>
      <c r="AB3120" s="129"/>
    </row>
    <row r="3121" hidden="1">
      <c r="A3121" s="128" t="s">
        <v>1216</v>
      </c>
      <c r="B3121" s="147">
        <v>1290.0</v>
      </c>
      <c r="C3121" s="147">
        <v>1459.0</v>
      </c>
      <c r="D3121" s="132">
        <f t="shared" si="252"/>
        <v>169</v>
      </c>
      <c r="E3121" s="147" t="s">
        <v>120</v>
      </c>
      <c r="F3121" s="139"/>
      <c r="G3121" s="129"/>
      <c r="H3121" s="129"/>
      <c r="I3121" s="129"/>
      <c r="J3121" s="129"/>
      <c r="K3121" s="129"/>
      <c r="L3121" s="129"/>
      <c r="M3121" s="129"/>
      <c r="N3121" s="129"/>
      <c r="O3121" s="129"/>
      <c r="P3121" s="129"/>
      <c r="Q3121" s="129"/>
      <c r="R3121" s="129"/>
      <c r="S3121" s="129"/>
      <c r="T3121" s="129"/>
      <c r="U3121" s="129"/>
      <c r="V3121" s="129"/>
      <c r="W3121" s="129"/>
      <c r="X3121" s="129"/>
      <c r="Y3121" s="129"/>
      <c r="Z3121" s="129"/>
      <c r="AA3121" s="129"/>
      <c r="AB3121" s="129"/>
    </row>
    <row r="3122" hidden="1">
      <c r="A3122" s="128" t="s">
        <v>1212</v>
      </c>
      <c r="B3122" s="147">
        <v>1290.0</v>
      </c>
      <c r="C3122" s="147">
        <v>1449.0</v>
      </c>
      <c r="D3122" s="132">
        <f t="shared" si="252"/>
        <v>159</v>
      </c>
      <c r="E3122" s="147" t="s">
        <v>123</v>
      </c>
      <c r="F3122" s="127"/>
      <c r="G3122" s="150"/>
      <c r="H3122" s="129"/>
      <c r="I3122" s="129"/>
      <c r="J3122" s="129"/>
      <c r="K3122" s="129"/>
      <c r="L3122" s="129"/>
      <c r="M3122" s="129"/>
      <c r="N3122" s="129"/>
      <c r="O3122" s="129"/>
      <c r="P3122" s="129"/>
      <c r="Q3122" s="129"/>
      <c r="R3122" s="129"/>
      <c r="S3122" s="129"/>
      <c r="T3122" s="129"/>
      <c r="U3122" s="129"/>
      <c r="V3122" s="129"/>
      <c r="W3122" s="129"/>
      <c r="X3122" s="129"/>
      <c r="Y3122" s="129"/>
      <c r="Z3122" s="129"/>
      <c r="AA3122" s="129"/>
      <c r="AB3122" s="129"/>
    </row>
    <row r="3123" hidden="1">
      <c r="A3123" s="128" t="s">
        <v>126</v>
      </c>
      <c r="B3123" s="147">
        <v>1750.0</v>
      </c>
      <c r="C3123" s="147">
        <v>2181.0</v>
      </c>
      <c r="D3123" s="132">
        <f t="shared" si="252"/>
        <v>431</v>
      </c>
      <c r="E3123" s="147" t="s">
        <v>123</v>
      </c>
      <c r="F3123" s="139"/>
      <c r="G3123" s="129"/>
      <c r="H3123" s="129"/>
      <c r="I3123" s="129"/>
      <c r="J3123" s="129"/>
      <c r="K3123" s="129"/>
      <c r="L3123" s="129"/>
      <c r="M3123" s="129"/>
      <c r="N3123" s="129"/>
      <c r="O3123" s="129"/>
      <c r="P3123" s="129"/>
      <c r="Q3123" s="129"/>
      <c r="R3123" s="129"/>
      <c r="S3123" s="129"/>
      <c r="T3123" s="129"/>
      <c r="U3123" s="129"/>
      <c r="V3123" s="129"/>
      <c r="W3123" s="129"/>
      <c r="X3123" s="129"/>
      <c r="Y3123" s="129"/>
      <c r="Z3123" s="129"/>
      <c r="AA3123" s="129"/>
      <c r="AB3123" s="129"/>
    </row>
    <row r="3124" hidden="1">
      <c r="A3124" s="128" t="s">
        <v>1491</v>
      </c>
      <c r="B3124" s="124">
        <v>590.0</v>
      </c>
      <c r="C3124" s="147">
        <v>766.0</v>
      </c>
      <c r="D3124" s="132">
        <f t="shared" si="252"/>
        <v>176</v>
      </c>
      <c r="E3124" s="126" t="s">
        <v>120</v>
      </c>
      <c r="F3124" s="124"/>
      <c r="G3124" s="129"/>
      <c r="H3124" s="129"/>
      <c r="I3124" s="129"/>
      <c r="J3124" s="129"/>
      <c r="K3124" s="129"/>
      <c r="L3124" s="129"/>
      <c r="M3124" s="129"/>
      <c r="N3124" s="129"/>
      <c r="O3124" s="129"/>
      <c r="P3124" s="129"/>
      <c r="Q3124" s="129"/>
      <c r="R3124" s="129"/>
      <c r="S3124" s="129"/>
      <c r="T3124" s="129"/>
      <c r="U3124" s="129"/>
      <c r="V3124" s="129"/>
      <c r="W3124" s="129"/>
      <c r="X3124" s="129"/>
      <c r="Y3124" s="129"/>
      <c r="Z3124" s="129"/>
      <c r="AA3124" s="129"/>
      <c r="AB3124" s="129"/>
    </row>
    <row r="3125" hidden="1">
      <c r="A3125" s="123" t="s">
        <v>1492</v>
      </c>
      <c r="B3125" s="124">
        <v>390.0</v>
      </c>
      <c r="C3125" s="124">
        <v>571.0</v>
      </c>
      <c r="D3125" s="125">
        <f t="shared" si="252"/>
        <v>181</v>
      </c>
      <c r="E3125" s="126" t="s">
        <v>123</v>
      </c>
      <c r="F3125" s="124"/>
    </row>
    <row r="3126" hidden="1">
      <c r="A3126" s="128" t="s">
        <v>1209</v>
      </c>
      <c r="B3126" s="147">
        <v>1350.0</v>
      </c>
      <c r="C3126" s="147">
        <v>1500.0</v>
      </c>
      <c r="D3126" s="132">
        <f t="shared" si="252"/>
        <v>150</v>
      </c>
      <c r="E3126" s="147" t="s">
        <v>123</v>
      </c>
      <c r="F3126" s="132"/>
      <c r="G3126" s="129"/>
      <c r="H3126" s="129"/>
      <c r="I3126" s="129"/>
      <c r="J3126" s="129"/>
      <c r="K3126" s="129"/>
      <c r="L3126" s="129"/>
      <c r="M3126" s="129"/>
      <c r="N3126" s="129"/>
      <c r="O3126" s="129"/>
      <c r="P3126" s="129"/>
      <c r="Q3126" s="129"/>
      <c r="R3126" s="129"/>
      <c r="S3126" s="129"/>
      <c r="T3126" s="129"/>
      <c r="U3126" s="129"/>
      <c r="V3126" s="129"/>
      <c r="W3126" s="129"/>
      <c r="X3126" s="129"/>
      <c r="Y3126" s="129"/>
      <c r="Z3126" s="129"/>
      <c r="AA3126" s="129"/>
      <c r="AB3126" s="129"/>
    </row>
    <row r="3127" hidden="1">
      <c r="A3127" s="128" t="s">
        <v>1493</v>
      </c>
      <c r="B3127" s="147">
        <v>10350.0</v>
      </c>
      <c r="C3127" s="147">
        <v>11395.0</v>
      </c>
      <c r="D3127" s="132">
        <f t="shared" si="252"/>
        <v>1045</v>
      </c>
      <c r="E3127" s="147" t="s">
        <v>1311</v>
      </c>
      <c r="F3127" s="139"/>
      <c r="G3127" s="129"/>
      <c r="H3127" s="129"/>
      <c r="I3127" s="129"/>
      <c r="J3127" s="129"/>
      <c r="K3127" s="129"/>
      <c r="L3127" s="129"/>
      <c r="M3127" s="129"/>
      <c r="N3127" s="129"/>
      <c r="O3127" s="129"/>
      <c r="P3127" s="129"/>
      <c r="Q3127" s="129"/>
      <c r="R3127" s="129"/>
      <c r="S3127" s="129"/>
      <c r="T3127" s="129"/>
      <c r="U3127" s="129"/>
      <c r="V3127" s="129"/>
      <c r="W3127" s="129"/>
      <c r="X3127" s="129"/>
      <c r="Y3127" s="129"/>
      <c r="Z3127" s="129"/>
      <c r="AA3127" s="129"/>
      <c r="AB3127" s="129"/>
    </row>
    <row r="3128" hidden="1">
      <c r="A3128" s="128" t="s">
        <v>1494</v>
      </c>
      <c r="B3128" s="147">
        <v>1490.0</v>
      </c>
      <c r="C3128" s="147">
        <v>1609.0</v>
      </c>
      <c r="D3128" s="132">
        <f t="shared" si="252"/>
        <v>119</v>
      </c>
      <c r="E3128" s="147" t="s">
        <v>120</v>
      </c>
      <c r="F3128" s="139"/>
      <c r="G3128" s="150"/>
      <c r="H3128" s="129"/>
      <c r="I3128" s="129"/>
      <c r="J3128" s="129"/>
      <c r="K3128" s="129"/>
      <c r="L3128" s="129"/>
      <c r="M3128" s="129"/>
      <c r="N3128" s="129"/>
      <c r="O3128" s="129"/>
      <c r="P3128" s="129"/>
      <c r="Q3128" s="129"/>
      <c r="R3128" s="129"/>
      <c r="S3128" s="129"/>
      <c r="T3128" s="129"/>
      <c r="U3128" s="129"/>
      <c r="V3128" s="129"/>
      <c r="W3128" s="129"/>
      <c r="X3128" s="129"/>
      <c r="Y3128" s="129"/>
      <c r="Z3128" s="129"/>
      <c r="AA3128" s="129"/>
      <c r="AB3128" s="129"/>
    </row>
    <row r="3129" hidden="1">
      <c r="A3129" s="150" t="s">
        <v>1179</v>
      </c>
      <c r="B3129" s="147">
        <v>1350.0</v>
      </c>
      <c r="C3129" s="147">
        <v>1468.0</v>
      </c>
      <c r="D3129" s="132">
        <f t="shared" si="252"/>
        <v>118</v>
      </c>
      <c r="E3129" s="147" t="s">
        <v>120</v>
      </c>
      <c r="F3129" s="132"/>
      <c r="G3129" s="129"/>
      <c r="H3129" s="129"/>
      <c r="I3129" s="129"/>
      <c r="J3129" s="129"/>
      <c r="K3129" s="129"/>
      <c r="L3129" s="129"/>
      <c r="M3129" s="129"/>
      <c r="N3129" s="129"/>
      <c r="O3129" s="129"/>
      <c r="P3129" s="129"/>
      <c r="Q3129" s="129"/>
      <c r="R3129" s="129"/>
      <c r="S3129" s="129"/>
      <c r="T3129" s="129"/>
      <c r="U3129" s="129"/>
      <c r="V3129" s="129"/>
      <c r="W3129" s="129"/>
      <c r="X3129" s="129"/>
      <c r="Y3129" s="129"/>
      <c r="Z3129" s="129"/>
      <c r="AA3129" s="129"/>
      <c r="AB3129" s="129"/>
    </row>
    <row r="3130" hidden="1">
      <c r="A3130" s="128" t="s">
        <v>1216</v>
      </c>
      <c r="B3130" s="147">
        <v>1450.0</v>
      </c>
      <c r="C3130" s="147">
        <v>1561.0</v>
      </c>
      <c r="D3130" s="132">
        <f t="shared" si="252"/>
        <v>111</v>
      </c>
      <c r="E3130" s="147" t="s">
        <v>120</v>
      </c>
      <c r="F3130" s="139"/>
      <c r="G3130" s="129"/>
      <c r="H3130" s="129"/>
      <c r="I3130" s="129"/>
      <c r="J3130" s="129"/>
      <c r="K3130" s="129"/>
      <c r="L3130" s="129"/>
      <c r="M3130" s="129"/>
      <c r="N3130" s="129"/>
      <c r="O3130" s="129"/>
      <c r="P3130" s="129"/>
      <c r="Q3130" s="129"/>
      <c r="R3130" s="129"/>
      <c r="S3130" s="129"/>
      <c r="T3130" s="129"/>
      <c r="U3130" s="129"/>
      <c r="V3130" s="129"/>
      <c r="W3130" s="129"/>
      <c r="X3130" s="129"/>
      <c r="Y3130" s="129"/>
      <c r="Z3130" s="129"/>
      <c r="AA3130" s="129"/>
      <c r="AB3130" s="129"/>
    </row>
    <row r="3131" hidden="1">
      <c r="A3131" s="128" t="s">
        <v>1431</v>
      </c>
      <c r="B3131" s="147">
        <v>790.0</v>
      </c>
      <c r="C3131" s="147">
        <v>980.0</v>
      </c>
      <c r="D3131" s="132">
        <f t="shared" si="252"/>
        <v>190</v>
      </c>
      <c r="E3131" s="147" t="s">
        <v>123</v>
      </c>
      <c r="F3131" s="132"/>
      <c r="G3131" s="129"/>
      <c r="H3131" s="129"/>
      <c r="I3131" s="129"/>
      <c r="J3131" s="129"/>
      <c r="K3131" s="129"/>
      <c r="L3131" s="129"/>
      <c r="M3131" s="129"/>
      <c r="N3131" s="129"/>
      <c r="O3131" s="129"/>
      <c r="P3131" s="129"/>
      <c r="Q3131" s="129"/>
      <c r="R3131" s="129"/>
      <c r="S3131" s="129"/>
      <c r="T3131" s="129"/>
      <c r="U3131" s="129"/>
      <c r="V3131" s="129"/>
      <c r="W3131" s="129"/>
      <c r="X3131" s="129"/>
      <c r="Y3131" s="129"/>
      <c r="Z3131" s="129"/>
      <c r="AA3131" s="129"/>
      <c r="AB3131" s="129"/>
    </row>
    <row r="3132" hidden="1">
      <c r="A3132" s="123" t="s">
        <v>1495</v>
      </c>
      <c r="B3132" s="147">
        <v>740.0</v>
      </c>
      <c r="C3132" s="124">
        <v>1029.0</v>
      </c>
      <c r="D3132" s="125">
        <f t="shared" si="252"/>
        <v>289</v>
      </c>
      <c r="E3132" s="126" t="s">
        <v>118</v>
      </c>
      <c r="F3132" s="124"/>
    </row>
    <row r="3133" hidden="1">
      <c r="A3133" s="128" t="s">
        <v>1208</v>
      </c>
      <c r="B3133" s="147">
        <v>1350.0</v>
      </c>
      <c r="C3133" s="147">
        <v>1493.0</v>
      </c>
      <c r="D3133" s="132">
        <f t="shared" si="252"/>
        <v>143</v>
      </c>
      <c r="E3133" s="147" t="s">
        <v>120</v>
      </c>
      <c r="F3133" s="132"/>
      <c r="G3133" s="129"/>
      <c r="H3133" s="129"/>
      <c r="I3133" s="129"/>
      <c r="J3133" s="129"/>
      <c r="K3133" s="129"/>
      <c r="L3133" s="129"/>
      <c r="M3133" s="129"/>
      <c r="N3133" s="129"/>
      <c r="O3133" s="129"/>
      <c r="P3133" s="129"/>
      <c r="Q3133" s="129"/>
      <c r="R3133" s="129"/>
      <c r="S3133" s="129"/>
      <c r="T3133" s="129"/>
      <c r="U3133" s="129"/>
      <c r="V3133" s="129"/>
      <c r="W3133" s="129"/>
      <c r="X3133" s="129"/>
      <c r="Y3133" s="129"/>
      <c r="Z3133" s="129"/>
      <c r="AA3133" s="129"/>
      <c r="AB3133" s="129"/>
    </row>
    <row r="3134" hidden="1">
      <c r="A3134" s="159" t="s">
        <v>444</v>
      </c>
      <c r="B3134" s="124">
        <v>1090.0</v>
      </c>
      <c r="C3134" s="147">
        <v>1257.0</v>
      </c>
      <c r="D3134" s="132">
        <f t="shared" si="252"/>
        <v>167</v>
      </c>
      <c r="E3134" s="126" t="s">
        <v>123</v>
      </c>
      <c r="F3134" s="124"/>
      <c r="G3134" s="129"/>
      <c r="H3134" s="129"/>
      <c r="I3134" s="129"/>
      <c r="J3134" s="129"/>
      <c r="K3134" s="129"/>
      <c r="L3134" s="129"/>
      <c r="M3134" s="129"/>
      <c r="N3134" s="129"/>
      <c r="O3134" s="129"/>
      <c r="P3134" s="129"/>
      <c r="Q3134" s="129"/>
      <c r="R3134" s="129"/>
      <c r="S3134" s="129"/>
      <c r="T3134" s="129"/>
      <c r="U3134" s="129"/>
      <c r="V3134" s="129"/>
      <c r="W3134" s="129"/>
      <c r="X3134" s="129"/>
      <c r="Y3134" s="129"/>
      <c r="Z3134" s="129"/>
      <c r="AA3134" s="129"/>
      <c r="AB3134" s="129"/>
    </row>
    <row r="3135" hidden="1">
      <c r="A3135" s="150" t="s">
        <v>1415</v>
      </c>
      <c r="B3135" s="147">
        <v>790.0</v>
      </c>
      <c r="C3135" s="147">
        <v>1062.0</v>
      </c>
      <c r="D3135" s="132">
        <f t="shared" si="252"/>
        <v>272</v>
      </c>
      <c r="E3135" s="147" t="s">
        <v>123</v>
      </c>
      <c r="F3135" s="132"/>
      <c r="G3135" s="129"/>
      <c r="H3135" s="129"/>
      <c r="I3135" s="129"/>
      <c r="J3135" s="129"/>
      <c r="K3135" s="129"/>
      <c r="L3135" s="129"/>
      <c r="M3135" s="129"/>
      <c r="N3135" s="129"/>
      <c r="O3135" s="129"/>
      <c r="P3135" s="129"/>
      <c r="Q3135" s="129"/>
      <c r="R3135" s="129"/>
      <c r="S3135" s="129"/>
      <c r="T3135" s="129"/>
      <c r="U3135" s="129"/>
      <c r="V3135" s="129"/>
      <c r="W3135" s="129"/>
      <c r="X3135" s="129"/>
      <c r="Y3135" s="129"/>
      <c r="Z3135" s="129"/>
      <c r="AA3135" s="129"/>
      <c r="AB3135" s="129"/>
    </row>
    <row r="3136" hidden="1">
      <c r="A3136" s="128" t="s">
        <v>1496</v>
      </c>
      <c r="B3136" s="147">
        <v>10500.0</v>
      </c>
      <c r="C3136" s="147">
        <v>11297.0</v>
      </c>
      <c r="D3136" s="132">
        <f t="shared" si="252"/>
        <v>797</v>
      </c>
      <c r="E3136" s="147"/>
      <c r="F3136" s="139"/>
      <c r="G3136" s="129"/>
      <c r="H3136" s="129"/>
      <c r="I3136" s="129"/>
      <c r="J3136" s="129"/>
      <c r="K3136" s="129"/>
      <c r="L3136" s="129"/>
      <c r="M3136" s="129"/>
      <c r="N3136" s="129"/>
      <c r="O3136" s="129"/>
      <c r="P3136" s="129"/>
      <c r="Q3136" s="129"/>
      <c r="R3136" s="129"/>
      <c r="S3136" s="129"/>
      <c r="T3136" s="129"/>
      <c r="U3136" s="129"/>
      <c r="V3136" s="129"/>
      <c r="W3136" s="129"/>
      <c r="X3136" s="129"/>
      <c r="Y3136" s="129"/>
      <c r="Z3136" s="129"/>
      <c r="AA3136" s="129"/>
      <c r="AB3136" s="129"/>
    </row>
    <row r="3137" hidden="1">
      <c r="A3137" s="128" t="s">
        <v>1301</v>
      </c>
      <c r="B3137" s="147">
        <v>2640.0</v>
      </c>
      <c r="C3137" s="147">
        <v>2935.0</v>
      </c>
      <c r="D3137" s="132">
        <f t="shared" si="252"/>
        <v>295</v>
      </c>
      <c r="E3137" s="172" t="s">
        <v>123</v>
      </c>
      <c r="F3137" s="132"/>
      <c r="G3137" s="129"/>
      <c r="H3137" s="129"/>
      <c r="I3137" s="129"/>
      <c r="J3137" s="129"/>
      <c r="K3137" s="129"/>
      <c r="L3137" s="129"/>
      <c r="M3137" s="129"/>
      <c r="N3137" s="129"/>
      <c r="O3137" s="129"/>
      <c r="P3137" s="129"/>
      <c r="Q3137" s="129"/>
      <c r="R3137" s="129"/>
      <c r="S3137" s="129"/>
      <c r="T3137" s="129"/>
      <c r="U3137" s="129"/>
      <c r="V3137" s="129"/>
      <c r="W3137" s="129"/>
      <c r="X3137" s="129"/>
      <c r="Y3137" s="129"/>
      <c r="Z3137" s="129"/>
      <c r="AA3137" s="129"/>
      <c r="AB3137" s="129"/>
    </row>
    <row r="3138" hidden="1">
      <c r="A3138" s="123" t="s">
        <v>1212</v>
      </c>
      <c r="B3138" s="147">
        <v>0.0</v>
      </c>
      <c r="C3138" s="147">
        <v>0.0</v>
      </c>
      <c r="D3138" s="125">
        <f t="shared" si="252"/>
        <v>0</v>
      </c>
      <c r="E3138" s="172" t="s">
        <v>123</v>
      </c>
      <c r="F3138" s="127"/>
      <c r="G3138" s="123"/>
    </row>
    <row r="3139" hidden="1">
      <c r="A3139" s="150" t="s">
        <v>1497</v>
      </c>
      <c r="B3139" s="147">
        <v>1990.0</v>
      </c>
      <c r="C3139" s="147">
        <v>2348.0</v>
      </c>
      <c r="D3139" s="132">
        <f t="shared" si="252"/>
        <v>358</v>
      </c>
      <c r="E3139" s="147" t="s">
        <v>118</v>
      </c>
      <c r="F3139" s="139"/>
      <c r="G3139" s="129"/>
      <c r="H3139" s="129"/>
      <c r="I3139" s="129"/>
      <c r="J3139" s="129"/>
      <c r="K3139" s="129"/>
      <c r="L3139" s="129"/>
      <c r="M3139" s="129"/>
      <c r="N3139" s="129"/>
      <c r="O3139" s="129"/>
      <c r="P3139" s="129"/>
      <c r="Q3139" s="129"/>
      <c r="R3139" s="129"/>
      <c r="S3139" s="129"/>
      <c r="T3139" s="129"/>
      <c r="U3139" s="129"/>
      <c r="V3139" s="129"/>
      <c r="W3139" s="129"/>
      <c r="X3139" s="129"/>
      <c r="Y3139" s="129"/>
      <c r="Z3139" s="129"/>
      <c r="AA3139" s="129"/>
      <c r="AB3139" s="129"/>
    </row>
    <row r="3140" hidden="1">
      <c r="A3140" s="128" t="s">
        <v>1498</v>
      </c>
      <c r="B3140" s="147">
        <v>490.0</v>
      </c>
      <c r="C3140" s="147">
        <v>669.0</v>
      </c>
      <c r="D3140" s="132">
        <f t="shared" si="252"/>
        <v>179</v>
      </c>
      <c r="E3140" s="147" t="s">
        <v>120</v>
      </c>
      <c r="F3140" s="139"/>
      <c r="G3140" s="129"/>
      <c r="H3140" s="129"/>
      <c r="I3140" s="129"/>
      <c r="J3140" s="129"/>
      <c r="K3140" s="129"/>
      <c r="L3140" s="129"/>
      <c r="M3140" s="129"/>
      <c r="N3140" s="129"/>
      <c r="O3140" s="129"/>
      <c r="P3140" s="129"/>
      <c r="Q3140" s="129"/>
      <c r="R3140" s="129"/>
      <c r="S3140" s="129"/>
      <c r="T3140" s="129"/>
      <c r="U3140" s="129"/>
      <c r="V3140" s="129"/>
      <c r="W3140" s="129"/>
      <c r="X3140" s="129"/>
      <c r="Y3140" s="129"/>
      <c r="Z3140" s="129"/>
      <c r="AA3140" s="129"/>
      <c r="AB3140" s="129"/>
    </row>
    <row r="3141" hidden="1">
      <c r="A3141" s="159" t="s">
        <v>1499</v>
      </c>
      <c r="B3141" s="147">
        <v>390.0</v>
      </c>
      <c r="C3141" s="147">
        <v>572.0</v>
      </c>
      <c r="D3141" s="132">
        <f t="shared" si="252"/>
        <v>182</v>
      </c>
      <c r="E3141" s="147" t="s">
        <v>123</v>
      </c>
      <c r="F3141" s="139"/>
      <c r="G3141" s="129"/>
      <c r="H3141" s="129"/>
      <c r="I3141" s="129"/>
      <c r="J3141" s="129"/>
      <c r="K3141" s="129"/>
      <c r="L3141" s="129"/>
      <c r="M3141" s="129"/>
      <c r="N3141" s="129"/>
      <c r="O3141" s="129"/>
      <c r="P3141" s="129"/>
      <c r="Q3141" s="129"/>
      <c r="R3141" s="129"/>
      <c r="S3141" s="129"/>
      <c r="T3141" s="129"/>
      <c r="U3141" s="129"/>
      <c r="V3141" s="129"/>
      <c r="W3141" s="129"/>
      <c r="X3141" s="129"/>
      <c r="Y3141" s="129"/>
      <c r="Z3141" s="129"/>
      <c r="AA3141" s="129"/>
      <c r="AB3141" s="129"/>
    </row>
    <row r="3142" hidden="1">
      <c r="A3142" s="128" t="s">
        <v>1140</v>
      </c>
      <c r="B3142" s="147">
        <v>1490.0</v>
      </c>
      <c r="C3142" s="147">
        <v>1611.0</v>
      </c>
      <c r="D3142" s="132">
        <f t="shared" si="252"/>
        <v>121</v>
      </c>
      <c r="E3142" s="172" t="s">
        <v>120</v>
      </c>
      <c r="F3142" s="139"/>
      <c r="G3142" s="129"/>
      <c r="H3142" s="129"/>
      <c r="I3142" s="129"/>
      <c r="J3142" s="129"/>
      <c r="K3142" s="129"/>
      <c r="L3142" s="129"/>
      <c r="M3142" s="129"/>
      <c r="N3142" s="129"/>
      <c r="O3142" s="129"/>
      <c r="P3142" s="129"/>
      <c r="Q3142" s="129"/>
      <c r="R3142" s="129"/>
      <c r="S3142" s="129"/>
      <c r="T3142" s="129"/>
      <c r="U3142" s="129"/>
      <c r="V3142" s="129"/>
      <c r="W3142" s="129"/>
      <c r="X3142" s="129"/>
      <c r="Y3142" s="129"/>
      <c r="Z3142" s="129"/>
      <c r="AA3142" s="129"/>
      <c r="AB3142" s="129"/>
    </row>
    <row r="3143" hidden="1">
      <c r="A3143" s="128" t="s">
        <v>1209</v>
      </c>
      <c r="B3143" s="147">
        <v>1450.0</v>
      </c>
      <c r="C3143" s="147">
        <v>1590.0</v>
      </c>
      <c r="D3143" s="132">
        <f t="shared" si="252"/>
        <v>140</v>
      </c>
      <c r="E3143" s="172" t="s">
        <v>123</v>
      </c>
      <c r="F3143" s="132"/>
      <c r="G3143" s="129"/>
      <c r="H3143" s="129"/>
      <c r="I3143" s="129"/>
      <c r="J3143" s="129"/>
      <c r="K3143" s="129"/>
      <c r="L3143" s="129"/>
      <c r="M3143" s="129"/>
      <c r="N3143" s="129"/>
      <c r="O3143" s="129"/>
      <c r="P3143" s="129"/>
      <c r="Q3143" s="129"/>
      <c r="R3143" s="129"/>
      <c r="S3143" s="129"/>
      <c r="T3143" s="129"/>
      <c r="U3143" s="129"/>
      <c r="V3143" s="129"/>
      <c r="W3143" s="129"/>
      <c r="X3143" s="129"/>
      <c r="Y3143" s="129"/>
      <c r="Z3143" s="129"/>
      <c r="AA3143" s="129"/>
      <c r="AB3143" s="129"/>
    </row>
    <row r="3144" hidden="1">
      <c r="A3144" s="128" t="s">
        <v>1500</v>
      </c>
      <c r="B3144" s="147">
        <v>11250.0</v>
      </c>
      <c r="C3144" s="147">
        <v>11789.0</v>
      </c>
      <c r="D3144" s="132">
        <f t="shared" si="252"/>
        <v>539</v>
      </c>
      <c r="E3144" s="147" t="s">
        <v>1311</v>
      </c>
      <c r="F3144" s="139"/>
      <c r="G3144" s="129"/>
      <c r="H3144" s="129"/>
      <c r="I3144" s="129"/>
      <c r="J3144" s="129"/>
      <c r="K3144" s="129"/>
      <c r="L3144" s="129"/>
      <c r="M3144" s="129"/>
      <c r="N3144" s="129"/>
      <c r="O3144" s="129"/>
      <c r="P3144" s="129"/>
      <c r="Q3144" s="129"/>
      <c r="R3144" s="129"/>
      <c r="S3144" s="129"/>
      <c r="T3144" s="129"/>
      <c r="U3144" s="129"/>
      <c r="V3144" s="129"/>
      <c r="W3144" s="129"/>
      <c r="X3144" s="129"/>
      <c r="Y3144" s="129"/>
      <c r="Z3144" s="129"/>
      <c r="AA3144" s="129"/>
      <c r="AB3144" s="129"/>
    </row>
    <row r="3145" hidden="1">
      <c r="A3145" s="128" t="s">
        <v>126</v>
      </c>
      <c r="B3145" s="147">
        <v>1750.0</v>
      </c>
      <c r="C3145" s="147">
        <v>2191.0</v>
      </c>
      <c r="D3145" s="132">
        <f t="shared" si="252"/>
        <v>441</v>
      </c>
      <c r="E3145" s="147" t="s">
        <v>123</v>
      </c>
      <c r="F3145" s="139"/>
      <c r="G3145" s="129"/>
      <c r="H3145" s="129"/>
      <c r="I3145" s="129"/>
      <c r="J3145" s="129"/>
      <c r="K3145" s="129"/>
      <c r="L3145" s="129"/>
      <c r="M3145" s="129"/>
      <c r="N3145" s="129"/>
      <c r="O3145" s="129"/>
      <c r="P3145" s="129"/>
      <c r="Q3145" s="129"/>
      <c r="R3145" s="129"/>
      <c r="S3145" s="129"/>
      <c r="T3145" s="129"/>
      <c r="U3145" s="129"/>
      <c r="V3145" s="129"/>
      <c r="W3145" s="129"/>
      <c r="X3145" s="129"/>
      <c r="Y3145" s="129"/>
      <c r="Z3145" s="129"/>
      <c r="AA3145" s="129"/>
      <c r="AB3145" s="129"/>
    </row>
    <row r="3146" hidden="1">
      <c r="A3146" s="123" t="s">
        <v>1501</v>
      </c>
      <c r="B3146" s="124">
        <v>790.0</v>
      </c>
      <c r="C3146" s="124">
        <v>966.0</v>
      </c>
      <c r="D3146" s="125">
        <f t="shared" si="252"/>
        <v>176</v>
      </c>
      <c r="E3146" s="172" t="s">
        <v>123</v>
      </c>
      <c r="F3146" s="124"/>
    </row>
    <row r="3147" hidden="1">
      <c r="A3147" s="123" t="s">
        <v>1502</v>
      </c>
      <c r="B3147" s="147">
        <v>1490.0</v>
      </c>
      <c r="C3147" s="124">
        <v>1819.0</v>
      </c>
      <c r="D3147" s="125">
        <f t="shared" si="252"/>
        <v>329</v>
      </c>
      <c r="E3147" s="172" t="s">
        <v>118</v>
      </c>
      <c r="F3147" s="124"/>
    </row>
    <row r="3148" hidden="1">
      <c r="A3148" s="128" t="s">
        <v>1301</v>
      </c>
      <c r="B3148" s="147">
        <v>1450.0</v>
      </c>
      <c r="C3148" s="147">
        <v>1600.0</v>
      </c>
      <c r="D3148" s="132">
        <f t="shared" si="252"/>
        <v>150</v>
      </c>
      <c r="E3148" s="147" t="s">
        <v>123</v>
      </c>
      <c r="F3148" s="132"/>
      <c r="G3148" s="129"/>
      <c r="H3148" s="129"/>
      <c r="I3148" s="129"/>
      <c r="J3148" s="129"/>
      <c r="K3148" s="129"/>
      <c r="L3148" s="129"/>
      <c r="M3148" s="129"/>
      <c r="N3148" s="129"/>
      <c r="O3148" s="129"/>
      <c r="P3148" s="129"/>
      <c r="Q3148" s="129"/>
      <c r="R3148" s="129"/>
      <c r="S3148" s="129"/>
      <c r="T3148" s="129"/>
      <c r="U3148" s="129"/>
      <c r="V3148" s="129"/>
      <c r="W3148" s="129"/>
      <c r="X3148" s="129"/>
      <c r="Y3148" s="129"/>
      <c r="Z3148" s="129"/>
      <c r="AA3148" s="129"/>
      <c r="AB3148" s="129"/>
    </row>
    <row r="3149" hidden="1">
      <c r="A3149" s="128" t="s">
        <v>1503</v>
      </c>
      <c r="B3149" s="147">
        <v>1290.0</v>
      </c>
      <c r="C3149" s="147">
        <v>1451.0</v>
      </c>
      <c r="D3149" s="132">
        <f t="shared" si="252"/>
        <v>161</v>
      </c>
      <c r="E3149" s="147" t="s">
        <v>120</v>
      </c>
      <c r="F3149" s="127"/>
      <c r="G3149" s="150"/>
      <c r="H3149" s="129"/>
      <c r="I3149" s="129"/>
      <c r="J3149" s="129"/>
      <c r="K3149" s="129"/>
      <c r="L3149" s="129"/>
      <c r="M3149" s="129"/>
      <c r="N3149" s="129"/>
      <c r="O3149" s="129"/>
      <c r="P3149" s="129"/>
      <c r="Q3149" s="129"/>
      <c r="R3149" s="129"/>
      <c r="S3149" s="129"/>
      <c r="T3149" s="129"/>
      <c r="U3149" s="129"/>
      <c r="V3149" s="129"/>
      <c r="W3149" s="129"/>
      <c r="X3149" s="129"/>
      <c r="Y3149" s="129"/>
      <c r="Z3149" s="129"/>
      <c r="AA3149" s="129"/>
      <c r="AB3149" s="129"/>
    </row>
    <row r="3150" hidden="1">
      <c r="A3150" s="159" t="s">
        <v>444</v>
      </c>
      <c r="B3150" s="124">
        <v>1090.0</v>
      </c>
      <c r="C3150" s="147">
        <v>1261.0</v>
      </c>
      <c r="D3150" s="132">
        <f t="shared" si="252"/>
        <v>171</v>
      </c>
      <c r="E3150" s="126" t="s">
        <v>123</v>
      </c>
      <c r="F3150" s="124"/>
      <c r="G3150" s="129"/>
      <c r="H3150" s="129"/>
      <c r="I3150" s="129"/>
      <c r="J3150" s="129"/>
      <c r="K3150" s="129"/>
      <c r="L3150" s="129"/>
      <c r="M3150" s="129"/>
      <c r="N3150" s="129"/>
      <c r="O3150" s="129"/>
      <c r="P3150" s="129"/>
      <c r="Q3150" s="129"/>
      <c r="R3150" s="129"/>
      <c r="S3150" s="129"/>
      <c r="T3150" s="129"/>
      <c r="U3150" s="129"/>
      <c r="V3150" s="129"/>
      <c r="W3150" s="129"/>
      <c r="X3150" s="129"/>
      <c r="Y3150" s="129"/>
      <c r="Z3150" s="129"/>
      <c r="AA3150" s="129"/>
      <c r="AB3150" s="129"/>
    </row>
    <row r="3151" hidden="1">
      <c r="A3151" s="128" t="s">
        <v>1504</v>
      </c>
      <c r="B3151" s="147">
        <v>10750.0</v>
      </c>
      <c r="C3151" s="147">
        <v>11885.0</v>
      </c>
      <c r="D3151" s="132">
        <f t="shared" si="252"/>
        <v>1135</v>
      </c>
      <c r="E3151" s="147" t="s">
        <v>1311</v>
      </c>
      <c r="F3151" s="139"/>
      <c r="G3151" s="129"/>
      <c r="H3151" s="129"/>
      <c r="I3151" s="129"/>
      <c r="J3151" s="129"/>
      <c r="K3151" s="129"/>
      <c r="L3151" s="129"/>
      <c r="M3151" s="129"/>
      <c r="N3151" s="129"/>
      <c r="O3151" s="129"/>
      <c r="P3151" s="129"/>
      <c r="Q3151" s="129"/>
      <c r="R3151" s="129"/>
      <c r="S3151" s="129"/>
      <c r="T3151" s="129"/>
      <c r="U3151" s="129"/>
      <c r="V3151" s="129"/>
      <c r="W3151" s="129"/>
      <c r="X3151" s="129"/>
      <c r="Y3151" s="129"/>
      <c r="Z3151" s="129"/>
      <c r="AA3151" s="129"/>
      <c r="AB3151" s="129"/>
    </row>
    <row r="3152" hidden="1">
      <c r="A3152" s="128" t="s">
        <v>1505</v>
      </c>
      <c r="B3152" s="147">
        <v>890.0</v>
      </c>
      <c r="C3152" s="147">
        <v>1068.0</v>
      </c>
      <c r="D3152" s="132">
        <f t="shared" si="252"/>
        <v>178</v>
      </c>
      <c r="E3152" s="172" t="s">
        <v>123</v>
      </c>
      <c r="F3152" s="139"/>
      <c r="G3152" s="129"/>
      <c r="H3152" s="129"/>
      <c r="I3152" s="129"/>
      <c r="J3152" s="129"/>
      <c r="K3152" s="129"/>
      <c r="L3152" s="129"/>
      <c r="M3152" s="129"/>
      <c r="N3152" s="129"/>
      <c r="O3152" s="129"/>
      <c r="P3152" s="129"/>
      <c r="Q3152" s="129"/>
      <c r="R3152" s="129"/>
      <c r="S3152" s="129"/>
      <c r="T3152" s="129"/>
      <c r="U3152" s="129"/>
      <c r="V3152" s="129"/>
      <c r="W3152" s="129"/>
      <c r="X3152" s="129"/>
      <c r="Y3152" s="129"/>
      <c r="Z3152" s="129"/>
      <c r="AA3152" s="129"/>
      <c r="AB3152" s="129"/>
    </row>
    <row r="3153" hidden="1">
      <c r="A3153" s="128" t="s">
        <v>1209</v>
      </c>
      <c r="B3153" s="147">
        <v>1450.0</v>
      </c>
      <c r="C3153" s="147">
        <v>1598.0</v>
      </c>
      <c r="D3153" s="132">
        <f t="shared" si="252"/>
        <v>148</v>
      </c>
      <c r="E3153" s="147" t="s">
        <v>123</v>
      </c>
      <c r="F3153" s="132"/>
      <c r="G3153" s="129"/>
      <c r="H3153" s="129"/>
      <c r="I3153" s="129"/>
      <c r="J3153" s="129"/>
      <c r="K3153" s="129"/>
      <c r="L3153" s="129"/>
      <c r="M3153" s="129"/>
      <c r="N3153" s="129"/>
      <c r="O3153" s="129"/>
      <c r="P3153" s="129"/>
      <c r="Q3153" s="129"/>
      <c r="R3153" s="129"/>
      <c r="S3153" s="129"/>
      <c r="T3153" s="129"/>
      <c r="U3153" s="129"/>
      <c r="V3153" s="129"/>
      <c r="W3153" s="129"/>
      <c r="X3153" s="129"/>
      <c r="Y3153" s="129"/>
      <c r="Z3153" s="129"/>
      <c r="AA3153" s="129"/>
      <c r="AB3153" s="129"/>
    </row>
    <row r="3154" hidden="1">
      <c r="A3154" s="123" t="s">
        <v>1453</v>
      </c>
      <c r="B3154" s="124">
        <v>3490.0</v>
      </c>
      <c r="C3154" s="124">
        <v>4347.0</v>
      </c>
      <c r="D3154" s="125">
        <f t="shared" si="252"/>
        <v>857</v>
      </c>
      <c r="E3154" s="172" t="s">
        <v>123</v>
      </c>
      <c r="F3154" s="124"/>
    </row>
    <row r="3155" hidden="1">
      <c r="A3155" s="128" t="s">
        <v>1506</v>
      </c>
      <c r="B3155" s="147">
        <v>1990.0</v>
      </c>
      <c r="C3155" s="147">
        <v>2428.0</v>
      </c>
      <c r="D3155" s="132">
        <f t="shared" si="252"/>
        <v>438</v>
      </c>
      <c r="E3155" s="172" t="s">
        <v>118</v>
      </c>
      <c r="F3155" s="139"/>
      <c r="G3155" s="129"/>
      <c r="H3155" s="129"/>
      <c r="I3155" s="129"/>
      <c r="J3155" s="129"/>
      <c r="K3155" s="129"/>
      <c r="L3155" s="129"/>
      <c r="M3155" s="129"/>
      <c r="N3155" s="129"/>
      <c r="O3155" s="129"/>
      <c r="P3155" s="129"/>
      <c r="Q3155" s="129"/>
      <c r="R3155" s="129"/>
      <c r="S3155" s="129"/>
      <c r="T3155" s="129"/>
      <c r="U3155" s="129"/>
      <c r="V3155" s="129"/>
      <c r="W3155" s="129"/>
      <c r="X3155" s="129"/>
      <c r="Y3155" s="129"/>
      <c r="Z3155" s="129"/>
      <c r="AA3155" s="129"/>
      <c r="AB3155" s="129"/>
    </row>
    <row r="3156" hidden="1">
      <c r="A3156" s="128" t="s">
        <v>1507</v>
      </c>
      <c r="B3156" s="147">
        <v>6250.0</v>
      </c>
      <c r="C3156" s="147">
        <v>6873.0</v>
      </c>
      <c r="D3156" s="132">
        <f t="shared" si="252"/>
        <v>623</v>
      </c>
      <c r="E3156" s="172" t="s">
        <v>118</v>
      </c>
      <c r="F3156" s="139"/>
      <c r="G3156" s="129"/>
      <c r="H3156" s="129"/>
      <c r="I3156" s="129"/>
      <c r="J3156" s="129"/>
      <c r="K3156" s="129"/>
      <c r="L3156" s="129"/>
      <c r="M3156" s="129"/>
      <c r="N3156" s="129"/>
      <c r="O3156" s="129"/>
      <c r="P3156" s="129"/>
      <c r="Q3156" s="129"/>
      <c r="R3156" s="129"/>
      <c r="S3156" s="129"/>
      <c r="T3156" s="129"/>
      <c r="U3156" s="129"/>
      <c r="V3156" s="129"/>
      <c r="W3156" s="129"/>
      <c r="X3156" s="129"/>
      <c r="Y3156" s="129"/>
      <c r="Z3156" s="129"/>
      <c r="AA3156" s="129"/>
      <c r="AB3156" s="129"/>
    </row>
    <row r="3157" hidden="1">
      <c r="A3157" s="151" t="s">
        <v>464</v>
      </c>
      <c r="B3157" s="147">
        <v>1290.0</v>
      </c>
      <c r="C3157" s="124">
        <v>1464.0</v>
      </c>
      <c r="D3157" s="132">
        <f t="shared" si="252"/>
        <v>174</v>
      </c>
      <c r="E3157" s="172" t="s">
        <v>123</v>
      </c>
      <c r="F3157" s="139"/>
      <c r="G3157" s="129"/>
      <c r="H3157" s="129"/>
      <c r="I3157" s="129"/>
      <c r="J3157" s="129"/>
      <c r="K3157" s="129"/>
      <c r="L3157" s="129"/>
      <c r="M3157" s="129"/>
      <c r="N3157" s="129"/>
      <c r="O3157" s="129"/>
      <c r="P3157" s="129"/>
      <c r="Q3157" s="129"/>
      <c r="R3157" s="129"/>
      <c r="S3157" s="129"/>
      <c r="T3157" s="129"/>
      <c r="U3157" s="129"/>
      <c r="V3157" s="129"/>
      <c r="W3157" s="129"/>
      <c r="X3157" s="129"/>
      <c r="Y3157" s="129"/>
      <c r="Z3157" s="129"/>
      <c r="AA3157" s="129"/>
      <c r="AB3157" s="129"/>
    </row>
    <row r="3158" hidden="1">
      <c r="A3158" s="128" t="s">
        <v>126</v>
      </c>
      <c r="B3158" s="147">
        <v>1750.0</v>
      </c>
      <c r="C3158" s="147">
        <v>2182.0</v>
      </c>
      <c r="D3158" s="132">
        <f t="shared" si="252"/>
        <v>432</v>
      </c>
      <c r="E3158" s="172" t="s">
        <v>123</v>
      </c>
      <c r="F3158" s="139"/>
      <c r="G3158" s="129"/>
      <c r="H3158" s="129"/>
      <c r="I3158" s="129"/>
      <c r="J3158" s="129"/>
      <c r="K3158" s="129"/>
      <c r="L3158" s="129"/>
      <c r="M3158" s="129"/>
      <c r="N3158" s="129"/>
      <c r="O3158" s="129"/>
      <c r="P3158" s="129"/>
      <c r="Q3158" s="129"/>
      <c r="R3158" s="129"/>
      <c r="S3158" s="129"/>
      <c r="T3158" s="129"/>
      <c r="U3158" s="129"/>
      <c r="V3158" s="129"/>
      <c r="W3158" s="129"/>
      <c r="X3158" s="129"/>
      <c r="Y3158" s="129"/>
      <c r="Z3158" s="129"/>
      <c r="AA3158" s="129"/>
      <c r="AB3158" s="129"/>
    </row>
    <row r="3159" hidden="1">
      <c r="A3159" s="128" t="s">
        <v>1508</v>
      </c>
      <c r="B3159" s="147">
        <v>11250.0</v>
      </c>
      <c r="C3159" s="147">
        <v>11906.0</v>
      </c>
      <c r="D3159" s="132">
        <f t="shared" si="252"/>
        <v>656</v>
      </c>
      <c r="E3159" s="172" t="s">
        <v>118</v>
      </c>
      <c r="F3159" s="139"/>
      <c r="G3159" s="129"/>
      <c r="H3159" s="129"/>
      <c r="I3159" s="129"/>
      <c r="J3159" s="129"/>
      <c r="K3159" s="129"/>
      <c r="L3159" s="129"/>
      <c r="M3159" s="129"/>
      <c r="N3159" s="129"/>
      <c r="O3159" s="129"/>
      <c r="P3159" s="129"/>
      <c r="Q3159" s="129"/>
      <c r="R3159" s="129"/>
      <c r="S3159" s="129"/>
      <c r="T3159" s="129"/>
      <c r="U3159" s="129"/>
      <c r="V3159" s="129"/>
      <c r="W3159" s="129"/>
      <c r="X3159" s="129"/>
      <c r="Y3159" s="129"/>
      <c r="Z3159" s="129"/>
      <c r="AA3159" s="129"/>
      <c r="AB3159" s="129"/>
    </row>
    <row r="3160" hidden="1">
      <c r="A3160" s="151" t="s">
        <v>464</v>
      </c>
      <c r="B3160" s="147">
        <v>1290.0</v>
      </c>
      <c r="C3160" s="124">
        <v>1464.0</v>
      </c>
      <c r="D3160" s="132">
        <f t="shared" si="252"/>
        <v>174</v>
      </c>
      <c r="E3160" s="172" t="s">
        <v>123</v>
      </c>
      <c r="F3160" s="139"/>
      <c r="G3160" s="129"/>
      <c r="H3160" s="129"/>
      <c r="I3160" s="129"/>
      <c r="J3160" s="129"/>
      <c r="K3160" s="129"/>
      <c r="L3160" s="129"/>
      <c r="M3160" s="129"/>
      <c r="N3160" s="129"/>
      <c r="O3160" s="129"/>
      <c r="P3160" s="129"/>
      <c r="Q3160" s="129"/>
      <c r="R3160" s="129"/>
      <c r="S3160" s="129"/>
      <c r="T3160" s="129"/>
      <c r="U3160" s="129"/>
      <c r="V3160" s="129"/>
      <c r="W3160" s="129"/>
      <c r="X3160" s="129"/>
      <c r="Y3160" s="129"/>
      <c r="Z3160" s="129"/>
      <c r="AA3160" s="129"/>
      <c r="AB3160" s="129"/>
    </row>
    <row r="3161" hidden="1">
      <c r="A3161" s="128" t="s">
        <v>1216</v>
      </c>
      <c r="B3161" s="147">
        <v>1390.0</v>
      </c>
      <c r="C3161" s="147">
        <v>1573.0</v>
      </c>
      <c r="D3161" s="132">
        <f t="shared" si="252"/>
        <v>183</v>
      </c>
      <c r="E3161" s="147" t="s">
        <v>120</v>
      </c>
      <c r="F3161" s="139"/>
      <c r="G3161" s="129"/>
      <c r="H3161" s="129"/>
      <c r="I3161" s="129"/>
      <c r="J3161" s="129"/>
      <c r="K3161" s="129"/>
      <c r="L3161" s="129"/>
      <c r="M3161" s="129"/>
      <c r="N3161" s="129"/>
      <c r="O3161" s="129"/>
      <c r="P3161" s="129"/>
      <c r="Q3161" s="129"/>
      <c r="R3161" s="129"/>
      <c r="S3161" s="129"/>
      <c r="T3161" s="129"/>
      <c r="U3161" s="129"/>
      <c r="V3161" s="129"/>
      <c r="W3161" s="129"/>
      <c r="X3161" s="129"/>
      <c r="Y3161" s="129"/>
      <c r="Z3161" s="129"/>
      <c r="AA3161" s="129"/>
      <c r="AB3161" s="129"/>
    </row>
    <row r="3162" hidden="1">
      <c r="A3162" s="128" t="s">
        <v>1215</v>
      </c>
      <c r="B3162" s="147">
        <v>1290.0</v>
      </c>
      <c r="C3162" s="147">
        <v>1486.0</v>
      </c>
      <c r="D3162" s="132">
        <f t="shared" si="252"/>
        <v>196</v>
      </c>
      <c r="E3162" s="147" t="s">
        <v>120</v>
      </c>
      <c r="F3162" s="139"/>
      <c r="G3162" s="129"/>
      <c r="H3162" s="129"/>
      <c r="I3162" s="129"/>
      <c r="J3162" s="129"/>
      <c r="K3162" s="129"/>
      <c r="L3162" s="129"/>
      <c r="M3162" s="129"/>
      <c r="N3162" s="129"/>
      <c r="O3162" s="129"/>
      <c r="P3162" s="129"/>
      <c r="Q3162" s="129"/>
      <c r="R3162" s="129"/>
      <c r="S3162" s="129"/>
      <c r="T3162" s="129"/>
      <c r="U3162" s="129"/>
      <c r="V3162" s="129"/>
      <c r="W3162" s="129"/>
      <c r="X3162" s="129"/>
      <c r="Y3162" s="129"/>
      <c r="Z3162" s="129"/>
      <c r="AA3162" s="129"/>
      <c r="AB3162" s="129"/>
    </row>
    <row r="3163" hidden="1">
      <c r="A3163" s="150" t="s">
        <v>1479</v>
      </c>
      <c r="B3163" s="147">
        <v>1750.0</v>
      </c>
      <c r="C3163" s="147">
        <v>2438.0</v>
      </c>
      <c r="D3163" s="132">
        <f t="shared" si="252"/>
        <v>688</v>
      </c>
      <c r="E3163" s="147" t="s">
        <v>123</v>
      </c>
      <c r="F3163" s="139"/>
      <c r="G3163" s="129"/>
      <c r="H3163" s="129"/>
      <c r="I3163" s="129"/>
      <c r="J3163" s="129"/>
      <c r="K3163" s="129"/>
      <c r="L3163" s="129"/>
      <c r="M3163" s="129"/>
      <c r="N3163" s="129"/>
      <c r="O3163" s="129"/>
      <c r="P3163" s="129"/>
      <c r="Q3163" s="129"/>
      <c r="R3163" s="129"/>
      <c r="S3163" s="129"/>
      <c r="T3163" s="129"/>
      <c r="U3163" s="129"/>
      <c r="V3163" s="129"/>
      <c r="W3163" s="129"/>
      <c r="X3163" s="129"/>
      <c r="Y3163" s="129"/>
      <c r="Z3163" s="129"/>
      <c r="AA3163" s="129"/>
      <c r="AB3163" s="129"/>
    </row>
    <row r="3164" hidden="1">
      <c r="A3164" s="128" t="s">
        <v>1509</v>
      </c>
      <c r="B3164" s="147">
        <v>3250.0</v>
      </c>
      <c r="C3164" s="147">
        <v>3540.0</v>
      </c>
      <c r="D3164" s="132">
        <f t="shared" si="252"/>
        <v>290</v>
      </c>
      <c r="E3164" s="147" t="s">
        <v>123</v>
      </c>
      <c r="F3164" s="139"/>
      <c r="G3164" s="129"/>
      <c r="H3164" s="129"/>
      <c r="I3164" s="129"/>
      <c r="J3164" s="129"/>
      <c r="K3164" s="129"/>
      <c r="L3164" s="129"/>
      <c r="M3164" s="129"/>
      <c r="N3164" s="129"/>
      <c r="O3164" s="129"/>
      <c r="P3164" s="129"/>
      <c r="Q3164" s="129"/>
      <c r="R3164" s="129"/>
      <c r="S3164" s="129"/>
      <c r="T3164" s="129"/>
      <c r="U3164" s="129"/>
      <c r="V3164" s="129"/>
      <c r="W3164" s="129"/>
      <c r="X3164" s="129"/>
      <c r="Y3164" s="129"/>
      <c r="Z3164" s="129"/>
      <c r="AA3164" s="129"/>
      <c r="AB3164" s="129"/>
    </row>
    <row r="3165" hidden="1">
      <c r="A3165" s="150" t="s">
        <v>1415</v>
      </c>
      <c r="B3165" s="147">
        <v>790.0</v>
      </c>
      <c r="C3165" s="147">
        <v>983.0</v>
      </c>
      <c r="D3165" s="132">
        <f t="shared" si="252"/>
        <v>193</v>
      </c>
      <c r="E3165" s="147" t="s">
        <v>123</v>
      </c>
      <c r="F3165" s="132"/>
      <c r="G3165" s="129"/>
      <c r="H3165" s="129"/>
      <c r="I3165" s="129"/>
      <c r="J3165" s="129"/>
      <c r="K3165" s="129"/>
      <c r="L3165" s="129"/>
      <c r="M3165" s="129"/>
      <c r="N3165" s="129"/>
      <c r="O3165" s="129"/>
      <c r="P3165" s="129"/>
      <c r="Q3165" s="129"/>
      <c r="R3165" s="129"/>
      <c r="S3165" s="129"/>
      <c r="T3165" s="129"/>
      <c r="U3165" s="129"/>
      <c r="V3165" s="129"/>
      <c r="W3165" s="129"/>
      <c r="X3165" s="129"/>
      <c r="Y3165" s="129"/>
      <c r="Z3165" s="129"/>
      <c r="AA3165" s="129"/>
      <c r="AB3165" s="129"/>
    </row>
    <row r="3166" hidden="1">
      <c r="A3166" s="123" t="s">
        <v>1510</v>
      </c>
      <c r="B3166" s="147">
        <v>1190.0</v>
      </c>
      <c r="C3166" s="147">
        <v>1320.0</v>
      </c>
      <c r="D3166" s="125">
        <f t="shared" si="252"/>
        <v>130</v>
      </c>
      <c r="E3166" s="172" t="s">
        <v>123</v>
      </c>
      <c r="F3166" s="127"/>
      <c r="G3166" s="123"/>
    </row>
    <row r="3167" hidden="1">
      <c r="A3167" s="128" t="s">
        <v>1511</v>
      </c>
      <c r="B3167" s="147">
        <v>550.0</v>
      </c>
      <c r="C3167" s="147">
        <v>727.0</v>
      </c>
      <c r="D3167" s="132">
        <f t="shared" si="252"/>
        <v>177</v>
      </c>
      <c r="E3167" s="172" t="s">
        <v>123</v>
      </c>
      <c r="F3167" s="139"/>
      <c r="G3167" s="129"/>
      <c r="H3167" s="129"/>
      <c r="I3167" s="129"/>
      <c r="J3167" s="129"/>
      <c r="K3167" s="129"/>
      <c r="L3167" s="129"/>
      <c r="M3167" s="129"/>
      <c r="N3167" s="129"/>
      <c r="O3167" s="129"/>
      <c r="P3167" s="129"/>
      <c r="Q3167" s="129"/>
      <c r="R3167" s="129"/>
      <c r="S3167" s="129"/>
      <c r="T3167" s="129"/>
      <c r="U3167" s="129"/>
      <c r="V3167" s="129"/>
      <c r="W3167" s="129"/>
      <c r="X3167" s="129"/>
      <c r="Y3167" s="129"/>
      <c r="Z3167" s="129"/>
      <c r="AA3167" s="129"/>
      <c r="AB3167" s="129"/>
    </row>
    <row r="3168" hidden="1">
      <c r="A3168" s="143"/>
      <c r="B3168" s="139"/>
      <c r="C3168" s="139"/>
      <c r="D3168" s="139"/>
      <c r="E3168" s="129"/>
      <c r="F3168" s="129"/>
      <c r="G3168" s="129"/>
      <c r="H3168" s="129"/>
      <c r="I3168" s="129"/>
      <c r="J3168" s="129"/>
      <c r="K3168" s="129"/>
      <c r="L3168" s="129"/>
      <c r="M3168" s="129"/>
      <c r="N3168" s="129"/>
      <c r="O3168" s="129"/>
      <c r="P3168" s="129"/>
      <c r="Q3168" s="129"/>
      <c r="R3168" s="129"/>
      <c r="S3168" s="129"/>
      <c r="T3168" s="129"/>
      <c r="U3168" s="129"/>
      <c r="V3168" s="129"/>
      <c r="W3168" s="129"/>
      <c r="X3168" s="129"/>
      <c r="Y3168" s="129"/>
      <c r="Z3168" s="129"/>
      <c r="AA3168" s="129"/>
      <c r="AB3168" s="129"/>
    </row>
    <row r="3169" hidden="1">
      <c r="A3169" s="144" t="s">
        <v>57</v>
      </c>
      <c r="B3169" s="145">
        <f t="shared" ref="B3169:D3169" si="253">SUM(B3008:B3168)</f>
        <v>324503</v>
      </c>
      <c r="C3169" s="145">
        <f t="shared" si="253"/>
        <v>360203</v>
      </c>
      <c r="D3169" s="145">
        <f t="shared" si="253"/>
        <v>35700</v>
      </c>
      <c r="E3169" s="146">
        <f>D3169/(C3169/100)</f>
        <v>9.91107792</v>
      </c>
      <c r="F3169" s="129"/>
      <c r="G3169" s="129"/>
      <c r="H3169" s="129"/>
      <c r="I3169" s="129"/>
      <c r="J3169" s="129"/>
      <c r="K3169" s="129"/>
      <c r="L3169" s="129"/>
      <c r="M3169" s="129"/>
      <c r="N3169" s="129"/>
      <c r="O3169" s="129"/>
      <c r="P3169" s="129"/>
      <c r="Q3169" s="129"/>
      <c r="R3169" s="129"/>
      <c r="S3169" s="129"/>
      <c r="T3169" s="129"/>
      <c r="U3169" s="129"/>
      <c r="V3169" s="129"/>
      <c r="W3169" s="129"/>
      <c r="X3169" s="129"/>
      <c r="Y3169" s="129"/>
      <c r="Z3169" s="129"/>
      <c r="AA3169" s="129"/>
      <c r="AB3169" s="129"/>
    </row>
    <row r="3170" hidden="1">
      <c r="A3170" s="154"/>
      <c r="B3170" s="124"/>
      <c r="C3170" s="124"/>
      <c r="D3170" s="124"/>
    </row>
    <row r="3171" hidden="1">
      <c r="A3171" s="154">
        <v>44044.0</v>
      </c>
      <c r="B3171" s="124"/>
      <c r="C3171" s="124"/>
      <c r="D3171" s="124"/>
    </row>
    <row r="3172" hidden="1">
      <c r="A3172" s="128" t="s">
        <v>1512</v>
      </c>
      <c r="B3172" s="147">
        <v>11000.0</v>
      </c>
      <c r="C3172" s="147">
        <v>12000.0</v>
      </c>
      <c r="D3172" s="132">
        <f t="shared" ref="D3172:D3329" si="254">C3172-B3172</f>
        <v>1000</v>
      </c>
      <c r="E3172" s="132"/>
      <c r="F3172" s="139"/>
      <c r="G3172" s="129"/>
      <c r="H3172" s="129"/>
      <c r="I3172" s="129"/>
      <c r="J3172" s="129"/>
      <c r="K3172" s="129"/>
      <c r="L3172" s="129"/>
      <c r="M3172" s="129"/>
      <c r="N3172" s="129"/>
      <c r="O3172" s="129"/>
      <c r="P3172" s="129"/>
      <c r="Q3172" s="129"/>
      <c r="R3172" s="129"/>
      <c r="S3172" s="129"/>
      <c r="T3172" s="129"/>
      <c r="U3172" s="129"/>
      <c r="V3172" s="129"/>
      <c r="W3172" s="129"/>
      <c r="X3172" s="129"/>
      <c r="Y3172" s="129"/>
      <c r="Z3172" s="129"/>
      <c r="AA3172" s="129"/>
      <c r="AB3172" s="129"/>
    </row>
    <row r="3173" hidden="1">
      <c r="A3173" s="128" t="s">
        <v>1513</v>
      </c>
      <c r="B3173" s="147">
        <v>4000.0</v>
      </c>
      <c r="C3173" s="147">
        <v>4500.0</v>
      </c>
      <c r="D3173" s="132">
        <f t="shared" si="254"/>
        <v>500</v>
      </c>
      <c r="E3173" s="139"/>
      <c r="F3173" s="139"/>
      <c r="G3173" s="129"/>
      <c r="H3173" s="129"/>
      <c r="I3173" s="129"/>
      <c r="J3173" s="129"/>
      <c r="K3173" s="129"/>
      <c r="L3173" s="129"/>
      <c r="M3173" s="129"/>
      <c r="N3173" s="129"/>
      <c r="O3173" s="129"/>
      <c r="P3173" s="129"/>
      <c r="Q3173" s="129"/>
      <c r="R3173" s="129"/>
      <c r="S3173" s="129"/>
      <c r="T3173" s="129"/>
      <c r="U3173" s="129"/>
      <c r="V3173" s="129"/>
      <c r="W3173" s="129"/>
      <c r="X3173" s="129"/>
      <c r="Y3173" s="129"/>
      <c r="Z3173" s="129"/>
      <c r="AA3173" s="129"/>
      <c r="AB3173" s="129"/>
    </row>
    <row r="3174" hidden="1">
      <c r="A3174" s="123" t="s">
        <v>416</v>
      </c>
      <c r="B3174" s="124">
        <v>4750.0</v>
      </c>
      <c r="C3174" s="124">
        <v>5250.0</v>
      </c>
      <c r="D3174" s="125">
        <f t="shared" si="254"/>
        <v>500</v>
      </c>
      <c r="E3174" s="147"/>
      <c r="F3174" s="124"/>
    </row>
    <row r="3175" hidden="1">
      <c r="A3175" s="128" t="s">
        <v>1505</v>
      </c>
      <c r="B3175" s="147">
        <v>0.0</v>
      </c>
      <c r="C3175" s="147">
        <v>0.0</v>
      </c>
      <c r="D3175" s="132">
        <f t="shared" si="254"/>
        <v>0</v>
      </c>
      <c r="E3175" s="127"/>
      <c r="F3175" s="127"/>
      <c r="G3175" s="129"/>
      <c r="H3175" s="129"/>
      <c r="I3175" s="129"/>
      <c r="J3175" s="129"/>
      <c r="K3175" s="129"/>
      <c r="L3175" s="129"/>
      <c r="M3175" s="129"/>
      <c r="N3175" s="129"/>
      <c r="O3175" s="129"/>
      <c r="P3175" s="129"/>
      <c r="Q3175" s="129"/>
      <c r="R3175" s="129"/>
      <c r="S3175" s="129"/>
      <c r="T3175" s="129"/>
      <c r="U3175" s="129"/>
      <c r="V3175" s="129"/>
      <c r="W3175" s="129"/>
      <c r="X3175" s="129"/>
      <c r="Y3175" s="129"/>
      <c r="Z3175" s="129"/>
      <c r="AA3175" s="129"/>
      <c r="AB3175" s="129"/>
    </row>
    <row r="3176" hidden="1">
      <c r="A3176" s="142" t="s">
        <v>1449</v>
      </c>
      <c r="B3176" s="147">
        <v>0.0</v>
      </c>
      <c r="C3176" s="147">
        <v>0.0</v>
      </c>
      <c r="D3176" s="132">
        <f t="shared" si="254"/>
        <v>0</v>
      </c>
      <c r="E3176" s="127"/>
      <c r="F3176" s="139"/>
      <c r="G3176" s="129"/>
      <c r="H3176" s="129"/>
      <c r="I3176" s="129"/>
      <c r="J3176" s="129"/>
      <c r="K3176" s="129"/>
      <c r="L3176" s="129"/>
      <c r="M3176" s="129"/>
      <c r="N3176" s="129"/>
      <c r="O3176" s="129"/>
      <c r="P3176" s="129"/>
      <c r="Q3176" s="129"/>
      <c r="R3176" s="129"/>
      <c r="S3176" s="129"/>
      <c r="T3176" s="129"/>
      <c r="U3176" s="129"/>
      <c r="V3176" s="129"/>
      <c r="W3176" s="129"/>
      <c r="X3176" s="129"/>
      <c r="Y3176" s="129"/>
      <c r="Z3176" s="129"/>
      <c r="AA3176" s="129"/>
      <c r="AB3176" s="129"/>
    </row>
    <row r="3177" hidden="1">
      <c r="A3177" s="142" t="s">
        <v>1449</v>
      </c>
      <c r="B3177" s="147">
        <v>0.0</v>
      </c>
      <c r="C3177" s="147">
        <v>0.0</v>
      </c>
      <c r="D3177" s="132">
        <f t="shared" si="254"/>
        <v>0</v>
      </c>
      <c r="E3177" s="127"/>
      <c r="F3177" s="139"/>
      <c r="G3177" s="129"/>
      <c r="H3177" s="129"/>
      <c r="I3177" s="129"/>
      <c r="J3177" s="129"/>
      <c r="K3177" s="129"/>
      <c r="L3177" s="129"/>
      <c r="M3177" s="129"/>
      <c r="N3177" s="129"/>
      <c r="O3177" s="129"/>
      <c r="P3177" s="129"/>
      <c r="Q3177" s="129"/>
      <c r="R3177" s="129"/>
      <c r="S3177" s="129"/>
      <c r="T3177" s="129"/>
      <c r="U3177" s="129"/>
      <c r="V3177" s="129"/>
      <c r="W3177" s="129"/>
      <c r="X3177" s="129"/>
      <c r="Y3177" s="129"/>
      <c r="Z3177" s="129"/>
      <c r="AA3177" s="129"/>
      <c r="AB3177" s="129"/>
    </row>
    <row r="3178" hidden="1">
      <c r="A3178" s="142" t="s">
        <v>1087</v>
      </c>
      <c r="B3178" s="124">
        <v>0.0</v>
      </c>
      <c r="C3178" s="124">
        <v>0.0</v>
      </c>
      <c r="D3178" s="132">
        <f t="shared" si="254"/>
        <v>0</v>
      </c>
      <c r="E3178" s="127"/>
      <c r="F3178" s="127"/>
      <c r="G3178" s="129"/>
      <c r="H3178" s="129"/>
      <c r="I3178" s="129"/>
      <c r="J3178" s="129"/>
      <c r="K3178" s="129"/>
      <c r="L3178" s="129"/>
      <c r="M3178" s="129"/>
      <c r="N3178" s="129"/>
      <c r="O3178" s="129"/>
      <c r="P3178" s="129"/>
      <c r="Q3178" s="129"/>
      <c r="R3178" s="129"/>
      <c r="S3178" s="129"/>
      <c r="T3178" s="129"/>
      <c r="U3178" s="129"/>
      <c r="V3178" s="129"/>
      <c r="W3178" s="129"/>
      <c r="X3178" s="129"/>
      <c r="Y3178" s="129"/>
      <c r="Z3178" s="129"/>
      <c r="AA3178" s="129"/>
      <c r="AB3178" s="129"/>
    </row>
    <row r="3179" hidden="1">
      <c r="A3179" s="142" t="s">
        <v>1087</v>
      </c>
      <c r="B3179" s="124">
        <v>0.0</v>
      </c>
      <c r="C3179" s="124">
        <v>0.0</v>
      </c>
      <c r="D3179" s="132">
        <f t="shared" si="254"/>
        <v>0</v>
      </c>
      <c r="E3179" s="127"/>
      <c r="F3179" s="127"/>
      <c r="G3179" s="129"/>
      <c r="H3179" s="129"/>
      <c r="I3179" s="129"/>
      <c r="J3179" s="129"/>
      <c r="K3179" s="129"/>
      <c r="L3179" s="129"/>
      <c r="M3179" s="129"/>
      <c r="N3179" s="129"/>
      <c r="O3179" s="129"/>
      <c r="P3179" s="129"/>
      <c r="Q3179" s="129"/>
      <c r="R3179" s="129"/>
      <c r="S3179" s="129"/>
      <c r="T3179" s="129"/>
      <c r="U3179" s="129"/>
      <c r="V3179" s="129"/>
      <c r="W3179" s="129"/>
      <c r="X3179" s="129"/>
      <c r="Y3179" s="129"/>
      <c r="Z3179" s="129"/>
      <c r="AA3179" s="129"/>
      <c r="AB3179" s="129"/>
    </row>
    <row r="3180" hidden="1">
      <c r="A3180" s="123" t="s">
        <v>1510</v>
      </c>
      <c r="B3180" s="147">
        <v>1190.0</v>
      </c>
      <c r="C3180" s="147">
        <v>1407.0</v>
      </c>
      <c r="D3180" s="125">
        <f t="shared" si="254"/>
        <v>217</v>
      </c>
      <c r="E3180" s="147"/>
      <c r="F3180" s="127"/>
      <c r="G3180" s="123"/>
    </row>
    <row r="3181" hidden="1">
      <c r="A3181" s="128" t="s">
        <v>1514</v>
      </c>
      <c r="B3181" s="147">
        <v>6250.0</v>
      </c>
      <c r="C3181" s="147">
        <v>6888.0</v>
      </c>
      <c r="D3181" s="132">
        <f t="shared" si="254"/>
        <v>638</v>
      </c>
      <c r="E3181" s="147"/>
      <c r="F3181" s="139"/>
      <c r="G3181" s="129"/>
      <c r="H3181" s="129"/>
      <c r="I3181" s="129"/>
      <c r="J3181" s="129"/>
      <c r="K3181" s="129"/>
      <c r="L3181" s="129"/>
      <c r="M3181" s="129"/>
      <c r="N3181" s="129"/>
      <c r="O3181" s="129"/>
      <c r="P3181" s="129"/>
      <c r="Q3181" s="129"/>
      <c r="R3181" s="129"/>
      <c r="S3181" s="129"/>
      <c r="T3181" s="129"/>
      <c r="U3181" s="129"/>
      <c r="V3181" s="129"/>
      <c r="W3181" s="129"/>
      <c r="X3181" s="129"/>
      <c r="Y3181" s="129"/>
      <c r="Z3181" s="129"/>
      <c r="AA3181" s="129"/>
      <c r="AB3181" s="129"/>
    </row>
    <row r="3182" hidden="1">
      <c r="A3182" s="123" t="s">
        <v>1510</v>
      </c>
      <c r="B3182" s="147">
        <v>1190.0</v>
      </c>
      <c r="C3182" s="147">
        <v>1320.0</v>
      </c>
      <c r="D3182" s="125">
        <f t="shared" si="254"/>
        <v>130</v>
      </c>
      <c r="E3182" s="127"/>
      <c r="F3182" s="127"/>
      <c r="G3182" s="123"/>
    </row>
    <row r="3183" hidden="1">
      <c r="A3183" s="123" t="s">
        <v>1453</v>
      </c>
      <c r="B3183" s="124">
        <v>5240.0</v>
      </c>
      <c r="C3183" s="124">
        <v>6294.0</v>
      </c>
      <c r="D3183" s="125">
        <f t="shared" si="254"/>
        <v>1054</v>
      </c>
      <c r="E3183" s="147"/>
      <c r="F3183" s="124"/>
    </row>
    <row r="3184" hidden="1">
      <c r="A3184" s="123" t="s">
        <v>395</v>
      </c>
      <c r="B3184" s="124">
        <v>0.0</v>
      </c>
      <c r="C3184" s="124">
        <v>0.0</v>
      </c>
      <c r="D3184" s="125">
        <f t="shared" si="254"/>
        <v>0</v>
      </c>
      <c r="E3184" s="147"/>
      <c r="F3184" s="124"/>
    </row>
    <row r="3185" hidden="1">
      <c r="A3185" s="128" t="s">
        <v>1140</v>
      </c>
      <c r="B3185" s="147">
        <v>1490.0</v>
      </c>
      <c r="C3185" s="147">
        <v>1634.0</v>
      </c>
      <c r="D3185" s="132">
        <f t="shared" si="254"/>
        <v>144</v>
      </c>
      <c r="E3185" s="147"/>
      <c r="F3185" s="139"/>
      <c r="G3185" s="129"/>
      <c r="H3185" s="129"/>
      <c r="I3185" s="129"/>
      <c r="J3185" s="129"/>
      <c r="K3185" s="129"/>
      <c r="L3185" s="129"/>
      <c r="M3185" s="129"/>
      <c r="N3185" s="129"/>
      <c r="O3185" s="129"/>
      <c r="P3185" s="129"/>
      <c r="Q3185" s="129"/>
      <c r="R3185" s="129"/>
      <c r="S3185" s="129"/>
      <c r="T3185" s="129"/>
      <c r="U3185" s="129"/>
      <c r="V3185" s="129"/>
      <c r="W3185" s="129"/>
      <c r="X3185" s="129"/>
      <c r="Y3185" s="129"/>
      <c r="Z3185" s="129"/>
      <c r="AA3185" s="129"/>
      <c r="AB3185" s="129"/>
    </row>
    <row r="3186" hidden="1">
      <c r="A3186" s="128" t="s">
        <v>1216</v>
      </c>
      <c r="B3186" s="147">
        <v>1350.0</v>
      </c>
      <c r="C3186" s="147">
        <v>1478.0</v>
      </c>
      <c r="D3186" s="132">
        <f t="shared" si="254"/>
        <v>128</v>
      </c>
      <c r="E3186" s="147"/>
      <c r="F3186" s="139"/>
      <c r="G3186" s="129"/>
      <c r="H3186" s="129"/>
      <c r="I3186" s="129"/>
      <c r="J3186" s="129"/>
      <c r="K3186" s="129"/>
      <c r="L3186" s="129"/>
      <c r="M3186" s="129"/>
      <c r="N3186" s="129"/>
      <c r="O3186" s="129"/>
      <c r="P3186" s="129"/>
      <c r="Q3186" s="129"/>
      <c r="R3186" s="129"/>
      <c r="S3186" s="129"/>
      <c r="T3186" s="129"/>
      <c r="U3186" s="129"/>
      <c r="V3186" s="129"/>
      <c r="W3186" s="129"/>
      <c r="X3186" s="129"/>
      <c r="Y3186" s="129"/>
      <c r="Z3186" s="129"/>
      <c r="AA3186" s="129"/>
      <c r="AB3186" s="129"/>
    </row>
    <row r="3187" hidden="1">
      <c r="A3187" s="123" t="s">
        <v>1125</v>
      </c>
      <c r="B3187" s="147">
        <v>990.0</v>
      </c>
      <c r="C3187" s="147">
        <v>1154.0</v>
      </c>
      <c r="D3187" s="125">
        <f t="shared" si="254"/>
        <v>164</v>
      </c>
      <c r="E3187" s="147"/>
      <c r="F3187" s="124"/>
    </row>
    <row r="3188" hidden="1">
      <c r="A3188" s="128" t="s">
        <v>1140</v>
      </c>
      <c r="B3188" s="147">
        <v>1390.0</v>
      </c>
      <c r="C3188" s="147">
        <v>1534.0</v>
      </c>
      <c r="D3188" s="132">
        <f t="shared" si="254"/>
        <v>144</v>
      </c>
      <c r="E3188" s="147"/>
      <c r="F3188" s="139"/>
      <c r="G3188" s="129"/>
      <c r="H3188" s="129"/>
      <c r="I3188" s="129"/>
      <c r="J3188" s="129"/>
      <c r="K3188" s="129"/>
      <c r="L3188" s="129"/>
      <c r="M3188" s="129"/>
      <c r="N3188" s="129"/>
      <c r="O3188" s="129"/>
      <c r="P3188" s="129"/>
      <c r="Q3188" s="129"/>
      <c r="R3188" s="129"/>
      <c r="S3188" s="129"/>
      <c r="T3188" s="129"/>
      <c r="U3188" s="129"/>
      <c r="V3188" s="129"/>
      <c r="W3188" s="129"/>
      <c r="X3188" s="129"/>
      <c r="Y3188" s="129"/>
      <c r="Z3188" s="129"/>
      <c r="AA3188" s="129"/>
      <c r="AB3188" s="129"/>
    </row>
    <row r="3189" hidden="1">
      <c r="A3189" s="128" t="s">
        <v>1451</v>
      </c>
      <c r="B3189" s="124">
        <v>790.0</v>
      </c>
      <c r="C3189" s="124">
        <v>951.0</v>
      </c>
      <c r="D3189" s="132">
        <f t="shared" si="254"/>
        <v>161</v>
      </c>
      <c r="E3189" s="127"/>
      <c r="F3189" s="139"/>
      <c r="G3189" s="129"/>
      <c r="H3189" s="129"/>
      <c r="I3189" s="129"/>
      <c r="J3189" s="129"/>
      <c r="K3189" s="129"/>
      <c r="L3189" s="129"/>
      <c r="M3189" s="129"/>
      <c r="N3189" s="129"/>
      <c r="O3189" s="129"/>
      <c r="P3189" s="129"/>
      <c r="Q3189" s="129"/>
      <c r="R3189" s="129"/>
      <c r="S3189" s="129"/>
      <c r="T3189" s="129"/>
      <c r="U3189" s="129"/>
      <c r="V3189" s="129"/>
      <c r="W3189" s="129"/>
      <c r="X3189" s="129"/>
      <c r="Y3189" s="129"/>
      <c r="Z3189" s="129"/>
      <c r="AA3189" s="129"/>
      <c r="AB3189" s="129"/>
    </row>
    <row r="3190" hidden="1">
      <c r="A3190" s="128" t="s">
        <v>1515</v>
      </c>
      <c r="B3190" s="147">
        <v>1450.0</v>
      </c>
      <c r="C3190" s="147">
        <v>1702.0</v>
      </c>
      <c r="D3190" s="132">
        <f t="shared" si="254"/>
        <v>252</v>
      </c>
      <c r="E3190" s="127"/>
      <c r="F3190" s="139"/>
      <c r="G3190" s="129"/>
      <c r="H3190" s="129"/>
      <c r="I3190" s="129"/>
      <c r="J3190" s="129"/>
      <c r="K3190" s="129"/>
      <c r="L3190" s="129"/>
      <c r="M3190" s="129"/>
      <c r="N3190" s="129"/>
      <c r="O3190" s="129"/>
      <c r="P3190" s="129"/>
      <c r="Q3190" s="129"/>
      <c r="R3190" s="129"/>
      <c r="S3190" s="129"/>
      <c r="T3190" s="129"/>
      <c r="U3190" s="129"/>
      <c r="V3190" s="129"/>
      <c r="W3190" s="129"/>
      <c r="X3190" s="129"/>
      <c r="Y3190" s="129"/>
      <c r="Z3190" s="129"/>
      <c r="AA3190" s="129"/>
      <c r="AB3190" s="129"/>
    </row>
    <row r="3191" hidden="1">
      <c r="A3191" s="128" t="s">
        <v>1516</v>
      </c>
      <c r="B3191" s="147">
        <v>5990.0</v>
      </c>
      <c r="C3191" s="147">
        <v>6775.0</v>
      </c>
      <c r="D3191" s="132">
        <f t="shared" si="254"/>
        <v>785</v>
      </c>
      <c r="E3191" s="147"/>
      <c r="F3191" s="139"/>
      <c r="G3191" s="129"/>
      <c r="H3191" s="129"/>
      <c r="I3191" s="129"/>
      <c r="J3191" s="129"/>
      <c r="K3191" s="129"/>
      <c r="L3191" s="129"/>
      <c r="M3191" s="129"/>
      <c r="N3191" s="129"/>
      <c r="O3191" s="129"/>
      <c r="P3191" s="129"/>
      <c r="Q3191" s="129"/>
      <c r="R3191" s="129"/>
      <c r="S3191" s="129"/>
      <c r="T3191" s="129"/>
      <c r="U3191" s="129"/>
      <c r="V3191" s="129"/>
      <c r="W3191" s="129"/>
      <c r="X3191" s="129"/>
      <c r="Y3191" s="129"/>
      <c r="Z3191" s="129"/>
      <c r="AA3191" s="129"/>
      <c r="AB3191" s="129"/>
    </row>
    <row r="3192" hidden="1">
      <c r="A3192" s="128" t="s">
        <v>1503</v>
      </c>
      <c r="B3192" s="147">
        <v>1290.0</v>
      </c>
      <c r="C3192" s="147">
        <v>1347.0</v>
      </c>
      <c r="D3192" s="132">
        <f t="shared" si="254"/>
        <v>57</v>
      </c>
      <c r="E3192" s="147"/>
      <c r="F3192" s="127"/>
      <c r="G3192" s="150"/>
      <c r="H3192" s="129"/>
      <c r="I3192" s="129"/>
      <c r="J3192" s="129"/>
      <c r="K3192" s="129"/>
      <c r="L3192" s="129"/>
      <c r="M3192" s="129"/>
      <c r="N3192" s="129"/>
      <c r="O3192" s="129"/>
      <c r="P3192" s="129"/>
      <c r="Q3192" s="129"/>
      <c r="R3192" s="129"/>
      <c r="S3192" s="129"/>
      <c r="T3192" s="129"/>
      <c r="U3192" s="129"/>
      <c r="V3192" s="129"/>
      <c r="W3192" s="129"/>
      <c r="X3192" s="129"/>
      <c r="Y3192" s="129"/>
      <c r="Z3192" s="129"/>
      <c r="AA3192" s="129"/>
      <c r="AB3192" s="129"/>
    </row>
    <row r="3193" hidden="1">
      <c r="A3193" s="128" t="s">
        <v>1517</v>
      </c>
      <c r="B3193" s="147">
        <v>10000.0</v>
      </c>
      <c r="C3193" s="147">
        <v>11155.0</v>
      </c>
      <c r="D3193" s="132">
        <f t="shared" si="254"/>
        <v>1155</v>
      </c>
      <c r="E3193" s="147"/>
      <c r="F3193" s="139"/>
      <c r="G3193" s="129"/>
      <c r="H3193" s="129"/>
      <c r="I3193" s="129"/>
      <c r="J3193" s="129"/>
      <c r="K3193" s="129"/>
      <c r="L3193" s="129"/>
      <c r="M3193" s="129"/>
      <c r="N3193" s="129"/>
      <c r="O3193" s="129"/>
      <c r="P3193" s="129"/>
      <c r="Q3193" s="129"/>
      <c r="R3193" s="129"/>
      <c r="S3193" s="129"/>
      <c r="T3193" s="129"/>
      <c r="U3193" s="129"/>
      <c r="V3193" s="129"/>
      <c r="W3193" s="129"/>
      <c r="X3193" s="129"/>
      <c r="Y3193" s="129"/>
      <c r="Z3193" s="129"/>
      <c r="AA3193" s="129"/>
      <c r="AB3193" s="129"/>
    </row>
    <row r="3194" hidden="1">
      <c r="A3194" s="128" t="s">
        <v>1518</v>
      </c>
      <c r="B3194" s="147">
        <v>650.0</v>
      </c>
      <c r="C3194" s="147">
        <v>820.0</v>
      </c>
      <c r="D3194" s="132">
        <f t="shared" si="254"/>
        <v>170</v>
      </c>
      <c r="E3194" s="147"/>
      <c r="F3194" s="139"/>
      <c r="G3194" s="129"/>
      <c r="H3194" s="129"/>
      <c r="I3194" s="129"/>
      <c r="J3194" s="129"/>
      <c r="K3194" s="129"/>
      <c r="L3194" s="129"/>
      <c r="M3194" s="129"/>
      <c r="N3194" s="129"/>
      <c r="O3194" s="129"/>
      <c r="P3194" s="129"/>
      <c r="Q3194" s="129"/>
      <c r="R3194" s="129"/>
      <c r="S3194" s="129"/>
      <c r="T3194" s="129"/>
      <c r="U3194" s="129"/>
      <c r="V3194" s="129"/>
      <c r="W3194" s="129"/>
      <c r="X3194" s="129"/>
      <c r="Y3194" s="129"/>
      <c r="Z3194" s="129"/>
      <c r="AA3194" s="129"/>
      <c r="AB3194" s="129"/>
    </row>
    <row r="3195" hidden="1">
      <c r="A3195" s="128" t="s">
        <v>1373</v>
      </c>
      <c r="B3195" s="147">
        <v>750.0</v>
      </c>
      <c r="C3195" s="147">
        <v>750.0</v>
      </c>
      <c r="D3195" s="132">
        <f t="shared" si="254"/>
        <v>0</v>
      </c>
      <c r="E3195" s="147" t="s">
        <v>1519</v>
      </c>
      <c r="F3195" s="147"/>
      <c r="G3195" s="129"/>
      <c r="H3195" s="129"/>
      <c r="I3195" s="129"/>
      <c r="J3195" s="129"/>
      <c r="K3195" s="129"/>
      <c r="L3195" s="129"/>
      <c r="M3195" s="129"/>
      <c r="N3195" s="129"/>
      <c r="O3195" s="129"/>
      <c r="P3195" s="129"/>
      <c r="Q3195" s="129"/>
      <c r="R3195" s="129"/>
      <c r="S3195" s="129"/>
      <c r="T3195" s="129"/>
      <c r="U3195" s="129"/>
      <c r="V3195" s="129"/>
      <c r="W3195" s="129"/>
      <c r="X3195" s="129"/>
      <c r="Y3195" s="129"/>
      <c r="Z3195" s="129"/>
      <c r="AA3195" s="129"/>
      <c r="AB3195" s="129"/>
    </row>
    <row r="3196" hidden="1">
      <c r="A3196" s="128" t="s">
        <v>1520</v>
      </c>
      <c r="B3196" s="147">
        <v>1450.0</v>
      </c>
      <c r="C3196" s="147">
        <v>1250.0</v>
      </c>
      <c r="D3196" s="125">
        <f t="shared" si="254"/>
        <v>-200</v>
      </c>
      <c r="E3196" s="147" t="s">
        <v>1519</v>
      </c>
      <c r="F3196" s="127"/>
      <c r="G3196" s="150"/>
      <c r="H3196" s="129"/>
      <c r="I3196" s="129"/>
      <c r="J3196" s="129"/>
      <c r="K3196" s="129"/>
      <c r="L3196" s="129"/>
      <c r="M3196" s="129"/>
      <c r="N3196" s="129"/>
      <c r="O3196" s="129"/>
      <c r="P3196" s="129"/>
      <c r="Q3196" s="129"/>
      <c r="R3196" s="129"/>
      <c r="S3196" s="129"/>
      <c r="T3196" s="129"/>
      <c r="U3196" s="129"/>
      <c r="V3196" s="129"/>
      <c r="W3196" s="129"/>
      <c r="X3196" s="129"/>
      <c r="Y3196" s="129"/>
      <c r="Z3196" s="129"/>
      <c r="AA3196" s="129"/>
      <c r="AB3196" s="129"/>
    </row>
    <row r="3197" hidden="1">
      <c r="A3197" s="151" t="s">
        <v>464</v>
      </c>
      <c r="B3197" s="147">
        <v>1290.0</v>
      </c>
      <c r="C3197" s="124">
        <v>1400.0</v>
      </c>
      <c r="D3197" s="132">
        <f t="shared" si="254"/>
        <v>110</v>
      </c>
      <c r="E3197" s="147" t="s">
        <v>1519</v>
      </c>
      <c r="F3197" s="127"/>
      <c r="G3197" s="129"/>
      <c r="H3197" s="129"/>
      <c r="I3197" s="129"/>
      <c r="J3197" s="129"/>
      <c r="K3197" s="129"/>
      <c r="L3197" s="129"/>
      <c r="M3197" s="129"/>
      <c r="N3197" s="129"/>
      <c r="O3197" s="129"/>
      <c r="P3197" s="129"/>
      <c r="Q3197" s="129"/>
      <c r="R3197" s="129"/>
      <c r="S3197" s="129"/>
      <c r="T3197" s="129"/>
      <c r="U3197" s="129"/>
      <c r="V3197" s="129"/>
      <c r="W3197" s="129"/>
      <c r="X3197" s="129"/>
      <c r="Y3197" s="129"/>
      <c r="Z3197" s="129"/>
      <c r="AA3197" s="129"/>
      <c r="AB3197" s="129"/>
    </row>
    <row r="3198" hidden="1">
      <c r="A3198" s="150" t="s">
        <v>1179</v>
      </c>
      <c r="B3198" s="147">
        <v>1450.0</v>
      </c>
      <c r="C3198" s="147">
        <v>1600.0</v>
      </c>
      <c r="D3198" s="132">
        <f t="shared" si="254"/>
        <v>150</v>
      </c>
      <c r="E3198" s="147" t="s">
        <v>1519</v>
      </c>
      <c r="F3198" s="147"/>
      <c r="G3198" s="129"/>
      <c r="H3198" s="129"/>
      <c r="I3198" s="129"/>
      <c r="J3198" s="129"/>
      <c r="K3198" s="129"/>
      <c r="L3198" s="129"/>
      <c r="M3198" s="129"/>
      <c r="N3198" s="129"/>
      <c r="O3198" s="129"/>
      <c r="P3198" s="129"/>
      <c r="Q3198" s="129"/>
      <c r="R3198" s="129"/>
      <c r="S3198" s="129"/>
      <c r="T3198" s="129"/>
      <c r="U3198" s="129"/>
      <c r="V3198" s="129"/>
      <c r="W3198" s="129"/>
      <c r="X3198" s="129"/>
      <c r="Y3198" s="129"/>
      <c r="Z3198" s="129"/>
      <c r="AA3198" s="129"/>
      <c r="AB3198" s="129"/>
    </row>
    <row r="3199" hidden="1">
      <c r="A3199" s="128" t="s">
        <v>1373</v>
      </c>
      <c r="B3199" s="147">
        <v>750.0</v>
      </c>
      <c r="C3199" s="147">
        <v>750.0</v>
      </c>
      <c r="D3199" s="132">
        <f t="shared" si="254"/>
        <v>0</v>
      </c>
      <c r="E3199" s="147" t="s">
        <v>1519</v>
      </c>
      <c r="F3199" s="147"/>
      <c r="G3199" s="129"/>
      <c r="H3199" s="129"/>
      <c r="I3199" s="129"/>
      <c r="J3199" s="129"/>
      <c r="K3199" s="129"/>
      <c r="L3199" s="129"/>
      <c r="M3199" s="129"/>
      <c r="N3199" s="129"/>
      <c r="O3199" s="129"/>
      <c r="P3199" s="129"/>
      <c r="Q3199" s="129"/>
      <c r="R3199" s="129"/>
      <c r="S3199" s="129"/>
      <c r="T3199" s="129"/>
      <c r="U3199" s="129"/>
      <c r="V3199" s="129"/>
      <c r="W3199" s="129"/>
      <c r="X3199" s="129"/>
      <c r="Y3199" s="129"/>
      <c r="Z3199" s="129"/>
      <c r="AA3199" s="129"/>
      <c r="AB3199" s="129"/>
    </row>
    <row r="3200" hidden="1">
      <c r="A3200" s="123" t="s">
        <v>1213</v>
      </c>
      <c r="B3200" s="147">
        <v>1450.0</v>
      </c>
      <c r="C3200" s="147">
        <v>1600.0</v>
      </c>
      <c r="D3200" s="132">
        <f t="shared" si="254"/>
        <v>150</v>
      </c>
      <c r="E3200" s="147" t="s">
        <v>1519</v>
      </c>
      <c r="F3200" s="124"/>
    </row>
    <row r="3201" hidden="1">
      <c r="A3201" s="128" t="s">
        <v>1521</v>
      </c>
      <c r="B3201" s="147">
        <v>1290.0</v>
      </c>
      <c r="C3201" s="147">
        <v>1250.0</v>
      </c>
      <c r="D3201" s="132">
        <f t="shared" si="254"/>
        <v>-40</v>
      </c>
      <c r="E3201" s="147" t="s">
        <v>1519</v>
      </c>
      <c r="F3201" s="127"/>
      <c r="G3201" s="150"/>
      <c r="H3201" s="129"/>
      <c r="I3201" s="129"/>
      <c r="J3201" s="129"/>
      <c r="K3201" s="129"/>
      <c r="L3201" s="129"/>
      <c r="M3201" s="129"/>
      <c r="N3201" s="129"/>
      <c r="O3201" s="129"/>
      <c r="P3201" s="129"/>
      <c r="Q3201" s="129"/>
      <c r="R3201" s="129"/>
      <c r="S3201" s="129"/>
      <c r="T3201" s="129"/>
      <c r="U3201" s="129"/>
      <c r="V3201" s="129"/>
      <c r="W3201" s="129"/>
      <c r="X3201" s="129"/>
      <c r="Y3201" s="129"/>
      <c r="Z3201" s="129"/>
      <c r="AA3201" s="129"/>
      <c r="AB3201" s="129"/>
    </row>
    <row r="3202" hidden="1">
      <c r="A3202" s="128" t="s">
        <v>1522</v>
      </c>
      <c r="B3202" s="124">
        <v>650.0</v>
      </c>
      <c r="C3202" s="147">
        <v>790.0</v>
      </c>
      <c r="D3202" s="132">
        <f t="shared" si="254"/>
        <v>140</v>
      </c>
      <c r="E3202" s="147" t="s">
        <v>1519</v>
      </c>
      <c r="F3202" s="147"/>
      <c r="G3202" s="129"/>
      <c r="H3202" s="129"/>
      <c r="I3202" s="129"/>
      <c r="J3202" s="129"/>
      <c r="K3202" s="129"/>
      <c r="L3202" s="129"/>
      <c r="M3202" s="129"/>
      <c r="N3202" s="129"/>
      <c r="O3202" s="129"/>
      <c r="P3202" s="129"/>
      <c r="Q3202" s="129"/>
      <c r="R3202" s="129"/>
      <c r="S3202" s="129"/>
      <c r="T3202" s="129"/>
      <c r="U3202" s="129"/>
      <c r="V3202" s="129"/>
      <c r="W3202" s="129"/>
      <c r="X3202" s="129"/>
      <c r="Y3202" s="129"/>
      <c r="Z3202" s="129"/>
      <c r="AA3202" s="129"/>
      <c r="AB3202" s="129"/>
    </row>
    <row r="3203" hidden="1">
      <c r="A3203" s="128" t="s">
        <v>1497</v>
      </c>
      <c r="B3203" s="147">
        <v>1990.0</v>
      </c>
      <c r="C3203" s="147">
        <v>2473.0</v>
      </c>
      <c r="D3203" s="132">
        <f t="shared" si="254"/>
        <v>483</v>
      </c>
      <c r="E3203" s="147"/>
      <c r="F3203" s="139"/>
      <c r="G3203" s="129"/>
      <c r="H3203" s="129"/>
      <c r="I3203" s="129"/>
      <c r="J3203" s="129"/>
      <c r="K3203" s="129"/>
      <c r="L3203" s="129"/>
      <c r="M3203" s="129"/>
      <c r="N3203" s="129"/>
      <c r="O3203" s="129"/>
      <c r="P3203" s="129"/>
      <c r="Q3203" s="129"/>
      <c r="R3203" s="129"/>
      <c r="S3203" s="129"/>
      <c r="T3203" s="129"/>
      <c r="U3203" s="129"/>
      <c r="V3203" s="129"/>
      <c r="W3203" s="129"/>
      <c r="X3203" s="129"/>
      <c r="Y3203" s="129"/>
      <c r="Z3203" s="129"/>
      <c r="AA3203" s="129"/>
      <c r="AB3203" s="129"/>
    </row>
    <row r="3204" hidden="1">
      <c r="A3204" s="128" t="s">
        <v>1515</v>
      </c>
      <c r="B3204" s="147">
        <v>1450.0</v>
      </c>
      <c r="C3204" s="147">
        <v>1705.0</v>
      </c>
      <c r="D3204" s="132">
        <f t="shared" si="254"/>
        <v>255</v>
      </c>
      <c r="E3204" s="127"/>
      <c r="F3204" s="139"/>
      <c r="G3204" s="129"/>
      <c r="H3204" s="129"/>
      <c r="I3204" s="129"/>
      <c r="J3204" s="129"/>
      <c r="K3204" s="129"/>
      <c r="L3204" s="129"/>
      <c r="M3204" s="129"/>
      <c r="N3204" s="129"/>
      <c r="O3204" s="129"/>
      <c r="P3204" s="129"/>
      <c r="Q3204" s="129"/>
      <c r="R3204" s="129"/>
      <c r="S3204" s="129"/>
      <c r="T3204" s="129"/>
      <c r="U3204" s="129"/>
      <c r="V3204" s="129"/>
      <c r="W3204" s="129"/>
      <c r="X3204" s="129"/>
      <c r="Y3204" s="129"/>
      <c r="Z3204" s="129"/>
      <c r="AA3204" s="129"/>
      <c r="AB3204" s="129"/>
    </row>
    <row r="3205" hidden="1">
      <c r="A3205" s="128" t="s">
        <v>1215</v>
      </c>
      <c r="B3205" s="147">
        <v>1450.0</v>
      </c>
      <c r="C3205" s="147">
        <v>1578.0</v>
      </c>
      <c r="D3205" s="132">
        <f t="shared" si="254"/>
        <v>128</v>
      </c>
      <c r="E3205" s="147"/>
      <c r="F3205" s="139"/>
      <c r="G3205" s="129"/>
      <c r="H3205" s="129"/>
      <c r="I3205" s="129"/>
      <c r="J3205" s="129"/>
      <c r="K3205" s="129"/>
      <c r="L3205" s="129"/>
      <c r="M3205" s="129"/>
      <c r="N3205" s="129"/>
      <c r="O3205" s="129"/>
      <c r="P3205" s="129"/>
      <c r="Q3205" s="129"/>
      <c r="R3205" s="129"/>
      <c r="S3205" s="129"/>
      <c r="T3205" s="129"/>
      <c r="U3205" s="129"/>
      <c r="V3205" s="129"/>
      <c r="W3205" s="129"/>
      <c r="X3205" s="129"/>
      <c r="Y3205" s="129"/>
      <c r="Z3205" s="129"/>
      <c r="AA3205" s="129"/>
      <c r="AB3205" s="129"/>
    </row>
    <row r="3206" hidden="1">
      <c r="A3206" s="128" t="s">
        <v>1523</v>
      </c>
      <c r="B3206" s="147">
        <v>11000.0</v>
      </c>
      <c r="C3206" s="147">
        <v>11875.0</v>
      </c>
      <c r="D3206" s="132">
        <f t="shared" si="254"/>
        <v>875</v>
      </c>
      <c r="E3206" s="147"/>
      <c r="F3206" s="139"/>
      <c r="G3206" s="129"/>
      <c r="H3206" s="129"/>
      <c r="I3206" s="129"/>
      <c r="J3206" s="129"/>
      <c r="K3206" s="129"/>
      <c r="L3206" s="129"/>
      <c r="M3206" s="129"/>
      <c r="N3206" s="129"/>
      <c r="O3206" s="129"/>
      <c r="P3206" s="129"/>
      <c r="Q3206" s="129"/>
      <c r="R3206" s="129"/>
      <c r="S3206" s="129"/>
      <c r="T3206" s="129"/>
      <c r="U3206" s="129"/>
      <c r="V3206" s="129"/>
      <c r="W3206" s="129"/>
      <c r="X3206" s="129"/>
      <c r="Y3206" s="129"/>
      <c r="Z3206" s="129"/>
      <c r="AA3206" s="129"/>
      <c r="AB3206" s="129"/>
    </row>
    <row r="3207" hidden="1">
      <c r="A3207" s="128" t="s">
        <v>1452</v>
      </c>
      <c r="B3207" s="147">
        <v>1990.0</v>
      </c>
      <c r="C3207" s="147">
        <v>2287.0</v>
      </c>
      <c r="D3207" s="132">
        <f t="shared" si="254"/>
        <v>297</v>
      </c>
      <c r="E3207" s="147"/>
      <c r="F3207" s="132"/>
      <c r="G3207" s="129"/>
      <c r="H3207" s="129"/>
      <c r="I3207" s="129"/>
      <c r="J3207" s="129"/>
      <c r="K3207" s="129"/>
      <c r="L3207" s="129"/>
      <c r="M3207" s="129"/>
      <c r="N3207" s="129"/>
      <c r="O3207" s="129"/>
      <c r="P3207" s="129"/>
      <c r="Q3207" s="129"/>
      <c r="R3207" s="129"/>
      <c r="S3207" s="129"/>
      <c r="T3207" s="129"/>
      <c r="U3207" s="129"/>
      <c r="V3207" s="129"/>
      <c r="W3207" s="129"/>
      <c r="X3207" s="129"/>
      <c r="Y3207" s="129"/>
      <c r="Z3207" s="129"/>
      <c r="AA3207" s="129"/>
      <c r="AB3207" s="129"/>
    </row>
    <row r="3208" hidden="1">
      <c r="A3208" s="128" t="s">
        <v>1140</v>
      </c>
      <c r="B3208" s="147">
        <v>1490.0</v>
      </c>
      <c r="C3208" s="147">
        <v>1620.0</v>
      </c>
      <c r="D3208" s="132">
        <f t="shared" si="254"/>
        <v>130</v>
      </c>
      <c r="E3208" s="147"/>
      <c r="F3208" s="139"/>
      <c r="G3208" s="129"/>
      <c r="H3208" s="129"/>
      <c r="I3208" s="129"/>
      <c r="J3208" s="129"/>
      <c r="K3208" s="129"/>
      <c r="L3208" s="129"/>
      <c r="M3208" s="129"/>
      <c r="N3208" s="129"/>
      <c r="O3208" s="129"/>
      <c r="P3208" s="129"/>
      <c r="Q3208" s="129"/>
      <c r="R3208" s="129"/>
      <c r="S3208" s="129"/>
      <c r="T3208" s="129"/>
      <c r="U3208" s="129"/>
      <c r="V3208" s="129"/>
      <c r="W3208" s="129"/>
      <c r="X3208" s="129"/>
      <c r="Y3208" s="129"/>
      <c r="Z3208" s="129"/>
      <c r="AA3208" s="129"/>
      <c r="AB3208" s="129"/>
    </row>
    <row r="3209" hidden="1">
      <c r="A3209" s="128" t="s">
        <v>1466</v>
      </c>
      <c r="B3209" s="147">
        <v>1390.0</v>
      </c>
      <c r="C3209" s="147">
        <v>1529.0</v>
      </c>
      <c r="D3209" s="132">
        <f t="shared" si="254"/>
        <v>139</v>
      </c>
      <c r="E3209" s="127"/>
      <c r="F3209" s="139"/>
      <c r="G3209" s="150"/>
      <c r="H3209" s="129"/>
      <c r="I3209" s="129"/>
      <c r="J3209" s="129"/>
      <c r="K3209" s="129"/>
      <c r="L3209" s="129"/>
      <c r="M3209" s="129"/>
      <c r="N3209" s="129"/>
      <c r="O3209" s="129"/>
      <c r="P3209" s="129"/>
      <c r="Q3209" s="129"/>
      <c r="R3209" s="129"/>
      <c r="S3209" s="129"/>
      <c r="T3209" s="129"/>
      <c r="U3209" s="129"/>
      <c r="V3209" s="129"/>
      <c r="W3209" s="129"/>
      <c r="X3209" s="129"/>
      <c r="Y3209" s="129"/>
      <c r="Z3209" s="129"/>
      <c r="AA3209" s="129"/>
      <c r="AB3209" s="129"/>
    </row>
    <row r="3210" hidden="1">
      <c r="A3210" s="150" t="s">
        <v>401</v>
      </c>
      <c r="B3210" s="147">
        <v>1290.0</v>
      </c>
      <c r="C3210" s="147">
        <v>1437.0</v>
      </c>
      <c r="D3210" s="132">
        <f t="shared" si="254"/>
        <v>147</v>
      </c>
      <c r="E3210" s="147"/>
      <c r="F3210" s="139"/>
      <c r="G3210" s="129"/>
      <c r="H3210" s="129"/>
      <c r="I3210" s="129"/>
      <c r="J3210" s="129"/>
      <c r="K3210" s="129"/>
      <c r="L3210" s="129"/>
      <c r="M3210" s="129"/>
      <c r="N3210" s="129"/>
      <c r="O3210" s="129"/>
      <c r="P3210" s="129"/>
      <c r="Q3210" s="129"/>
      <c r="R3210" s="129"/>
      <c r="S3210" s="129"/>
      <c r="T3210" s="129"/>
      <c r="U3210" s="129"/>
      <c r="V3210" s="129"/>
      <c r="W3210" s="129"/>
      <c r="X3210" s="129"/>
      <c r="Y3210" s="129"/>
      <c r="Z3210" s="129"/>
      <c r="AA3210" s="129"/>
      <c r="AB3210" s="129"/>
    </row>
    <row r="3211" hidden="1">
      <c r="A3211" s="128" t="s">
        <v>468</v>
      </c>
      <c r="B3211" s="147">
        <v>1050.0</v>
      </c>
      <c r="C3211" s="147">
        <v>1444.0</v>
      </c>
      <c r="D3211" s="132">
        <f t="shared" si="254"/>
        <v>394</v>
      </c>
      <c r="E3211" s="127"/>
      <c r="F3211" s="139"/>
      <c r="G3211" s="129"/>
      <c r="H3211" s="129"/>
      <c r="I3211" s="129"/>
      <c r="J3211" s="129"/>
      <c r="K3211" s="129"/>
      <c r="L3211" s="129"/>
      <c r="M3211" s="129"/>
      <c r="N3211" s="129"/>
      <c r="O3211" s="129"/>
      <c r="P3211" s="129"/>
      <c r="Q3211" s="129"/>
      <c r="R3211" s="129"/>
      <c r="S3211" s="129"/>
      <c r="T3211" s="129"/>
      <c r="U3211" s="129"/>
      <c r="V3211" s="129"/>
      <c r="W3211" s="129"/>
      <c r="X3211" s="129"/>
      <c r="Y3211" s="129"/>
      <c r="Z3211" s="129"/>
      <c r="AA3211" s="129"/>
      <c r="AB3211" s="129"/>
    </row>
    <row r="3212" hidden="1">
      <c r="A3212" s="150" t="s">
        <v>1497</v>
      </c>
      <c r="B3212" s="147">
        <v>1990.0</v>
      </c>
      <c r="C3212" s="147">
        <v>2447.0</v>
      </c>
      <c r="D3212" s="132">
        <f t="shared" si="254"/>
        <v>457</v>
      </c>
      <c r="E3212" s="147"/>
      <c r="F3212" s="139"/>
      <c r="G3212" s="129"/>
      <c r="H3212" s="129"/>
      <c r="I3212" s="129"/>
      <c r="J3212" s="129"/>
      <c r="K3212" s="129"/>
      <c r="L3212" s="129"/>
      <c r="M3212" s="129"/>
      <c r="N3212" s="129"/>
      <c r="O3212" s="129"/>
      <c r="P3212" s="129"/>
      <c r="Q3212" s="129"/>
      <c r="R3212" s="129"/>
      <c r="S3212" s="129"/>
      <c r="T3212" s="129"/>
      <c r="U3212" s="129"/>
      <c r="V3212" s="129"/>
      <c r="W3212" s="129"/>
      <c r="X3212" s="129"/>
      <c r="Y3212" s="129"/>
      <c r="Z3212" s="129"/>
      <c r="AA3212" s="129"/>
      <c r="AB3212" s="129"/>
    </row>
    <row r="3213" hidden="1">
      <c r="A3213" s="123" t="s">
        <v>1524</v>
      </c>
      <c r="B3213" s="124">
        <v>1400.0</v>
      </c>
      <c r="C3213" s="124">
        <v>1583.0</v>
      </c>
      <c r="D3213" s="125">
        <f t="shared" si="254"/>
        <v>183</v>
      </c>
      <c r="E3213" s="124"/>
      <c r="F3213" s="124"/>
    </row>
    <row r="3214" hidden="1">
      <c r="A3214" s="128" t="s">
        <v>1525</v>
      </c>
      <c r="B3214" s="147">
        <v>10500.0</v>
      </c>
      <c r="C3214" s="147">
        <v>11268.0</v>
      </c>
      <c r="D3214" s="132">
        <f t="shared" si="254"/>
        <v>768</v>
      </c>
      <c r="E3214" s="147"/>
      <c r="F3214" s="139"/>
      <c r="G3214" s="129"/>
      <c r="H3214" s="129"/>
      <c r="I3214" s="129"/>
      <c r="J3214" s="129"/>
      <c r="K3214" s="129"/>
      <c r="L3214" s="129"/>
      <c r="M3214" s="129"/>
      <c r="N3214" s="129"/>
      <c r="O3214" s="129"/>
      <c r="P3214" s="129"/>
      <c r="Q3214" s="129"/>
      <c r="R3214" s="129"/>
      <c r="S3214" s="129"/>
      <c r="T3214" s="129"/>
      <c r="U3214" s="129"/>
      <c r="V3214" s="129"/>
      <c r="W3214" s="129"/>
      <c r="X3214" s="129"/>
      <c r="Y3214" s="129"/>
      <c r="Z3214" s="129"/>
      <c r="AA3214" s="129"/>
      <c r="AB3214" s="129"/>
    </row>
    <row r="3215" hidden="1">
      <c r="A3215" s="123" t="s">
        <v>1526</v>
      </c>
      <c r="B3215" s="147">
        <v>1090.0</v>
      </c>
      <c r="C3215" s="124">
        <v>1223.0</v>
      </c>
      <c r="D3215" s="125">
        <f t="shared" si="254"/>
        <v>133</v>
      </c>
      <c r="E3215" s="147"/>
      <c r="F3215" s="132"/>
      <c r="G3215" s="123"/>
    </row>
    <row r="3216" hidden="1">
      <c r="A3216" s="128" t="s">
        <v>1527</v>
      </c>
      <c r="B3216" s="147">
        <v>7750.0</v>
      </c>
      <c r="C3216" s="147">
        <v>8476.0</v>
      </c>
      <c r="D3216" s="132">
        <f t="shared" si="254"/>
        <v>726</v>
      </c>
      <c r="E3216" s="147"/>
      <c r="F3216" s="139"/>
      <c r="G3216" s="129"/>
      <c r="H3216" s="129"/>
      <c r="I3216" s="129"/>
      <c r="J3216" s="129"/>
      <c r="K3216" s="129"/>
      <c r="L3216" s="129"/>
      <c r="M3216" s="129"/>
      <c r="N3216" s="129"/>
      <c r="O3216" s="129"/>
      <c r="P3216" s="129"/>
      <c r="Q3216" s="129"/>
      <c r="R3216" s="129"/>
      <c r="S3216" s="129"/>
      <c r="T3216" s="129"/>
      <c r="U3216" s="129"/>
      <c r="V3216" s="129"/>
      <c r="W3216" s="129"/>
      <c r="X3216" s="129"/>
      <c r="Y3216" s="129"/>
      <c r="Z3216" s="129"/>
      <c r="AA3216" s="129"/>
      <c r="AB3216" s="129"/>
    </row>
    <row r="3217" hidden="1">
      <c r="A3217" s="128" t="s">
        <v>1528</v>
      </c>
      <c r="B3217" s="147">
        <v>6000.0</v>
      </c>
      <c r="C3217" s="147">
        <v>6879.0</v>
      </c>
      <c r="D3217" s="132">
        <f t="shared" si="254"/>
        <v>879</v>
      </c>
      <c r="E3217" s="147"/>
      <c r="F3217" s="139"/>
      <c r="G3217" s="129"/>
      <c r="H3217" s="129"/>
      <c r="I3217" s="129"/>
      <c r="J3217" s="129"/>
      <c r="K3217" s="129"/>
      <c r="L3217" s="129"/>
      <c r="M3217" s="129"/>
      <c r="N3217" s="129"/>
      <c r="O3217" s="129"/>
      <c r="P3217" s="129"/>
      <c r="Q3217" s="129"/>
      <c r="R3217" s="129"/>
      <c r="S3217" s="129"/>
      <c r="T3217" s="129"/>
      <c r="U3217" s="129"/>
      <c r="V3217" s="129"/>
      <c r="W3217" s="129"/>
      <c r="X3217" s="129"/>
      <c r="Y3217" s="129"/>
      <c r="Z3217" s="129"/>
      <c r="AA3217" s="129"/>
      <c r="AB3217" s="129"/>
    </row>
    <row r="3218" hidden="1">
      <c r="A3218" s="128" t="s">
        <v>1529</v>
      </c>
      <c r="B3218" s="147">
        <v>7750.0</v>
      </c>
      <c r="C3218" s="147">
        <v>8410.0</v>
      </c>
      <c r="D3218" s="132">
        <f t="shared" si="254"/>
        <v>660</v>
      </c>
      <c r="E3218" s="147"/>
      <c r="F3218" s="139"/>
      <c r="G3218" s="129"/>
      <c r="H3218" s="129"/>
      <c r="I3218" s="129"/>
      <c r="J3218" s="129"/>
      <c r="K3218" s="129"/>
      <c r="L3218" s="129"/>
      <c r="M3218" s="129"/>
      <c r="N3218" s="129"/>
      <c r="O3218" s="129"/>
      <c r="P3218" s="129"/>
      <c r="Q3218" s="129"/>
      <c r="R3218" s="129"/>
      <c r="S3218" s="129"/>
      <c r="T3218" s="129"/>
      <c r="U3218" s="129"/>
      <c r="V3218" s="129"/>
      <c r="W3218" s="129"/>
      <c r="X3218" s="129"/>
      <c r="Y3218" s="129"/>
      <c r="Z3218" s="129"/>
      <c r="AA3218" s="129"/>
      <c r="AB3218" s="129"/>
    </row>
    <row r="3219" hidden="1">
      <c r="A3219" s="128" t="s">
        <v>1466</v>
      </c>
      <c r="B3219" s="147">
        <v>1290.0</v>
      </c>
      <c r="C3219" s="147">
        <v>1347.0</v>
      </c>
      <c r="D3219" s="132">
        <f t="shared" si="254"/>
        <v>57</v>
      </c>
      <c r="E3219" s="127"/>
      <c r="F3219" s="139"/>
      <c r="G3219" s="150"/>
      <c r="H3219" s="129"/>
      <c r="I3219" s="129"/>
      <c r="J3219" s="129"/>
      <c r="K3219" s="129"/>
      <c r="L3219" s="129"/>
      <c r="M3219" s="129"/>
      <c r="N3219" s="129"/>
      <c r="O3219" s="129"/>
      <c r="P3219" s="129"/>
      <c r="Q3219" s="129"/>
      <c r="R3219" s="129"/>
      <c r="S3219" s="129"/>
      <c r="T3219" s="129"/>
      <c r="U3219" s="129"/>
      <c r="V3219" s="129"/>
      <c r="W3219" s="129"/>
      <c r="X3219" s="129"/>
      <c r="Y3219" s="129"/>
      <c r="Z3219" s="129"/>
      <c r="AA3219" s="129"/>
      <c r="AB3219" s="129"/>
    </row>
    <row r="3220" hidden="1">
      <c r="A3220" s="123" t="s">
        <v>1213</v>
      </c>
      <c r="B3220" s="147">
        <v>2740.0</v>
      </c>
      <c r="C3220" s="147">
        <v>3035.0</v>
      </c>
      <c r="D3220" s="132">
        <f t="shared" si="254"/>
        <v>295</v>
      </c>
      <c r="E3220" s="147"/>
      <c r="F3220" s="124"/>
    </row>
    <row r="3221" hidden="1">
      <c r="A3221" s="128" t="s">
        <v>1466</v>
      </c>
      <c r="B3221" s="147">
        <v>0.0</v>
      </c>
      <c r="C3221" s="147">
        <v>0.0</v>
      </c>
      <c r="D3221" s="132">
        <f t="shared" si="254"/>
        <v>0</v>
      </c>
      <c r="E3221" s="127"/>
      <c r="F3221" s="139"/>
      <c r="G3221" s="150"/>
      <c r="H3221" s="129"/>
      <c r="I3221" s="129"/>
      <c r="J3221" s="129"/>
      <c r="K3221" s="129"/>
      <c r="L3221" s="129"/>
      <c r="M3221" s="129"/>
      <c r="N3221" s="129"/>
      <c r="O3221" s="129"/>
      <c r="P3221" s="129"/>
      <c r="Q3221" s="129"/>
      <c r="R3221" s="129"/>
      <c r="S3221" s="129"/>
      <c r="T3221" s="129"/>
      <c r="U3221" s="129"/>
      <c r="V3221" s="129"/>
      <c r="W3221" s="129"/>
      <c r="X3221" s="129"/>
      <c r="Y3221" s="129"/>
      <c r="Z3221" s="129"/>
      <c r="AA3221" s="129"/>
      <c r="AB3221" s="129"/>
    </row>
    <row r="3222" hidden="1">
      <c r="A3222" s="128" t="s">
        <v>1530</v>
      </c>
      <c r="B3222" s="132">
        <v>10750.0</v>
      </c>
      <c r="C3222" s="147">
        <v>11513.0</v>
      </c>
      <c r="D3222" s="132">
        <f t="shared" si="254"/>
        <v>763</v>
      </c>
      <c r="E3222" s="147"/>
      <c r="F3222" s="139"/>
      <c r="G3222" s="129"/>
      <c r="H3222" s="129"/>
      <c r="I3222" s="129"/>
      <c r="J3222" s="129"/>
      <c r="K3222" s="129"/>
      <c r="L3222" s="129"/>
      <c r="M3222" s="129"/>
      <c r="N3222" s="129"/>
      <c r="O3222" s="129"/>
      <c r="P3222" s="129"/>
      <c r="Q3222" s="129"/>
      <c r="R3222" s="129"/>
      <c r="S3222" s="129"/>
      <c r="T3222" s="129"/>
      <c r="U3222" s="129"/>
      <c r="V3222" s="129"/>
      <c r="W3222" s="129"/>
      <c r="X3222" s="129"/>
      <c r="Y3222" s="129"/>
      <c r="Z3222" s="129"/>
      <c r="AA3222" s="129"/>
      <c r="AB3222" s="129"/>
    </row>
    <row r="3223" hidden="1">
      <c r="A3223" s="128" t="s">
        <v>1093</v>
      </c>
      <c r="B3223" s="147">
        <v>5530.0</v>
      </c>
      <c r="C3223" s="147">
        <v>6000.0</v>
      </c>
      <c r="D3223" s="132">
        <f t="shared" si="254"/>
        <v>470</v>
      </c>
      <c r="E3223" s="127"/>
      <c r="F3223" s="139"/>
      <c r="G3223" s="129"/>
      <c r="H3223" s="129"/>
      <c r="I3223" s="129"/>
      <c r="J3223" s="129"/>
      <c r="K3223" s="129"/>
      <c r="L3223" s="129"/>
      <c r="M3223" s="129"/>
      <c r="N3223" s="129"/>
      <c r="O3223" s="129"/>
      <c r="P3223" s="129"/>
      <c r="Q3223" s="129"/>
      <c r="R3223" s="129"/>
      <c r="S3223" s="129"/>
      <c r="T3223" s="129"/>
      <c r="U3223" s="129"/>
      <c r="V3223" s="129"/>
      <c r="W3223" s="129"/>
      <c r="X3223" s="129"/>
      <c r="Y3223" s="129"/>
      <c r="Z3223" s="129"/>
      <c r="AA3223" s="129"/>
      <c r="AB3223" s="129"/>
    </row>
    <row r="3224" hidden="1">
      <c r="A3224" s="123" t="s">
        <v>1213</v>
      </c>
      <c r="B3224" s="147">
        <v>0.0</v>
      </c>
      <c r="C3224" s="147">
        <v>0.0</v>
      </c>
      <c r="D3224" s="132">
        <f t="shared" si="254"/>
        <v>0</v>
      </c>
      <c r="E3224" s="147"/>
      <c r="F3224" s="124"/>
    </row>
    <row r="3225" hidden="1">
      <c r="A3225" s="150" t="s">
        <v>1179</v>
      </c>
      <c r="B3225" s="147">
        <v>0.0</v>
      </c>
      <c r="C3225" s="147">
        <v>0.0</v>
      </c>
      <c r="D3225" s="132">
        <f t="shared" si="254"/>
        <v>0</v>
      </c>
      <c r="E3225" s="147"/>
      <c r="F3225" s="132"/>
      <c r="G3225" s="129"/>
      <c r="H3225" s="129"/>
      <c r="I3225" s="129"/>
      <c r="J3225" s="129"/>
      <c r="K3225" s="129"/>
      <c r="L3225" s="129"/>
      <c r="M3225" s="129"/>
      <c r="N3225" s="129"/>
      <c r="O3225" s="129"/>
      <c r="P3225" s="129"/>
      <c r="Q3225" s="129"/>
      <c r="R3225" s="129"/>
      <c r="S3225" s="129"/>
      <c r="T3225" s="129"/>
      <c r="U3225" s="129"/>
      <c r="V3225" s="129"/>
      <c r="W3225" s="129"/>
      <c r="X3225" s="129"/>
      <c r="Y3225" s="129"/>
      <c r="Z3225" s="129"/>
      <c r="AA3225" s="129"/>
      <c r="AB3225" s="129"/>
    </row>
    <row r="3226" hidden="1">
      <c r="A3226" s="128" t="s">
        <v>1477</v>
      </c>
      <c r="B3226" s="147">
        <v>0.0</v>
      </c>
      <c r="C3226" s="147">
        <v>0.0</v>
      </c>
      <c r="D3226" s="132">
        <f t="shared" si="254"/>
        <v>0</v>
      </c>
      <c r="E3226" s="147"/>
      <c r="F3226" s="132"/>
      <c r="G3226" s="129"/>
      <c r="H3226" s="129"/>
      <c r="I3226" s="129"/>
      <c r="J3226" s="129"/>
      <c r="K3226" s="129"/>
      <c r="L3226" s="129"/>
      <c r="M3226" s="129"/>
      <c r="N3226" s="129"/>
      <c r="O3226" s="129"/>
      <c r="P3226" s="129"/>
      <c r="Q3226" s="129"/>
      <c r="R3226" s="129"/>
      <c r="S3226" s="129"/>
      <c r="T3226" s="129"/>
      <c r="U3226" s="129"/>
      <c r="V3226" s="129"/>
      <c r="W3226" s="129"/>
      <c r="X3226" s="129"/>
      <c r="Y3226" s="129"/>
      <c r="Z3226" s="129"/>
      <c r="AA3226" s="129"/>
      <c r="AB3226" s="129"/>
    </row>
    <row r="3227" hidden="1">
      <c r="A3227" s="128" t="s">
        <v>1531</v>
      </c>
      <c r="B3227" s="147">
        <v>10750.0</v>
      </c>
      <c r="C3227" s="147">
        <v>11750.0</v>
      </c>
      <c r="D3227" s="132">
        <f t="shared" si="254"/>
        <v>1000</v>
      </c>
      <c r="E3227" s="147"/>
      <c r="F3227" s="139"/>
      <c r="G3227" s="129"/>
      <c r="H3227" s="129"/>
      <c r="I3227" s="129"/>
      <c r="J3227" s="129"/>
      <c r="K3227" s="129"/>
      <c r="L3227" s="129"/>
      <c r="M3227" s="129"/>
      <c r="N3227" s="129"/>
      <c r="O3227" s="129"/>
      <c r="P3227" s="129"/>
      <c r="Q3227" s="129"/>
      <c r="R3227" s="129"/>
      <c r="S3227" s="129"/>
      <c r="T3227" s="129"/>
      <c r="U3227" s="129"/>
      <c r="V3227" s="129"/>
      <c r="W3227" s="129"/>
      <c r="X3227" s="129"/>
      <c r="Y3227" s="129"/>
      <c r="Z3227" s="129"/>
      <c r="AA3227" s="129"/>
      <c r="AB3227" s="129"/>
    </row>
    <row r="3228" hidden="1">
      <c r="A3228" s="128" t="s">
        <v>1532</v>
      </c>
      <c r="B3228" s="147">
        <v>1240.0</v>
      </c>
      <c r="C3228" s="147">
        <v>1279.0</v>
      </c>
      <c r="D3228" s="132">
        <f t="shared" si="254"/>
        <v>39</v>
      </c>
      <c r="E3228" s="147"/>
      <c r="F3228" s="132"/>
      <c r="G3228" s="129"/>
      <c r="H3228" s="129"/>
      <c r="I3228" s="129"/>
      <c r="J3228" s="129"/>
      <c r="K3228" s="129"/>
      <c r="L3228" s="129"/>
      <c r="M3228" s="129"/>
      <c r="N3228" s="129"/>
      <c r="O3228" s="129"/>
      <c r="P3228" s="129"/>
      <c r="Q3228" s="129"/>
      <c r="R3228" s="129"/>
      <c r="S3228" s="129"/>
      <c r="T3228" s="129"/>
      <c r="U3228" s="129"/>
      <c r="V3228" s="129"/>
      <c r="W3228" s="129"/>
      <c r="X3228" s="129"/>
      <c r="Y3228" s="129"/>
      <c r="Z3228" s="129"/>
      <c r="AA3228" s="129"/>
      <c r="AB3228" s="129"/>
    </row>
    <row r="3229" hidden="1">
      <c r="A3229" s="128" t="s">
        <v>1196</v>
      </c>
      <c r="B3229" s="124">
        <v>650.0</v>
      </c>
      <c r="C3229" s="147">
        <v>854.0</v>
      </c>
      <c r="D3229" s="132">
        <f t="shared" si="254"/>
        <v>204</v>
      </c>
      <c r="E3229" s="124"/>
      <c r="F3229" s="124"/>
      <c r="G3229" s="129"/>
      <c r="H3229" s="129"/>
      <c r="I3229" s="129"/>
      <c r="J3229" s="129"/>
      <c r="K3229" s="129"/>
      <c r="L3229" s="129"/>
      <c r="M3229" s="129"/>
      <c r="N3229" s="129"/>
      <c r="O3229" s="129"/>
      <c r="P3229" s="129"/>
      <c r="Q3229" s="129"/>
      <c r="R3229" s="129"/>
      <c r="S3229" s="129"/>
      <c r="T3229" s="129"/>
      <c r="U3229" s="129"/>
      <c r="V3229" s="129"/>
      <c r="W3229" s="129"/>
      <c r="X3229" s="129"/>
      <c r="Y3229" s="129"/>
      <c r="Z3229" s="129"/>
      <c r="AA3229" s="129"/>
      <c r="AB3229" s="129"/>
    </row>
    <row r="3230" hidden="1">
      <c r="A3230" s="128" t="s">
        <v>1533</v>
      </c>
      <c r="B3230" s="147">
        <v>1750.0</v>
      </c>
      <c r="C3230" s="147">
        <v>1974.0</v>
      </c>
      <c r="D3230" s="125">
        <f t="shared" si="254"/>
        <v>224</v>
      </c>
      <c r="E3230" s="127"/>
      <c r="F3230" s="139"/>
      <c r="G3230" s="150"/>
      <c r="H3230" s="129"/>
      <c r="I3230" s="129"/>
      <c r="J3230" s="129"/>
      <c r="K3230" s="129"/>
      <c r="L3230" s="129"/>
      <c r="M3230" s="129"/>
      <c r="N3230" s="129"/>
      <c r="O3230" s="129"/>
      <c r="P3230" s="129"/>
      <c r="Q3230" s="129"/>
      <c r="R3230" s="129"/>
      <c r="S3230" s="129"/>
      <c r="T3230" s="129"/>
      <c r="U3230" s="129"/>
      <c r="V3230" s="129"/>
      <c r="W3230" s="129"/>
      <c r="X3230" s="129"/>
      <c r="Y3230" s="129"/>
      <c r="Z3230" s="129"/>
      <c r="AA3230" s="129"/>
      <c r="AB3230" s="129"/>
    </row>
    <row r="3231" hidden="1">
      <c r="A3231" s="128" t="s">
        <v>1474</v>
      </c>
      <c r="B3231" s="147">
        <v>0.0</v>
      </c>
      <c r="C3231" s="147">
        <v>0.0</v>
      </c>
      <c r="D3231" s="132">
        <f t="shared" si="254"/>
        <v>0</v>
      </c>
      <c r="E3231" s="147"/>
      <c r="F3231" s="132"/>
      <c r="G3231" s="129"/>
      <c r="H3231" s="129"/>
      <c r="I3231" s="129"/>
      <c r="J3231" s="129"/>
      <c r="K3231" s="129"/>
      <c r="L3231" s="129"/>
      <c r="M3231" s="129"/>
      <c r="N3231" s="129"/>
      <c r="O3231" s="129"/>
      <c r="P3231" s="129"/>
      <c r="Q3231" s="129"/>
      <c r="R3231" s="129"/>
      <c r="S3231" s="129"/>
      <c r="T3231" s="129"/>
      <c r="U3231" s="129"/>
      <c r="V3231" s="129"/>
      <c r="W3231" s="129"/>
      <c r="X3231" s="129"/>
      <c r="Y3231" s="129"/>
      <c r="Z3231" s="129"/>
      <c r="AA3231" s="129"/>
      <c r="AB3231" s="129"/>
    </row>
    <row r="3232" hidden="1">
      <c r="A3232" s="150" t="s">
        <v>1415</v>
      </c>
      <c r="B3232" s="147">
        <v>790.0</v>
      </c>
      <c r="C3232" s="147">
        <v>971.0</v>
      </c>
      <c r="D3232" s="132">
        <f t="shared" si="254"/>
        <v>181</v>
      </c>
      <c r="E3232" s="147"/>
      <c r="F3232" s="132"/>
      <c r="G3232" s="129"/>
      <c r="H3232" s="129"/>
      <c r="I3232" s="129"/>
      <c r="J3232" s="129"/>
      <c r="K3232" s="129"/>
      <c r="L3232" s="129"/>
      <c r="M3232" s="129"/>
      <c r="N3232" s="129"/>
      <c r="O3232" s="129"/>
      <c r="P3232" s="129"/>
      <c r="Q3232" s="129"/>
      <c r="R3232" s="129"/>
      <c r="S3232" s="129"/>
      <c r="T3232" s="129"/>
      <c r="U3232" s="129"/>
      <c r="V3232" s="129"/>
      <c r="W3232" s="129"/>
      <c r="X3232" s="129"/>
      <c r="Y3232" s="129"/>
      <c r="Z3232" s="129"/>
      <c r="AA3232" s="129"/>
      <c r="AB3232" s="129"/>
    </row>
    <row r="3233" hidden="1">
      <c r="A3233" s="128" t="s">
        <v>1093</v>
      </c>
      <c r="B3233" s="147">
        <v>1490.0</v>
      </c>
      <c r="C3233" s="147">
        <v>1646.0</v>
      </c>
      <c r="D3233" s="132">
        <f t="shared" si="254"/>
        <v>156</v>
      </c>
      <c r="E3233" s="127"/>
      <c r="F3233" s="139"/>
      <c r="G3233" s="129"/>
      <c r="H3233" s="129"/>
      <c r="I3233" s="129"/>
      <c r="J3233" s="129"/>
      <c r="K3233" s="129"/>
      <c r="L3233" s="129"/>
      <c r="M3233" s="129"/>
      <c r="N3233" s="129"/>
      <c r="O3233" s="129"/>
      <c r="P3233" s="129"/>
      <c r="Q3233" s="129"/>
      <c r="R3233" s="129"/>
      <c r="S3233" s="129"/>
      <c r="T3233" s="129"/>
      <c r="U3233" s="129"/>
      <c r="V3233" s="129"/>
      <c r="W3233" s="129"/>
      <c r="X3233" s="129"/>
      <c r="Y3233" s="129"/>
      <c r="Z3233" s="129"/>
      <c r="AA3233" s="129"/>
      <c r="AB3233" s="129"/>
    </row>
    <row r="3234" hidden="1">
      <c r="A3234" s="123" t="s">
        <v>1213</v>
      </c>
      <c r="B3234" s="147">
        <v>1450.0</v>
      </c>
      <c r="C3234" s="147">
        <v>1589.0</v>
      </c>
      <c r="D3234" s="132">
        <f t="shared" si="254"/>
        <v>139</v>
      </c>
      <c r="E3234" s="132"/>
      <c r="F3234" s="124"/>
    </row>
    <row r="3235" hidden="1">
      <c r="A3235" s="128" t="s">
        <v>1215</v>
      </c>
      <c r="B3235" s="147">
        <v>1450.0</v>
      </c>
      <c r="C3235" s="147">
        <v>1566.0</v>
      </c>
      <c r="D3235" s="132">
        <f t="shared" si="254"/>
        <v>116</v>
      </c>
      <c r="E3235" s="132"/>
      <c r="F3235" s="139"/>
      <c r="G3235" s="129"/>
      <c r="H3235" s="129"/>
      <c r="I3235" s="129"/>
      <c r="J3235" s="129"/>
      <c r="K3235" s="129"/>
      <c r="L3235" s="129"/>
      <c r="M3235" s="129"/>
      <c r="N3235" s="129"/>
      <c r="O3235" s="129"/>
      <c r="P3235" s="129"/>
      <c r="Q3235" s="129"/>
      <c r="R3235" s="129"/>
      <c r="S3235" s="129"/>
      <c r="T3235" s="129"/>
      <c r="U3235" s="129"/>
      <c r="V3235" s="129"/>
      <c r="W3235" s="129"/>
      <c r="X3235" s="129"/>
      <c r="Y3235" s="129"/>
      <c r="Z3235" s="129"/>
      <c r="AA3235" s="129"/>
      <c r="AB3235" s="129"/>
    </row>
    <row r="3236" hidden="1">
      <c r="A3236" s="150" t="s">
        <v>1497</v>
      </c>
      <c r="B3236" s="132">
        <v>2250.0</v>
      </c>
      <c r="C3236" s="147">
        <v>2547.0</v>
      </c>
      <c r="D3236" s="132">
        <f t="shared" si="254"/>
        <v>297</v>
      </c>
      <c r="E3236" s="139"/>
      <c r="F3236" s="139"/>
      <c r="G3236" s="129"/>
      <c r="H3236" s="129"/>
      <c r="I3236" s="129"/>
      <c r="J3236" s="129"/>
      <c r="K3236" s="129"/>
      <c r="L3236" s="129"/>
      <c r="M3236" s="129"/>
      <c r="N3236" s="129"/>
      <c r="O3236" s="129"/>
      <c r="P3236" s="129"/>
      <c r="Q3236" s="129"/>
      <c r="R3236" s="129"/>
      <c r="S3236" s="129"/>
      <c r="T3236" s="129"/>
      <c r="U3236" s="129"/>
      <c r="V3236" s="129"/>
      <c r="W3236" s="129"/>
      <c r="X3236" s="129"/>
      <c r="Y3236" s="129"/>
      <c r="Z3236" s="129"/>
      <c r="AA3236" s="129"/>
      <c r="AB3236" s="129"/>
    </row>
    <row r="3237" hidden="1">
      <c r="A3237" s="128" t="s">
        <v>1215</v>
      </c>
      <c r="B3237" s="147">
        <v>1450.0</v>
      </c>
      <c r="C3237" s="147">
        <v>1561.0</v>
      </c>
      <c r="D3237" s="132">
        <f t="shared" si="254"/>
        <v>111</v>
      </c>
      <c r="E3237" s="132"/>
      <c r="F3237" s="139"/>
      <c r="G3237" s="129"/>
      <c r="H3237" s="129"/>
      <c r="I3237" s="129"/>
      <c r="J3237" s="129"/>
      <c r="K3237" s="129"/>
      <c r="L3237" s="129"/>
      <c r="M3237" s="129"/>
      <c r="N3237" s="129"/>
      <c r="O3237" s="129"/>
      <c r="P3237" s="129"/>
      <c r="Q3237" s="129"/>
      <c r="R3237" s="129"/>
      <c r="S3237" s="129"/>
      <c r="T3237" s="129"/>
      <c r="U3237" s="129"/>
      <c r="V3237" s="129"/>
      <c r="W3237" s="129"/>
      <c r="X3237" s="129"/>
      <c r="Y3237" s="129"/>
      <c r="Z3237" s="129"/>
      <c r="AA3237" s="129"/>
      <c r="AB3237" s="129"/>
    </row>
    <row r="3238" hidden="1">
      <c r="A3238" s="128" t="s">
        <v>1215</v>
      </c>
      <c r="B3238" s="147">
        <v>1450.0</v>
      </c>
      <c r="C3238" s="147">
        <v>1562.0</v>
      </c>
      <c r="D3238" s="132">
        <f t="shared" si="254"/>
        <v>112</v>
      </c>
      <c r="E3238" s="132"/>
      <c r="F3238" s="139"/>
      <c r="G3238" s="129"/>
      <c r="H3238" s="129"/>
      <c r="I3238" s="129"/>
      <c r="J3238" s="129"/>
      <c r="K3238" s="129"/>
      <c r="L3238" s="129"/>
      <c r="M3238" s="129"/>
      <c r="N3238" s="129"/>
      <c r="O3238" s="129"/>
      <c r="P3238" s="129"/>
      <c r="Q3238" s="129"/>
      <c r="R3238" s="129"/>
      <c r="S3238" s="129"/>
      <c r="T3238" s="129"/>
      <c r="U3238" s="129"/>
      <c r="V3238" s="129"/>
      <c r="W3238" s="129"/>
      <c r="X3238" s="129"/>
      <c r="Y3238" s="129"/>
      <c r="Z3238" s="129"/>
      <c r="AA3238" s="129"/>
      <c r="AB3238" s="129"/>
    </row>
    <row r="3239" hidden="1">
      <c r="A3239" s="128" t="s">
        <v>1216</v>
      </c>
      <c r="B3239" s="147">
        <v>1450.0</v>
      </c>
      <c r="C3239" s="147">
        <v>1541.0</v>
      </c>
      <c r="D3239" s="132">
        <f t="shared" si="254"/>
        <v>91</v>
      </c>
      <c r="E3239" s="132"/>
      <c r="F3239" s="139"/>
      <c r="G3239" s="129"/>
      <c r="H3239" s="129"/>
      <c r="I3239" s="129"/>
      <c r="J3239" s="129"/>
      <c r="K3239" s="129"/>
      <c r="L3239" s="129"/>
      <c r="M3239" s="129"/>
      <c r="N3239" s="129"/>
      <c r="O3239" s="129"/>
      <c r="P3239" s="129"/>
      <c r="Q3239" s="129"/>
      <c r="R3239" s="129"/>
      <c r="S3239" s="129"/>
      <c r="T3239" s="129"/>
      <c r="U3239" s="129"/>
      <c r="V3239" s="129"/>
      <c r="W3239" s="129"/>
      <c r="X3239" s="129"/>
      <c r="Y3239" s="129"/>
      <c r="Z3239" s="129"/>
      <c r="AA3239" s="129"/>
      <c r="AB3239" s="129"/>
    </row>
    <row r="3240" hidden="1">
      <c r="A3240" s="150" t="s">
        <v>1415</v>
      </c>
      <c r="B3240" s="147">
        <v>790.0</v>
      </c>
      <c r="C3240" s="147">
        <v>982.0</v>
      </c>
      <c r="D3240" s="132">
        <f t="shared" si="254"/>
        <v>192</v>
      </c>
      <c r="E3240" s="147"/>
      <c r="F3240" s="132"/>
      <c r="G3240" s="129"/>
      <c r="H3240" s="129"/>
      <c r="I3240" s="129"/>
      <c r="J3240" s="129"/>
      <c r="K3240" s="129"/>
      <c r="L3240" s="129"/>
      <c r="M3240" s="129"/>
      <c r="N3240" s="129"/>
      <c r="O3240" s="129"/>
      <c r="P3240" s="129"/>
      <c r="Q3240" s="129"/>
      <c r="R3240" s="129"/>
      <c r="S3240" s="129"/>
      <c r="T3240" s="129"/>
      <c r="U3240" s="129"/>
      <c r="V3240" s="129"/>
      <c r="W3240" s="129"/>
      <c r="X3240" s="129"/>
      <c r="Y3240" s="129"/>
      <c r="Z3240" s="129"/>
      <c r="AA3240" s="129"/>
      <c r="AB3240" s="129"/>
    </row>
    <row r="3241" hidden="1">
      <c r="A3241" s="128" t="s">
        <v>1093</v>
      </c>
      <c r="B3241" s="147">
        <v>1490.0</v>
      </c>
      <c r="C3241" s="147">
        <v>1612.0</v>
      </c>
      <c r="D3241" s="132">
        <f t="shared" si="254"/>
        <v>122</v>
      </c>
      <c r="E3241" s="127"/>
      <c r="F3241" s="139"/>
      <c r="G3241" s="129"/>
      <c r="H3241" s="129"/>
      <c r="I3241" s="129"/>
      <c r="J3241" s="129"/>
      <c r="K3241" s="129"/>
      <c r="L3241" s="129"/>
      <c r="M3241" s="129"/>
      <c r="N3241" s="129"/>
      <c r="O3241" s="129"/>
      <c r="P3241" s="129"/>
      <c r="Q3241" s="129"/>
      <c r="R3241" s="129"/>
      <c r="S3241" s="129"/>
      <c r="T3241" s="129"/>
      <c r="U3241" s="129"/>
      <c r="V3241" s="129"/>
      <c r="W3241" s="129"/>
      <c r="X3241" s="129"/>
      <c r="Y3241" s="129"/>
      <c r="Z3241" s="129"/>
      <c r="AA3241" s="129"/>
      <c r="AB3241" s="129"/>
    </row>
    <row r="3242" hidden="1">
      <c r="A3242" s="128" t="s">
        <v>1215</v>
      </c>
      <c r="B3242" s="147">
        <v>1200.0</v>
      </c>
      <c r="C3242" s="147">
        <v>1483.0</v>
      </c>
      <c r="D3242" s="132">
        <f t="shared" si="254"/>
        <v>283</v>
      </c>
      <c r="E3242" s="132"/>
      <c r="F3242" s="139"/>
      <c r="G3242" s="129"/>
      <c r="H3242" s="129"/>
      <c r="I3242" s="129"/>
      <c r="J3242" s="129"/>
      <c r="K3242" s="129"/>
      <c r="L3242" s="129"/>
      <c r="M3242" s="129"/>
      <c r="N3242" s="129"/>
      <c r="O3242" s="129"/>
      <c r="P3242" s="129"/>
      <c r="Q3242" s="129"/>
      <c r="R3242" s="129"/>
      <c r="S3242" s="129"/>
      <c r="T3242" s="129"/>
      <c r="U3242" s="129"/>
      <c r="V3242" s="129"/>
      <c r="W3242" s="129"/>
      <c r="X3242" s="129"/>
      <c r="Y3242" s="129"/>
      <c r="Z3242" s="129"/>
      <c r="AA3242" s="129"/>
      <c r="AB3242" s="129"/>
    </row>
    <row r="3243" hidden="1">
      <c r="A3243" s="123" t="s">
        <v>1534</v>
      </c>
      <c r="B3243" s="147">
        <v>2250.0</v>
      </c>
      <c r="C3243" s="124">
        <v>2592.0</v>
      </c>
      <c r="D3243" s="125">
        <f t="shared" si="254"/>
        <v>342</v>
      </c>
      <c r="E3243" s="124"/>
      <c r="F3243" s="124"/>
    </row>
    <row r="3244" hidden="1">
      <c r="A3244" s="123" t="s">
        <v>1213</v>
      </c>
      <c r="B3244" s="147">
        <v>1450.0</v>
      </c>
      <c r="C3244" s="147">
        <v>1553.0</v>
      </c>
      <c r="D3244" s="132">
        <f t="shared" si="254"/>
        <v>103</v>
      </c>
      <c r="E3244" s="132"/>
      <c r="F3244" s="124"/>
    </row>
    <row r="3245" hidden="1">
      <c r="A3245" s="123" t="s">
        <v>1213</v>
      </c>
      <c r="B3245" s="147">
        <v>1450.0</v>
      </c>
      <c r="C3245" s="147">
        <v>1544.0</v>
      </c>
      <c r="D3245" s="132">
        <f t="shared" si="254"/>
        <v>94</v>
      </c>
      <c r="E3245" s="132"/>
      <c r="F3245" s="124"/>
    </row>
    <row r="3246" hidden="1">
      <c r="A3246" s="128" t="s">
        <v>1215</v>
      </c>
      <c r="B3246" s="147">
        <v>1450.0</v>
      </c>
      <c r="C3246" s="147">
        <v>1565.0</v>
      </c>
      <c r="D3246" s="132">
        <f t="shared" si="254"/>
        <v>115</v>
      </c>
      <c r="E3246" s="132"/>
      <c r="F3246" s="139"/>
      <c r="G3246" s="129"/>
      <c r="H3246" s="129"/>
      <c r="I3246" s="129"/>
      <c r="J3246" s="129"/>
      <c r="K3246" s="129"/>
      <c r="L3246" s="129"/>
      <c r="M3246" s="129"/>
      <c r="N3246" s="129"/>
      <c r="O3246" s="129"/>
      <c r="P3246" s="129"/>
      <c r="Q3246" s="129"/>
      <c r="R3246" s="129"/>
      <c r="S3246" s="129"/>
      <c r="T3246" s="129"/>
      <c r="U3246" s="129"/>
      <c r="V3246" s="129"/>
      <c r="W3246" s="129"/>
      <c r="X3246" s="129"/>
      <c r="Y3246" s="129"/>
      <c r="Z3246" s="129"/>
      <c r="AA3246" s="129"/>
      <c r="AB3246" s="129"/>
    </row>
    <row r="3247" hidden="1">
      <c r="A3247" s="123" t="s">
        <v>1213</v>
      </c>
      <c r="B3247" s="147">
        <v>1450.0</v>
      </c>
      <c r="C3247" s="147">
        <v>1544.0</v>
      </c>
      <c r="D3247" s="132">
        <f t="shared" si="254"/>
        <v>94</v>
      </c>
      <c r="E3247" s="132"/>
      <c r="F3247" s="124"/>
    </row>
    <row r="3248" hidden="1">
      <c r="A3248" s="123" t="s">
        <v>1213</v>
      </c>
      <c r="B3248" s="147">
        <v>1450.0</v>
      </c>
      <c r="C3248" s="147">
        <v>1548.0</v>
      </c>
      <c r="D3248" s="132">
        <f t="shared" si="254"/>
        <v>98</v>
      </c>
      <c r="E3248" s="132"/>
      <c r="F3248" s="124"/>
    </row>
    <row r="3249" hidden="1">
      <c r="A3249" s="123" t="s">
        <v>1213</v>
      </c>
      <c r="B3249" s="147">
        <v>1450.0</v>
      </c>
      <c r="C3249" s="147">
        <v>1555.0</v>
      </c>
      <c r="D3249" s="132">
        <f t="shared" si="254"/>
        <v>105</v>
      </c>
      <c r="E3249" s="132"/>
      <c r="F3249" s="124"/>
    </row>
    <row r="3250" hidden="1">
      <c r="A3250" s="123" t="s">
        <v>1213</v>
      </c>
      <c r="B3250" s="147">
        <v>1450.0</v>
      </c>
      <c r="C3250" s="147">
        <v>1555.0</v>
      </c>
      <c r="D3250" s="132">
        <f t="shared" si="254"/>
        <v>105</v>
      </c>
      <c r="E3250" s="132"/>
      <c r="F3250" s="124"/>
    </row>
    <row r="3251" hidden="1">
      <c r="A3251" s="123" t="s">
        <v>1213</v>
      </c>
      <c r="B3251" s="147">
        <v>1450.0</v>
      </c>
      <c r="C3251" s="147">
        <v>1544.0</v>
      </c>
      <c r="D3251" s="132">
        <f t="shared" si="254"/>
        <v>94</v>
      </c>
      <c r="E3251" s="132"/>
      <c r="F3251" s="124"/>
    </row>
    <row r="3252" hidden="1">
      <c r="A3252" s="123" t="s">
        <v>1213</v>
      </c>
      <c r="B3252" s="147">
        <v>1450.0</v>
      </c>
      <c r="C3252" s="147">
        <v>1548.0</v>
      </c>
      <c r="D3252" s="132">
        <f t="shared" si="254"/>
        <v>98</v>
      </c>
      <c r="E3252" s="132"/>
      <c r="F3252" s="124"/>
    </row>
    <row r="3253" hidden="1">
      <c r="A3253" s="128" t="s">
        <v>130</v>
      </c>
      <c r="B3253" s="147">
        <v>3650.0</v>
      </c>
      <c r="C3253" s="147">
        <v>3813.0</v>
      </c>
      <c r="D3253" s="132">
        <f t="shared" si="254"/>
        <v>163</v>
      </c>
      <c r="E3253" s="139"/>
      <c r="F3253" s="139"/>
      <c r="G3253" s="129"/>
      <c r="H3253" s="129"/>
      <c r="I3253" s="129"/>
      <c r="J3253" s="129"/>
      <c r="K3253" s="129"/>
      <c r="L3253" s="129"/>
      <c r="M3253" s="129"/>
      <c r="N3253" s="129"/>
      <c r="O3253" s="129"/>
      <c r="P3253" s="129"/>
      <c r="Q3253" s="129"/>
      <c r="R3253" s="129"/>
      <c r="S3253" s="129"/>
      <c r="T3253" s="129"/>
      <c r="U3253" s="129"/>
      <c r="V3253" s="129"/>
      <c r="W3253" s="129"/>
      <c r="X3253" s="129"/>
      <c r="Y3253" s="129"/>
      <c r="Z3253" s="129"/>
      <c r="AA3253" s="129"/>
      <c r="AB3253" s="129"/>
    </row>
    <row r="3254" hidden="1">
      <c r="A3254" s="123" t="s">
        <v>1213</v>
      </c>
      <c r="B3254" s="147">
        <v>0.0</v>
      </c>
      <c r="C3254" s="147">
        <v>0.0</v>
      </c>
      <c r="D3254" s="132">
        <f t="shared" si="254"/>
        <v>0</v>
      </c>
      <c r="E3254" s="132"/>
      <c r="F3254" s="124"/>
    </row>
    <row r="3255" hidden="1">
      <c r="A3255" s="123" t="s">
        <v>1213</v>
      </c>
      <c r="B3255" s="147">
        <v>0.0</v>
      </c>
      <c r="C3255" s="147">
        <v>0.0</v>
      </c>
      <c r="D3255" s="132">
        <f t="shared" si="254"/>
        <v>0</v>
      </c>
      <c r="E3255" s="132"/>
      <c r="F3255" s="124"/>
    </row>
    <row r="3256" hidden="1">
      <c r="A3256" s="128" t="s">
        <v>1301</v>
      </c>
      <c r="B3256" s="147">
        <v>1450.0</v>
      </c>
      <c r="C3256" s="147">
        <v>1617.0</v>
      </c>
      <c r="D3256" s="132">
        <f t="shared" si="254"/>
        <v>167</v>
      </c>
      <c r="E3256" s="147"/>
      <c r="F3256" s="132"/>
      <c r="G3256" s="129"/>
      <c r="H3256" s="129"/>
      <c r="I3256" s="129"/>
      <c r="J3256" s="129"/>
      <c r="K3256" s="129"/>
      <c r="L3256" s="129"/>
      <c r="M3256" s="129"/>
      <c r="N3256" s="129"/>
      <c r="O3256" s="129"/>
      <c r="P3256" s="129"/>
      <c r="Q3256" s="129"/>
      <c r="R3256" s="129"/>
      <c r="S3256" s="129"/>
      <c r="T3256" s="129"/>
      <c r="U3256" s="129"/>
      <c r="V3256" s="129"/>
      <c r="W3256" s="129"/>
      <c r="X3256" s="129"/>
      <c r="Y3256" s="129"/>
      <c r="Z3256" s="129"/>
      <c r="AA3256" s="129"/>
      <c r="AB3256" s="129"/>
    </row>
    <row r="3257" hidden="1">
      <c r="A3257" s="123" t="s">
        <v>1526</v>
      </c>
      <c r="B3257" s="147">
        <v>1090.0</v>
      </c>
      <c r="C3257" s="124">
        <v>1225.0</v>
      </c>
      <c r="D3257" s="125">
        <f t="shared" si="254"/>
        <v>135</v>
      </c>
      <c r="E3257" s="147"/>
      <c r="F3257" s="132"/>
      <c r="G3257" s="123"/>
    </row>
    <row r="3258" hidden="1">
      <c r="A3258" s="128" t="s">
        <v>1535</v>
      </c>
      <c r="B3258" s="147">
        <v>11490.0</v>
      </c>
      <c r="C3258" s="147">
        <v>12644.0</v>
      </c>
      <c r="D3258" s="132">
        <f t="shared" si="254"/>
        <v>1154</v>
      </c>
      <c r="E3258" s="139"/>
      <c r="F3258" s="139"/>
      <c r="G3258" s="129"/>
      <c r="H3258" s="129"/>
      <c r="I3258" s="129"/>
      <c r="J3258" s="129"/>
      <c r="K3258" s="129"/>
      <c r="L3258" s="129"/>
      <c r="M3258" s="129"/>
      <c r="N3258" s="129"/>
      <c r="O3258" s="129"/>
      <c r="P3258" s="129"/>
      <c r="Q3258" s="129"/>
      <c r="R3258" s="129"/>
      <c r="S3258" s="129"/>
      <c r="T3258" s="129"/>
      <c r="U3258" s="129"/>
      <c r="V3258" s="129"/>
      <c r="W3258" s="129"/>
      <c r="X3258" s="129"/>
      <c r="Y3258" s="129"/>
      <c r="Z3258" s="129"/>
      <c r="AA3258" s="129"/>
      <c r="AB3258" s="129"/>
    </row>
    <row r="3259" hidden="1">
      <c r="A3259" s="128" t="s">
        <v>1208</v>
      </c>
      <c r="B3259" s="147">
        <v>1450.0</v>
      </c>
      <c r="C3259" s="147">
        <v>1573.0</v>
      </c>
      <c r="D3259" s="132">
        <f t="shared" si="254"/>
        <v>123</v>
      </c>
      <c r="E3259" s="147"/>
      <c r="F3259" s="132"/>
      <c r="G3259" s="129"/>
      <c r="H3259" s="129"/>
      <c r="I3259" s="129"/>
      <c r="J3259" s="129"/>
      <c r="K3259" s="129"/>
      <c r="L3259" s="129"/>
      <c r="M3259" s="129"/>
      <c r="N3259" s="129"/>
      <c r="O3259" s="129"/>
      <c r="P3259" s="129"/>
      <c r="Q3259" s="129"/>
      <c r="R3259" s="129"/>
      <c r="S3259" s="129"/>
      <c r="T3259" s="129"/>
      <c r="U3259" s="129"/>
      <c r="V3259" s="129"/>
      <c r="W3259" s="129"/>
      <c r="X3259" s="129"/>
      <c r="Y3259" s="129"/>
      <c r="Z3259" s="129"/>
      <c r="AA3259" s="129"/>
      <c r="AB3259" s="129"/>
    </row>
    <row r="3260" hidden="1">
      <c r="A3260" s="128" t="s">
        <v>409</v>
      </c>
      <c r="B3260" s="147">
        <v>790.0</v>
      </c>
      <c r="C3260" s="147">
        <v>961.0</v>
      </c>
      <c r="D3260" s="132">
        <f t="shared" si="254"/>
        <v>171</v>
      </c>
      <c r="E3260" s="139"/>
      <c r="F3260" s="139"/>
      <c r="G3260" s="129"/>
      <c r="H3260" s="129"/>
      <c r="I3260" s="129"/>
      <c r="J3260" s="129"/>
      <c r="K3260" s="129"/>
      <c r="L3260" s="129"/>
      <c r="M3260" s="129"/>
      <c r="N3260" s="129"/>
      <c r="O3260" s="129"/>
      <c r="P3260" s="129"/>
      <c r="Q3260" s="129"/>
      <c r="R3260" s="129"/>
      <c r="S3260" s="129"/>
      <c r="T3260" s="129"/>
      <c r="U3260" s="129"/>
      <c r="V3260" s="129"/>
      <c r="W3260" s="129"/>
      <c r="X3260" s="129"/>
      <c r="Y3260" s="129"/>
      <c r="Z3260" s="129"/>
      <c r="AA3260" s="129"/>
      <c r="AB3260" s="129"/>
    </row>
    <row r="3261" hidden="1">
      <c r="A3261" s="123" t="s">
        <v>1213</v>
      </c>
      <c r="B3261" s="147">
        <v>1450.0</v>
      </c>
      <c r="C3261" s="147">
        <v>1552.0</v>
      </c>
      <c r="D3261" s="132">
        <f t="shared" si="254"/>
        <v>102</v>
      </c>
      <c r="E3261" s="132"/>
      <c r="F3261" s="124"/>
    </row>
    <row r="3262" hidden="1">
      <c r="A3262" s="123" t="s">
        <v>1213</v>
      </c>
      <c r="B3262" s="147">
        <v>1450.0</v>
      </c>
      <c r="C3262" s="147">
        <v>1548.0</v>
      </c>
      <c r="D3262" s="132">
        <f t="shared" si="254"/>
        <v>98</v>
      </c>
      <c r="E3262" s="132"/>
      <c r="F3262" s="124"/>
    </row>
    <row r="3263" hidden="1">
      <c r="A3263" s="128" t="s">
        <v>1140</v>
      </c>
      <c r="B3263" s="147">
        <v>2980.0</v>
      </c>
      <c r="C3263" s="147">
        <v>3258.0</v>
      </c>
      <c r="D3263" s="132">
        <f t="shared" si="254"/>
        <v>278</v>
      </c>
      <c r="E3263" s="132"/>
      <c r="F3263" s="139"/>
      <c r="G3263" s="129"/>
      <c r="H3263" s="129"/>
      <c r="I3263" s="129"/>
      <c r="J3263" s="129"/>
      <c r="K3263" s="129"/>
      <c r="L3263" s="129"/>
      <c r="M3263" s="129"/>
      <c r="N3263" s="129"/>
      <c r="O3263" s="129"/>
      <c r="P3263" s="129"/>
      <c r="Q3263" s="129"/>
      <c r="R3263" s="129"/>
      <c r="S3263" s="129"/>
      <c r="T3263" s="129"/>
      <c r="U3263" s="129"/>
      <c r="V3263" s="129"/>
      <c r="W3263" s="129"/>
      <c r="X3263" s="129"/>
      <c r="Y3263" s="129"/>
      <c r="Z3263" s="129"/>
      <c r="AA3263" s="129"/>
      <c r="AB3263" s="129"/>
    </row>
    <row r="3264" hidden="1">
      <c r="A3264" s="128" t="s">
        <v>1140</v>
      </c>
      <c r="B3264" s="147">
        <v>0.0</v>
      </c>
      <c r="C3264" s="147">
        <v>0.0</v>
      </c>
      <c r="D3264" s="132">
        <f t="shared" si="254"/>
        <v>0</v>
      </c>
      <c r="E3264" s="132"/>
      <c r="F3264" s="139"/>
      <c r="G3264" s="129"/>
      <c r="H3264" s="129"/>
      <c r="I3264" s="129"/>
      <c r="J3264" s="129"/>
      <c r="K3264" s="129"/>
      <c r="L3264" s="129"/>
      <c r="M3264" s="129"/>
      <c r="N3264" s="129"/>
      <c r="O3264" s="129"/>
      <c r="P3264" s="129"/>
      <c r="Q3264" s="129"/>
      <c r="R3264" s="129"/>
      <c r="S3264" s="129"/>
      <c r="T3264" s="129"/>
      <c r="U3264" s="129"/>
      <c r="V3264" s="129"/>
      <c r="W3264" s="129"/>
      <c r="X3264" s="129"/>
      <c r="Y3264" s="129"/>
      <c r="Z3264" s="129"/>
      <c r="AA3264" s="129"/>
      <c r="AB3264" s="129"/>
    </row>
    <row r="3265" hidden="1">
      <c r="A3265" s="128" t="s">
        <v>1536</v>
      </c>
      <c r="B3265" s="147">
        <v>890.0</v>
      </c>
      <c r="C3265" s="147">
        <v>1053.0</v>
      </c>
      <c r="D3265" s="132">
        <f t="shared" si="254"/>
        <v>163</v>
      </c>
      <c r="E3265" s="139"/>
      <c r="F3265" s="139"/>
      <c r="G3265" s="129"/>
      <c r="H3265" s="129"/>
      <c r="I3265" s="129"/>
      <c r="J3265" s="129"/>
      <c r="K3265" s="129"/>
      <c r="L3265" s="129"/>
      <c r="M3265" s="129"/>
      <c r="N3265" s="129"/>
      <c r="O3265" s="129"/>
      <c r="P3265" s="129"/>
      <c r="Q3265" s="129"/>
      <c r="R3265" s="129"/>
      <c r="S3265" s="129"/>
      <c r="T3265" s="129"/>
      <c r="U3265" s="129"/>
      <c r="V3265" s="129"/>
      <c r="W3265" s="129"/>
      <c r="X3265" s="129"/>
      <c r="Y3265" s="129"/>
      <c r="Z3265" s="129"/>
      <c r="AA3265" s="129"/>
      <c r="AB3265" s="129"/>
    </row>
    <row r="3266" hidden="1">
      <c r="A3266" s="128" t="s">
        <v>1537</v>
      </c>
      <c r="B3266" s="147">
        <v>2240.0</v>
      </c>
      <c r="C3266" s="147">
        <v>2398.0</v>
      </c>
      <c r="D3266" s="132">
        <f t="shared" si="254"/>
        <v>158</v>
      </c>
      <c r="E3266" s="132"/>
      <c r="F3266" s="132"/>
      <c r="G3266" s="129"/>
      <c r="H3266" s="129"/>
      <c r="I3266" s="129"/>
      <c r="J3266" s="129"/>
      <c r="K3266" s="129"/>
      <c r="L3266" s="129"/>
      <c r="M3266" s="129"/>
      <c r="N3266" s="129"/>
      <c r="O3266" s="129"/>
      <c r="P3266" s="129"/>
      <c r="Q3266" s="129"/>
      <c r="R3266" s="129"/>
      <c r="S3266" s="129"/>
      <c r="T3266" s="129"/>
      <c r="U3266" s="129"/>
      <c r="V3266" s="129"/>
      <c r="W3266" s="129"/>
      <c r="X3266" s="129"/>
      <c r="Y3266" s="129"/>
      <c r="Z3266" s="129"/>
      <c r="AA3266" s="129"/>
      <c r="AB3266" s="129"/>
    </row>
    <row r="3267" hidden="1">
      <c r="A3267" s="123" t="s">
        <v>1526</v>
      </c>
      <c r="B3267" s="147">
        <v>1090.0</v>
      </c>
      <c r="C3267" s="124">
        <v>1225.0</v>
      </c>
      <c r="D3267" s="125">
        <f t="shared" si="254"/>
        <v>135</v>
      </c>
      <c r="E3267" s="147"/>
      <c r="F3267" s="132"/>
      <c r="G3267" s="123"/>
    </row>
    <row r="3268" hidden="1">
      <c r="A3268" s="123" t="s">
        <v>1538</v>
      </c>
      <c r="B3268" s="124">
        <v>1550.0</v>
      </c>
      <c r="C3268" s="124">
        <v>1740.0</v>
      </c>
      <c r="D3268" s="125">
        <f t="shared" si="254"/>
        <v>190</v>
      </c>
      <c r="G3268" s="123"/>
    </row>
    <row r="3269" hidden="1">
      <c r="A3269" s="128" t="s">
        <v>1539</v>
      </c>
      <c r="B3269" s="147">
        <v>10750.0</v>
      </c>
      <c r="C3269" s="147">
        <v>11390.0</v>
      </c>
      <c r="D3269" s="132">
        <f t="shared" si="254"/>
        <v>640</v>
      </c>
      <c r="E3269" s="139"/>
      <c r="F3269" s="139"/>
      <c r="G3269" s="129"/>
      <c r="H3269" s="129"/>
      <c r="I3269" s="129"/>
      <c r="J3269" s="129"/>
      <c r="K3269" s="129"/>
      <c r="L3269" s="129"/>
      <c r="M3269" s="129"/>
      <c r="N3269" s="129"/>
      <c r="O3269" s="129"/>
      <c r="P3269" s="129"/>
      <c r="Q3269" s="129"/>
      <c r="R3269" s="129"/>
      <c r="S3269" s="129"/>
      <c r="T3269" s="129"/>
      <c r="U3269" s="129"/>
      <c r="V3269" s="129"/>
      <c r="W3269" s="129"/>
      <c r="X3269" s="129"/>
      <c r="Y3269" s="129"/>
      <c r="Z3269" s="129"/>
      <c r="AA3269" s="129"/>
      <c r="AB3269" s="129"/>
    </row>
    <row r="3270" hidden="1">
      <c r="A3270" s="128" t="s">
        <v>398</v>
      </c>
      <c r="B3270" s="147">
        <v>1750.0</v>
      </c>
      <c r="C3270" s="147">
        <v>2121.0</v>
      </c>
      <c r="D3270" s="132">
        <f t="shared" si="254"/>
        <v>371</v>
      </c>
      <c r="E3270" s="139"/>
      <c r="F3270" s="139"/>
      <c r="G3270" s="129"/>
      <c r="H3270" s="129"/>
      <c r="I3270" s="129"/>
      <c r="J3270" s="129"/>
      <c r="K3270" s="129"/>
      <c r="L3270" s="129"/>
      <c r="M3270" s="129"/>
      <c r="N3270" s="129"/>
      <c r="O3270" s="129"/>
      <c r="P3270" s="129"/>
      <c r="Q3270" s="129"/>
      <c r="R3270" s="129"/>
      <c r="S3270" s="129"/>
      <c r="T3270" s="129"/>
      <c r="U3270" s="129"/>
      <c r="V3270" s="129"/>
      <c r="W3270" s="129"/>
      <c r="X3270" s="129"/>
      <c r="Y3270" s="129"/>
      <c r="Z3270" s="129"/>
      <c r="AA3270" s="129"/>
      <c r="AB3270" s="129"/>
    </row>
    <row r="3271" hidden="1">
      <c r="A3271" s="128" t="s">
        <v>1540</v>
      </c>
      <c r="B3271" s="147">
        <v>5750.0</v>
      </c>
      <c r="C3271" s="147">
        <v>6632.0</v>
      </c>
      <c r="D3271" s="132">
        <f t="shared" si="254"/>
        <v>882</v>
      </c>
      <c r="E3271" s="139"/>
      <c r="F3271" s="139"/>
      <c r="G3271" s="129"/>
      <c r="H3271" s="129"/>
      <c r="I3271" s="129"/>
      <c r="J3271" s="129"/>
      <c r="K3271" s="129"/>
      <c r="L3271" s="129"/>
      <c r="M3271" s="129"/>
      <c r="N3271" s="129"/>
      <c r="O3271" s="129"/>
      <c r="P3271" s="129"/>
      <c r="Q3271" s="129"/>
      <c r="R3271" s="129"/>
      <c r="S3271" s="129"/>
      <c r="T3271" s="129"/>
      <c r="U3271" s="129"/>
      <c r="V3271" s="129"/>
      <c r="W3271" s="129"/>
      <c r="X3271" s="129"/>
      <c r="Y3271" s="129"/>
      <c r="Z3271" s="129"/>
      <c r="AA3271" s="129"/>
      <c r="AB3271" s="129"/>
    </row>
    <row r="3272" hidden="1">
      <c r="A3272" s="128" t="s">
        <v>1541</v>
      </c>
      <c r="B3272" s="147">
        <v>650.0</v>
      </c>
      <c r="C3272" s="147">
        <v>840.0</v>
      </c>
      <c r="D3272" s="132">
        <f t="shared" si="254"/>
        <v>190</v>
      </c>
      <c r="E3272" s="139"/>
      <c r="F3272" s="139"/>
      <c r="G3272" s="129"/>
      <c r="H3272" s="129"/>
      <c r="I3272" s="129"/>
      <c r="J3272" s="129"/>
      <c r="K3272" s="129"/>
      <c r="L3272" s="129"/>
      <c r="M3272" s="129"/>
      <c r="N3272" s="129"/>
      <c r="O3272" s="129"/>
      <c r="P3272" s="129"/>
      <c r="Q3272" s="129"/>
      <c r="R3272" s="129"/>
      <c r="S3272" s="129"/>
      <c r="T3272" s="129"/>
      <c r="U3272" s="129"/>
      <c r="V3272" s="129"/>
      <c r="W3272" s="129"/>
      <c r="X3272" s="129"/>
      <c r="Y3272" s="129"/>
      <c r="Z3272" s="129"/>
      <c r="AA3272" s="129"/>
      <c r="AB3272" s="129"/>
    </row>
    <row r="3273" hidden="1">
      <c r="A3273" s="123" t="s">
        <v>1526</v>
      </c>
      <c r="B3273" s="147">
        <v>1090.0</v>
      </c>
      <c r="C3273" s="124">
        <v>1226.0</v>
      </c>
      <c r="D3273" s="125">
        <f t="shared" si="254"/>
        <v>136</v>
      </c>
      <c r="E3273" s="147"/>
      <c r="F3273" s="132"/>
      <c r="G3273" s="123"/>
    </row>
    <row r="3274" hidden="1">
      <c r="A3274" s="123" t="s">
        <v>1542</v>
      </c>
      <c r="B3274" s="124">
        <v>550.0</v>
      </c>
      <c r="C3274" s="124">
        <v>796.0</v>
      </c>
      <c r="D3274" s="125">
        <f t="shared" si="254"/>
        <v>246</v>
      </c>
      <c r="E3274" s="124"/>
      <c r="F3274" s="124"/>
    </row>
    <row r="3275" hidden="1">
      <c r="A3275" s="128" t="s">
        <v>130</v>
      </c>
      <c r="B3275" s="147">
        <v>750.0</v>
      </c>
      <c r="C3275" s="147">
        <v>901.0</v>
      </c>
      <c r="D3275" s="132">
        <f t="shared" si="254"/>
        <v>151</v>
      </c>
      <c r="E3275" s="139"/>
      <c r="F3275" s="139"/>
      <c r="G3275" s="129"/>
      <c r="H3275" s="129"/>
      <c r="I3275" s="129"/>
      <c r="J3275" s="129"/>
      <c r="K3275" s="129"/>
      <c r="L3275" s="129"/>
      <c r="M3275" s="129"/>
      <c r="N3275" s="129"/>
      <c r="O3275" s="129"/>
      <c r="P3275" s="129"/>
      <c r="Q3275" s="129"/>
      <c r="R3275" s="129"/>
      <c r="S3275" s="129"/>
      <c r="T3275" s="129"/>
      <c r="U3275" s="129"/>
      <c r="V3275" s="129"/>
      <c r="W3275" s="129"/>
      <c r="X3275" s="129"/>
      <c r="Y3275" s="129"/>
      <c r="Z3275" s="129"/>
      <c r="AA3275" s="129"/>
      <c r="AB3275" s="129"/>
    </row>
    <row r="3276" hidden="1">
      <c r="A3276" s="128" t="s">
        <v>1515</v>
      </c>
      <c r="B3276" s="147">
        <v>1450.0</v>
      </c>
      <c r="C3276" s="147">
        <v>1635.0</v>
      </c>
      <c r="D3276" s="132">
        <f t="shared" si="254"/>
        <v>185</v>
      </c>
      <c r="E3276" s="127"/>
      <c r="F3276" s="139"/>
      <c r="G3276" s="129"/>
      <c r="H3276" s="129"/>
      <c r="I3276" s="129"/>
      <c r="J3276" s="129"/>
      <c r="K3276" s="129"/>
      <c r="L3276" s="129"/>
      <c r="M3276" s="129"/>
      <c r="N3276" s="129"/>
      <c r="O3276" s="129"/>
      <c r="P3276" s="129"/>
      <c r="Q3276" s="129"/>
      <c r="R3276" s="129"/>
      <c r="S3276" s="129"/>
      <c r="T3276" s="129"/>
      <c r="U3276" s="129"/>
      <c r="V3276" s="129"/>
      <c r="W3276" s="129"/>
      <c r="X3276" s="129"/>
      <c r="Y3276" s="129"/>
      <c r="Z3276" s="129"/>
      <c r="AA3276" s="129"/>
      <c r="AB3276" s="129"/>
    </row>
    <row r="3277" hidden="1">
      <c r="A3277" s="128" t="s">
        <v>1477</v>
      </c>
      <c r="B3277" s="147">
        <v>2580.0</v>
      </c>
      <c r="C3277" s="147">
        <v>2932.0</v>
      </c>
      <c r="D3277" s="132">
        <f t="shared" si="254"/>
        <v>352</v>
      </c>
      <c r="E3277" s="147"/>
      <c r="F3277" s="132"/>
      <c r="G3277" s="129"/>
      <c r="H3277" s="129"/>
      <c r="I3277" s="129"/>
      <c r="J3277" s="129"/>
      <c r="K3277" s="129"/>
      <c r="L3277" s="129"/>
      <c r="M3277" s="129"/>
      <c r="N3277" s="129"/>
      <c r="O3277" s="129"/>
      <c r="P3277" s="129"/>
      <c r="Q3277" s="129"/>
      <c r="R3277" s="129"/>
      <c r="S3277" s="129"/>
      <c r="T3277" s="129"/>
      <c r="U3277" s="129"/>
      <c r="V3277" s="129"/>
      <c r="W3277" s="129"/>
      <c r="X3277" s="129"/>
      <c r="Y3277" s="129"/>
      <c r="Z3277" s="129"/>
      <c r="AA3277" s="129"/>
      <c r="AB3277" s="129"/>
    </row>
    <row r="3278" hidden="1">
      <c r="A3278" s="159" t="s">
        <v>444</v>
      </c>
      <c r="B3278" s="124">
        <v>0.0</v>
      </c>
      <c r="C3278" s="147">
        <v>0.0</v>
      </c>
      <c r="D3278" s="132">
        <f t="shared" si="254"/>
        <v>0</v>
      </c>
      <c r="E3278" s="124"/>
      <c r="F3278" s="124"/>
      <c r="G3278" s="129"/>
      <c r="H3278" s="129"/>
      <c r="I3278" s="129"/>
      <c r="J3278" s="129"/>
      <c r="K3278" s="129"/>
      <c r="L3278" s="129"/>
      <c r="M3278" s="129"/>
      <c r="N3278" s="129"/>
      <c r="O3278" s="129"/>
      <c r="P3278" s="129"/>
      <c r="Q3278" s="129"/>
      <c r="R3278" s="129"/>
      <c r="S3278" s="129"/>
      <c r="T3278" s="129"/>
      <c r="U3278" s="129"/>
      <c r="V3278" s="129"/>
      <c r="W3278" s="129"/>
      <c r="X3278" s="129"/>
      <c r="Y3278" s="129"/>
      <c r="Z3278" s="129"/>
      <c r="AA3278" s="129"/>
      <c r="AB3278" s="129"/>
    </row>
    <row r="3279" hidden="1">
      <c r="A3279" s="150" t="s">
        <v>1543</v>
      </c>
      <c r="B3279" s="147">
        <v>1740.0</v>
      </c>
      <c r="C3279" s="147">
        <v>1888.0</v>
      </c>
      <c r="D3279" s="132">
        <f t="shared" si="254"/>
        <v>148</v>
      </c>
      <c r="E3279" s="139"/>
      <c r="F3279" s="139"/>
      <c r="G3279" s="129"/>
      <c r="H3279" s="129"/>
      <c r="I3279" s="129"/>
      <c r="J3279" s="129"/>
      <c r="K3279" s="129"/>
      <c r="L3279" s="129"/>
      <c r="M3279" s="129"/>
      <c r="N3279" s="129"/>
      <c r="O3279" s="129"/>
      <c r="P3279" s="129"/>
      <c r="Q3279" s="129"/>
      <c r="R3279" s="129"/>
      <c r="S3279" s="129"/>
      <c r="T3279" s="129"/>
      <c r="U3279" s="129"/>
      <c r="V3279" s="129"/>
      <c r="W3279" s="129"/>
      <c r="X3279" s="129"/>
      <c r="Y3279" s="129"/>
      <c r="Z3279" s="129"/>
      <c r="AA3279" s="129"/>
      <c r="AB3279" s="129"/>
    </row>
    <row r="3280" hidden="1">
      <c r="A3280" s="128" t="s">
        <v>1215</v>
      </c>
      <c r="B3280" s="147">
        <v>2380.0</v>
      </c>
      <c r="C3280" s="147">
        <v>2781.0</v>
      </c>
      <c r="D3280" s="132">
        <f t="shared" si="254"/>
        <v>401</v>
      </c>
      <c r="E3280" s="132"/>
      <c r="F3280" s="139"/>
      <c r="G3280" s="129"/>
      <c r="H3280" s="129"/>
      <c r="I3280" s="129"/>
      <c r="J3280" s="129"/>
      <c r="K3280" s="129"/>
      <c r="L3280" s="129"/>
      <c r="M3280" s="129"/>
      <c r="N3280" s="129"/>
      <c r="O3280" s="129"/>
      <c r="P3280" s="129"/>
      <c r="Q3280" s="129"/>
      <c r="R3280" s="129"/>
      <c r="S3280" s="129"/>
      <c r="T3280" s="129"/>
      <c r="U3280" s="129"/>
      <c r="V3280" s="129"/>
      <c r="W3280" s="129"/>
      <c r="X3280" s="129"/>
      <c r="Y3280" s="129"/>
      <c r="Z3280" s="129"/>
      <c r="AA3280" s="129"/>
      <c r="AB3280" s="129"/>
    </row>
    <row r="3281" hidden="1">
      <c r="A3281" s="128" t="s">
        <v>1274</v>
      </c>
      <c r="B3281" s="147">
        <v>0.0</v>
      </c>
      <c r="C3281" s="147">
        <v>0.0</v>
      </c>
      <c r="D3281" s="132">
        <f t="shared" si="254"/>
        <v>0</v>
      </c>
      <c r="E3281" s="147"/>
      <c r="F3281" s="132"/>
      <c r="G3281" s="129"/>
      <c r="H3281" s="129"/>
      <c r="I3281" s="129"/>
      <c r="J3281" s="129"/>
      <c r="K3281" s="129"/>
      <c r="L3281" s="129"/>
      <c r="M3281" s="129"/>
      <c r="N3281" s="129"/>
      <c r="O3281" s="129"/>
      <c r="P3281" s="129"/>
      <c r="Q3281" s="129"/>
      <c r="R3281" s="129"/>
      <c r="S3281" s="129"/>
      <c r="T3281" s="129"/>
      <c r="U3281" s="129"/>
      <c r="V3281" s="129"/>
      <c r="W3281" s="129"/>
      <c r="X3281" s="129"/>
      <c r="Y3281" s="129"/>
      <c r="Z3281" s="129"/>
      <c r="AA3281" s="129"/>
      <c r="AB3281" s="129"/>
    </row>
    <row r="3282" hidden="1">
      <c r="A3282" s="123" t="s">
        <v>1213</v>
      </c>
      <c r="B3282" s="147">
        <v>1450.0</v>
      </c>
      <c r="C3282" s="147">
        <v>1581.0</v>
      </c>
      <c r="D3282" s="132">
        <f t="shared" si="254"/>
        <v>131</v>
      </c>
      <c r="E3282" s="132"/>
      <c r="F3282" s="124"/>
    </row>
    <row r="3283" hidden="1">
      <c r="A3283" s="128" t="s">
        <v>1497</v>
      </c>
      <c r="B3283" s="147">
        <v>1990.0</v>
      </c>
      <c r="C3283" s="147">
        <v>2619.0</v>
      </c>
      <c r="D3283" s="132">
        <f t="shared" si="254"/>
        <v>629</v>
      </c>
      <c r="E3283" s="139"/>
      <c r="F3283" s="139"/>
      <c r="G3283" s="129"/>
      <c r="H3283" s="129"/>
      <c r="I3283" s="129"/>
      <c r="J3283" s="129"/>
      <c r="K3283" s="129"/>
      <c r="L3283" s="129"/>
      <c r="M3283" s="129"/>
      <c r="N3283" s="129"/>
      <c r="O3283" s="129"/>
      <c r="P3283" s="129"/>
      <c r="Q3283" s="129"/>
      <c r="R3283" s="129"/>
      <c r="S3283" s="129"/>
      <c r="T3283" s="129"/>
      <c r="U3283" s="129"/>
      <c r="V3283" s="129"/>
      <c r="W3283" s="129"/>
      <c r="X3283" s="129"/>
      <c r="Y3283" s="129"/>
      <c r="Z3283" s="129"/>
      <c r="AA3283" s="129"/>
      <c r="AB3283" s="129"/>
    </row>
    <row r="3284" hidden="1">
      <c r="A3284" s="142" t="s">
        <v>1320</v>
      </c>
      <c r="B3284" s="147">
        <v>1390.0</v>
      </c>
      <c r="C3284" s="147">
        <v>1573.0</v>
      </c>
      <c r="D3284" s="132">
        <f t="shared" si="254"/>
        <v>183</v>
      </c>
      <c r="E3284" s="147"/>
      <c r="F3284" s="139"/>
      <c r="G3284" s="129"/>
      <c r="H3284" s="129"/>
      <c r="I3284" s="129"/>
      <c r="J3284" s="129"/>
      <c r="K3284" s="129"/>
      <c r="L3284" s="129"/>
      <c r="M3284" s="129"/>
      <c r="N3284" s="129"/>
      <c r="O3284" s="129"/>
      <c r="P3284" s="129"/>
      <c r="Q3284" s="129"/>
      <c r="R3284" s="129"/>
      <c r="S3284" s="129"/>
      <c r="T3284" s="129"/>
      <c r="U3284" s="129"/>
      <c r="V3284" s="129"/>
      <c r="W3284" s="129"/>
      <c r="X3284" s="129"/>
      <c r="Y3284" s="129"/>
      <c r="Z3284" s="129"/>
      <c r="AA3284" s="129"/>
      <c r="AB3284" s="129"/>
    </row>
    <row r="3285" hidden="1">
      <c r="A3285" s="128" t="s">
        <v>1515</v>
      </c>
      <c r="B3285" s="147">
        <v>1450.0</v>
      </c>
      <c r="C3285" s="147">
        <v>1629.0</v>
      </c>
      <c r="D3285" s="132">
        <f t="shared" si="254"/>
        <v>179</v>
      </c>
      <c r="E3285" s="127"/>
      <c r="F3285" s="139"/>
      <c r="G3285" s="129"/>
      <c r="H3285" s="129"/>
      <c r="I3285" s="129"/>
      <c r="J3285" s="129"/>
      <c r="K3285" s="129"/>
      <c r="L3285" s="129"/>
      <c r="M3285" s="129"/>
      <c r="N3285" s="129"/>
      <c r="O3285" s="129"/>
      <c r="P3285" s="129"/>
      <c r="Q3285" s="129"/>
      <c r="R3285" s="129"/>
      <c r="S3285" s="129"/>
      <c r="T3285" s="129"/>
      <c r="U3285" s="129"/>
      <c r="V3285" s="129"/>
      <c r="W3285" s="129"/>
      <c r="X3285" s="129"/>
      <c r="Y3285" s="129"/>
      <c r="Z3285" s="129"/>
      <c r="AA3285" s="129"/>
      <c r="AB3285" s="129"/>
    </row>
    <row r="3286" hidden="1">
      <c r="A3286" s="142" t="s">
        <v>1449</v>
      </c>
      <c r="B3286" s="147">
        <v>950.0</v>
      </c>
      <c r="C3286" s="147">
        <v>1107.0</v>
      </c>
      <c r="D3286" s="132">
        <f t="shared" si="254"/>
        <v>157</v>
      </c>
      <c r="E3286" s="127"/>
      <c r="F3286" s="139"/>
      <c r="G3286" s="129"/>
      <c r="H3286" s="129"/>
      <c r="I3286" s="129"/>
      <c r="J3286" s="129"/>
      <c r="K3286" s="129"/>
      <c r="L3286" s="129"/>
      <c r="M3286" s="129"/>
      <c r="N3286" s="129"/>
      <c r="O3286" s="129"/>
      <c r="P3286" s="129"/>
      <c r="Q3286" s="129"/>
      <c r="R3286" s="129"/>
      <c r="S3286" s="129"/>
      <c r="T3286" s="129"/>
      <c r="U3286" s="129"/>
      <c r="V3286" s="129"/>
      <c r="W3286" s="129"/>
      <c r="X3286" s="129"/>
      <c r="Y3286" s="129"/>
      <c r="Z3286" s="129"/>
      <c r="AA3286" s="129"/>
      <c r="AB3286" s="129"/>
    </row>
    <row r="3287" hidden="1">
      <c r="A3287" s="128" t="s">
        <v>1509</v>
      </c>
      <c r="B3287" s="147">
        <v>3000.0</v>
      </c>
      <c r="C3287" s="147">
        <v>4626.0</v>
      </c>
      <c r="D3287" s="132">
        <f t="shared" si="254"/>
        <v>1626</v>
      </c>
      <c r="E3287" s="139"/>
      <c r="F3287" s="139"/>
      <c r="G3287" s="129"/>
      <c r="H3287" s="129"/>
      <c r="I3287" s="129"/>
      <c r="J3287" s="129"/>
      <c r="K3287" s="129"/>
      <c r="L3287" s="129"/>
      <c r="M3287" s="129"/>
      <c r="N3287" s="129"/>
      <c r="O3287" s="129"/>
      <c r="P3287" s="129"/>
      <c r="Q3287" s="129"/>
      <c r="R3287" s="129"/>
      <c r="S3287" s="129"/>
      <c r="T3287" s="129"/>
      <c r="U3287" s="129"/>
      <c r="V3287" s="129"/>
      <c r="W3287" s="129"/>
      <c r="X3287" s="129"/>
      <c r="Y3287" s="129"/>
      <c r="Z3287" s="129"/>
      <c r="AA3287" s="129"/>
      <c r="AB3287" s="129"/>
    </row>
    <row r="3288" hidden="1">
      <c r="A3288" s="128" t="s">
        <v>1530</v>
      </c>
      <c r="B3288" s="147">
        <v>10750.0</v>
      </c>
      <c r="C3288" s="147">
        <v>11455.0</v>
      </c>
      <c r="D3288" s="132">
        <f t="shared" si="254"/>
        <v>705</v>
      </c>
      <c r="E3288" s="139"/>
      <c r="F3288" s="139"/>
      <c r="G3288" s="129"/>
      <c r="H3288" s="129"/>
      <c r="I3288" s="129"/>
      <c r="J3288" s="129"/>
      <c r="K3288" s="129"/>
      <c r="L3288" s="129"/>
      <c r="M3288" s="129"/>
      <c r="N3288" s="129"/>
      <c r="O3288" s="129"/>
      <c r="P3288" s="129"/>
      <c r="Q3288" s="129"/>
      <c r="R3288" s="129"/>
      <c r="S3288" s="129"/>
      <c r="T3288" s="129"/>
      <c r="U3288" s="129"/>
      <c r="V3288" s="129"/>
      <c r="W3288" s="129"/>
      <c r="X3288" s="129"/>
      <c r="Y3288" s="129"/>
      <c r="Z3288" s="129"/>
      <c r="AA3288" s="129"/>
      <c r="AB3288" s="129"/>
    </row>
    <row r="3289" hidden="1">
      <c r="A3289" s="123" t="s">
        <v>1544</v>
      </c>
      <c r="B3289" s="124">
        <v>890.0</v>
      </c>
      <c r="C3289" s="124">
        <v>1084.0</v>
      </c>
      <c r="D3289" s="125">
        <f t="shared" si="254"/>
        <v>194</v>
      </c>
      <c r="E3289" s="132"/>
      <c r="F3289" s="124"/>
    </row>
    <row r="3290" hidden="1">
      <c r="A3290" s="128" t="s">
        <v>1274</v>
      </c>
      <c r="B3290" s="147">
        <v>990.0</v>
      </c>
      <c r="C3290" s="147">
        <v>1175.0</v>
      </c>
      <c r="D3290" s="132">
        <f t="shared" si="254"/>
        <v>185</v>
      </c>
      <c r="E3290" s="147"/>
      <c r="F3290" s="132"/>
      <c r="G3290" s="129"/>
      <c r="H3290" s="129"/>
      <c r="I3290" s="129"/>
      <c r="J3290" s="129"/>
      <c r="K3290" s="129"/>
      <c r="L3290" s="129"/>
      <c r="M3290" s="129"/>
      <c r="N3290" s="129"/>
      <c r="O3290" s="129"/>
      <c r="P3290" s="129"/>
      <c r="Q3290" s="129"/>
      <c r="R3290" s="129"/>
      <c r="S3290" s="129"/>
      <c r="T3290" s="129"/>
      <c r="U3290" s="129"/>
      <c r="V3290" s="129"/>
      <c r="W3290" s="129"/>
      <c r="X3290" s="129"/>
      <c r="Y3290" s="129"/>
      <c r="Z3290" s="129"/>
      <c r="AA3290" s="129"/>
      <c r="AB3290" s="129"/>
    </row>
    <row r="3291" hidden="1">
      <c r="A3291" s="128" t="s">
        <v>1274</v>
      </c>
      <c r="B3291" s="147">
        <v>990.0</v>
      </c>
      <c r="C3291" s="147">
        <v>1178.0</v>
      </c>
      <c r="D3291" s="132">
        <f t="shared" si="254"/>
        <v>188</v>
      </c>
      <c r="E3291" s="147"/>
      <c r="F3291" s="132"/>
      <c r="G3291" s="129"/>
      <c r="H3291" s="129"/>
      <c r="I3291" s="129"/>
      <c r="J3291" s="129"/>
      <c r="K3291" s="129"/>
      <c r="L3291" s="129"/>
      <c r="M3291" s="129"/>
      <c r="N3291" s="129"/>
      <c r="O3291" s="129"/>
      <c r="P3291" s="129"/>
      <c r="Q3291" s="129"/>
      <c r="R3291" s="129"/>
      <c r="S3291" s="129"/>
      <c r="T3291" s="129"/>
      <c r="U3291" s="129"/>
      <c r="V3291" s="129"/>
      <c r="W3291" s="129"/>
      <c r="X3291" s="129"/>
      <c r="Y3291" s="129"/>
      <c r="Z3291" s="129"/>
      <c r="AA3291" s="129"/>
      <c r="AB3291" s="129"/>
    </row>
    <row r="3292" hidden="1">
      <c r="A3292" s="128" t="s">
        <v>1274</v>
      </c>
      <c r="B3292" s="147">
        <v>990.0</v>
      </c>
      <c r="C3292" s="147">
        <v>1154.0</v>
      </c>
      <c r="D3292" s="132">
        <f t="shared" si="254"/>
        <v>164</v>
      </c>
      <c r="E3292" s="147"/>
      <c r="F3292" s="132"/>
      <c r="G3292" s="129"/>
      <c r="H3292" s="129"/>
      <c r="I3292" s="129"/>
      <c r="J3292" s="129"/>
      <c r="K3292" s="129"/>
      <c r="L3292" s="129"/>
      <c r="M3292" s="129"/>
      <c r="N3292" s="129"/>
      <c r="O3292" s="129"/>
      <c r="P3292" s="129"/>
      <c r="Q3292" s="129"/>
      <c r="R3292" s="129"/>
      <c r="S3292" s="129"/>
      <c r="T3292" s="129"/>
      <c r="U3292" s="129"/>
      <c r="V3292" s="129"/>
      <c r="W3292" s="129"/>
      <c r="X3292" s="129"/>
      <c r="Y3292" s="129"/>
      <c r="Z3292" s="129"/>
      <c r="AA3292" s="129"/>
      <c r="AB3292" s="129"/>
    </row>
    <row r="3293" hidden="1">
      <c r="A3293" s="128" t="s">
        <v>1215</v>
      </c>
      <c r="B3293" s="147">
        <v>1390.0</v>
      </c>
      <c r="C3293" s="147">
        <v>1567.0</v>
      </c>
      <c r="D3293" s="132">
        <f t="shared" si="254"/>
        <v>177</v>
      </c>
      <c r="E3293" s="132"/>
      <c r="F3293" s="139"/>
      <c r="G3293" s="129"/>
      <c r="H3293" s="129"/>
      <c r="I3293" s="129"/>
      <c r="J3293" s="129"/>
      <c r="K3293" s="129"/>
      <c r="L3293" s="129"/>
      <c r="M3293" s="129"/>
      <c r="N3293" s="129"/>
      <c r="O3293" s="129"/>
      <c r="P3293" s="129"/>
      <c r="Q3293" s="129"/>
      <c r="R3293" s="129"/>
      <c r="S3293" s="129"/>
      <c r="T3293" s="129"/>
      <c r="U3293" s="129"/>
      <c r="V3293" s="129"/>
      <c r="W3293" s="129"/>
      <c r="X3293" s="129"/>
      <c r="Y3293" s="129"/>
      <c r="Z3293" s="129"/>
      <c r="AA3293" s="129"/>
      <c r="AB3293" s="129"/>
    </row>
    <row r="3294" hidden="1">
      <c r="A3294" s="128" t="s">
        <v>1540</v>
      </c>
      <c r="B3294" s="147">
        <v>5750.0</v>
      </c>
      <c r="C3294" s="147">
        <v>6632.0</v>
      </c>
      <c r="D3294" s="132">
        <f t="shared" si="254"/>
        <v>882</v>
      </c>
      <c r="E3294" s="139"/>
      <c r="F3294" s="139"/>
      <c r="G3294" s="129"/>
      <c r="H3294" s="129"/>
      <c r="I3294" s="129"/>
      <c r="J3294" s="129"/>
      <c r="K3294" s="129"/>
      <c r="L3294" s="129"/>
      <c r="M3294" s="129"/>
      <c r="N3294" s="129"/>
      <c r="O3294" s="129"/>
      <c r="P3294" s="129"/>
      <c r="Q3294" s="129"/>
      <c r="R3294" s="129"/>
      <c r="S3294" s="129"/>
      <c r="T3294" s="129"/>
      <c r="U3294" s="129"/>
      <c r="V3294" s="129"/>
      <c r="W3294" s="129"/>
      <c r="X3294" s="129"/>
      <c r="Y3294" s="129"/>
      <c r="Z3294" s="129"/>
      <c r="AA3294" s="129"/>
      <c r="AB3294" s="129"/>
    </row>
    <row r="3295" hidden="1">
      <c r="A3295" s="128" t="s">
        <v>1274</v>
      </c>
      <c r="B3295" s="147">
        <v>990.0</v>
      </c>
      <c r="C3295" s="147">
        <v>1150.0</v>
      </c>
      <c r="D3295" s="132">
        <f t="shared" si="254"/>
        <v>160</v>
      </c>
      <c r="E3295" s="147"/>
      <c r="F3295" s="132"/>
      <c r="G3295" s="129"/>
      <c r="H3295" s="129"/>
      <c r="I3295" s="129"/>
      <c r="J3295" s="129"/>
      <c r="K3295" s="129"/>
      <c r="L3295" s="129"/>
      <c r="M3295" s="129"/>
      <c r="N3295" s="129"/>
      <c r="O3295" s="129"/>
      <c r="P3295" s="129"/>
      <c r="Q3295" s="129"/>
      <c r="R3295" s="129"/>
      <c r="S3295" s="129"/>
      <c r="T3295" s="129"/>
      <c r="U3295" s="129"/>
      <c r="V3295" s="129"/>
      <c r="W3295" s="129"/>
      <c r="X3295" s="129"/>
      <c r="Y3295" s="129"/>
      <c r="Z3295" s="129"/>
      <c r="AA3295" s="129"/>
      <c r="AB3295" s="129"/>
    </row>
    <row r="3296" hidden="1">
      <c r="A3296" s="123" t="s">
        <v>1545</v>
      </c>
      <c r="B3296" s="147">
        <v>890.0</v>
      </c>
      <c r="C3296" s="124">
        <v>1040.0</v>
      </c>
      <c r="D3296" s="132">
        <f t="shared" si="254"/>
        <v>150</v>
      </c>
      <c r="E3296" s="147"/>
      <c r="F3296" s="124"/>
    </row>
    <row r="3297" hidden="1">
      <c r="A3297" s="123" t="s">
        <v>1213</v>
      </c>
      <c r="B3297" s="147">
        <v>1450.0</v>
      </c>
      <c r="C3297" s="147">
        <v>1562.0</v>
      </c>
      <c r="D3297" s="132">
        <f t="shared" si="254"/>
        <v>112</v>
      </c>
      <c r="E3297" s="132"/>
      <c r="F3297" s="124"/>
    </row>
    <row r="3298" hidden="1">
      <c r="A3298" s="128" t="s">
        <v>1540</v>
      </c>
      <c r="B3298" s="147">
        <v>5750.0</v>
      </c>
      <c r="C3298" s="147">
        <v>6650.0</v>
      </c>
      <c r="D3298" s="132">
        <f t="shared" si="254"/>
        <v>900</v>
      </c>
      <c r="E3298" s="139"/>
      <c r="F3298" s="139"/>
      <c r="G3298" s="129"/>
      <c r="H3298" s="129"/>
      <c r="I3298" s="129"/>
      <c r="J3298" s="129"/>
      <c r="K3298" s="129"/>
      <c r="L3298" s="129"/>
      <c r="M3298" s="129"/>
      <c r="N3298" s="129"/>
      <c r="O3298" s="129"/>
      <c r="P3298" s="129"/>
      <c r="Q3298" s="129"/>
      <c r="R3298" s="129"/>
      <c r="S3298" s="129"/>
      <c r="T3298" s="129"/>
      <c r="U3298" s="129"/>
      <c r="V3298" s="129"/>
      <c r="W3298" s="129"/>
      <c r="X3298" s="129"/>
      <c r="Y3298" s="129"/>
      <c r="Z3298" s="129"/>
      <c r="AA3298" s="129"/>
      <c r="AB3298" s="129"/>
    </row>
    <row r="3299" hidden="1">
      <c r="A3299" s="123" t="s">
        <v>1213</v>
      </c>
      <c r="B3299" s="147">
        <v>1450.0</v>
      </c>
      <c r="C3299" s="147">
        <v>1566.0</v>
      </c>
      <c r="D3299" s="132">
        <f t="shared" si="254"/>
        <v>116</v>
      </c>
      <c r="E3299" s="132"/>
      <c r="F3299" s="124"/>
    </row>
    <row r="3300" hidden="1">
      <c r="A3300" s="128" t="s">
        <v>1140</v>
      </c>
      <c r="B3300" s="147">
        <v>1490.0</v>
      </c>
      <c r="C3300" s="147">
        <v>1612.0</v>
      </c>
      <c r="D3300" s="132">
        <f t="shared" si="254"/>
        <v>122</v>
      </c>
      <c r="E3300" s="132"/>
      <c r="F3300" s="139"/>
      <c r="G3300" s="129"/>
      <c r="H3300" s="129"/>
      <c r="I3300" s="129"/>
      <c r="J3300" s="129"/>
      <c r="K3300" s="129"/>
      <c r="L3300" s="129"/>
      <c r="M3300" s="129"/>
      <c r="N3300" s="129"/>
      <c r="O3300" s="129"/>
      <c r="P3300" s="129"/>
      <c r="Q3300" s="129"/>
      <c r="R3300" s="129"/>
      <c r="S3300" s="129"/>
      <c r="T3300" s="129"/>
      <c r="U3300" s="129"/>
      <c r="V3300" s="129"/>
      <c r="W3300" s="129"/>
      <c r="X3300" s="129"/>
      <c r="Y3300" s="129"/>
      <c r="Z3300" s="129"/>
      <c r="AA3300" s="129"/>
      <c r="AB3300" s="129"/>
    </row>
    <row r="3301" hidden="1">
      <c r="A3301" s="123" t="s">
        <v>1544</v>
      </c>
      <c r="B3301" s="124">
        <v>890.0</v>
      </c>
      <c r="C3301" s="124">
        <v>1061.0</v>
      </c>
      <c r="D3301" s="125">
        <f t="shared" si="254"/>
        <v>171</v>
      </c>
      <c r="E3301" s="132"/>
      <c r="F3301" s="124"/>
    </row>
    <row r="3302" hidden="1">
      <c r="A3302" s="128" t="s">
        <v>1546</v>
      </c>
      <c r="B3302" s="147">
        <v>1190.0</v>
      </c>
      <c r="C3302" s="147">
        <v>1314.0</v>
      </c>
      <c r="D3302" s="132">
        <f t="shared" si="254"/>
        <v>124</v>
      </c>
      <c r="E3302" s="132"/>
      <c r="F3302" s="132"/>
      <c r="G3302" s="129"/>
      <c r="H3302" s="129"/>
      <c r="I3302" s="129"/>
      <c r="J3302" s="129"/>
      <c r="K3302" s="129"/>
      <c r="L3302" s="129"/>
      <c r="M3302" s="129"/>
      <c r="N3302" s="129"/>
      <c r="O3302" s="129"/>
      <c r="P3302" s="129"/>
      <c r="Q3302" s="129"/>
      <c r="R3302" s="129"/>
      <c r="S3302" s="129"/>
      <c r="T3302" s="129"/>
      <c r="U3302" s="129"/>
      <c r="V3302" s="129"/>
      <c r="W3302" s="129"/>
      <c r="X3302" s="129"/>
      <c r="Y3302" s="129"/>
      <c r="Z3302" s="129"/>
      <c r="AA3302" s="129"/>
      <c r="AB3302" s="129"/>
    </row>
    <row r="3303" hidden="1">
      <c r="A3303" s="159" t="s">
        <v>1547</v>
      </c>
      <c r="B3303" s="147">
        <v>3990.0</v>
      </c>
      <c r="C3303" s="147">
        <v>4268.0</v>
      </c>
      <c r="D3303" s="132">
        <f t="shared" si="254"/>
        <v>278</v>
      </c>
      <c r="E3303" s="139"/>
      <c r="F3303" s="139"/>
      <c r="G3303" s="129"/>
      <c r="H3303" s="129"/>
      <c r="I3303" s="129"/>
      <c r="J3303" s="129"/>
      <c r="K3303" s="129"/>
      <c r="L3303" s="129"/>
      <c r="M3303" s="129"/>
      <c r="N3303" s="129"/>
      <c r="O3303" s="129"/>
      <c r="P3303" s="129"/>
      <c r="Q3303" s="129"/>
      <c r="R3303" s="129"/>
      <c r="S3303" s="129"/>
      <c r="T3303" s="129"/>
      <c r="U3303" s="129"/>
      <c r="V3303" s="129"/>
      <c r="W3303" s="129"/>
      <c r="X3303" s="129"/>
      <c r="Y3303" s="129"/>
      <c r="Z3303" s="129"/>
      <c r="AA3303" s="129"/>
      <c r="AB3303" s="129"/>
    </row>
    <row r="3304" hidden="1">
      <c r="A3304" s="128" t="s">
        <v>1548</v>
      </c>
      <c r="B3304" s="124">
        <v>790.0</v>
      </c>
      <c r="C3304" s="124">
        <v>1016.0</v>
      </c>
      <c r="D3304" s="132">
        <f t="shared" si="254"/>
        <v>226</v>
      </c>
      <c r="E3304" s="139"/>
      <c r="F3304" s="139"/>
      <c r="G3304" s="129"/>
      <c r="H3304" s="129"/>
      <c r="I3304" s="129"/>
      <c r="J3304" s="129"/>
      <c r="K3304" s="129"/>
      <c r="L3304" s="129"/>
      <c r="M3304" s="129"/>
      <c r="N3304" s="129"/>
      <c r="O3304" s="129"/>
      <c r="P3304" s="129"/>
      <c r="Q3304" s="129"/>
      <c r="R3304" s="129"/>
      <c r="S3304" s="129"/>
      <c r="T3304" s="129"/>
      <c r="U3304" s="129"/>
      <c r="V3304" s="129"/>
      <c r="W3304" s="129"/>
      <c r="X3304" s="129"/>
      <c r="Y3304" s="129"/>
      <c r="Z3304" s="129"/>
      <c r="AA3304" s="129"/>
      <c r="AB3304" s="129"/>
    </row>
    <row r="3305" hidden="1">
      <c r="A3305" s="128" t="s">
        <v>1308</v>
      </c>
      <c r="B3305" s="147">
        <v>1390.0</v>
      </c>
      <c r="C3305" s="147">
        <v>1565.0</v>
      </c>
      <c r="D3305" s="132">
        <f t="shared" si="254"/>
        <v>175</v>
      </c>
      <c r="E3305" s="132"/>
      <c r="F3305" s="132"/>
      <c r="G3305" s="129"/>
      <c r="H3305" s="129"/>
      <c r="I3305" s="129"/>
      <c r="J3305" s="129"/>
      <c r="K3305" s="129"/>
      <c r="L3305" s="129"/>
      <c r="M3305" s="129"/>
      <c r="N3305" s="129"/>
      <c r="O3305" s="129"/>
      <c r="P3305" s="129"/>
      <c r="Q3305" s="129"/>
      <c r="R3305" s="129"/>
      <c r="S3305" s="129"/>
      <c r="T3305" s="129"/>
      <c r="U3305" s="129"/>
      <c r="V3305" s="129"/>
      <c r="W3305" s="129"/>
      <c r="X3305" s="129"/>
      <c r="Y3305" s="129"/>
      <c r="Z3305" s="129"/>
      <c r="AA3305" s="129"/>
      <c r="AB3305" s="129"/>
    </row>
    <row r="3306" hidden="1">
      <c r="A3306" s="128" t="s">
        <v>1140</v>
      </c>
      <c r="B3306" s="147">
        <v>2280.0</v>
      </c>
      <c r="C3306" s="147">
        <v>2606.0</v>
      </c>
      <c r="D3306" s="132">
        <f t="shared" si="254"/>
        <v>326</v>
      </c>
      <c r="E3306" s="132"/>
      <c r="F3306" s="139"/>
      <c r="G3306" s="129"/>
      <c r="H3306" s="129"/>
      <c r="I3306" s="129"/>
      <c r="J3306" s="129"/>
      <c r="K3306" s="129"/>
      <c r="L3306" s="129"/>
      <c r="M3306" s="129"/>
      <c r="N3306" s="129"/>
      <c r="O3306" s="129"/>
      <c r="P3306" s="129"/>
      <c r="Q3306" s="129"/>
      <c r="R3306" s="129"/>
      <c r="S3306" s="129"/>
      <c r="T3306" s="129"/>
      <c r="U3306" s="129"/>
      <c r="V3306" s="129"/>
      <c r="W3306" s="129"/>
      <c r="X3306" s="129"/>
      <c r="Y3306" s="129"/>
      <c r="Z3306" s="129"/>
      <c r="AA3306" s="129"/>
      <c r="AB3306" s="129"/>
    </row>
    <row r="3307" hidden="1">
      <c r="A3307" s="128" t="s">
        <v>1549</v>
      </c>
      <c r="B3307" s="124">
        <v>0.0</v>
      </c>
      <c r="C3307" s="124">
        <v>0.0</v>
      </c>
      <c r="D3307" s="132">
        <f t="shared" si="254"/>
        <v>0</v>
      </c>
      <c r="E3307" s="132"/>
      <c r="F3307" s="139"/>
      <c r="G3307" s="129"/>
      <c r="H3307" s="129"/>
      <c r="I3307" s="129"/>
      <c r="J3307" s="129"/>
      <c r="K3307" s="129"/>
      <c r="L3307" s="129"/>
      <c r="M3307" s="129"/>
      <c r="N3307" s="129"/>
      <c r="O3307" s="129"/>
      <c r="P3307" s="129"/>
      <c r="Q3307" s="129"/>
      <c r="R3307" s="129"/>
      <c r="S3307" s="129"/>
      <c r="T3307" s="129"/>
      <c r="U3307" s="129"/>
      <c r="V3307" s="129"/>
      <c r="W3307" s="129"/>
      <c r="X3307" s="129"/>
      <c r="Y3307" s="129"/>
      <c r="Z3307" s="129"/>
      <c r="AA3307" s="129"/>
      <c r="AB3307" s="129"/>
    </row>
    <row r="3308" hidden="1">
      <c r="A3308" s="128" t="s">
        <v>1550</v>
      </c>
      <c r="B3308" s="147">
        <v>10490.0</v>
      </c>
      <c r="C3308" s="147">
        <v>11390.0</v>
      </c>
      <c r="D3308" s="132">
        <f t="shared" si="254"/>
        <v>900</v>
      </c>
      <c r="E3308" s="139"/>
      <c r="F3308" s="139"/>
      <c r="G3308" s="129"/>
      <c r="H3308" s="129"/>
      <c r="I3308" s="129"/>
      <c r="J3308" s="129"/>
      <c r="K3308" s="129"/>
      <c r="L3308" s="129"/>
      <c r="M3308" s="129"/>
      <c r="N3308" s="129"/>
      <c r="O3308" s="129"/>
      <c r="P3308" s="129"/>
      <c r="Q3308" s="129"/>
      <c r="R3308" s="129"/>
      <c r="S3308" s="129"/>
      <c r="T3308" s="129"/>
      <c r="U3308" s="129"/>
      <c r="V3308" s="129"/>
      <c r="W3308" s="129"/>
      <c r="X3308" s="129"/>
      <c r="Y3308" s="129"/>
      <c r="Z3308" s="129"/>
      <c r="AA3308" s="129"/>
      <c r="AB3308" s="129"/>
    </row>
    <row r="3309" hidden="1">
      <c r="A3309" s="128" t="s">
        <v>521</v>
      </c>
      <c r="B3309" s="147">
        <v>5230.0</v>
      </c>
      <c r="C3309" s="147">
        <v>6005.0</v>
      </c>
      <c r="D3309" s="132">
        <f t="shared" si="254"/>
        <v>775</v>
      </c>
      <c r="E3309" s="132"/>
      <c r="F3309" s="132"/>
      <c r="G3309" s="129"/>
      <c r="H3309" s="129"/>
      <c r="I3309" s="129"/>
      <c r="J3309" s="129"/>
      <c r="K3309" s="129"/>
      <c r="L3309" s="129"/>
      <c r="M3309" s="129"/>
      <c r="N3309" s="129"/>
      <c r="O3309" s="129"/>
      <c r="P3309" s="129"/>
      <c r="Q3309" s="129"/>
      <c r="R3309" s="129"/>
      <c r="S3309" s="129"/>
      <c r="T3309" s="129"/>
      <c r="U3309" s="129"/>
      <c r="V3309" s="129"/>
      <c r="W3309" s="129"/>
      <c r="X3309" s="129"/>
      <c r="Y3309" s="129"/>
      <c r="Z3309" s="129"/>
      <c r="AA3309" s="129"/>
      <c r="AB3309" s="129"/>
    </row>
    <row r="3310" hidden="1">
      <c r="A3310" s="128" t="s">
        <v>1537</v>
      </c>
      <c r="B3310" s="147">
        <v>0.0</v>
      </c>
      <c r="C3310" s="147">
        <v>0.0</v>
      </c>
      <c r="D3310" s="132">
        <f t="shared" si="254"/>
        <v>0</v>
      </c>
      <c r="E3310" s="132"/>
      <c r="F3310" s="132"/>
      <c r="G3310" s="129"/>
      <c r="H3310" s="129"/>
      <c r="I3310" s="129"/>
      <c r="J3310" s="129"/>
      <c r="K3310" s="129"/>
      <c r="L3310" s="129"/>
      <c r="M3310" s="129"/>
      <c r="N3310" s="129"/>
      <c r="O3310" s="129"/>
      <c r="P3310" s="129"/>
      <c r="Q3310" s="129"/>
      <c r="R3310" s="129"/>
      <c r="S3310" s="129"/>
      <c r="T3310" s="129"/>
      <c r="U3310" s="129"/>
      <c r="V3310" s="129"/>
      <c r="W3310" s="129"/>
      <c r="X3310" s="129"/>
      <c r="Y3310" s="129"/>
      <c r="Z3310" s="129"/>
      <c r="AA3310" s="129"/>
      <c r="AB3310" s="129"/>
    </row>
    <row r="3311" hidden="1">
      <c r="A3311" s="123" t="s">
        <v>1551</v>
      </c>
      <c r="B3311" s="124">
        <v>1550.0</v>
      </c>
      <c r="C3311" s="124">
        <v>1725.0</v>
      </c>
      <c r="D3311" s="125">
        <f t="shared" si="254"/>
        <v>175</v>
      </c>
      <c r="E3311" s="132"/>
      <c r="F3311" s="124"/>
    </row>
    <row r="3312" hidden="1">
      <c r="A3312" s="128" t="s">
        <v>1215</v>
      </c>
      <c r="B3312" s="147">
        <v>1390.0</v>
      </c>
      <c r="C3312" s="147">
        <v>1561.0</v>
      </c>
      <c r="D3312" s="132">
        <f t="shared" si="254"/>
        <v>171</v>
      </c>
      <c r="E3312" s="132"/>
      <c r="F3312" s="139"/>
      <c r="G3312" s="129"/>
      <c r="H3312" s="129"/>
      <c r="I3312" s="129"/>
      <c r="J3312" s="129"/>
      <c r="K3312" s="129"/>
      <c r="L3312" s="129"/>
      <c r="M3312" s="129"/>
      <c r="N3312" s="129"/>
      <c r="O3312" s="129"/>
      <c r="P3312" s="129"/>
      <c r="Q3312" s="129"/>
      <c r="R3312" s="129"/>
      <c r="S3312" s="129"/>
      <c r="T3312" s="129"/>
      <c r="U3312" s="129"/>
      <c r="V3312" s="129"/>
      <c r="W3312" s="129"/>
      <c r="X3312" s="129"/>
      <c r="Y3312" s="129"/>
      <c r="Z3312" s="129"/>
      <c r="AA3312" s="129"/>
      <c r="AB3312" s="129"/>
    </row>
    <row r="3313" hidden="1">
      <c r="A3313" s="128" t="s">
        <v>1552</v>
      </c>
      <c r="B3313" s="147">
        <v>890.0</v>
      </c>
      <c r="C3313" s="147">
        <v>1063.0</v>
      </c>
      <c r="D3313" s="132">
        <f t="shared" si="254"/>
        <v>173</v>
      </c>
      <c r="E3313" s="132"/>
      <c r="F3313" s="132"/>
      <c r="G3313" s="129"/>
      <c r="H3313" s="129"/>
      <c r="I3313" s="129"/>
      <c r="J3313" s="129"/>
      <c r="K3313" s="129"/>
      <c r="L3313" s="129"/>
      <c r="M3313" s="129"/>
      <c r="N3313" s="129"/>
      <c r="O3313" s="129"/>
      <c r="P3313" s="129"/>
      <c r="Q3313" s="129"/>
      <c r="R3313" s="129"/>
      <c r="S3313" s="129"/>
      <c r="T3313" s="129"/>
      <c r="U3313" s="129"/>
      <c r="V3313" s="129"/>
      <c r="W3313" s="129"/>
      <c r="X3313" s="129"/>
      <c r="Y3313" s="129"/>
      <c r="Z3313" s="129"/>
      <c r="AA3313" s="129"/>
      <c r="AB3313" s="129"/>
    </row>
    <row r="3314" hidden="1">
      <c r="A3314" s="142" t="s">
        <v>1449</v>
      </c>
      <c r="B3314" s="147">
        <v>890.0</v>
      </c>
      <c r="C3314" s="147">
        <v>1061.0</v>
      </c>
      <c r="D3314" s="132">
        <f t="shared" si="254"/>
        <v>171</v>
      </c>
      <c r="E3314" s="127"/>
      <c r="F3314" s="139"/>
      <c r="G3314" s="129"/>
      <c r="H3314" s="129"/>
      <c r="I3314" s="129"/>
      <c r="J3314" s="129"/>
      <c r="K3314" s="129"/>
      <c r="L3314" s="129"/>
      <c r="M3314" s="129"/>
      <c r="N3314" s="129"/>
      <c r="O3314" s="129"/>
      <c r="P3314" s="129"/>
      <c r="Q3314" s="129"/>
      <c r="R3314" s="129"/>
      <c r="S3314" s="129"/>
      <c r="T3314" s="129"/>
      <c r="U3314" s="129"/>
      <c r="V3314" s="129"/>
      <c r="W3314" s="129"/>
      <c r="X3314" s="129"/>
      <c r="Y3314" s="129"/>
      <c r="Z3314" s="129"/>
      <c r="AA3314" s="129"/>
      <c r="AB3314" s="129"/>
    </row>
    <row r="3315" hidden="1">
      <c r="A3315" s="128" t="s">
        <v>1497</v>
      </c>
      <c r="B3315" s="147">
        <v>1990.0</v>
      </c>
      <c r="C3315" s="147">
        <v>2612.0</v>
      </c>
      <c r="D3315" s="132">
        <f t="shared" si="254"/>
        <v>622</v>
      </c>
      <c r="E3315" s="139"/>
      <c r="F3315" s="139"/>
      <c r="G3315" s="129"/>
      <c r="H3315" s="129"/>
      <c r="I3315" s="129"/>
      <c r="J3315" s="129"/>
      <c r="K3315" s="129"/>
      <c r="L3315" s="129"/>
      <c r="M3315" s="129"/>
      <c r="N3315" s="129"/>
      <c r="O3315" s="129"/>
      <c r="P3315" s="129"/>
      <c r="Q3315" s="129"/>
      <c r="R3315" s="129"/>
      <c r="S3315" s="129"/>
      <c r="T3315" s="129"/>
      <c r="U3315" s="129"/>
      <c r="V3315" s="129"/>
      <c r="W3315" s="129"/>
      <c r="X3315" s="129"/>
      <c r="Y3315" s="129"/>
      <c r="Z3315" s="129"/>
      <c r="AA3315" s="129"/>
      <c r="AB3315" s="129"/>
    </row>
    <row r="3316" hidden="1">
      <c r="A3316" s="128" t="s">
        <v>1093</v>
      </c>
      <c r="B3316" s="147">
        <v>1490.0</v>
      </c>
      <c r="C3316" s="147">
        <v>1612.0</v>
      </c>
      <c r="D3316" s="132">
        <f t="shared" si="254"/>
        <v>122</v>
      </c>
      <c r="E3316" s="127"/>
      <c r="F3316" s="139"/>
      <c r="G3316" s="129"/>
      <c r="H3316" s="129"/>
      <c r="I3316" s="129"/>
      <c r="J3316" s="129"/>
      <c r="K3316" s="129"/>
      <c r="L3316" s="129"/>
      <c r="M3316" s="129"/>
      <c r="N3316" s="129"/>
      <c r="O3316" s="129"/>
      <c r="P3316" s="129"/>
      <c r="Q3316" s="129"/>
      <c r="R3316" s="129"/>
      <c r="S3316" s="129"/>
      <c r="T3316" s="129"/>
      <c r="U3316" s="129"/>
      <c r="V3316" s="129"/>
      <c r="W3316" s="129"/>
      <c r="X3316" s="129"/>
      <c r="Y3316" s="129"/>
      <c r="Z3316" s="129"/>
      <c r="AA3316" s="129"/>
      <c r="AB3316" s="129"/>
    </row>
    <row r="3317" hidden="1">
      <c r="A3317" s="128" t="s">
        <v>1515</v>
      </c>
      <c r="B3317" s="147">
        <v>1450.0</v>
      </c>
      <c r="C3317" s="147">
        <v>1564.0</v>
      </c>
      <c r="D3317" s="132">
        <f t="shared" si="254"/>
        <v>114</v>
      </c>
      <c r="E3317" s="127"/>
      <c r="F3317" s="139"/>
      <c r="G3317" s="129"/>
      <c r="H3317" s="129"/>
      <c r="I3317" s="129"/>
      <c r="J3317" s="129"/>
      <c r="K3317" s="129"/>
      <c r="L3317" s="129"/>
      <c r="M3317" s="129"/>
      <c r="N3317" s="129"/>
      <c r="O3317" s="129"/>
      <c r="P3317" s="129"/>
      <c r="Q3317" s="129"/>
      <c r="R3317" s="129"/>
      <c r="S3317" s="129"/>
      <c r="T3317" s="129"/>
      <c r="U3317" s="129"/>
      <c r="V3317" s="129"/>
      <c r="W3317" s="129"/>
      <c r="X3317" s="129"/>
      <c r="Y3317" s="129"/>
      <c r="Z3317" s="129"/>
      <c r="AA3317" s="129"/>
      <c r="AB3317" s="129"/>
    </row>
    <row r="3318" hidden="1">
      <c r="A3318" s="128" t="s">
        <v>1553</v>
      </c>
      <c r="B3318" s="147">
        <v>11250.0</v>
      </c>
      <c r="C3318" s="147">
        <v>12223.0</v>
      </c>
      <c r="D3318" s="132">
        <f t="shared" si="254"/>
        <v>973</v>
      </c>
      <c r="E3318" s="139"/>
      <c r="F3318" s="139"/>
      <c r="G3318" s="129"/>
      <c r="H3318" s="129"/>
      <c r="I3318" s="129"/>
      <c r="J3318" s="129"/>
      <c r="K3318" s="129"/>
      <c r="L3318" s="129"/>
      <c r="M3318" s="129"/>
      <c r="N3318" s="129"/>
      <c r="O3318" s="129"/>
      <c r="P3318" s="129"/>
      <c r="Q3318" s="129"/>
      <c r="R3318" s="129"/>
      <c r="S3318" s="129"/>
      <c r="T3318" s="129"/>
      <c r="U3318" s="129"/>
      <c r="V3318" s="129"/>
      <c r="W3318" s="129"/>
      <c r="X3318" s="129"/>
      <c r="Y3318" s="129"/>
      <c r="Z3318" s="129"/>
      <c r="AA3318" s="129"/>
      <c r="AB3318" s="129"/>
    </row>
    <row r="3319" hidden="1">
      <c r="A3319" s="150" t="s">
        <v>1552</v>
      </c>
      <c r="B3319" s="147">
        <v>890.0</v>
      </c>
      <c r="C3319" s="147">
        <v>1061.0</v>
      </c>
      <c r="D3319" s="132">
        <f t="shared" si="254"/>
        <v>171</v>
      </c>
      <c r="E3319" s="132"/>
      <c r="F3319" s="132"/>
      <c r="G3319" s="129"/>
      <c r="H3319" s="129"/>
      <c r="I3319" s="129"/>
      <c r="J3319" s="129"/>
      <c r="K3319" s="129"/>
      <c r="L3319" s="129"/>
      <c r="M3319" s="129"/>
      <c r="N3319" s="129"/>
      <c r="O3319" s="129"/>
      <c r="P3319" s="129"/>
      <c r="Q3319" s="129"/>
      <c r="R3319" s="129"/>
      <c r="S3319" s="129"/>
      <c r="T3319" s="129"/>
      <c r="U3319" s="129"/>
      <c r="V3319" s="129"/>
      <c r="W3319" s="129"/>
      <c r="X3319" s="129"/>
      <c r="Y3319" s="129"/>
      <c r="Z3319" s="129"/>
      <c r="AA3319" s="129"/>
      <c r="AB3319" s="129"/>
    </row>
    <row r="3320" hidden="1">
      <c r="A3320" s="142" t="s">
        <v>1449</v>
      </c>
      <c r="B3320" s="147">
        <v>890.0</v>
      </c>
      <c r="C3320" s="147">
        <v>1063.0</v>
      </c>
      <c r="D3320" s="132">
        <f t="shared" si="254"/>
        <v>173</v>
      </c>
      <c r="E3320" s="127"/>
      <c r="F3320" s="139"/>
      <c r="G3320" s="129"/>
      <c r="H3320" s="129"/>
      <c r="I3320" s="129"/>
      <c r="J3320" s="129"/>
      <c r="K3320" s="129"/>
      <c r="L3320" s="129"/>
      <c r="M3320" s="129"/>
      <c r="N3320" s="129"/>
      <c r="O3320" s="129"/>
      <c r="P3320" s="129"/>
      <c r="Q3320" s="129"/>
      <c r="R3320" s="129"/>
      <c r="S3320" s="129"/>
      <c r="T3320" s="129"/>
      <c r="U3320" s="129"/>
      <c r="V3320" s="129"/>
      <c r="W3320" s="129"/>
      <c r="X3320" s="129"/>
      <c r="Y3320" s="129"/>
      <c r="Z3320" s="129"/>
      <c r="AA3320" s="129"/>
      <c r="AB3320" s="129"/>
    </row>
    <row r="3321" hidden="1">
      <c r="A3321" s="123" t="s">
        <v>1501</v>
      </c>
      <c r="B3321" s="124">
        <v>890.0</v>
      </c>
      <c r="C3321" s="124">
        <v>1028.0</v>
      </c>
      <c r="D3321" s="125">
        <f t="shared" si="254"/>
        <v>138</v>
      </c>
      <c r="E3321" s="124"/>
      <c r="F3321" s="124"/>
    </row>
    <row r="3322" hidden="1">
      <c r="A3322" s="128" t="s">
        <v>1540</v>
      </c>
      <c r="B3322" s="147">
        <v>5490.0</v>
      </c>
      <c r="C3322" s="147">
        <v>6528.0</v>
      </c>
      <c r="D3322" s="132">
        <f t="shared" si="254"/>
        <v>1038</v>
      </c>
      <c r="E3322" s="139"/>
      <c r="F3322" s="139"/>
      <c r="G3322" s="129"/>
      <c r="H3322" s="129"/>
      <c r="I3322" s="129"/>
      <c r="J3322" s="129"/>
      <c r="K3322" s="129"/>
      <c r="L3322" s="129"/>
      <c r="M3322" s="129"/>
      <c r="N3322" s="129"/>
      <c r="O3322" s="129"/>
      <c r="P3322" s="129"/>
      <c r="Q3322" s="129"/>
      <c r="R3322" s="129"/>
      <c r="S3322" s="129"/>
      <c r="T3322" s="129"/>
      <c r="U3322" s="129"/>
      <c r="V3322" s="129"/>
      <c r="W3322" s="129"/>
      <c r="X3322" s="129"/>
      <c r="Y3322" s="129"/>
      <c r="Z3322" s="129"/>
      <c r="AA3322" s="129"/>
      <c r="AB3322" s="129"/>
    </row>
    <row r="3323" hidden="1">
      <c r="A3323" s="128" t="s">
        <v>1140</v>
      </c>
      <c r="B3323" s="147">
        <v>4330.0</v>
      </c>
      <c r="C3323" s="147">
        <v>4750.0</v>
      </c>
      <c r="D3323" s="132">
        <f t="shared" si="254"/>
        <v>420</v>
      </c>
      <c r="E3323" s="132"/>
      <c r="F3323" s="139"/>
      <c r="G3323" s="129"/>
      <c r="H3323" s="129"/>
      <c r="I3323" s="129"/>
      <c r="J3323" s="129"/>
      <c r="K3323" s="129"/>
      <c r="L3323" s="129"/>
      <c r="M3323" s="129"/>
      <c r="N3323" s="129"/>
      <c r="O3323" s="129"/>
      <c r="P3323" s="129"/>
      <c r="Q3323" s="129"/>
      <c r="R3323" s="129"/>
      <c r="S3323" s="129"/>
      <c r="T3323" s="129"/>
      <c r="U3323" s="129"/>
      <c r="V3323" s="129"/>
      <c r="W3323" s="129"/>
      <c r="X3323" s="129"/>
      <c r="Y3323" s="129"/>
      <c r="Z3323" s="129"/>
      <c r="AA3323" s="129"/>
      <c r="AB3323" s="129"/>
    </row>
    <row r="3324" hidden="1">
      <c r="A3324" s="128" t="s">
        <v>1208</v>
      </c>
      <c r="B3324" s="147">
        <v>0.0</v>
      </c>
      <c r="C3324" s="147">
        <v>0.0</v>
      </c>
      <c r="D3324" s="132">
        <f t="shared" si="254"/>
        <v>0</v>
      </c>
      <c r="E3324" s="147"/>
      <c r="F3324" s="132"/>
      <c r="G3324" s="129"/>
      <c r="H3324" s="129"/>
      <c r="I3324" s="129"/>
      <c r="J3324" s="129"/>
      <c r="K3324" s="129"/>
      <c r="L3324" s="129"/>
      <c r="M3324" s="129"/>
      <c r="N3324" s="129"/>
      <c r="O3324" s="129"/>
      <c r="P3324" s="129"/>
      <c r="Q3324" s="129"/>
      <c r="R3324" s="129"/>
      <c r="S3324" s="129"/>
      <c r="T3324" s="129"/>
      <c r="U3324" s="129"/>
      <c r="V3324" s="129"/>
      <c r="W3324" s="129"/>
      <c r="X3324" s="129"/>
      <c r="Y3324" s="129"/>
      <c r="Z3324" s="129"/>
      <c r="AA3324" s="129"/>
      <c r="AB3324" s="129"/>
    </row>
    <row r="3325" hidden="1">
      <c r="A3325" s="128" t="s">
        <v>1477</v>
      </c>
      <c r="B3325" s="147">
        <v>0.0</v>
      </c>
      <c r="C3325" s="147">
        <v>0.0</v>
      </c>
      <c r="D3325" s="132">
        <f t="shared" si="254"/>
        <v>0</v>
      </c>
      <c r="E3325" s="147"/>
      <c r="F3325" s="132"/>
      <c r="G3325" s="129"/>
      <c r="H3325" s="129"/>
      <c r="I3325" s="129"/>
      <c r="J3325" s="129"/>
      <c r="K3325" s="129"/>
      <c r="L3325" s="129"/>
      <c r="M3325" s="129"/>
      <c r="N3325" s="129"/>
      <c r="O3325" s="129"/>
      <c r="P3325" s="129"/>
      <c r="Q3325" s="129"/>
      <c r="R3325" s="129"/>
      <c r="S3325" s="129"/>
      <c r="T3325" s="129"/>
      <c r="U3325" s="129"/>
      <c r="V3325" s="129"/>
      <c r="W3325" s="129"/>
      <c r="X3325" s="129"/>
      <c r="Y3325" s="129"/>
      <c r="Z3325" s="129"/>
      <c r="AA3325" s="129"/>
      <c r="AB3325" s="129"/>
    </row>
    <row r="3326" hidden="1">
      <c r="A3326" s="128" t="s">
        <v>1554</v>
      </c>
      <c r="B3326" s="147">
        <v>11990.0</v>
      </c>
      <c r="C3326" s="147">
        <v>12674.0</v>
      </c>
      <c r="D3326" s="132">
        <f t="shared" si="254"/>
        <v>684</v>
      </c>
      <c r="E3326" s="139"/>
      <c r="F3326" s="139"/>
      <c r="G3326" s="129"/>
      <c r="H3326" s="129"/>
      <c r="I3326" s="129"/>
      <c r="J3326" s="129"/>
      <c r="K3326" s="129"/>
      <c r="L3326" s="129"/>
      <c r="M3326" s="129"/>
      <c r="N3326" s="129"/>
      <c r="O3326" s="129"/>
      <c r="P3326" s="129"/>
      <c r="Q3326" s="129"/>
      <c r="R3326" s="129"/>
      <c r="S3326" s="129"/>
      <c r="T3326" s="129"/>
      <c r="U3326" s="129"/>
      <c r="V3326" s="129"/>
      <c r="W3326" s="129"/>
      <c r="X3326" s="129"/>
      <c r="Y3326" s="129"/>
      <c r="Z3326" s="129"/>
      <c r="AA3326" s="129"/>
      <c r="AB3326" s="129"/>
    </row>
    <row r="3327" hidden="1">
      <c r="A3327" s="128" t="s">
        <v>1555</v>
      </c>
      <c r="B3327" s="147">
        <v>690.0</v>
      </c>
      <c r="C3327" s="147">
        <v>810.0</v>
      </c>
      <c r="D3327" s="132">
        <f t="shared" si="254"/>
        <v>120</v>
      </c>
      <c r="E3327" s="132"/>
      <c r="F3327" s="132"/>
      <c r="G3327" s="129"/>
      <c r="H3327" s="129"/>
      <c r="I3327" s="129"/>
      <c r="J3327" s="129"/>
      <c r="K3327" s="129"/>
      <c r="L3327" s="129"/>
      <c r="M3327" s="129"/>
      <c r="N3327" s="129"/>
      <c r="O3327" s="129"/>
      <c r="P3327" s="129"/>
      <c r="Q3327" s="129"/>
      <c r="R3327" s="129"/>
      <c r="S3327" s="129"/>
      <c r="T3327" s="129"/>
      <c r="U3327" s="129"/>
      <c r="V3327" s="129"/>
      <c r="W3327" s="129"/>
      <c r="X3327" s="129"/>
      <c r="Y3327" s="129"/>
      <c r="Z3327" s="129"/>
      <c r="AA3327" s="129"/>
      <c r="AB3327" s="129"/>
    </row>
    <row r="3328" hidden="1">
      <c r="A3328" s="128" t="s">
        <v>1556</v>
      </c>
      <c r="B3328" s="147">
        <v>5490.0</v>
      </c>
      <c r="C3328" s="147">
        <v>6524.0</v>
      </c>
      <c r="D3328" s="132">
        <f t="shared" si="254"/>
        <v>1034</v>
      </c>
      <c r="E3328" s="139"/>
      <c r="F3328" s="139"/>
      <c r="G3328" s="129"/>
      <c r="H3328" s="129"/>
      <c r="I3328" s="129"/>
      <c r="J3328" s="129"/>
      <c r="K3328" s="129"/>
      <c r="L3328" s="129"/>
      <c r="M3328" s="129"/>
      <c r="N3328" s="129"/>
      <c r="O3328" s="129"/>
      <c r="P3328" s="129"/>
      <c r="Q3328" s="129"/>
      <c r="R3328" s="129"/>
      <c r="S3328" s="129"/>
      <c r="T3328" s="129"/>
      <c r="U3328" s="129"/>
      <c r="V3328" s="129"/>
      <c r="W3328" s="129"/>
      <c r="X3328" s="129"/>
      <c r="Y3328" s="129"/>
      <c r="Z3328" s="129"/>
      <c r="AA3328" s="129"/>
      <c r="AB3328" s="129"/>
    </row>
    <row r="3329" hidden="1">
      <c r="A3329" s="123" t="s">
        <v>1557</v>
      </c>
      <c r="B3329" s="147">
        <v>290.0</v>
      </c>
      <c r="C3329" s="124">
        <v>859.0</v>
      </c>
      <c r="D3329" s="125">
        <f t="shared" si="254"/>
        <v>569</v>
      </c>
      <c r="E3329" s="124"/>
      <c r="F3329" s="124"/>
    </row>
    <row r="3330" hidden="1">
      <c r="A3330" s="123"/>
      <c r="B3330" s="124"/>
      <c r="C3330" s="123"/>
      <c r="D3330" s="123"/>
    </row>
    <row r="3331" hidden="1">
      <c r="A3331" s="122" t="s">
        <v>57</v>
      </c>
      <c r="B3331" s="133">
        <f t="shared" ref="B3331:D3331" si="255">SUM(B3171:B3330)</f>
        <v>376040</v>
      </c>
      <c r="C3331" s="133">
        <f t="shared" si="255"/>
        <v>419845</v>
      </c>
      <c r="D3331" s="133">
        <f t="shared" si="255"/>
        <v>43805</v>
      </c>
      <c r="E3331" s="135">
        <f>D3331/(C3331/100)</f>
        <v>10.4336124</v>
      </c>
    </row>
    <row r="3332" hidden="1">
      <c r="A3332" s="154"/>
      <c r="B3332" s="124"/>
      <c r="C3332" s="124"/>
      <c r="D3332" s="124"/>
    </row>
    <row r="3333" hidden="1">
      <c r="A3333" s="154">
        <v>44013.0</v>
      </c>
      <c r="B3333" s="124"/>
      <c r="C3333" s="124"/>
      <c r="D3333" s="124"/>
    </row>
    <row r="3334" hidden="1">
      <c r="A3334" s="123" t="s">
        <v>1526</v>
      </c>
      <c r="B3334" s="147">
        <v>990.0</v>
      </c>
      <c r="C3334" s="124">
        <v>1213.0</v>
      </c>
      <c r="D3334" s="125">
        <f t="shared" ref="D3334:D3466" si="256">C3334-B3334</f>
        <v>223</v>
      </c>
      <c r="E3334" s="147"/>
      <c r="F3334" s="132"/>
      <c r="G3334" s="123"/>
    </row>
    <row r="3335" hidden="1">
      <c r="A3335" s="128" t="s">
        <v>1208</v>
      </c>
      <c r="B3335" s="147">
        <v>1450.0</v>
      </c>
      <c r="C3335" s="147">
        <v>1563.0</v>
      </c>
      <c r="D3335" s="132">
        <f t="shared" si="256"/>
        <v>113</v>
      </c>
      <c r="E3335" s="147"/>
      <c r="F3335" s="132"/>
      <c r="G3335" s="129"/>
      <c r="H3335" s="129"/>
      <c r="I3335" s="129"/>
      <c r="J3335" s="129"/>
      <c r="K3335" s="129"/>
      <c r="L3335" s="129"/>
      <c r="M3335" s="129"/>
      <c r="N3335" s="129"/>
      <c r="O3335" s="129"/>
      <c r="P3335" s="129"/>
      <c r="Q3335" s="129"/>
      <c r="R3335" s="129"/>
      <c r="S3335" s="129"/>
      <c r="T3335" s="129"/>
      <c r="U3335" s="129"/>
      <c r="V3335" s="129"/>
      <c r="W3335" s="129"/>
      <c r="X3335" s="129"/>
      <c r="Y3335" s="129"/>
      <c r="Z3335" s="129"/>
      <c r="AA3335" s="129"/>
      <c r="AB3335" s="129"/>
    </row>
    <row r="3336" hidden="1">
      <c r="A3336" s="128" t="s">
        <v>398</v>
      </c>
      <c r="B3336" s="147">
        <v>2000.0</v>
      </c>
      <c r="C3336" s="147">
        <v>2130.0</v>
      </c>
      <c r="D3336" s="132">
        <f t="shared" si="256"/>
        <v>130</v>
      </c>
      <c r="E3336" s="139"/>
      <c r="F3336" s="139"/>
      <c r="G3336" s="129"/>
      <c r="H3336" s="129"/>
      <c r="I3336" s="129"/>
      <c r="J3336" s="129"/>
      <c r="K3336" s="129"/>
      <c r="L3336" s="129"/>
      <c r="M3336" s="129"/>
      <c r="N3336" s="129"/>
      <c r="O3336" s="129"/>
      <c r="P3336" s="129"/>
      <c r="Q3336" s="129"/>
      <c r="R3336" s="129"/>
      <c r="S3336" s="129"/>
      <c r="T3336" s="129"/>
      <c r="U3336" s="129"/>
      <c r="V3336" s="129"/>
      <c r="W3336" s="129"/>
      <c r="X3336" s="129"/>
      <c r="Y3336" s="129"/>
      <c r="Z3336" s="129"/>
      <c r="AA3336" s="129"/>
      <c r="AB3336" s="129"/>
    </row>
    <row r="3337" hidden="1">
      <c r="A3337" s="128" t="s">
        <v>1433</v>
      </c>
      <c r="B3337" s="210">
        <v>1740.0</v>
      </c>
      <c r="C3337" s="210">
        <v>1909.0</v>
      </c>
      <c r="D3337" s="208">
        <f t="shared" si="256"/>
        <v>169</v>
      </c>
      <c r="E3337" s="139"/>
      <c r="F3337" s="139"/>
      <c r="G3337" s="129"/>
      <c r="H3337" s="129"/>
      <c r="I3337" s="129"/>
      <c r="J3337" s="129"/>
      <c r="K3337" s="129"/>
      <c r="L3337" s="129"/>
      <c r="M3337" s="129"/>
      <c r="N3337" s="129"/>
      <c r="O3337" s="129"/>
      <c r="P3337" s="129"/>
      <c r="Q3337" s="129"/>
      <c r="R3337" s="129"/>
      <c r="S3337" s="129"/>
      <c r="T3337" s="129"/>
      <c r="U3337" s="129"/>
      <c r="V3337" s="129"/>
      <c r="W3337" s="129"/>
      <c r="X3337" s="129"/>
      <c r="Y3337" s="129"/>
      <c r="Z3337" s="129"/>
      <c r="AA3337" s="129"/>
      <c r="AB3337" s="129"/>
    </row>
    <row r="3338" hidden="1">
      <c r="A3338" s="128" t="s">
        <v>1558</v>
      </c>
      <c r="B3338" s="147">
        <v>590.0</v>
      </c>
      <c r="C3338" s="124">
        <v>758.0</v>
      </c>
      <c r="D3338" s="132">
        <f t="shared" si="256"/>
        <v>168</v>
      </c>
      <c r="E3338" s="139"/>
      <c r="F3338" s="139"/>
      <c r="G3338" s="129"/>
      <c r="H3338" s="129"/>
      <c r="I3338" s="129"/>
      <c r="J3338" s="129"/>
      <c r="K3338" s="129"/>
      <c r="L3338" s="129"/>
      <c r="M3338" s="129"/>
      <c r="N3338" s="129"/>
      <c r="O3338" s="129"/>
      <c r="P3338" s="129"/>
      <c r="Q3338" s="129"/>
      <c r="R3338" s="129"/>
      <c r="S3338" s="129"/>
      <c r="T3338" s="129"/>
      <c r="U3338" s="129"/>
      <c r="V3338" s="129"/>
      <c r="W3338" s="129"/>
      <c r="X3338" s="129"/>
      <c r="Y3338" s="129"/>
      <c r="Z3338" s="129"/>
      <c r="AA3338" s="129"/>
      <c r="AB3338" s="129"/>
    </row>
    <row r="3339" hidden="1">
      <c r="A3339" s="128" t="s">
        <v>1093</v>
      </c>
      <c r="B3339" s="147">
        <v>2180.0</v>
      </c>
      <c r="C3339" s="147">
        <v>2428.0</v>
      </c>
      <c r="D3339" s="132">
        <f t="shared" si="256"/>
        <v>248</v>
      </c>
      <c r="E3339" s="127"/>
      <c r="F3339" s="139"/>
      <c r="G3339" s="129"/>
      <c r="H3339" s="129"/>
      <c r="I3339" s="129"/>
      <c r="J3339" s="129"/>
      <c r="K3339" s="129"/>
      <c r="L3339" s="129"/>
      <c r="M3339" s="129"/>
      <c r="N3339" s="129"/>
      <c r="O3339" s="129"/>
      <c r="P3339" s="129"/>
      <c r="Q3339" s="129"/>
      <c r="R3339" s="129"/>
      <c r="S3339" s="129"/>
      <c r="T3339" s="129"/>
      <c r="U3339" s="129"/>
      <c r="V3339" s="129"/>
      <c r="W3339" s="129"/>
      <c r="X3339" s="129"/>
      <c r="Y3339" s="129"/>
      <c r="Z3339" s="129"/>
      <c r="AA3339" s="129"/>
      <c r="AB3339" s="129"/>
    </row>
    <row r="3340" hidden="1">
      <c r="A3340" s="150" t="s">
        <v>1559</v>
      </c>
      <c r="B3340" s="147">
        <v>0.0</v>
      </c>
      <c r="C3340" s="147">
        <v>0.0</v>
      </c>
      <c r="D3340" s="132">
        <f t="shared" si="256"/>
        <v>0</v>
      </c>
      <c r="E3340" s="132"/>
      <c r="F3340" s="132"/>
      <c r="G3340" s="129"/>
      <c r="H3340" s="129"/>
      <c r="I3340" s="129"/>
      <c r="J3340" s="129"/>
      <c r="K3340" s="129"/>
      <c r="L3340" s="129"/>
      <c r="M3340" s="129"/>
      <c r="N3340" s="129"/>
      <c r="O3340" s="129"/>
      <c r="P3340" s="129"/>
      <c r="Q3340" s="129"/>
      <c r="R3340" s="129"/>
      <c r="S3340" s="129"/>
      <c r="T3340" s="129"/>
      <c r="U3340" s="129"/>
      <c r="V3340" s="129"/>
      <c r="W3340" s="129"/>
      <c r="X3340" s="129"/>
      <c r="Y3340" s="129"/>
      <c r="Z3340" s="129"/>
      <c r="AA3340" s="129"/>
      <c r="AB3340" s="129"/>
    </row>
    <row r="3341" hidden="1">
      <c r="A3341" s="128" t="s">
        <v>1219</v>
      </c>
      <c r="B3341" s="147">
        <v>2970.0</v>
      </c>
      <c r="C3341" s="124">
        <v>3152.0</v>
      </c>
      <c r="D3341" s="132">
        <f t="shared" si="256"/>
        <v>182</v>
      </c>
      <c r="E3341" s="124"/>
      <c r="F3341" s="124"/>
      <c r="G3341" s="129"/>
      <c r="H3341" s="129"/>
      <c r="I3341" s="129"/>
      <c r="J3341" s="129"/>
      <c r="K3341" s="129"/>
      <c r="L3341" s="129"/>
      <c r="M3341" s="129"/>
      <c r="N3341" s="129"/>
      <c r="O3341" s="129"/>
      <c r="P3341" s="129"/>
      <c r="Q3341" s="129"/>
      <c r="R3341" s="129"/>
      <c r="S3341" s="129"/>
      <c r="T3341" s="129"/>
      <c r="U3341" s="129"/>
      <c r="V3341" s="129"/>
      <c r="W3341" s="129"/>
      <c r="X3341" s="129"/>
      <c r="Y3341" s="129"/>
      <c r="Z3341" s="129"/>
      <c r="AA3341" s="129"/>
      <c r="AB3341" s="129"/>
    </row>
    <row r="3342" hidden="1">
      <c r="A3342" s="159" t="s">
        <v>1468</v>
      </c>
      <c r="B3342" s="124">
        <v>0.0</v>
      </c>
      <c r="C3342" s="124">
        <v>0.0</v>
      </c>
      <c r="D3342" s="132">
        <f t="shared" si="256"/>
        <v>0</v>
      </c>
      <c r="E3342" s="124"/>
      <c r="F3342" s="124"/>
      <c r="G3342" s="129"/>
      <c r="H3342" s="129"/>
      <c r="I3342" s="129"/>
      <c r="J3342" s="129"/>
      <c r="K3342" s="129"/>
      <c r="L3342" s="129"/>
      <c r="M3342" s="129"/>
      <c r="N3342" s="129"/>
      <c r="O3342" s="129"/>
      <c r="P3342" s="129"/>
      <c r="Q3342" s="129"/>
      <c r="R3342" s="129"/>
      <c r="S3342" s="129"/>
      <c r="T3342" s="129"/>
      <c r="U3342" s="129"/>
      <c r="V3342" s="129"/>
      <c r="W3342" s="129"/>
      <c r="X3342" s="129"/>
      <c r="Y3342" s="129"/>
      <c r="Z3342" s="129"/>
      <c r="AA3342" s="129"/>
      <c r="AB3342" s="129"/>
    </row>
    <row r="3343" hidden="1">
      <c r="A3343" s="142" t="s">
        <v>1449</v>
      </c>
      <c r="B3343" s="147">
        <v>0.0</v>
      </c>
      <c r="C3343" s="147">
        <v>0.0</v>
      </c>
      <c r="D3343" s="132">
        <f t="shared" si="256"/>
        <v>0</v>
      </c>
      <c r="E3343" s="127"/>
      <c r="F3343" s="139"/>
      <c r="G3343" s="129"/>
      <c r="H3343" s="129"/>
      <c r="I3343" s="129"/>
      <c r="J3343" s="129"/>
      <c r="K3343" s="129"/>
      <c r="L3343" s="129"/>
      <c r="M3343" s="129"/>
      <c r="N3343" s="129"/>
      <c r="O3343" s="129"/>
      <c r="P3343" s="129"/>
      <c r="Q3343" s="129"/>
      <c r="R3343" s="129"/>
      <c r="S3343" s="129"/>
      <c r="T3343" s="129"/>
      <c r="U3343" s="129"/>
      <c r="V3343" s="129"/>
      <c r="W3343" s="129"/>
      <c r="X3343" s="129"/>
      <c r="Y3343" s="129"/>
      <c r="Z3343" s="129"/>
      <c r="AA3343" s="129"/>
      <c r="AB3343" s="129"/>
    </row>
    <row r="3344" hidden="1">
      <c r="A3344" s="150" t="s">
        <v>1179</v>
      </c>
      <c r="B3344" s="147">
        <v>2800.0</v>
      </c>
      <c r="C3344" s="147">
        <v>3079.0</v>
      </c>
      <c r="D3344" s="132">
        <f t="shared" si="256"/>
        <v>279</v>
      </c>
      <c r="E3344" s="132"/>
      <c r="F3344" s="132"/>
      <c r="G3344" s="129"/>
      <c r="H3344" s="129"/>
      <c r="I3344" s="129"/>
      <c r="J3344" s="129"/>
      <c r="K3344" s="129"/>
      <c r="L3344" s="129"/>
      <c r="M3344" s="129"/>
      <c r="N3344" s="129"/>
      <c r="O3344" s="129"/>
      <c r="P3344" s="129"/>
      <c r="Q3344" s="129"/>
      <c r="R3344" s="129"/>
      <c r="S3344" s="129"/>
      <c r="T3344" s="129"/>
      <c r="U3344" s="129"/>
      <c r="V3344" s="129"/>
      <c r="W3344" s="129"/>
      <c r="X3344" s="129"/>
      <c r="Y3344" s="129"/>
      <c r="Z3344" s="129"/>
      <c r="AA3344" s="129"/>
      <c r="AB3344" s="129"/>
    </row>
    <row r="3345" hidden="1">
      <c r="A3345" s="128" t="s">
        <v>1179</v>
      </c>
      <c r="B3345" s="147">
        <v>0.0</v>
      </c>
      <c r="C3345" s="147">
        <v>0.0</v>
      </c>
      <c r="D3345" s="132">
        <f t="shared" si="256"/>
        <v>0</v>
      </c>
      <c r="E3345" s="147"/>
      <c r="F3345" s="132"/>
      <c r="G3345" s="129"/>
      <c r="H3345" s="129"/>
      <c r="I3345" s="129"/>
      <c r="J3345" s="129"/>
      <c r="K3345" s="129"/>
      <c r="L3345" s="129"/>
      <c r="M3345" s="129"/>
      <c r="N3345" s="129"/>
      <c r="O3345" s="129"/>
      <c r="P3345" s="129"/>
      <c r="Q3345" s="129"/>
      <c r="R3345" s="129"/>
      <c r="S3345" s="129"/>
      <c r="T3345" s="129"/>
      <c r="U3345" s="129"/>
      <c r="V3345" s="129"/>
      <c r="W3345" s="129"/>
      <c r="X3345" s="129"/>
      <c r="Y3345" s="129"/>
      <c r="Z3345" s="129"/>
      <c r="AA3345" s="129"/>
      <c r="AB3345" s="129"/>
    </row>
    <row r="3346" hidden="1">
      <c r="A3346" s="123" t="s">
        <v>1543</v>
      </c>
      <c r="B3346" s="124">
        <v>4540.0</v>
      </c>
      <c r="C3346" s="124">
        <v>4814.0</v>
      </c>
      <c r="D3346" s="125">
        <f t="shared" si="256"/>
        <v>274</v>
      </c>
      <c r="E3346" s="124"/>
      <c r="F3346" s="124"/>
    </row>
    <row r="3347" hidden="1">
      <c r="A3347" s="128" t="s">
        <v>1208</v>
      </c>
      <c r="B3347" s="147">
        <v>0.0</v>
      </c>
      <c r="C3347" s="147">
        <v>0.0</v>
      </c>
      <c r="D3347" s="132">
        <f t="shared" si="256"/>
        <v>0</v>
      </c>
      <c r="E3347" s="147"/>
      <c r="F3347" s="132"/>
      <c r="G3347" s="129"/>
      <c r="H3347" s="129"/>
      <c r="I3347" s="129"/>
      <c r="J3347" s="129"/>
      <c r="K3347" s="129"/>
      <c r="L3347" s="129"/>
      <c r="M3347" s="129"/>
      <c r="N3347" s="129"/>
      <c r="O3347" s="129"/>
      <c r="P3347" s="129"/>
      <c r="Q3347" s="129"/>
      <c r="R3347" s="129"/>
      <c r="S3347" s="129"/>
      <c r="T3347" s="129"/>
      <c r="U3347" s="129"/>
      <c r="V3347" s="129"/>
      <c r="W3347" s="129"/>
      <c r="X3347" s="129"/>
      <c r="Y3347" s="129"/>
      <c r="Z3347" s="129"/>
      <c r="AA3347" s="129"/>
      <c r="AB3347" s="129"/>
    </row>
    <row r="3348" hidden="1">
      <c r="A3348" s="123" t="s">
        <v>1213</v>
      </c>
      <c r="B3348" s="147">
        <v>0.0</v>
      </c>
      <c r="C3348" s="147">
        <v>0.0</v>
      </c>
      <c r="D3348" s="132">
        <f t="shared" si="256"/>
        <v>0</v>
      </c>
      <c r="E3348" s="132"/>
      <c r="F3348" s="124"/>
    </row>
    <row r="3349" hidden="1">
      <c r="A3349" s="128" t="s">
        <v>1301</v>
      </c>
      <c r="B3349" s="147">
        <v>2800.0</v>
      </c>
      <c r="C3349" s="147">
        <v>3072.0</v>
      </c>
      <c r="D3349" s="132">
        <f t="shared" si="256"/>
        <v>272</v>
      </c>
      <c r="E3349" s="147"/>
      <c r="F3349" s="132"/>
      <c r="G3349" s="129"/>
      <c r="H3349" s="129"/>
      <c r="I3349" s="129"/>
      <c r="J3349" s="129"/>
      <c r="K3349" s="129"/>
      <c r="L3349" s="129"/>
      <c r="M3349" s="129"/>
      <c r="N3349" s="129"/>
      <c r="O3349" s="129"/>
      <c r="P3349" s="129"/>
      <c r="Q3349" s="129"/>
      <c r="R3349" s="129"/>
      <c r="S3349" s="129"/>
      <c r="T3349" s="129"/>
      <c r="U3349" s="129"/>
      <c r="V3349" s="129"/>
      <c r="W3349" s="129"/>
      <c r="X3349" s="129"/>
      <c r="Y3349" s="129"/>
      <c r="Z3349" s="129"/>
      <c r="AA3349" s="129"/>
      <c r="AB3349" s="129"/>
    </row>
    <row r="3350" hidden="1">
      <c r="A3350" s="128" t="s">
        <v>1209</v>
      </c>
      <c r="B3350" s="147">
        <v>0.0</v>
      </c>
      <c r="C3350" s="147">
        <v>0.0</v>
      </c>
      <c r="D3350" s="132">
        <f t="shared" si="256"/>
        <v>0</v>
      </c>
      <c r="E3350" s="132"/>
      <c r="F3350" s="132"/>
      <c r="G3350" s="129"/>
      <c r="H3350" s="129"/>
      <c r="I3350" s="129"/>
      <c r="J3350" s="129"/>
      <c r="K3350" s="129"/>
      <c r="L3350" s="129"/>
      <c r="M3350" s="129"/>
      <c r="N3350" s="129"/>
      <c r="O3350" s="129"/>
      <c r="P3350" s="129"/>
      <c r="Q3350" s="129"/>
      <c r="R3350" s="129"/>
      <c r="S3350" s="129"/>
      <c r="T3350" s="129"/>
      <c r="U3350" s="129"/>
      <c r="V3350" s="129"/>
      <c r="W3350" s="129"/>
      <c r="X3350" s="129"/>
      <c r="Y3350" s="129"/>
      <c r="Z3350" s="129"/>
      <c r="AA3350" s="129"/>
      <c r="AB3350" s="129"/>
    </row>
    <row r="3351" hidden="1">
      <c r="A3351" s="128" t="s">
        <v>1301</v>
      </c>
      <c r="B3351" s="147">
        <v>2800.0</v>
      </c>
      <c r="C3351" s="147">
        <v>3071.0</v>
      </c>
      <c r="D3351" s="132">
        <f t="shared" si="256"/>
        <v>271</v>
      </c>
      <c r="E3351" s="147"/>
      <c r="F3351" s="132"/>
      <c r="G3351" s="129"/>
      <c r="H3351" s="129"/>
      <c r="I3351" s="129"/>
      <c r="J3351" s="129"/>
      <c r="K3351" s="129"/>
      <c r="L3351" s="129"/>
      <c r="M3351" s="129"/>
      <c r="N3351" s="129"/>
      <c r="O3351" s="129"/>
      <c r="P3351" s="129"/>
      <c r="Q3351" s="129"/>
      <c r="R3351" s="129"/>
      <c r="S3351" s="129"/>
      <c r="T3351" s="129"/>
      <c r="U3351" s="129"/>
      <c r="V3351" s="129"/>
      <c r="W3351" s="129"/>
      <c r="X3351" s="129"/>
      <c r="Y3351" s="129"/>
      <c r="Z3351" s="129"/>
      <c r="AA3351" s="129"/>
      <c r="AB3351" s="129"/>
    </row>
    <row r="3352" hidden="1">
      <c r="A3352" s="142" t="s">
        <v>1560</v>
      </c>
      <c r="B3352" s="147">
        <v>0.0</v>
      </c>
      <c r="C3352" s="124">
        <v>0.0</v>
      </c>
      <c r="D3352" s="132">
        <f t="shared" si="256"/>
        <v>0</v>
      </c>
      <c r="E3352" s="127"/>
      <c r="F3352" s="139"/>
      <c r="G3352" s="129"/>
      <c r="H3352" s="129"/>
      <c r="I3352" s="129"/>
      <c r="J3352" s="129"/>
      <c r="K3352" s="129"/>
      <c r="L3352" s="129"/>
      <c r="M3352" s="129"/>
      <c r="N3352" s="129"/>
      <c r="O3352" s="129"/>
      <c r="P3352" s="129"/>
      <c r="Q3352" s="129"/>
      <c r="R3352" s="129"/>
      <c r="S3352" s="129"/>
      <c r="T3352" s="129"/>
      <c r="U3352" s="129"/>
      <c r="V3352" s="129"/>
      <c r="W3352" s="129"/>
      <c r="X3352" s="129"/>
      <c r="Y3352" s="129"/>
      <c r="Z3352" s="129"/>
      <c r="AA3352" s="129"/>
      <c r="AB3352" s="129"/>
    </row>
    <row r="3353" hidden="1">
      <c r="A3353" s="150" t="s">
        <v>1208</v>
      </c>
      <c r="B3353" s="147">
        <v>2600.0</v>
      </c>
      <c r="C3353" s="147">
        <v>2970.0</v>
      </c>
      <c r="D3353" s="132">
        <f t="shared" si="256"/>
        <v>370</v>
      </c>
      <c r="E3353" s="132"/>
      <c r="F3353" s="132"/>
      <c r="G3353" s="129"/>
      <c r="H3353" s="129"/>
      <c r="I3353" s="129"/>
      <c r="J3353" s="129"/>
      <c r="K3353" s="129"/>
      <c r="L3353" s="129"/>
      <c r="M3353" s="129"/>
      <c r="N3353" s="129"/>
      <c r="O3353" s="129"/>
      <c r="P3353" s="129"/>
      <c r="Q3353" s="129"/>
      <c r="R3353" s="129"/>
      <c r="S3353" s="129"/>
      <c r="T3353" s="129"/>
      <c r="U3353" s="129"/>
      <c r="V3353" s="129"/>
      <c r="W3353" s="129"/>
      <c r="X3353" s="129"/>
      <c r="Y3353" s="129"/>
      <c r="Z3353" s="129"/>
      <c r="AA3353" s="129"/>
      <c r="AB3353" s="129"/>
    </row>
    <row r="3354" hidden="1">
      <c r="A3354" s="128" t="s">
        <v>1208</v>
      </c>
      <c r="B3354" s="147">
        <v>0.0</v>
      </c>
      <c r="C3354" s="147">
        <v>0.0</v>
      </c>
      <c r="D3354" s="132">
        <f t="shared" si="256"/>
        <v>0</v>
      </c>
      <c r="E3354" s="147"/>
      <c r="F3354" s="132"/>
      <c r="G3354" s="129"/>
      <c r="H3354" s="129"/>
      <c r="I3354" s="129"/>
      <c r="J3354" s="129"/>
      <c r="K3354" s="129"/>
      <c r="L3354" s="129"/>
      <c r="M3354" s="129"/>
      <c r="N3354" s="129"/>
      <c r="O3354" s="129"/>
      <c r="P3354" s="129"/>
      <c r="Q3354" s="129"/>
      <c r="R3354" s="129"/>
      <c r="S3354" s="129"/>
      <c r="T3354" s="129"/>
      <c r="U3354" s="129"/>
      <c r="V3354" s="129"/>
      <c r="W3354" s="129"/>
      <c r="X3354" s="129"/>
      <c r="Y3354" s="129"/>
      <c r="Z3354" s="129"/>
      <c r="AA3354" s="129"/>
      <c r="AB3354" s="129"/>
    </row>
    <row r="3355" hidden="1">
      <c r="A3355" s="123" t="s">
        <v>1561</v>
      </c>
      <c r="B3355" s="124">
        <v>990.0</v>
      </c>
      <c r="C3355" s="124">
        <v>1180.0</v>
      </c>
      <c r="D3355" s="125">
        <f t="shared" si="256"/>
        <v>190</v>
      </c>
      <c r="E3355" s="124"/>
      <c r="F3355" s="124"/>
    </row>
    <row r="3356" hidden="1">
      <c r="A3356" s="128" t="s">
        <v>1546</v>
      </c>
      <c r="B3356" s="147">
        <v>1190.0</v>
      </c>
      <c r="C3356" s="147">
        <v>1295.0</v>
      </c>
      <c r="D3356" s="132">
        <f t="shared" si="256"/>
        <v>105</v>
      </c>
      <c r="E3356" s="129"/>
      <c r="F3356" s="129"/>
      <c r="G3356" s="150"/>
      <c r="H3356" s="129"/>
      <c r="I3356" s="129"/>
      <c r="J3356" s="129"/>
      <c r="K3356" s="129"/>
      <c r="L3356" s="129"/>
      <c r="M3356" s="129"/>
      <c r="N3356" s="129"/>
      <c r="O3356" s="129"/>
      <c r="P3356" s="129"/>
      <c r="Q3356" s="129"/>
      <c r="R3356" s="129"/>
      <c r="S3356" s="129"/>
      <c r="T3356" s="129"/>
      <c r="U3356" s="129"/>
      <c r="V3356" s="129"/>
      <c r="W3356" s="129"/>
      <c r="X3356" s="129"/>
      <c r="Y3356" s="129"/>
      <c r="Z3356" s="129"/>
      <c r="AA3356" s="129"/>
      <c r="AB3356" s="129"/>
    </row>
    <row r="3357" hidden="1">
      <c r="A3357" s="128" t="s">
        <v>1093</v>
      </c>
      <c r="B3357" s="147">
        <v>1490.0</v>
      </c>
      <c r="C3357" s="147">
        <v>1630.0</v>
      </c>
      <c r="D3357" s="132">
        <f t="shared" si="256"/>
        <v>140</v>
      </c>
      <c r="E3357" s="127"/>
      <c r="F3357" s="139"/>
      <c r="G3357" s="129"/>
      <c r="H3357" s="129"/>
      <c r="I3357" s="129"/>
      <c r="J3357" s="129"/>
      <c r="K3357" s="129"/>
      <c r="L3357" s="129"/>
      <c r="M3357" s="129"/>
      <c r="N3357" s="129"/>
      <c r="O3357" s="129"/>
      <c r="P3357" s="129"/>
      <c r="Q3357" s="129"/>
      <c r="R3357" s="129"/>
      <c r="S3357" s="129"/>
      <c r="T3357" s="129"/>
      <c r="U3357" s="129"/>
      <c r="V3357" s="129"/>
      <c r="W3357" s="129"/>
      <c r="X3357" s="129"/>
      <c r="Y3357" s="129"/>
      <c r="Z3357" s="129"/>
      <c r="AA3357" s="129"/>
      <c r="AB3357" s="129"/>
    </row>
    <row r="3358" hidden="1">
      <c r="A3358" s="128" t="s">
        <v>1556</v>
      </c>
      <c r="B3358" s="147">
        <v>5990.0</v>
      </c>
      <c r="C3358" s="147">
        <v>6990.0</v>
      </c>
      <c r="D3358" s="132">
        <f t="shared" si="256"/>
        <v>1000</v>
      </c>
      <c r="E3358" s="139"/>
      <c r="F3358" s="139"/>
      <c r="G3358" s="129"/>
      <c r="H3358" s="129"/>
      <c r="I3358" s="129"/>
      <c r="J3358" s="129"/>
      <c r="K3358" s="129"/>
      <c r="L3358" s="129"/>
      <c r="M3358" s="129"/>
      <c r="N3358" s="129"/>
      <c r="O3358" s="129"/>
      <c r="P3358" s="129"/>
      <c r="Q3358" s="129"/>
      <c r="R3358" s="129"/>
      <c r="S3358" s="129"/>
      <c r="T3358" s="129"/>
      <c r="U3358" s="129"/>
      <c r="V3358" s="129"/>
      <c r="W3358" s="129"/>
      <c r="X3358" s="129"/>
      <c r="Y3358" s="129"/>
      <c r="Z3358" s="129"/>
      <c r="AA3358" s="129"/>
      <c r="AB3358" s="129"/>
    </row>
    <row r="3359" hidden="1">
      <c r="A3359" s="123" t="s">
        <v>1501</v>
      </c>
      <c r="B3359" s="124">
        <v>990.0</v>
      </c>
      <c r="C3359" s="124">
        <v>1175.0</v>
      </c>
      <c r="D3359" s="125">
        <f t="shared" si="256"/>
        <v>185</v>
      </c>
      <c r="E3359" s="124"/>
      <c r="F3359" s="124"/>
    </row>
    <row r="3360" hidden="1">
      <c r="A3360" s="142" t="s">
        <v>464</v>
      </c>
      <c r="B3360" s="147">
        <v>1290.0</v>
      </c>
      <c r="C3360" s="124">
        <v>1469.0</v>
      </c>
      <c r="D3360" s="125">
        <f t="shared" si="256"/>
        <v>179</v>
      </c>
      <c r="E3360" s="124"/>
      <c r="F3360" s="124"/>
      <c r="G3360" s="129"/>
      <c r="H3360" s="129"/>
      <c r="I3360" s="129"/>
      <c r="J3360" s="129"/>
      <c r="K3360" s="129"/>
      <c r="L3360" s="129"/>
      <c r="M3360" s="129"/>
      <c r="N3360" s="129"/>
      <c r="O3360" s="129"/>
      <c r="P3360" s="129"/>
      <c r="Q3360" s="129"/>
      <c r="R3360" s="129"/>
      <c r="S3360" s="129"/>
      <c r="T3360" s="129"/>
      <c r="U3360" s="129"/>
      <c r="V3360" s="129"/>
      <c r="W3360" s="129"/>
      <c r="X3360" s="129"/>
      <c r="Y3360" s="129"/>
      <c r="Z3360" s="129"/>
      <c r="AA3360" s="129"/>
      <c r="AB3360" s="129"/>
    </row>
    <row r="3361" hidden="1">
      <c r="A3361" s="123" t="s">
        <v>1544</v>
      </c>
      <c r="B3361" s="124">
        <v>890.0</v>
      </c>
      <c r="C3361" s="124">
        <v>1075.0</v>
      </c>
      <c r="D3361" s="125">
        <f t="shared" si="256"/>
        <v>185</v>
      </c>
      <c r="E3361" s="132"/>
      <c r="F3361" s="124"/>
    </row>
    <row r="3362" hidden="1">
      <c r="A3362" s="142" t="s">
        <v>464</v>
      </c>
      <c r="B3362" s="147">
        <v>1290.0</v>
      </c>
      <c r="C3362" s="124">
        <v>1519.0</v>
      </c>
      <c r="D3362" s="125">
        <f t="shared" si="256"/>
        <v>229</v>
      </c>
      <c r="E3362" s="124"/>
      <c r="F3362" s="124"/>
      <c r="G3362" s="129"/>
      <c r="H3362" s="129"/>
      <c r="I3362" s="129"/>
      <c r="J3362" s="129"/>
      <c r="K3362" s="129"/>
      <c r="L3362" s="129"/>
      <c r="M3362" s="129"/>
      <c r="N3362" s="129"/>
      <c r="O3362" s="129"/>
      <c r="P3362" s="129"/>
      <c r="Q3362" s="129"/>
      <c r="R3362" s="129"/>
      <c r="S3362" s="129"/>
      <c r="T3362" s="129"/>
      <c r="U3362" s="129"/>
      <c r="V3362" s="129"/>
      <c r="W3362" s="129"/>
      <c r="X3362" s="129"/>
      <c r="Y3362" s="129"/>
      <c r="Z3362" s="129"/>
      <c r="AA3362" s="129"/>
      <c r="AB3362" s="129"/>
    </row>
    <row r="3363" hidden="1">
      <c r="A3363" s="128" t="s">
        <v>1556</v>
      </c>
      <c r="B3363" s="147">
        <v>6000.0</v>
      </c>
      <c r="C3363" s="147">
        <v>6349.0</v>
      </c>
      <c r="D3363" s="132">
        <f t="shared" si="256"/>
        <v>349</v>
      </c>
      <c r="E3363" s="139"/>
      <c r="F3363" s="139"/>
      <c r="G3363" s="129"/>
      <c r="H3363" s="129"/>
      <c r="I3363" s="129"/>
      <c r="J3363" s="129"/>
      <c r="K3363" s="129"/>
      <c r="L3363" s="129"/>
      <c r="M3363" s="129"/>
      <c r="N3363" s="129"/>
      <c r="O3363" s="129"/>
      <c r="P3363" s="129"/>
      <c r="Q3363" s="129"/>
      <c r="R3363" s="129"/>
      <c r="S3363" s="129"/>
      <c r="T3363" s="129"/>
      <c r="U3363" s="129"/>
      <c r="V3363" s="129"/>
      <c r="W3363" s="129"/>
      <c r="X3363" s="129"/>
      <c r="Y3363" s="129"/>
      <c r="Z3363" s="129"/>
      <c r="AA3363" s="129"/>
      <c r="AB3363" s="129"/>
    </row>
    <row r="3364" hidden="1">
      <c r="A3364" s="128" t="s">
        <v>1250</v>
      </c>
      <c r="B3364" s="147">
        <v>690.0</v>
      </c>
      <c r="C3364" s="147">
        <v>860.0</v>
      </c>
      <c r="D3364" s="132">
        <f t="shared" si="256"/>
        <v>170</v>
      </c>
      <c r="E3364" s="139"/>
      <c r="F3364" s="139"/>
      <c r="G3364" s="129"/>
      <c r="H3364" s="129"/>
      <c r="I3364" s="129"/>
      <c r="J3364" s="129"/>
      <c r="K3364" s="129"/>
      <c r="L3364" s="129"/>
      <c r="M3364" s="129"/>
      <c r="N3364" s="129"/>
      <c r="O3364" s="129"/>
      <c r="P3364" s="129"/>
      <c r="Q3364" s="129"/>
      <c r="R3364" s="129"/>
      <c r="S3364" s="129"/>
      <c r="T3364" s="129"/>
      <c r="U3364" s="129"/>
      <c r="V3364" s="129"/>
      <c r="W3364" s="129"/>
      <c r="X3364" s="129"/>
      <c r="Y3364" s="129"/>
      <c r="Z3364" s="129"/>
      <c r="AA3364" s="129"/>
      <c r="AB3364" s="129"/>
    </row>
    <row r="3365" hidden="1">
      <c r="A3365" s="128" t="s">
        <v>1562</v>
      </c>
      <c r="B3365" s="147">
        <v>1290.0</v>
      </c>
      <c r="C3365" s="147">
        <v>1430.0</v>
      </c>
      <c r="D3365" s="132">
        <f t="shared" si="256"/>
        <v>140</v>
      </c>
      <c r="E3365" s="129"/>
      <c r="F3365" s="129"/>
      <c r="G3365" s="150"/>
      <c r="H3365" s="129"/>
      <c r="I3365" s="129"/>
      <c r="J3365" s="129"/>
      <c r="K3365" s="129"/>
      <c r="L3365" s="129"/>
      <c r="M3365" s="129"/>
      <c r="N3365" s="129"/>
      <c r="O3365" s="129"/>
      <c r="P3365" s="129"/>
      <c r="Q3365" s="129"/>
      <c r="R3365" s="129"/>
      <c r="S3365" s="129"/>
      <c r="T3365" s="129"/>
      <c r="U3365" s="129"/>
      <c r="V3365" s="129"/>
      <c r="W3365" s="129"/>
      <c r="X3365" s="129"/>
      <c r="Y3365" s="129"/>
      <c r="Z3365" s="129"/>
      <c r="AA3365" s="129"/>
      <c r="AB3365" s="129"/>
    </row>
    <row r="3366" hidden="1">
      <c r="A3366" s="128" t="s">
        <v>1546</v>
      </c>
      <c r="B3366" s="147">
        <v>1190.0</v>
      </c>
      <c r="C3366" s="147">
        <v>1338.0</v>
      </c>
      <c r="D3366" s="132">
        <f t="shared" si="256"/>
        <v>148</v>
      </c>
      <c r="E3366" s="129"/>
      <c r="F3366" s="129"/>
      <c r="G3366" s="150"/>
      <c r="H3366" s="129"/>
      <c r="I3366" s="129"/>
      <c r="J3366" s="129"/>
      <c r="K3366" s="129"/>
      <c r="L3366" s="129"/>
      <c r="M3366" s="129"/>
      <c r="N3366" s="129"/>
      <c r="O3366" s="129"/>
      <c r="P3366" s="129"/>
      <c r="Q3366" s="129"/>
      <c r="R3366" s="129"/>
      <c r="S3366" s="129"/>
      <c r="T3366" s="129"/>
      <c r="U3366" s="129"/>
      <c r="V3366" s="129"/>
      <c r="W3366" s="129"/>
      <c r="X3366" s="129"/>
      <c r="Y3366" s="129"/>
      <c r="Z3366" s="129"/>
      <c r="AA3366" s="129"/>
      <c r="AB3366" s="129"/>
    </row>
    <row r="3367" hidden="1">
      <c r="A3367" s="128" t="s">
        <v>398</v>
      </c>
      <c r="B3367" s="147">
        <v>2790.0</v>
      </c>
      <c r="C3367" s="147">
        <v>3143.0</v>
      </c>
      <c r="D3367" s="132">
        <f t="shared" si="256"/>
        <v>353</v>
      </c>
      <c r="E3367" s="139"/>
      <c r="F3367" s="139"/>
      <c r="G3367" s="129"/>
      <c r="H3367" s="129"/>
      <c r="I3367" s="129"/>
      <c r="J3367" s="129"/>
      <c r="K3367" s="129"/>
      <c r="L3367" s="129"/>
      <c r="M3367" s="129"/>
      <c r="N3367" s="129"/>
      <c r="O3367" s="129"/>
      <c r="P3367" s="129"/>
      <c r="Q3367" s="129"/>
      <c r="R3367" s="129"/>
      <c r="S3367" s="129"/>
      <c r="T3367" s="129"/>
      <c r="U3367" s="129"/>
      <c r="V3367" s="129"/>
      <c r="W3367" s="129"/>
      <c r="X3367" s="129"/>
      <c r="Y3367" s="129"/>
      <c r="Z3367" s="129"/>
      <c r="AA3367" s="129"/>
      <c r="AB3367" s="129"/>
    </row>
    <row r="3368" hidden="1">
      <c r="A3368" s="128" t="s">
        <v>1219</v>
      </c>
      <c r="B3368" s="147">
        <v>0.0</v>
      </c>
      <c r="C3368" s="124">
        <v>0.0</v>
      </c>
      <c r="D3368" s="132">
        <f t="shared" si="256"/>
        <v>0</v>
      </c>
      <c r="E3368" s="124"/>
      <c r="F3368" s="124"/>
      <c r="G3368" s="129"/>
      <c r="H3368" s="129"/>
      <c r="I3368" s="129"/>
      <c r="J3368" s="129"/>
      <c r="K3368" s="129"/>
      <c r="L3368" s="129"/>
      <c r="M3368" s="129"/>
      <c r="N3368" s="129"/>
      <c r="O3368" s="129"/>
      <c r="P3368" s="129"/>
      <c r="Q3368" s="129"/>
      <c r="R3368" s="129"/>
      <c r="S3368" s="129"/>
      <c r="T3368" s="129"/>
      <c r="U3368" s="129"/>
      <c r="V3368" s="129"/>
      <c r="W3368" s="129"/>
      <c r="X3368" s="129"/>
      <c r="Y3368" s="129"/>
      <c r="Z3368" s="129"/>
      <c r="AA3368" s="129"/>
      <c r="AB3368" s="129"/>
    </row>
    <row r="3369" hidden="1">
      <c r="A3369" s="159" t="s">
        <v>1563</v>
      </c>
      <c r="B3369" s="124">
        <v>790.0</v>
      </c>
      <c r="C3369" s="124">
        <v>950.0</v>
      </c>
      <c r="D3369" s="125">
        <f t="shared" si="256"/>
        <v>160</v>
      </c>
      <c r="E3369" s="124"/>
      <c r="F3369" s="124"/>
    </row>
    <row r="3370" hidden="1">
      <c r="A3370" s="128" t="s">
        <v>968</v>
      </c>
      <c r="B3370" s="147">
        <v>2090.0</v>
      </c>
      <c r="C3370" s="147">
        <v>2490.0</v>
      </c>
      <c r="D3370" s="132">
        <f t="shared" si="256"/>
        <v>400</v>
      </c>
      <c r="E3370" s="132"/>
      <c r="F3370" s="132"/>
      <c r="G3370" s="129"/>
      <c r="H3370" s="129"/>
      <c r="I3370" s="129"/>
      <c r="J3370" s="129"/>
      <c r="K3370" s="129"/>
      <c r="L3370" s="129"/>
      <c r="M3370" s="129"/>
      <c r="N3370" s="129"/>
      <c r="O3370" s="129"/>
      <c r="P3370" s="129"/>
      <c r="Q3370" s="129"/>
      <c r="R3370" s="129"/>
      <c r="S3370" s="129"/>
      <c r="T3370" s="129"/>
      <c r="U3370" s="129"/>
      <c r="V3370" s="129"/>
      <c r="W3370" s="129"/>
      <c r="X3370" s="129"/>
      <c r="Y3370" s="129"/>
      <c r="Z3370" s="129"/>
      <c r="AA3370" s="129"/>
      <c r="AB3370" s="129"/>
    </row>
    <row r="3371" hidden="1">
      <c r="A3371" s="123" t="s">
        <v>1564</v>
      </c>
      <c r="B3371" s="124">
        <v>1990.0</v>
      </c>
      <c r="C3371" s="124">
        <v>2342.0</v>
      </c>
      <c r="D3371" s="125">
        <f t="shared" si="256"/>
        <v>352</v>
      </c>
      <c r="E3371" s="124"/>
      <c r="F3371" s="124"/>
    </row>
    <row r="3372" hidden="1">
      <c r="A3372" s="142" t="s">
        <v>1449</v>
      </c>
      <c r="B3372" s="147">
        <v>0.0</v>
      </c>
      <c r="C3372" s="147">
        <v>0.0</v>
      </c>
      <c r="D3372" s="132">
        <f t="shared" si="256"/>
        <v>0</v>
      </c>
      <c r="E3372" s="127"/>
      <c r="F3372" s="139"/>
      <c r="G3372" s="129"/>
      <c r="H3372" s="129"/>
      <c r="I3372" s="129"/>
      <c r="J3372" s="129"/>
      <c r="K3372" s="129"/>
      <c r="L3372" s="129"/>
      <c r="M3372" s="129"/>
      <c r="N3372" s="129"/>
      <c r="O3372" s="129"/>
      <c r="P3372" s="129"/>
      <c r="Q3372" s="129"/>
      <c r="R3372" s="129"/>
      <c r="S3372" s="129"/>
      <c r="T3372" s="129"/>
      <c r="U3372" s="129"/>
      <c r="V3372" s="129"/>
      <c r="W3372" s="129"/>
      <c r="X3372" s="129"/>
      <c r="Y3372" s="129"/>
      <c r="Z3372" s="129"/>
      <c r="AA3372" s="129"/>
      <c r="AB3372" s="129"/>
    </row>
    <row r="3373" hidden="1">
      <c r="A3373" s="128" t="s">
        <v>1209</v>
      </c>
      <c r="B3373" s="147">
        <v>1450.0</v>
      </c>
      <c r="C3373" s="147">
        <v>1622.0</v>
      </c>
      <c r="D3373" s="132">
        <f t="shared" si="256"/>
        <v>172</v>
      </c>
      <c r="E3373" s="132"/>
      <c r="F3373" s="132"/>
      <c r="G3373" s="129"/>
      <c r="H3373" s="129"/>
      <c r="I3373" s="129"/>
      <c r="J3373" s="129"/>
      <c r="K3373" s="129"/>
      <c r="L3373" s="129"/>
      <c r="M3373" s="129"/>
      <c r="N3373" s="129"/>
      <c r="O3373" s="129"/>
      <c r="P3373" s="129"/>
      <c r="Q3373" s="129"/>
      <c r="R3373" s="129"/>
      <c r="S3373" s="129"/>
      <c r="T3373" s="129"/>
      <c r="U3373" s="129"/>
      <c r="V3373" s="129"/>
      <c r="W3373" s="129"/>
      <c r="X3373" s="129"/>
      <c r="Y3373" s="129"/>
      <c r="Z3373" s="129"/>
      <c r="AA3373" s="129"/>
      <c r="AB3373" s="129"/>
    </row>
    <row r="3374" hidden="1">
      <c r="A3374" s="123" t="s">
        <v>1565</v>
      </c>
      <c r="B3374" s="124">
        <v>590.0</v>
      </c>
      <c r="C3374" s="124">
        <v>762.0</v>
      </c>
      <c r="D3374" s="125">
        <f t="shared" si="256"/>
        <v>172</v>
      </c>
      <c r="E3374" s="124"/>
      <c r="F3374" s="124"/>
    </row>
    <row r="3375" hidden="1">
      <c r="A3375" s="128" t="s">
        <v>1566</v>
      </c>
      <c r="B3375" s="124">
        <v>990.0</v>
      </c>
      <c r="C3375" s="147">
        <v>1152.0</v>
      </c>
      <c r="D3375" s="132">
        <f t="shared" si="256"/>
        <v>162</v>
      </c>
      <c r="E3375" s="132"/>
      <c r="F3375" s="132"/>
      <c r="G3375" s="129"/>
      <c r="H3375" s="129"/>
      <c r="I3375" s="129"/>
      <c r="J3375" s="129"/>
      <c r="K3375" s="129"/>
      <c r="L3375" s="129"/>
      <c r="M3375" s="129"/>
      <c r="N3375" s="129"/>
      <c r="O3375" s="129"/>
      <c r="P3375" s="129"/>
      <c r="Q3375" s="129"/>
      <c r="R3375" s="129"/>
      <c r="S3375" s="129"/>
      <c r="T3375" s="129"/>
      <c r="U3375" s="129"/>
      <c r="V3375" s="129"/>
      <c r="W3375" s="129"/>
      <c r="X3375" s="129"/>
      <c r="Y3375" s="129"/>
      <c r="Z3375" s="129"/>
      <c r="AA3375" s="129"/>
      <c r="AB3375" s="129"/>
    </row>
    <row r="3376" hidden="1">
      <c r="A3376" s="150" t="s">
        <v>1213</v>
      </c>
      <c r="B3376" s="147">
        <v>1450.0</v>
      </c>
      <c r="C3376" s="147">
        <v>1590.0</v>
      </c>
      <c r="D3376" s="132">
        <f t="shared" si="256"/>
        <v>140</v>
      </c>
      <c r="E3376" s="132"/>
      <c r="F3376" s="139"/>
      <c r="G3376" s="129"/>
      <c r="H3376" s="129"/>
      <c r="I3376" s="129"/>
      <c r="J3376" s="129"/>
      <c r="K3376" s="129"/>
      <c r="L3376" s="129"/>
      <c r="M3376" s="129"/>
      <c r="N3376" s="129"/>
      <c r="O3376" s="129"/>
      <c r="P3376" s="129"/>
      <c r="Q3376" s="129"/>
      <c r="R3376" s="129"/>
      <c r="S3376" s="129"/>
      <c r="T3376" s="129"/>
      <c r="U3376" s="129"/>
      <c r="V3376" s="129"/>
      <c r="W3376" s="129"/>
      <c r="X3376" s="129"/>
      <c r="Y3376" s="129"/>
      <c r="Z3376" s="129"/>
      <c r="AA3376" s="129"/>
      <c r="AB3376" s="129"/>
    </row>
    <row r="3377" hidden="1">
      <c r="A3377" s="128" t="s">
        <v>409</v>
      </c>
      <c r="B3377" s="147">
        <v>590.0</v>
      </c>
      <c r="C3377" s="147">
        <v>757.0</v>
      </c>
      <c r="D3377" s="132">
        <f t="shared" si="256"/>
        <v>167</v>
      </c>
      <c r="E3377" s="139"/>
      <c r="F3377" s="139"/>
      <c r="G3377" s="129"/>
      <c r="H3377" s="129"/>
      <c r="I3377" s="129"/>
      <c r="J3377" s="129"/>
      <c r="K3377" s="129"/>
      <c r="L3377" s="129"/>
      <c r="M3377" s="129"/>
      <c r="N3377" s="129"/>
      <c r="O3377" s="129"/>
      <c r="P3377" s="129"/>
      <c r="Q3377" s="129"/>
      <c r="R3377" s="129"/>
      <c r="S3377" s="129"/>
      <c r="T3377" s="129"/>
      <c r="U3377" s="129"/>
      <c r="V3377" s="129"/>
      <c r="W3377" s="129"/>
      <c r="X3377" s="129"/>
      <c r="Y3377" s="129"/>
      <c r="Z3377" s="129"/>
      <c r="AA3377" s="129"/>
      <c r="AB3377" s="129"/>
    </row>
    <row r="3378" hidden="1">
      <c r="A3378" s="128" t="s">
        <v>1567</v>
      </c>
      <c r="B3378" s="147">
        <v>19000.0</v>
      </c>
      <c r="C3378" s="147">
        <v>21200.0</v>
      </c>
      <c r="D3378" s="125">
        <f t="shared" si="256"/>
        <v>2200</v>
      </c>
      <c r="E3378" s="147"/>
      <c r="F3378" s="132"/>
      <c r="G3378" s="129"/>
      <c r="H3378" s="129"/>
      <c r="I3378" s="129"/>
      <c r="J3378" s="129"/>
      <c r="K3378" s="129"/>
      <c r="L3378" s="129"/>
      <c r="M3378" s="129"/>
      <c r="N3378" s="129"/>
      <c r="O3378" s="129"/>
      <c r="P3378" s="129"/>
      <c r="Q3378" s="129"/>
      <c r="R3378" s="129"/>
      <c r="S3378" s="129"/>
      <c r="T3378" s="129"/>
      <c r="U3378" s="129"/>
      <c r="V3378" s="129"/>
      <c r="W3378" s="129"/>
      <c r="X3378" s="129"/>
      <c r="Y3378" s="129"/>
      <c r="Z3378" s="129"/>
      <c r="AA3378" s="129"/>
      <c r="AB3378" s="129"/>
    </row>
    <row r="3379" hidden="1">
      <c r="A3379" s="128" t="s">
        <v>521</v>
      </c>
      <c r="B3379" s="147">
        <v>0.0</v>
      </c>
      <c r="C3379" s="147">
        <v>0.0</v>
      </c>
      <c r="D3379" s="132">
        <f t="shared" si="256"/>
        <v>0</v>
      </c>
      <c r="E3379" s="132"/>
      <c r="F3379" s="132"/>
      <c r="G3379" s="129"/>
      <c r="H3379" s="129"/>
      <c r="I3379" s="129"/>
      <c r="J3379" s="129"/>
      <c r="K3379" s="129"/>
      <c r="L3379" s="129"/>
      <c r="M3379" s="129"/>
      <c r="N3379" s="129"/>
      <c r="O3379" s="129"/>
      <c r="P3379" s="129"/>
      <c r="Q3379" s="129"/>
      <c r="R3379" s="129"/>
      <c r="S3379" s="129"/>
      <c r="T3379" s="129"/>
      <c r="U3379" s="129"/>
      <c r="V3379" s="129"/>
      <c r="W3379" s="129"/>
      <c r="X3379" s="129"/>
      <c r="Y3379" s="129"/>
      <c r="Z3379" s="129"/>
      <c r="AA3379" s="129"/>
      <c r="AB3379" s="129"/>
    </row>
    <row r="3380" hidden="1">
      <c r="A3380" s="159" t="s">
        <v>384</v>
      </c>
      <c r="B3380" s="124">
        <v>0.0</v>
      </c>
      <c r="C3380" s="124">
        <v>0.0</v>
      </c>
      <c r="D3380" s="125">
        <f t="shared" si="256"/>
        <v>0</v>
      </c>
      <c r="E3380" s="124"/>
      <c r="F3380" s="124"/>
    </row>
    <row r="3381" hidden="1">
      <c r="A3381" s="128" t="s">
        <v>1537</v>
      </c>
      <c r="B3381" s="147">
        <v>0.0</v>
      </c>
      <c r="C3381" s="147">
        <v>0.0</v>
      </c>
      <c r="D3381" s="132">
        <f t="shared" si="256"/>
        <v>0</v>
      </c>
      <c r="E3381" s="132"/>
      <c r="F3381" s="132"/>
      <c r="G3381" s="129"/>
      <c r="H3381" s="129"/>
      <c r="I3381" s="129"/>
      <c r="J3381" s="129"/>
      <c r="K3381" s="129"/>
      <c r="L3381" s="129"/>
      <c r="M3381" s="129"/>
      <c r="N3381" s="129"/>
      <c r="O3381" s="129"/>
      <c r="P3381" s="129"/>
      <c r="Q3381" s="129"/>
      <c r="R3381" s="129"/>
      <c r="S3381" s="129"/>
      <c r="T3381" s="129"/>
      <c r="U3381" s="129"/>
      <c r="V3381" s="129"/>
      <c r="W3381" s="129"/>
      <c r="X3381" s="129"/>
      <c r="Y3381" s="129"/>
      <c r="Z3381" s="129"/>
      <c r="AA3381" s="129"/>
      <c r="AB3381" s="129"/>
    </row>
    <row r="3382" hidden="1">
      <c r="A3382" s="128" t="s">
        <v>1568</v>
      </c>
      <c r="B3382" s="147">
        <v>0.0</v>
      </c>
      <c r="C3382" s="147">
        <v>0.0</v>
      </c>
      <c r="D3382" s="132">
        <f t="shared" si="256"/>
        <v>0</v>
      </c>
      <c r="E3382" s="132"/>
      <c r="F3382" s="132"/>
      <c r="G3382" s="129"/>
      <c r="H3382" s="129"/>
      <c r="I3382" s="129"/>
      <c r="J3382" s="129"/>
      <c r="K3382" s="129"/>
      <c r="L3382" s="129"/>
      <c r="M3382" s="129"/>
      <c r="N3382" s="129"/>
      <c r="O3382" s="129"/>
      <c r="P3382" s="129"/>
      <c r="Q3382" s="129"/>
      <c r="R3382" s="129"/>
      <c r="S3382" s="129"/>
      <c r="T3382" s="129"/>
      <c r="U3382" s="129"/>
      <c r="V3382" s="129"/>
      <c r="W3382" s="129"/>
      <c r="X3382" s="129"/>
      <c r="Y3382" s="129"/>
      <c r="Z3382" s="129"/>
      <c r="AA3382" s="129"/>
      <c r="AB3382" s="129"/>
    </row>
    <row r="3383" hidden="1">
      <c r="A3383" s="123" t="s">
        <v>1569</v>
      </c>
      <c r="B3383" s="124">
        <v>0.0</v>
      </c>
      <c r="C3383" s="124">
        <v>0.0</v>
      </c>
      <c r="D3383" s="125">
        <f t="shared" si="256"/>
        <v>0</v>
      </c>
      <c r="E3383" s="147"/>
      <c r="F3383" s="124"/>
    </row>
    <row r="3384" hidden="1">
      <c r="A3384" s="123" t="s">
        <v>1570</v>
      </c>
      <c r="B3384" s="124">
        <v>0.0</v>
      </c>
      <c r="C3384" s="124">
        <v>0.0</v>
      </c>
      <c r="D3384" s="125">
        <f t="shared" si="256"/>
        <v>0</v>
      </c>
      <c r="E3384" s="147"/>
      <c r="F3384" s="124"/>
    </row>
    <row r="3385" hidden="1">
      <c r="A3385" s="159" t="s">
        <v>1571</v>
      </c>
      <c r="B3385" s="147">
        <v>0.0</v>
      </c>
      <c r="C3385" s="147">
        <v>0.0</v>
      </c>
      <c r="D3385" s="132">
        <f t="shared" si="256"/>
        <v>0</v>
      </c>
      <c r="E3385" s="139"/>
      <c r="F3385" s="139"/>
      <c r="G3385" s="129"/>
      <c r="H3385" s="129"/>
      <c r="I3385" s="129"/>
      <c r="J3385" s="129"/>
      <c r="K3385" s="129"/>
      <c r="L3385" s="129"/>
      <c r="M3385" s="129"/>
      <c r="N3385" s="129"/>
      <c r="O3385" s="129"/>
      <c r="P3385" s="129"/>
      <c r="Q3385" s="129"/>
      <c r="R3385" s="129"/>
      <c r="S3385" s="129"/>
      <c r="T3385" s="129"/>
      <c r="U3385" s="129"/>
      <c r="V3385" s="129"/>
      <c r="W3385" s="129"/>
      <c r="X3385" s="129"/>
      <c r="Y3385" s="129"/>
      <c r="Z3385" s="129"/>
      <c r="AA3385" s="129"/>
      <c r="AB3385" s="129"/>
    </row>
    <row r="3386" hidden="1">
      <c r="A3386" s="128" t="s">
        <v>516</v>
      </c>
      <c r="B3386" s="147">
        <v>0.0</v>
      </c>
      <c r="C3386" s="147">
        <v>0.0</v>
      </c>
      <c r="D3386" s="132">
        <f t="shared" si="256"/>
        <v>0</v>
      </c>
      <c r="E3386" s="132"/>
      <c r="F3386" s="132"/>
      <c r="G3386" s="129"/>
      <c r="H3386" s="129"/>
      <c r="I3386" s="129"/>
      <c r="J3386" s="129"/>
      <c r="K3386" s="129"/>
      <c r="L3386" s="129"/>
      <c r="M3386" s="129"/>
      <c r="N3386" s="129"/>
      <c r="O3386" s="129"/>
      <c r="P3386" s="129"/>
      <c r="Q3386" s="129"/>
      <c r="R3386" s="129"/>
      <c r="S3386" s="129"/>
      <c r="T3386" s="129"/>
      <c r="U3386" s="129"/>
      <c r="V3386" s="129"/>
      <c r="W3386" s="129"/>
      <c r="X3386" s="129"/>
      <c r="Y3386" s="129"/>
      <c r="Z3386" s="129"/>
      <c r="AA3386" s="129"/>
      <c r="AB3386" s="129"/>
    </row>
    <row r="3387" hidden="1">
      <c r="A3387" s="123" t="s">
        <v>1572</v>
      </c>
      <c r="B3387" s="124">
        <v>0.0</v>
      </c>
      <c r="C3387" s="124">
        <v>0.0</v>
      </c>
      <c r="D3387" s="125">
        <f t="shared" si="256"/>
        <v>0</v>
      </c>
      <c r="E3387" s="124"/>
      <c r="F3387" s="124"/>
    </row>
    <row r="3388" hidden="1">
      <c r="A3388" s="128" t="s">
        <v>1573</v>
      </c>
      <c r="B3388" s="147">
        <v>0.0</v>
      </c>
      <c r="C3388" s="147">
        <v>0.0</v>
      </c>
      <c r="D3388" s="132">
        <f t="shared" si="256"/>
        <v>0</v>
      </c>
      <c r="E3388" s="127"/>
      <c r="F3388" s="139"/>
      <c r="G3388" s="129"/>
      <c r="H3388" s="129"/>
      <c r="I3388" s="129"/>
      <c r="J3388" s="129"/>
      <c r="K3388" s="129"/>
      <c r="L3388" s="129"/>
      <c r="M3388" s="129"/>
      <c r="N3388" s="129"/>
      <c r="O3388" s="129"/>
      <c r="P3388" s="129"/>
      <c r="Q3388" s="129"/>
      <c r="R3388" s="129"/>
      <c r="S3388" s="129"/>
      <c r="T3388" s="129"/>
      <c r="U3388" s="129"/>
      <c r="V3388" s="129"/>
      <c r="W3388" s="129"/>
      <c r="X3388" s="129"/>
      <c r="Y3388" s="129"/>
      <c r="Z3388" s="129"/>
      <c r="AA3388" s="129"/>
      <c r="AB3388" s="129"/>
    </row>
    <row r="3389" hidden="1">
      <c r="A3389" s="123" t="s">
        <v>1574</v>
      </c>
      <c r="B3389" s="124">
        <v>0.0</v>
      </c>
      <c r="C3389" s="124">
        <v>0.0</v>
      </c>
      <c r="D3389" s="125">
        <f t="shared" si="256"/>
        <v>0</v>
      </c>
      <c r="E3389" s="124"/>
      <c r="F3389" s="124"/>
    </row>
    <row r="3390" hidden="1">
      <c r="A3390" s="150" t="s">
        <v>1348</v>
      </c>
      <c r="B3390" s="147">
        <v>1500.0</v>
      </c>
      <c r="C3390" s="147">
        <v>1679.0</v>
      </c>
      <c r="D3390" s="132">
        <f t="shared" si="256"/>
        <v>179</v>
      </c>
      <c r="E3390" s="139"/>
      <c r="F3390" s="139"/>
      <c r="G3390" s="129"/>
      <c r="H3390" s="129"/>
      <c r="I3390" s="129"/>
      <c r="J3390" s="129"/>
      <c r="K3390" s="129"/>
      <c r="L3390" s="129"/>
      <c r="M3390" s="129"/>
      <c r="N3390" s="129"/>
      <c r="O3390" s="129"/>
      <c r="P3390" s="129"/>
      <c r="Q3390" s="129"/>
      <c r="R3390" s="129"/>
      <c r="S3390" s="129"/>
      <c r="T3390" s="129"/>
      <c r="U3390" s="129"/>
      <c r="V3390" s="129"/>
      <c r="W3390" s="129"/>
      <c r="X3390" s="129"/>
      <c r="Y3390" s="129"/>
      <c r="Z3390" s="129"/>
      <c r="AA3390" s="129"/>
      <c r="AB3390" s="129"/>
    </row>
    <row r="3391" hidden="1">
      <c r="A3391" s="150" t="s">
        <v>1213</v>
      </c>
      <c r="B3391" s="147">
        <v>1450.0</v>
      </c>
      <c r="C3391" s="147">
        <v>1565.0</v>
      </c>
      <c r="D3391" s="132">
        <f t="shared" si="256"/>
        <v>115</v>
      </c>
      <c r="E3391" s="132"/>
      <c r="F3391" s="139"/>
      <c r="G3391" s="129"/>
      <c r="H3391" s="129"/>
      <c r="I3391" s="129"/>
      <c r="J3391" s="129"/>
      <c r="K3391" s="129"/>
      <c r="L3391" s="129"/>
      <c r="M3391" s="129"/>
      <c r="N3391" s="129"/>
      <c r="O3391" s="129"/>
      <c r="P3391" s="129"/>
      <c r="Q3391" s="129"/>
      <c r="R3391" s="129"/>
      <c r="S3391" s="129"/>
      <c r="T3391" s="129"/>
      <c r="U3391" s="129"/>
      <c r="V3391" s="129"/>
      <c r="W3391" s="129"/>
      <c r="X3391" s="129"/>
      <c r="Y3391" s="129"/>
      <c r="Z3391" s="129"/>
      <c r="AA3391" s="129"/>
      <c r="AB3391" s="129"/>
    </row>
    <row r="3392" hidden="1">
      <c r="A3392" s="150" t="s">
        <v>1213</v>
      </c>
      <c r="B3392" s="147">
        <v>5875.0</v>
      </c>
      <c r="C3392" s="147">
        <v>6345.0</v>
      </c>
      <c r="D3392" s="132">
        <f t="shared" si="256"/>
        <v>470</v>
      </c>
      <c r="E3392" s="132"/>
      <c r="F3392" s="139"/>
      <c r="G3392" s="129"/>
      <c r="H3392" s="129"/>
      <c r="I3392" s="129"/>
      <c r="J3392" s="129"/>
      <c r="K3392" s="129"/>
      <c r="L3392" s="129"/>
      <c r="M3392" s="129"/>
      <c r="N3392" s="129"/>
      <c r="O3392" s="129"/>
      <c r="P3392" s="129"/>
      <c r="Q3392" s="129"/>
      <c r="R3392" s="129"/>
      <c r="S3392" s="129"/>
      <c r="T3392" s="129"/>
      <c r="U3392" s="129"/>
      <c r="V3392" s="129"/>
      <c r="W3392" s="129"/>
      <c r="X3392" s="129"/>
      <c r="Y3392" s="129"/>
      <c r="Z3392" s="129"/>
      <c r="AA3392" s="129"/>
      <c r="AB3392" s="129"/>
    </row>
    <row r="3393" hidden="1">
      <c r="A3393" s="150" t="s">
        <v>1213</v>
      </c>
      <c r="B3393" s="147">
        <v>0.0</v>
      </c>
      <c r="C3393" s="147">
        <v>0.0</v>
      </c>
      <c r="D3393" s="132">
        <f t="shared" si="256"/>
        <v>0</v>
      </c>
      <c r="E3393" s="132"/>
      <c r="F3393" s="139"/>
      <c r="G3393" s="129"/>
      <c r="H3393" s="129"/>
      <c r="I3393" s="129"/>
      <c r="J3393" s="129"/>
      <c r="K3393" s="129"/>
      <c r="L3393" s="129"/>
      <c r="M3393" s="129"/>
      <c r="N3393" s="129"/>
      <c r="O3393" s="129"/>
      <c r="P3393" s="129"/>
      <c r="Q3393" s="129"/>
      <c r="R3393" s="129"/>
      <c r="S3393" s="129"/>
      <c r="T3393" s="129"/>
      <c r="U3393" s="129"/>
      <c r="V3393" s="129"/>
      <c r="W3393" s="129"/>
      <c r="X3393" s="129"/>
      <c r="Y3393" s="129"/>
      <c r="Z3393" s="129"/>
      <c r="AA3393" s="129"/>
      <c r="AB3393" s="129"/>
    </row>
    <row r="3394" hidden="1">
      <c r="A3394" s="128" t="s">
        <v>1216</v>
      </c>
      <c r="B3394" s="147">
        <v>0.0</v>
      </c>
      <c r="C3394" s="147">
        <v>0.0</v>
      </c>
      <c r="D3394" s="132">
        <f t="shared" si="256"/>
        <v>0</v>
      </c>
      <c r="E3394" s="132"/>
      <c r="F3394" s="139"/>
      <c r="G3394" s="129"/>
      <c r="H3394" s="129"/>
      <c r="I3394" s="129"/>
      <c r="J3394" s="129"/>
      <c r="K3394" s="129"/>
      <c r="L3394" s="129"/>
      <c r="M3394" s="129"/>
      <c r="N3394" s="129"/>
      <c r="O3394" s="129"/>
      <c r="P3394" s="129"/>
      <c r="Q3394" s="129"/>
      <c r="R3394" s="129"/>
      <c r="S3394" s="129"/>
      <c r="T3394" s="129"/>
      <c r="U3394" s="129"/>
      <c r="V3394" s="129"/>
      <c r="W3394" s="129"/>
      <c r="X3394" s="129"/>
      <c r="Y3394" s="129"/>
      <c r="Z3394" s="129"/>
      <c r="AA3394" s="129"/>
      <c r="AB3394" s="129"/>
    </row>
    <row r="3395" hidden="1">
      <c r="A3395" s="128" t="s">
        <v>1093</v>
      </c>
      <c r="B3395" s="147">
        <v>0.0</v>
      </c>
      <c r="C3395" s="147">
        <v>0.0</v>
      </c>
      <c r="D3395" s="132">
        <f t="shared" si="256"/>
        <v>0</v>
      </c>
      <c r="E3395" s="127"/>
      <c r="F3395" s="139"/>
      <c r="G3395" s="129"/>
      <c r="H3395" s="129"/>
      <c r="I3395" s="129"/>
      <c r="J3395" s="129"/>
      <c r="K3395" s="129"/>
      <c r="L3395" s="129"/>
      <c r="M3395" s="129"/>
      <c r="N3395" s="129"/>
      <c r="O3395" s="129"/>
      <c r="P3395" s="129"/>
      <c r="Q3395" s="129"/>
      <c r="R3395" s="129"/>
      <c r="S3395" s="129"/>
      <c r="T3395" s="129"/>
      <c r="U3395" s="129"/>
      <c r="V3395" s="129"/>
      <c r="W3395" s="129"/>
      <c r="X3395" s="129"/>
      <c r="Y3395" s="129"/>
      <c r="Z3395" s="129"/>
      <c r="AA3395" s="129"/>
      <c r="AB3395" s="129"/>
    </row>
    <row r="3396" hidden="1">
      <c r="A3396" s="123" t="s">
        <v>1453</v>
      </c>
      <c r="B3396" s="124">
        <v>3990.0</v>
      </c>
      <c r="C3396" s="124">
        <v>4330.0</v>
      </c>
      <c r="D3396" s="125">
        <f t="shared" si="256"/>
        <v>340</v>
      </c>
      <c r="E3396" s="132"/>
      <c r="F3396" s="124"/>
    </row>
    <row r="3397" hidden="1">
      <c r="A3397" s="123" t="s">
        <v>1575</v>
      </c>
      <c r="B3397" s="124">
        <v>1880.0</v>
      </c>
      <c r="C3397" s="124">
        <v>2201.0</v>
      </c>
      <c r="D3397" s="125">
        <f t="shared" si="256"/>
        <v>321</v>
      </c>
      <c r="E3397" s="124"/>
      <c r="F3397" s="124"/>
    </row>
    <row r="3398" hidden="1">
      <c r="A3398" s="128" t="s">
        <v>1559</v>
      </c>
      <c r="B3398" s="147">
        <v>0.0</v>
      </c>
      <c r="C3398" s="147">
        <v>0.0</v>
      </c>
      <c r="D3398" s="132">
        <f t="shared" si="256"/>
        <v>0</v>
      </c>
      <c r="E3398" s="132"/>
      <c r="F3398" s="132"/>
      <c r="G3398" s="129"/>
      <c r="H3398" s="129"/>
      <c r="I3398" s="129"/>
      <c r="J3398" s="129"/>
      <c r="K3398" s="129"/>
      <c r="L3398" s="129"/>
      <c r="M3398" s="129"/>
      <c r="N3398" s="129"/>
      <c r="O3398" s="129"/>
      <c r="P3398" s="129"/>
      <c r="Q3398" s="129"/>
      <c r="R3398" s="129"/>
      <c r="S3398" s="129"/>
      <c r="T3398" s="129"/>
      <c r="U3398" s="129"/>
      <c r="V3398" s="129"/>
      <c r="W3398" s="129"/>
      <c r="X3398" s="129"/>
      <c r="Y3398" s="129"/>
      <c r="Z3398" s="129"/>
      <c r="AA3398" s="129"/>
      <c r="AB3398" s="129"/>
    </row>
    <row r="3399" hidden="1">
      <c r="A3399" s="128" t="s">
        <v>1301</v>
      </c>
      <c r="B3399" s="147">
        <v>1450.0</v>
      </c>
      <c r="C3399" s="147">
        <v>1584.0</v>
      </c>
      <c r="D3399" s="132">
        <f t="shared" si="256"/>
        <v>134</v>
      </c>
      <c r="E3399" s="147"/>
      <c r="F3399" s="132"/>
      <c r="G3399" s="129"/>
      <c r="H3399" s="129"/>
      <c r="I3399" s="129"/>
      <c r="J3399" s="129"/>
      <c r="K3399" s="129"/>
      <c r="L3399" s="129"/>
      <c r="M3399" s="129"/>
      <c r="N3399" s="129"/>
      <c r="O3399" s="129"/>
      <c r="P3399" s="129"/>
      <c r="Q3399" s="129"/>
      <c r="R3399" s="129"/>
      <c r="S3399" s="129"/>
      <c r="T3399" s="129"/>
      <c r="U3399" s="129"/>
      <c r="V3399" s="129"/>
      <c r="W3399" s="129"/>
      <c r="X3399" s="129"/>
      <c r="Y3399" s="129"/>
      <c r="Z3399" s="129"/>
      <c r="AA3399" s="129"/>
      <c r="AB3399" s="129"/>
    </row>
    <row r="3400" hidden="1">
      <c r="A3400" s="150" t="s">
        <v>1576</v>
      </c>
      <c r="B3400" s="124">
        <v>4990.0</v>
      </c>
      <c r="C3400" s="147">
        <v>5745.0</v>
      </c>
      <c r="D3400" s="132">
        <f t="shared" si="256"/>
        <v>755</v>
      </c>
      <c r="E3400" s="139"/>
      <c r="F3400" s="139"/>
      <c r="G3400" s="129"/>
      <c r="H3400" s="129"/>
      <c r="I3400" s="129"/>
      <c r="J3400" s="129"/>
      <c r="K3400" s="129"/>
      <c r="L3400" s="129"/>
      <c r="M3400" s="129"/>
      <c r="N3400" s="129"/>
      <c r="O3400" s="129"/>
      <c r="P3400" s="129"/>
      <c r="Q3400" s="129"/>
      <c r="R3400" s="129"/>
      <c r="S3400" s="129"/>
      <c r="T3400" s="129"/>
      <c r="U3400" s="129"/>
      <c r="V3400" s="129"/>
      <c r="W3400" s="129"/>
      <c r="X3400" s="129"/>
      <c r="Y3400" s="129"/>
      <c r="Z3400" s="129"/>
      <c r="AA3400" s="129"/>
      <c r="AB3400" s="129"/>
    </row>
    <row r="3401" hidden="1">
      <c r="A3401" s="128" t="s">
        <v>1209</v>
      </c>
      <c r="B3401" s="147">
        <v>1450.0</v>
      </c>
      <c r="C3401" s="147">
        <v>1584.0</v>
      </c>
      <c r="D3401" s="132">
        <f t="shared" si="256"/>
        <v>134</v>
      </c>
      <c r="E3401" s="132"/>
      <c r="F3401" s="132"/>
      <c r="G3401" s="129"/>
      <c r="H3401" s="129"/>
      <c r="I3401" s="129"/>
      <c r="J3401" s="129"/>
      <c r="K3401" s="129"/>
      <c r="L3401" s="129"/>
      <c r="M3401" s="129"/>
      <c r="N3401" s="129"/>
      <c r="O3401" s="129"/>
      <c r="P3401" s="129"/>
      <c r="Q3401" s="129"/>
      <c r="R3401" s="129"/>
      <c r="S3401" s="129"/>
      <c r="T3401" s="129"/>
      <c r="U3401" s="129"/>
      <c r="V3401" s="129"/>
      <c r="W3401" s="129"/>
      <c r="X3401" s="129"/>
      <c r="Y3401" s="129"/>
      <c r="Z3401" s="129"/>
      <c r="AA3401" s="129"/>
      <c r="AB3401" s="129"/>
    </row>
    <row r="3402" hidden="1">
      <c r="A3402" s="150" t="s">
        <v>1415</v>
      </c>
      <c r="B3402" s="147">
        <v>890.0</v>
      </c>
      <c r="C3402" s="147">
        <v>1045.0</v>
      </c>
      <c r="D3402" s="132">
        <f t="shared" si="256"/>
        <v>155</v>
      </c>
      <c r="E3402" s="147"/>
      <c r="F3402" s="132"/>
      <c r="G3402" s="129"/>
      <c r="H3402" s="129"/>
      <c r="I3402" s="129"/>
      <c r="J3402" s="129"/>
      <c r="K3402" s="129"/>
      <c r="L3402" s="129"/>
      <c r="M3402" s="129"/>
      <c r="N3402" s="129"/>
      <c r="O3402" s="129"/>
      <c r="P3402" s="129"/>
      <c r="Q3402" s="129"/>
      <c r="R3402" s="129"/>
      <c r="S3402" s="129"/>
      <c r="T3402" s="129"/>
      <c r="U3402" s="129"/>
      <c r="V3402" s="129"/>
      <c r="W3402" s="129"/>
      <c r="X3402" s="129"/>
      <c r="Y3402" s="129"/>
      <c r="Z3402" s="129"/>
      <c r="AA3402" s="129"/>
      <c r="AB3402" s="129"/>
    </row>
    <row r="3403" hidden="1">
      <c r="A3403" s="128" t="s">
        <v>1400</v>
      </c>
      <c r="B3403" s="147">
        <v>1390.0</v>
      </c>
      <c r="C3403" s="147">
        <v>1526.0</v>
      </c>
      <c r="D3403" s="132">
        <f t="shared" si="256"/>
        <v>136</v>
      </c>
      <c r="E3403" s="147"/>
      <c r="F3403" s="132"/>
      <c r="G3403" s="129"/>
      <c r="H3403" s="129"/>
      <c r="I3403" s="129"/>
      <c r="J3403" s="129"/>
      <c r="K3403" s="129"/>
      <c r="L3403" s="129"/>
      <c r="M3403" s="129"/>
      <c r="N3403" s="129"/>
      <c r="O3403" s="129"/>
      <c r="P3403" s="129"/>
      <c r="Q3403" s="129"/>
      <c r="R3403" s="129"/>
      <c r="S3403" s="129"/>
      <c r="T3403" s="129"/>
      <c r="U3403" s="129"/>
      <c r="V3403" s="129"/>
      <c r="W3403" s="129"/>
      <c r="X3403" s="129"/>
      <c r="Y3403" s="129"/>
      <c r="Z3403" s="129"/>
      <c r="AA3403" s="129"/>
      <c r="AB3403" s="129"/>
    </row>
    <row r="3404" hidden="1">
      <c r="A3404" s="128" t="s">
        <v>1301</v>
      </c>
      <c r="B3404" s="147">
        <v>1450.0</v>
      </c>
      <c r="C3404" s="147">
        <v>1583.0</v>
      </c>
      <c r="D3404" s="132">
        <f t="shared" si="256"/>
        <v>133</v>
      </c>
      <c r="E3404" s="147"/>
      <c r="F3404" s="132"/>
      <c r="G3404" s="129"/>
      <c r="H3404" s="129"/>
      <c r="I3404" s="129"/>
      <c r="J3404" s="129"/>
      <c r="K3404" s="129"/>
      <c r="L3404" s="129"/>
      <c r="M3404" s="129"/>
      <c r="N3404" s="129"/>
      <c r="O3404" s="129"/>
      <c r="P3404" s="129"/>
      <c r="Q3404" s="129"/>
      <c r="R3404" s="129"/>
      <c r="S3404" s="129"/>
      <c r="T3404" s="129"/>
      <c r="U3404" s="129"/>
      <c r="V3404" s="129"/>
      <c r="W3404" s="129"/>
      <c r="X3404" s="129"/>
      <c r="Y3404" s="129"/>
      <c r="Z3404" s="129"/>
      <c r="AA3404" s="129"/>
      <c r="AB3404" s="129"/>
    </row>
    <row r="3405" hidden="1">
      <c r="A3405" s="128" t="s">
        <v>1556</v>
      </c>
      <c r="B3405" s="147">
        <v>5990.0</v>
      </c>
      <c r="C3405" s="147">
        <v>6573.0</v>
      </c>
      <c r="D3405" s="132">
        <f t="shared" si="256"/>
        <v>583</v>
      </c>
      <c r="E3405" s="139"/>
      <c r="F3405" s="139"/>
      <c r="G3405" s="129"/>
      <c r="H3405" s="129"/>
      <c r="I3405" s="129"/>
      <c r="J3405" s="129"/>
      <c r="K3405" s="129"/>
      <c r="L3405" s="129"/>
      <c r="M3405" s="129"/>
      <c r="N3405" s="129"/>
      <c r="O3405" s="129"/>
      <c r="P3405" s="129"/>
      <c r="Q3405" s="129"/>
      <c r="R3405" s="129"/>
      <c r="S3405" s="129"/>
      <c r="T3405" s="129"/>
      <c r="U3405" s="129"/>
      <c r="V3405" s="129"/>
      <c r="W3405" s="129"/>
      <c r="X3405" s="129"/>
      <c r="Y3405" s="129"/>
      <c r="Z3405" s="129"/>
      <c r="AA3405" s="129"/>
      <c r="AB3405" s="129"/>
    </row>
    <row r="3406" hidden="1">
      <c r="A3406" s="150" t="s">
        <v>1213</v>
      </c>
      <c r="B3406" s="147">
        <v>1450.0</v>
      </c>
      <c r="C3406" s="147">
        <v>1559.0</v>
      </c>
      <c r="D3406" s="132">
        <f t="shared" si="256"/>
        <v>109</v>
      </c>
      <c r="E3406" s="132"/>
      <c r="F3406" s="139"/>
      <c r="G3406" s="129"/>
      <c r="H3406" s="129"/>
      <c r="I3406" s="129"/>
      <c r="J3406" s="129"/>
      <c r="K3406" s="129"/>
      <c r="L3406" s="129"/>
      <c r="M3406" s="129"/>
      <c r="N3406" s="129"/>
      <c r="O3406" s="129"/>
      <c r="P3406" s="129"/>
      <c r="Q3406" s="129"/>
      <c r="R3406" s="129"/>
      <c r="S3406" s="129"/>
      <c r="T3406" s="129"/>
      <c r="U3406" s="129"/>
      <c r="V3406" s="129"/>
      <c r="W3406" s="129"/>
      <c r="X3406" s="129"/>
      <c r="Y3406" s="129"/>
      <c r="Z3406" s="129"/>
      <c r="AA3406" s="129"/>
      <c r="AB3406" s="129"/>
    </row>
    <row r="3407" hidden="1">
      <c r="A3407" s="128" t="s">
        <v>1556</v>
      </c>
      <c r="B3407" s="147">
        <v>5990.0</v>
      </c>
      <c r="C3407" s="147">
        <v>6577.0</v>
      </c>
      <c r="D3407" s="132">
        <f t="shared" si="256"/>
        <v>587</v>
      </c>
      <c r="E3407" s="139"/>
      <c r="F3407" s="139"/>
      <c r="G3407" s="129"/>
      <c r="H3407" s="129"/>
      <c r="I3407" s="129"/>
      <c r="J3407" s="129"/>
      <c r="K3407" s="129"/>
      <c r="L3407" s="129"/>
      <c r="M3407" s="129"/>
      <c r="N3407" s="129"/>
      <c r="O3407" s="129"/>
      <c r="P3407" s="129"/>
      <c r="Q3407" s="129"/>
      <c r="R3407" s="129"/>
      <c r="S3407" s="129"/>
      <c r="T3407" s="129"/>
      <c r="U3407" s="129"/>
      <c r="V3407" s="129"/>
      <c r="W3407" s="129"/>
      <c r="X3407" s="129"/>
      <c r="Y3407" s="129"/>
      <c r="Z3407" s="129"/>
      <c r="AA3407" s="129"/>
      <c r="AB3407" s="129"/>
    </row>
    <row r="3408" hidden="1">
      <c r="A3408" s="150" t="s">
        <v>1577</v>
      </c>
      <c r="B3408" s="147">
        <v>10990.0</v>
      </c>
      <c r="C3408" s="147">
        <v>12367.0</v>
      </c>
      <c r="D3408" s="132">
        <f t="shared" si="256"/>
        <v>1377</v>
      </c>
      <c r="E3408" s="139"/>
      <c r="F3408" s="139"/>
      <c r="G3408" s="129"/>
      <c r="H3408" s="129"/>
      <c r="I3408" s="129"/>
      <c r="J3408" s="129"/>
      <c r="K3408" s="129"/>
      <c r="L3408" s="129"/>
      <c r="M3408" s="129"/>
      <c r="N3408" s="129"/>
      <c r="O3408" s="129"/>
      <c r="P3408" s="129"/>
      <c r="Q3408" s="129"/>
      <c r="R3408" s="129"/>
      <c r="S3408" s="129"/>
      <c r="T3408" s="129"/>
      <c r="U3408" s="129"/>
      <c r="V3408" s="129"/>
      <c r="W3408" s="129"/>
      <c r="X3408" s="129"/>
      <c r="Y3408" s="129"/>
      <c r="Z3408" s="129"/>
      <c r="AA3408" s="129"/>
      <c r="AB3408" s="129"/>
    </row>
    <row r="3409" hidden="1">
      <c r="A3409" s="150" t="s">
        <v>1577</v>
      </c>
      <c r="B3409" s="147">
        <v>10990.0</v>
      </c>
      <c r="C3409" s="147">
        <v>12374.0</v>
      </c>
      <c r="D3409" s="132">
        <f t="shared" si="256"/>
        <v>1384</v>
      </c>
      <c r="E3409" s="139"/>
      <c r="F3409" s="139"/>
      <c r="G3409" s="129"/>
      <c r="H3409" s="129"/>
      <c r="I3409" s="129"/>
      <c r="J3409" s="129"/>
      <c r="K3409" s="129"/>
      <c r="L3409" s="129"/>
      <c r="M3409" s="129"/>
      <c r="N3409" s="129"/>
      <c r="O3409" s="129"/>
      <c r="P3409" s="129"/>
      <c r="Q3409" s="129"/>
      <c r="R3409" s="129"/>
      <c r="S3409" s="129"/>
      <c r="T3409" s="129"/>
      <c r="U3409" s="129"/>
      <c r="V3409" s="129"/>
      <c r="W3409" s="129"/>
      <c r="X3409" s="129"/>
      <c r="Y3409" s="129"/>
      <c r="Z3409" s="129"/>
      <c r="AA3409" s="129"/>
      <c r="AB3409" s="129"/>
    </row>
    <row r="3410" hidden="1">
      <c r="A3410" s="128" t="s">
        <v>1577</v>
      </c>
      <c r="B3410" s="147">
        <v>10990.0</v>
      </c>
      <c r="C3410" s="147">
        <v>12374.0</v>
      </c>
      <c r="D3410" s="132">
        <f t="shared" si="256"/>
        <v>1384</v>
      </c>
      <c r="E3410" s="139"/>
      <c r="F3410" s="139"/>
      <c r="G3410" s="129"/>
      <c r="H3410" s="129"/>
      <c r="I3410" s="129"/>
      <c r="J3410" s="129"/>
      <c r="K3410" s="129"/>
      <c r="L3410" s="129"/>
      <c r="M3410" s="129"/>
      <c r="N3410" s="129"/>
      <c r="O3410" s="129"/>
      <c r="P3410" s="129"/>
      <c r="Q3410" s="129"/>
      <c r="R3410" s="129"/>
      <c r="S3410" s="129"/>
      <c r="T3410" s="129"/>
      <c r="U3410" s="129"/>
      <c r="V3410" s="129"/>
      <c r="W3410" s="129"/>
      <c r="X3410" s="129"/>
      <c r="Y3410" s="129"/>
      <c r="Z3410" s="129"/>
      <c r="AA3410" s="129"/>
      <c r="AB3410" s="129"/>
    </row>
    <row r="3411" hidden="1">
      <c r="A3411" s="128" t="s">
        <v>1274</v>
      </c>
      <c r="B3411" s="147">
        <v>1090.0</v>
      </c>
      <c r="C3411" s="147">
        <v>1200.0</v>
      </c>
      <c r="D3411" s="132">
        <f t="shared" si="256"/>
        <v>110</v>
      </c>
      <c r="E3411" s="147"/>
      <c r="F3411" s="132"/>
      <c r="G3411" s="129"/>
      <c r="H3411" s="129"/>
      <c r="I3411" s="129"/>
      <c r="J3411" s="129"/>
      <c r="K3411" s="129"/>
      <c r="L3411" s="129"/>
      <c r="M3411" s="129"/>
      <c r="N3411" s="129"/>
      <c r="O3411" s="129"/>
      <c r="P3411" s="129"/>
      <c r="Q3411" s="129"/>
      <c r="R3411" s="129"/>
      <c r="S3411" s="129"/>
      <c r="T3411" s="129"/>
      <c r="U3411" s="129"/>
      <c r="V3411" s="129"/>
      <c r="W3411" s="129"/>
      <c r="X3411" s="129"/>
      <c r="Y3411" s="129"/>
      <c r="Z3411" s="129"/>
      <c r="AA3411" s="129"/>
      <c r="AB3411" s="129"/>
    </row>
    <row r="3412" hidden="1">
      <c r="A3412" s="150" t="s">
        <v>1213</v>
      </c>
      <c r="B3412" s="147">
        <v>1450.0</v>
      </c>
      <c r="C3412" s="147">
        <v>1565.0</v>
      </c>
      <c r="D3412" s="132">
        <f t="shared" si="256"/>
        <v>115</v>
      </c>
      <c r="E3412" s="132"/>
      <c r="F3412" s="139"/>
      <c r="G3412" s="129"/>
      <c r="H3412" s="129"/>
      <c r="I3412" s="129"/>
      <c r="J3412" s="129"/>
      <c r="K3412" s="129"/>
      <c r="L3412" s="129"/>
      <c r="M3412" s="129"/>
      <c r="N3412" s="129"/>
      <c r="O3412" s="129"/>
      <c r="P3412" s="129"/>
      <c r="Q3412" s="129"/>
      <c r="R3412" s="129"/>
      <c r="S3412" s="129"/>
      <c r="T3412" s="129"/>
      <c r="U3412" s="129"/>
      <c r="V3412" s="129"/>
      <c r="W3412" s="129"/>
      <c r="X3412" s="129"/>
      <c r="Y3412" s="129"/>
      <c r="Z3412" s="129"/>
      <c r="AA3412" s="129"/>
      <c r="AB3412" s="129"/>
    </row>
    <row r="3413" hidden="1">
      <c r="A3413" s="150" t="s">
        <v>1213</v>
      </c>
      <c r="B3413" s="147">
        <v>1450.0</v>
      </c>
      <c r="C3413" s="147">
        <v>1559.0</v>
      </c>
      <c r="D3413" s="132">
        <f t="shared" si="256"/>
        <v>109</v>
      </c>
      <c r="E3413" s="132"/>
      <c r="F3413" s="139"/>
      <c r="G3413" s="129"/>
      <c r="H3413" s="129"/>
      <c r="I3413" s="129"/>
      <c r="J3413" s="129"/>
      <c r="K3413" s="129"/>
      <c r="L3413" s="129"/>
      <c r="M3413" s="129"/>
      <c r="N3413" s="129"/>
      <c r="O3413" s="129"/>
      <c r="P3413" s="129"/>
      <c r="Q3413" s="129"/>
      <c r="R3413" s="129"/>
      <c r="S3413" s="129"/>
      <c r="T3413" s="129"/>
      <c r="U3413" s="129"/>
      <c r="V3413" s="129"/>
      <c r="W3413" s="129"/>
      <c r="X3413" s="129"/>
      <c r="Y3413" s="129"/>
      <c r="Z3413" s="129"/>
      <c r="AA3413" s="129"/>
      <c r="AB3413" s="129"/>
    </row>
    <row r="3414" hidden="1">
      <c r="A3414" s="123" t="s">
        <v>406</v>
      </c>
      <c r="B3414" s="124">
        <v>1240.0</v>
      </c>
      <c r="C3414" s="124">
        <v>1433.0</v>
      </c>
      <c r="D3414" s="313">
        <f t="shared" si="256"/>
        <v>193</v>
      </c>
      <c r="E3414" s="147"/>
      <c r="F3414" s="124"/>
    </row>
    <row r="3415" hidden="1">
      <c r="A3415" s="123" t="s">
        <v>1502</v>
      </c>
      <c r="B3415" s="147">
        <v>2090.0</v>
      </c>
      <c r="C3415" s="124">
        <v>2208.0</v>
      </c>
      <c r="D3415" s="125">
        <f t="shared" si="256"/>
        <v>118</v>
      </c>
      <c r="E3415" s="124"/>
      <c r="F3415" s="124"/>
    </row>
    <row r="3416" hidden="1">
      <c r="A3416" s="128" t="s">
        <v>1093</v>
      </c>
      <c r="B3416" s="147">
        <v>1525.0</v>
      </c>
      <c r="C3416" s="147">
        <v>1626.0</v>
      </c>
      <c r="D3416" s="132">
        <f t="shared" si="256"/>
        <v>101</v>
      </c>
      <c r="E3416" s="127"/>
      <c r="F3416" s="139"/>
      <c r="G3416" s="129"/>
      <c r="H3416" s="129"/>
      <c r="I3416" s="129"/>
      <c r="J3416" s="129"/>
      <c r="K3416" s="129"/>
      <c r="L3416" s="129"/>
      <c r="M3416" s="129"/>
      <c r="N3416" s="129"/>
      <c r="O3416" s="129"/>
      <c r="P3416" s="129"/>
      <c r="Q3416" s="129"/>
      <c r="R3416" s="129"/>
      <c r="S3416" s="129"/>
      <c r="T3416" s="129"/>
      <c r="U3416" s="129"/>
      <c r="V3416" s="129"/>
      <c r="W3416" s="129"/>
      <c r="X3416" s="129"/>
      <c r="Y3416" s="129"/>
      <c r="Z3416" s="129"/>
      <c r="AA3416" s="129"/>
      <c r="AB3416" s="129"/>
    </row>
    <row r="3417" hidden="1">
      <c r="A3417" s="128" t="s">
        <v>1578</v>
      </c>
      <c r="B3417" s="147">
        <v>6740.0</v>
      </c>
      <c r="C3417" s="147">
        <v>6759.0</v>
      </c>
      <c r="D3417" s="132">
        <f t="shared" si="256"/>
        <v>19</v>
      </c>
      <c r="E3417" s="139"/>
      <c r="F3417" s="139"/>
      <c r="G3417" s="129"/>
      <c r="H3417" s="129"/>
      <c r="I3417" s="129"/>
      <c r="J3417" s="129"/>
      <c r="K3417" s="129"/>
      <c r="L3417" s="129"/>
      <c r="M3417" s="129"/>
      <c r="N3417" s="129"/>
      <c r="O3417" s="129"/>
      <c r="P3417" s="129"/>
      <c r="Q3417" s="129"/>
      <c r="R3417" s="129"/>
      <c r="S3417" s="129"/>
      <c r="T3417" s="129"/>
      <c r="U3417" s="129"/>
      <c r="V3417" s="129"/>
      <c r="W3417" s="129"/>
      <c r="X3417" s="129"/>
      <c r="Y3417" s="129"/>
      <c r="Z3417" s="129"/>
      <c r="AA3417" s="129"/>
      <c r="AB3417" s="129"/>
    </row>
    <row r="3418" hidden="1">
      <c r="A3418" s="150" t="s">
        <v>1474</v>
      </c>
      <c r="B3418" s="147">
        <v>690.0</v>
      </c>
      <c r="C3418" s="147">
        <v>854.0</v>
      </c>
      <c r="D3418" s="132">
        <f t="shared" si="256"/>
        <v>164</v>
      </c>
      <c r="E3418" s="132"/>
      <c r="F3418" s="132"/>
      <c r="G3418" s="129"/>
      <c r="H3418" s="129"/>
      <c r="I3418" s="129"/>
      <c r="J3418" s="129"/>
      <c r="K3418" s="129"/>
      <c r="L3418" s="129"/>
      <c r="M3418" s="129"/>
      <c r="N3418" s="129"/>
      <c r="O3418" s="129"/>
      <c r="P3418" s="129"/>
      <c r="Q3418" s="129"/>
      <c r="R3418" s="129"/>
      <c r="S3418" s="129"/>
      <c r="T3418" s="129"/>
      <c r="U3418" s="129"/>
      <c r="V3418" s="129"/>
      <c r="W3418" s="129"/>
      <c r="X3418" s="129"/>
      <c r="Y3418" s="129"/>
      <c r="Z3418" s="129"/>
      <c r="AA3418" s="129"/>
      <c r="AB3418" s="129"/>
    </row>
    <row r="3419" hidden="1">
      <c r="A3419" s="128" t="s">
        <v>1579</v>
      </c>
      <c r="B3419" s="147">
        <v>1190.0</v>
      </c>
      <c r="C3419" s="147">
        <v>1338.0</v>
      </c>
      <c r="D3419" s="132">
        <f t="shared" si="256"/>
        <v>148</v>
      </c>
      <c r="E3419" s="147"/>
      <c r="F3419" s="132"/>
      <c r="G3419" s="129"/>
      <c r="H3419" s="129"/>
      <c r="I3419" s="129"/>
      <c r="J3419" s="129"/>
      <c r="K3419" s="129"/>
      <c r="L3419" s="129"/>
      <c r="M3419" s="129"/>
      <c r="N3419" s="129"/>
      <c r="O3419" s="129"/>
      <c r="P3419" s="129"/>
      <c r="Q3419" s="129"/>
      <c r="R3419" s="129"/>
      <c r="S3419" s="129"/>
      <c r="T3419" s="129"/>
      <c r="U3419" s="129"/>
      <c r="V3419" s="129"/>
      <c r="W3419" s="129"/>
      <c r="X3419" s="129"/>
      <c r="Y3419" s="129"/>
      <c r="Z3419" s="129"/>
      <c r="AA3419" s="129"/>
      <c r="AB3419" s="129"/>
    </row>
    <row r="3420" hidden="1">
      <c r="A3420" s="123" t="s">
        <v>1469</v>
      </c>
      <c r="B3420" s="147">
        <v>1390.0</v>
      </c>
      <c r="C3420" s="124">
        <v>1526.0</v>
      </c>
      <c r="D3420" s="125">
        <f t="shared" si="256"/>
        <v>136</v>
      </c>
      <c r="E3420" s="147"/>
      <c r="F3420" s="132"/>
      <c r="G3420" s="123"/>
    </row>
    <row r="3421" hidden="1">
      <c r="A3421" s="123" t="s">
        <v>1580</v>
      </c>
      <c r="B3421" s="124">
        <v>690.0</v>
      </c>
      <c r="C3421" s="124">
        <v>854.0</v>
      </c>
      <c r="D3421" s="125">
        <f t="shared" si="256"/>
        <v>164</v>
      </c>
      <c r="E3421" s="124"/>
      <c r="F3421" s="124"/>
    </row>
    <row r="3422" hidden="1">
      <c r="A3422" s="128" t="s">
        <v>1515</v>
      </c>
      <c r="B3422" s="132">
        <v>1500.0</v>
      </c>
      <c r="C3422" s="147">
        <v>1713.0</v>
      </c>
      <c r="D3422" s="132">
        <f t="shared" si="256"/>
        <v>213</v>
      </c>
      <c r="E3422" s="127"/>
      <c r="F3422" s="139"/>
      <c r="G3422" s="129"/>
      <c r="H3422" s="129"/>
      <c r="I3422" s="129"/>
      <c r="J3422" s="129"/>
      <c r="K3422" s="129"/>
      <c r="L3422" s="129"/>
      <c r="M3422" s="129"/>
      <c r="N3422" s="129"/>
      <c r="O3422" s="129"/>
      <c r="P3422" s="129"/>
      <c r="Q3422" s="129"/>
      <c r="R3422" s="129"/>
      <c r="S3422" s="129"/>
      <c r="T3422" s="129"/>
      <c r="U3422" s="129"/>
      <c r="V3422" s="129"/>
      <c r="W3422" s="129"/>
      <c r="X3422" s="129"/>
      <c r="Y3422" s="129"/>
      <c r="Z3422" s="129"/>
      <c r="AA3422" s="129"/>
      <c r="AB3422" s="129"/>
    </row>
    <row r="3423" hidden="1">
      <c r="A3423" s="128" t="s">
        <v>1581</v>
      </c>
      <c r="B3423" s="147">
        <v>1390.0</v>
      </c>
      <c r="C3423" s="147">
        <v>1559.0</v>
      </c>
      <c r="D3423" s="132">
        <f t="shared" si="256"/>
        <v>169</v>
      </c>
      <c r="E3423" s="147"/>
      <c r="F3423" s="132"/>
      <c r="G3423" s="129"/>
      <c r="H3423" s="129"/>
      <c r="I3423" s="129"/>
      <c r="J3423" s="129"/>
      <c r="K3423" s="129"/>
      <c r="L3423" s="129"/>
      <c r="M3423" s="129"/>
      <c r="N3423" s="129"/>
      <c r="O3423" s="129"/>
      <c r="P3423" s="129"/>
      <c r="Q3423" s="129"/>
      <c r="R3423" s="129"/>
      <c r="S3423" s="129"/>
      <c r="T3423" s="129"/>
      <c r="U3423" s="129"/>
      <c r="V3423" s="129"/>
      <c r="W3423" s="129"/>
      <c r="X3423" s="129"/>
      <c r="Y3423" s="129"/>
      <c r="Z3423" s="129"/>
      <c r="AA3423" s="129"/>
      <c r="AB3423" s="129"/>
    </row>
    <row r="3424" hidden="1">
      <c r="A3424" s="128" t="s">
        <v>1582</v>
      </c>
      <c r="B3424" s="147">
        <v>590.0</v>
      </c>
      <c r="C3424" s="147">
        <v>758.0</v>
      </c>
      <c r="D3424" s="132">
        <f t="shared" si="256"/>
        <v>168</v>
      </c>
      <c r="E3424" s="127"/>
      <c r="F3424" s="139"/>
      <c r="G3424" s="129"/>
      <c r="H3424" s="129"/>
      <c r="I3424" s="129"/>
      <c r="J3424" s="129"/>
      <c r="K3424" s="129"/>
      <c r="L3424" s="129"/>
      <c r="M3424" s="129"/>
      <c r="N3424" s="129"/>
      <c r="O3424" s="129"/>
      <c r="P3424" s="129"/>
      <c r="Q3424" s="129"/>
      <c r="R3424" s="129"/>
      <c r="S3424" s="129"/>
      <c r="T3424" s="129"/>
      <c r="U3424" s="129"/>
      <c r="V3424" s="129"/>
      <c r="W3424" s="129"/>
      <c r="X3424" s="129"/>
      <c r="Y3424" s="129"/>
      <c r="Z3424" s="129"/>
      <c r="AA3424" s="129"/>
      <c r="AB3424" s="129"/>
    </row>
    <row r="3425" hidden="1">
      <c r="A3425" s="128" t="s">
        <v>1515</v>
      </c>
      <c r="B3425" s="132">
        <v>1500.0</v>
      </c>
      <c r="C3425" s="147">
        <v>1679.0</v>
      </c>
      <c r="D3425" s="132">
        <f t="shared" si="256"/>
        <v>179</v>
      </c>
      <c r="E3425" s="127"/>
      <c r="F3425" s="139"/>
      <c r="G3425" s="129"/>
      <c r="H3425" s="129"/>
      <c r="I3425" s="129"/>
      <c r="J3425" s="129"/>
      <c r="K3425" s="129"/>
      <c r="L3425" s="129"/>
      <c r="M3425" s="129"/>
      <c r="N3425" s="129"/>
      <c r="O3425" s="129"/>
      <c r="P3425" s="129"/>
      <c r="Q3425" s="129"/>
      <c r="R3425" s="129"/>
      <c r="S3425" s="129"/>
      <c r="T3425" s="129"/>
      <c r="U3425" s="129"/>
      <c r="V3425" s="129"/>
      <c r="W3425" s="129"/>
      <c r="X3425" s="129"/>
      <c r="Y3425" s="129"/>
      <c r="Z3425" s="129"/>
      <c r="AA3425" s="129"/>
      <c r="AB3425" s="129"/>
    </row>
    <row r="3426" hidden="1">
      <c r="A3426" s="128" t="s">
        <v>1583</v>
      </c>
      <c r="B3426" s="147">
        <v>1390.0</v>
      </c>
      <c r="C3426" s="147">
        <v>1526.0</v>
      </c>
      <c r="D3426" s="132">
        <f t="shared" si="256"/>
        <v>136</v>
      </c>
      <c r="E3426" s="132"/>
      <c r="F3426" s="132"/>
      <c r="G3426" s="129"/>
      <c r="H3426" s="129"/>
      <c r="I3426" s="129"/>
      <c r="J3426" s="129"/>
      <c r="K3426" s="129"/>
      <c r="L3426" s="129"/>
      <c r="M3426" s="129"/>
      <c r="N3426" s="129"/>
      <c r="O3426" s="129"/>
      <c r="P3426" s="129"/>
      <c r="Q3426" s="129"/>
      <c r="R3426" s="129"/>
      <c r="S3426" s="129"/>
      <c r="T3426" s="129"/>
      <c r="U3426" s="129"/>
      <c r="V3426" s="129"/>
      <c r="W3426" s="129"/>
      <c r="X3426" s="129"/>
      <c r="Y3426" s="129"/>
      <c r="Z3426" s="129"/>
      <c r="AA3426" s="129"/>
      <c r="AB3426" s="129"/>
    </row>
    <row r="3427" hidden="1">
      <c r="A3427" s="128" t="s">
        <v>1584</v>
      </c>
      <c r="B3427" s="147">
        <v>790.0</v>
      </c>
      <c r="C3427" s="147">
        <v>983.0</v>
      </c>
      <c r="D3427" s="132">
        <f t="shared" si="256"/>
        <v>193</v>
      </c>
      <c r="E3427" s="127"/>
      <c r="F3427" s="139"/>
      <c r="G3427" s="129"/>
      <c r="H3427" s="129"/>
      <c r="I3427" s="129"/>
      <c r="J3427" s="129"/>
      <c r="K3427" s="129"/>
      <c r="L3427" s="129"/>
      <c r="M3427" s="129"/>
      <c r="N3427" s="129"/>
      <c r="O3427" s="129"/>
      <c r="P3427" s="129"/>
      <c r="Q3427" s="129"/>
      <c r="R3427" s="129"/>
      <c r="S3427" s="129"/>
      <c r="T3427" s="129"/>
      <c r="U3427" s="129"/>
      <c r="V3427" s="129"/>
      <c r="W3427" s="129"/>
      <c r="X3427" s="129"/>
      <c r="Y3427" s="129"/>
      <c r="Z3427" s="129"/>
      <c r="AA3427" s="129"/>
      <c r="AB3427" s="129"/>
    </row>
    <row r="3428" hidden="1">
      <c r="A3428" s="159" t="s">
        <v>1563</v>
      </c>
      <c r="B3428" s="124">
        <v>890.0</v>
      </c>
      <c r="C3428" s="124">
        <v>1075.0</v>
      </c>
      <c r="D3428" s="125">
        <f t="shared" si="256"/>
        <v>185</v>
      </c>
      <c r="E3428" s="124"/>
      <c r="F3428" s="124"/>
    </row>
    <row r="3429" hidden="1">
      <c r="A3429" s="128" t="s">
        <v>1584</v>
      </c>
      <c r="B3429" s="147">
        <v>790.0</v>
      </c>
      <c r="C3429" s="147">
        <v>988.0</v>
      </c>
      <c r="D3429" s="132">
        <f t="shared" si="256"/>
        <v>198</v>
      </c>
      <c r="E3429" s="127"/>
      <c r="F3429" s="139"/>
      <c r="G3429" s="129"/>
      <c r="H3429" s="129"/>
      <c r="I3429" s="129"/>
      <c r="J3429" s="129"/>
      <c r="K3429" s="129"/>
      <c r="L3429" s="129"/>
      <c r="M3429" s="129"/>
      <c r="N3429" s="129"/>
      <c r="O3429" s="129"/>
      <c r="P3429" s="129"/>
      <c r="Q3429" s="129"/>
      <c r="R3429" s="129"/>
      <c r="S3429" s="129"/>
      <c r="T3429" s="129"/>
      <c r="U3429" s="129"/>
      <c r="V3429" s="129"/>
      <c r="W3429" s="129"/>
      <c r="X3429" s="129"/>
      <c r="Y3429" s="129"/>
      <c r="Z3429" s="129"/>
      <c r="AA3429" s="129"/>
      <c r="AB3429" s="129"/>
    </row>
    <row r="3430" hidden="1">
      <c r="A3430" s="128" t="s">
        <v>1585</v>
      </c>
      <c r="B3430" s="147">
        <v>590.0</v>
      </c>
      <c r="C3430" s="147">
        <v>796.0</v>
      </c>
      <c r="D3430" s="132">
        <f t="shared" si="256"/>
        <v>206</v>
      </c>
      <c r="E3430" s="132"/>
      <c r="F3430" s="132"/>
      <c r="G3430" s="129"/>
      <c r="H3430" s="129"/>
      <c r="I3430" s="129"/>
      <c r="J3430" s="129"/>
      <c r="K3430" s="129"/>
      <c r="L3430" s="129"/>
      <c r="M3430" s="129"/>
      <c r="N3430" s="129"/>
      <c r="O3430" s="129"/>
      <c r="P3430" s="129"/>
      <c r="Q3430" s="129"/>
      <c r="R3430" s="129"/>
      <c r="S3430" s="129"/>
      <c r="T3430" s="129"/>
      <c r="U3430" s="129"/>
      <c r="V3430" s="129"/>
      <c r="W3430" s="129"/>
      <c r="X3430" s="129"/>
      <c r="Y3430" s="129"/>
      <c r="Z3430" s="129"/>
      <c r="AA3430" s="129"/>
      <c r="AB3430" s="129"/>
    </row>
    <row r="3431" hidden="1">
      <c r="A3431" s="128" t="s">
        <v>1140</v>
      </c>
      <c r="B3431" s="147">
        <v>1490.0</v>
      </c>
      <c r="C3431" s="147">
        <v>1622.0</v>
      </c>
      <c r="D3431" s="132">
        <f t="shared" si="256"/>
        <v>132</v>
      </c>
      <c r="E3431" s="132"/>
      <c r="F3431" s="139"/>
      <c r="G3431" s="129"/>
      <c r="H3431" s="129"/>
      <c r="I3431" s="129"/>
      <c r="J3431" s="129"/>
      <c r="K3431" s="129"/>
      <c r="L3431" s="129"/>
      <c r="M3431" s="129"/>
      <c r="N3431" s="129"/>
      <c r="O3431" s="129"/>
      <c r="P3431" s="129"/>
      <c r="Q3431" s="129"/>
      <c r="R3431" s="129"/>
      <c r="S3431" s="129"/>
      <c r="T3431" s="129"/>
      <c r="U3431" s="129"/>
      <c r="V3431" s="129"/>
      <c r="W3431" s="129"/>
      <c r="X3431" s="129"/>
      <c r="Y3431" s="129"/>
      <c r="Z3431" s="129"/>
      <c r="AA3431" s="129"/>
      <c r="AB3431" s="129"/>
    </row>
    <row r="3432" hidden="1">
      <c r="A3432" s="128" t="s">
        <v>1441</v>
      </c>
      <c r="B3432" s="147">
        <v>1350.0</v>
      </c>
      <c r="C3432" s="147">
        <v>1527.0</v>
      </c>
      <c r="D3432" s="132">
        <f t="shared" si="256"/>
        <v>177</v>
      </c>
      <c r="E3432" s="147"/>
      <c r="F3432" s="132"/>
      <c r="G3432" s="129"/>
      <c r="H3432" s="129"/>
      <c r="I3432" s="129"/>
      <c r="J3432" s="129"/>
      <c r="K3432" s="129"/>
      <c r="L3432" s="129"/>
      <c r="M3432" s="129"/>
      <c r="N3432" s="129"/>
      <c r="O3432" s="129"/>
      <c r="P3432" s="129"/>
      <c r="Q3432" s="129"/>
      <c r="R3432" s="129"/>
      <c r="S3432" s="129"/>
      <c r="T3432" s="129"/>
      <c r="U3432" s="129"/>
      <c r="V3432" s="129"/>
      <c r="W3432" s="129"/>
      <c r="X3432" s="129"/>
      <c r="Y3432" s="129"/>
      <c r="Z3432" s="129"/>
      <c r="AA3432" s="129"/>
      <c r="AB3432" s="129"/>
    </row>
    <row r="3433" hidden="1">
      <c r="A3433" s="128" t="s">
        <v>1584</v>
      </c>
      <c r="B3433" s="147">
        <v>790.0</v>
      </c>
      <c r="C3433" s="147">
        <v>990.0</v>
      </c>
      <c r="D3433" s="132">
        <f t="shared" si="256"/>
        <v>200</v>
      </c>
      <c r="E3433" s="127"/>
      <c r="F3433" s="139"/>
      <c r="G3433" s="129"/>
      <c r="H3433" s="129"/>
      <c r="I3433" s="129"/>
      <c r="J3433" s="129"/>
      <c r="K3433" s="129"/>
      <c r="L3433" s="129"/>
      <c r="M3433" s="129"/>
      <c r="N3433" s="129"/>
      <c r="O3433" s="129"/>
      <c r="P3433" s="129"/>
      <c r="Q3433" s="129"/>
      <c r="R3433" s="129"/>
      <c r="S3433" s="129"/>
      <c r="T3433" s="129"/>
      <c r="U3433" s="129"/>
      <c r="V3433" s="129"/>
      <c r="W3433" s="129"/>
      <c r="X3433" s="129"/>
      <c r="Y3433" s="129"/>
      <c r="Z3433" s="129"/>
      <c r="AA3433" s="129"/>
      <c r="AB3433" s="129"/>
    </row>
    <row r="3434" hidden="1">
      <c r="A3434" s="123" t="s">
        <v>1586</v>
      </c>
      <c r="B3434" s="124">
        <v>1750.0</v>
      </c>
      <c r="C3434" s="124">
        <v>2680.0</v>
      </c>
      <c r="D3434" s="125">
        <f t="shared" si="256"/>
        <v>930</v>
      </c>
      <c r="E3434" s="124"/>
      <c r="F3434" s="124"/>
    </row>
    <row r="3435" hidden="1">
      <c r="A3435" s="128" t="s">
        <v>1520</v>
      </c>
      <c r="B3435" s="147">
        <v>1500.0</v>
      </c>
      <c r="C3435" s="147">
        <v>1588.0</v>
      </c>
      <c r="D3435" s="132">
        <f t="shared" si="256"/>
        <v>88</v>
      </c>
      <c r="E3435" s="127"/>
      <c r="F3435" s="139"/>
      <c r="G3435" s="129"/>
      <c r="H3435" s="129"/>
      <c r="I3435" s="129"/>
      <c r="J3435" s="129"/>
      <c r="K3435" s="129"/>
      <c r="L3435" s="129"/>
      <c r="M3435" s="129"/>
      <c r="N3435" s="129"/>
      <c r="O3435" s="129"/>
      <c r="P3435" s="129"/>
      <c r="Q3435" s="129"/>
      <c r="R3435" s="129"/>
      <c r="S3435" s="129"/>
      <c r="T3435" s="129"/>
      <c r="U3435" s="129"/>
      <c r="V3435" s="129"/>
      <c r="W3435" s="129"/>
      <c r="X3435" s="129"/>
      <c r="Y3435" s="129"/>
      <c r="Z3435" s="129"/>
      <c r="AA3435" s="129"/>
      <c r="AB3435" s="129"/>
    </row>
    <row r="3436" hidden="1">
      <c r="A3436" s="128" t="s">
        <v>1209</v>
      </c>
      <c r="B3436" s="147">
        <v>1500.0</v>
      </c>
      <c r="C3436" s="147">
        <v>1616.0</v>
      </c>
      <c r="D3436" s="132">
        <f t="shared" si="256"/>
        <v>116</v>
      </c>
      <c r="E3436" s="132"/>
      <c r="F3436" s="132"/>
      <c r="G3436" s="129"/>
      <c r="H3436" s="129"/>
      <c r="I3436" s="129"/>
      <c r="J3436" s="129"/>
      <c r="K3436" s="129"/>
      <c r="L3436" s="129"/>
      <c r="M3436" s="129"/>
      <c r="N3436" s="129"/>
      <c r="O3436" s="129"/>
      <c r="P3436" s="129"/>
      <c r="Q3436" s="129"/>
      <c r="R3436" s="129"/>
      <c r="S3436" s="129"/>
      <c r="T3436" s="129"/>
      <c r="U3436" s="129"/>
      <c r="V3436" s="129"/>
      <c r="W3436" s="129"/>
      <c r="X3436" s="129"/>
      <c r="Y3436" s="129"/>
      <c r="Z3436" s="129"/>
      <c r="AA3436" s="129"/>
      <c r="AB3436" s="129"/>
    </row>
    <row r="3437" hidden="1">
      <c r="A3437" s="123" t="s">
        <v>1213</v>
      </c>
      <c r="B3437" s="147">
        <v>1500.0</v>
      </c>
      <c r="C3437" s="124">
        <v>1630.0</v>
      </c>
      <c r="D3437" s="132">
        <f t="shared" si="256"/>
        <v>130</v>
      </c>
      <c r="E3437" s="132"/>
      <c r="F3437" s="124"/>
    </row>
    <row r="3438" hidden="1">
      <c r="A3438" s="150" t="s">
        <v>1510</v>
      </c>
      <c r="B3438" s="147">
        <v>1400.0</v>
      </c>
      <c r="C3438" s="147">
        <v>1488.0</v>
      </c>
      <c r="D3438" s="132">
        <f t="shared" si="256"/>
        <v>88</v>
      </c>
      <c r="E3438" s="127"/>
      <c r="F3438" s="139"/>
      <c r="G3438" s="150"/>
      <c r="H3438" s="129"/>
      <c r="I3438" s="129"/>
      <c r="J3438" s="129"/>
      <c r="K3438" s="129"/>
      <c r="L3438" s="129"/>
      <c r="M3438" s="129"/>
      <c r="N3438" s="129"/>
      <c r="O3438" s="129"/>
      <c r="P3438" s="129"/>
      <c r="Q3438" s="129"/>
      <c r="R3438" s="129"/>
      <c r="S3438" s="129"/>
      <c r="T3438" s="129"/>
      <c r="U3438" s="129"/>
      <c r="V3438" s="129"/>
      <c r="W3438" s="129"/>
      <c r="X3438" s="129"/>
      <c r="Y3438" s="129"/>
      <c r="Z3438" s="129"/>
      <c r="AA3438" s="129"/>
      <c r="AB3438" s="129"/>
    </row>
    <row r="3439" hidden="1">
      <c r="A3439" s="123" t="s">
        <v>1387</v>
      </c>
      <c r="B3439" s="124">
        <v>1290.0</v>
      </c>
      <c r="C3439" s="124">
        <v>1459.0</v>
      </c>
      <c r="D3439" s="132">
        <f t="shared" si="256"/>
        <v>169</v>
      </c>
      <c r="E3439" s="124"/>
      <c r="F3439" s="124"/>
    </row>
    <row r="3440" hidden="1">
      <c r="A3440" s="128" t="s">
        <v>1114</v>
      </c>
      <c r="B3440" s="147">
        <v>790.0</v>
      </c>
      <c r="C3440" s="147">
        <v>979.0</v>
      </c>
      <c r="D3440" s="132">
        <f t="shared" si="256"/>
        <v>189</v>
      </c>
      <c r="E3440" s="132"/>
      <c r="F3440" s="132"/>
      <c r="G3440" s="129"/>
      <c r="H3440" s="129"/>
      <c r="I3440" s="129"/>
      <c r="J3440" s="129"/>
      <c r="K3440" s="129"/>
      <c r="L3440" s="129"/>
      <c r="M3440" s="129"/>
      <c r="N3440" s="129"/>
      <c r="O3440" s="129"/>
      <c r="P3440" s="129"/>
      <c r="Q3440" s="129"/>
      <c r="R3440" s="129"/>
      <c r="S3440" s="129"/>
      <c r="T3440" s="129"/>
      <c r="U3440" s="129"/>
      <c r="V3440" s="129"/>
      <c r="W3440" s="129"/>
      <c r="X3440" s="129"/>
      <c r="Y3440" s="129"/>
      <c r="Z3440" s="129"/>
      <c r="AA3440" s="129"/>
      <c r="AB3440" s="129"/>
    </row>
    <row r="3441" hidden="1">
      <c r="A3441" s="150" t="s">
        <v>1291</v>
      </c>
      <c r="B3441" s="147">
        <v>3070.0</v>
      </c>
      <c r="C3441" s="147">
        <v>3472.0</v>
      </c>
      <c r="D3441" s="132">
        <f t="shared" si="256"/>
        <v>402</v>
      </c>
      <c r="E3441" s="129"/>
      <c r="F3441" s="129"/>
      <c r="G3441" s="129"/>
      <c r="H3441" s="129"/>
      <c r="I3441" s="129"/>
      <c r="J3441" s="129"/>
      <c r="K3441" s="129"/>
      <c r="L3441" s="129"/>
      <c r="M3441" s="129"/>
      <c r="N3441" s="129"/>
      <c r="O3441" s="129"/>
      <c r="P3441" s="129"/>
      <c r="Q3441" s="129"/>
      <c r="R3441" s="129"/>
      <c r="S3441" s="129"/>
      <c r="T3441" s="129"/>
      <c r="U3441" s="129"/>
      <c r="V3441" s="129"/>
      <c r="W3441" s="129"/>
      <c r="X3441" s="129"/>
      <c r="Y3441" s="129"/>
      <c r="Z3441" s="129"/>
      <c r="AA3441" s="129"/>
      <c r="AB3441" s="129"/>
    </row>
    <row r="3442" hidden="1">
      <c r="A3442" s="128" t="s">
        <v>1587</v>
      </c>
      <c r="B3442" s="147">
        <v>0.0</v>
      </c>
      <c r="C3442" s="147">
        <v>0.0</v>
      </c>
      <c r="D3442" s="132">
        <f t="shared" si="256"/>
        <v>0</v>
      </c>
      <c r="E3442" s="147"/>
      <c r="F3442" s="132"/>
      <c r="G3442" s="129"/>
      <c r="H3442" s="129"/>
      <c r="I3442" s="129"/>
      <c r="J3442" s="129"/>
      <c r="K3442" s="129"/>
      <c r="L3442" s="129"/>
      <c r="M3442" s="129"/>
      <c r="N3442" s="129"/>
      <c r="O3442" s="129"/>
      <c r="P3442" s="129"/>
      <c r="Q3442" s="129"/>
      <c r="R3442" s="129"/>
      <c r="S3442" s="129"/>
      <c r="T3442" s="129"/>
      <c r="U3442" s="129"/>
      <c r="V3442" s="129"/>
      <c r="W3442" s="129"/>
      <c r="X3442" s="129"/>
      <c r="Y3442" s="129"/>
      <c r="Z3442" s="129"/>
      <c r="AA3442" s="129"/>
      <c r="AB3442" s="129"/>
    </row>
    <row r="3443" hidden="1">
      <c r="A3443" s="142" t="s">
        <v>1588</v>
      </c>
      <c r="B3443" s="147">
        <v>0.0</v>
      </c>
      <c r="C3443" s="124">
        <v>0.0</v>
      </c>
      <c r="D3443" s="132">
        <f t="shared" si="256"/>
        <v>0</v>
      </c>
      <c r="E3443" s="127"/>
      <c r="F3443" s="139"/>
      <c r="G3443" s="129"/>
      <c r="H3443" s="129"/>
      <c r="I3443" s="129"/>
      <c r="J3443" s="129"/>
      <c r="K3443" s="129"/>
      <c r="L3443" s="129"/>
      <c r="M3443" s="129"/>
      <c r="N3443" s="129"/>
      <c r="O3443" s="129"/>
      <c r="P3443" s="129"/>
      <c r="Q3443" s="129"/>
      <c r="R3443" s="129"/>
      <c r="S3443" s="129"/>
      <c r="T3443" s="129"/>
      <c r="U3443" s="129"/>
      <c r="V3443" s="129"/>
      <c r="W3443" s="129"/>
      <c r="X3443" s="129"/>
      <c r="Y3443" s="129"/>
      <c r="Z3443" s="129"/>
      <c r="AA3443" s="129"/>
      <c r="AB3443" s="129"/>
    </row>
    <row r="3444" hidden="1">
      <c r="A3444" s="128" t="s">
        <v>1556</v>
      </c>
      <c r="B3444" s="147">
        <v>5990.0</v>
      </c>
      <c r="C3444" s="147">
        <v>6589.0</v>
      </c>
      <c r="D3444" s="132">
        <f t="shared" si="256"/>
        <v>599</v>
      </c>
      <c r="E3444" s="139"/>
      <c r="F3444" s="139"/>
      <c r="G3444" s="129"/>
      <c r="H3444" s="129"/>
      <c r="I3444" s="129"/>
      <c r="J3444" s="129"/>
      <c r="K3444" s="129"/>
      <c r="L3444" s="129"/>
      <c r="M3444" s="129"/>
      <c r="N3444" s="129"/>
      <c r="O3444" s="129"/>
      <c r="P3444" s="129"/>
      <c r="Q3444" s="129"/>
      <c r="R3444" s="129"/>
      <c r="S3444" s="129"/>
      <c r="T3444" s="129"/>
      <c r="U3444" s="129"/>
      <c r="V3444" s="129"/>
      <c r="W3444" s="129"/>
      <c r="X3444" s="129"/>
      <c r="Y3444" s="129"/>
      <c r="Z3444" s="129"/>
      <c r="AA3444" s="129"/>
      <c r="AB3444" s="129"/>
    </row>
    <row r="3445" hidden="1">
      <c r="A3445" s="123" t="s">
        <v>1589</v>
      </c>
      <c r="B3445" s="147">
        <v>1190.0</v>
      </c>
      <c r="C3445" s="147">
        <v>1334.0</v>
      </c>
      <c r="D3445" s="132">
        <f t="shared" si="256"/>
        <v>144</v>
      </c>
      <c r="E3445" s="127"/>
      <c r="F3445" s="139"/>
      <c r="G3445" s="129"/>
      <c r="H3445" s="129"/>
      <c r="I3445" s="129"/>
      <c r="J3445" s="129"/>
      <c r="K3445" s="129"/>
      <c r="L3445" s="129"/>
      <c r="M3445" s="129"/>
      <c r="N3445" s="129"/>
      <c r="O3445" s="129"/>
      <c r="P3445" s="129"/>
      <c r="Q3445" s="129"/>
      <c r="R3445" s="129"/>
      <c r="S3445" s="129"/>
      <c r="T3445" s="129"/>
      <c r="U3445" s="129"/>
      <c r="V3445" s="129"/>
      <c r="W3445" s="129"/>
      <c r="X3445" s="129"/>
      <c r="Y3445" s="129"/>
      <c r="Z3445" s="129"/>
      <c r="AA3445" s="129"/>
      <c r="AB3445" s="129"/>
    </row>
    <row r="3446" hidden="1">
      <c r="A3446" s="123" t="s">
        <v>1589</v>
      </c>
      <c r="B3446" s="147">
        <v>1190.0</v>
      </c>
      <c r="C3446" s="147">
        <v>1344.0</v>
      </c>
      <c r="D3446" s="132">
        <f t="shared" si="256"/>
        <v>154</v>
      </c>
      <c r="E3446" s="127"/>
      <c r="F3446" s="139"/>
      <c r="G3446" s="129"/>
      <c r="H3446" s="129"/>
      <c r="I3446" s="129"/>
      <c r="J3446" s="129"/>
      <c r="K3446" s="129"/>
      <c r="L3446" s="129"/>
      <c r="M3446" s="129"/>
      <c r="N3446" s="129"/>
      <c r="O3446" s="129"/>
      <c r="P3446" s="129"/>
      <c r="Q3446" s="129"/>
      <c r="R3446" s="129"/>
      <c r="S3446" s="129"/>
      <c r="T3446" s="129"/>
      <c r="U3446" s="129"/>
      <c r="V3446" s="129"/>
      <c r="W3446" s="129"/>
      <c r="X3446" s="129"/>
      <c r="Y3446" s="129"/>
      <c r="Z3446" s="129"/>
      <c r="AA3446" s="129"/>
      <c r="AB3446" s="129"/>
    </row>
    <row r="3447" hidden="1">
      <c r="A3447" s="128" t="s">
        <v>1590</v>
      </c>
      <c r="B3447" s="147">
        <v>1280.0</v>
      </c>
      <c r="C3447" s="147">
        <v>1654.0</v>
      </c>
      <c r="D3447" s="132">
        <f t="shared" si="256"/>
        <v>374</v>
      </c>
      <c r="E3447" s="147"/>
      <c r="F3447" s="132"/>
      <c r="G3447" s="129"/>
      <c r="H3447" s="129"/>
      <c r="I3447" s="129"/>
      <c r="J3447" s="129"/>
      <c r="K3447" s="129"/>
      <c r="L3447" s="129"/>
      <c r="M3447" s="129"/>
      <c r="N3447" s="129"/>
      <c r="O3447" s="129"/>
      <c r="P3447" s="129"/>
      <c r="Q3447" s="129"/>
      <c r="R3447" s="129"/>
      <c r="S3447" s="129"/>
      <c r="T3447" s="129"/>
      <c r="U3447" s="129"/>
      <c r="V3447" s="129"/>
      <c r="W3447" s="129"/>
      <c r="X3447" s="129"/>
      <c r="Y3447" s="129"/>
      <c r="Z3447" s="129"/>
      <c r="AA3447" s="129"/>
      <c r="AB3447" s="129"/>
    </row>
    <row r="3448" hidden="1">
      <c r="A3448" s="128" t="s">
        <v>1591</v>
      </c>
      <c r="B3448" s="147">
        <v>0.0</v>
      </c>
      <c r="C3448" s="147">
        <v>0.0</v>
      </c>
      <c r="D3448" s="132">
        <f t="shared" si="256"/>
        <v>0</v>
      </c>
      <c r="E3448" s="147"/>
      <c r="F3448" s="132"/>
      <c r="G3448" s="129"/>
      <c r="H3448" s="129"/>
      <c r="I3448" s="129"/>
      <c r="J3448" s="129"/>
      <c r="K3448" s="129"/>
      <c r="L3448" s="129"/>
      <c r="M3448" s="129"/>
      <c r="N3448" s="129"/>
      <c r="O3448" s="129"/>
      <c r="P3448" s="129"/>
      <c r="Q3448" s="129"/>
      <c r="R3448" s="129"/>
      <c r="S3448" s="129"/>
      <c r="T3448" s="129"/>
      <c r="U3448" s="129"/>
      <c r="V3448" s="129"/>
      <c r="W3448" s="129"/>
      <c r="X3448" s="129"/>
      <c r="Y3448" s="129"/>
      <c r="Z3448" s="129"/>
      <c r="AA3448" s="129"/>
      <c r="AB3448" s="129"/>
    </row>
    <row r="3449" hidden="1">
      <c r="A3449" s="128" t="s">
        <v>1591</v>
      </c>
      <c r="B3449" s="147">
        <v>590.0</v>
      </c>
      <c r="C3449" s="147">
        <v>787.0</v>
      </c>
      <c r="D3449" s="132">
        <f t="shared" si="256"/>
        <v>197</v>
      </c>
      <c r="E3449" s="147"/>
      <c r="F3449" s="132"/>
      <c r="G3449" s="129"/>
      <c r="H3449" s="129"/>
      <c r="I3449" s="129"/>
      <c r="J3449" s="129"/>
      <c r="K3449" s="129"/>
      <c r="L3449" s="129"/>
      <c r="M3449" s="129"/>
      <c r="N3449" s="129"/>
      <c r="O3449" s="129"/>
      <c r="P3449" s="129"/>
      <c r="Q3449" s="129"/>
      <c r="R3449" s="129"/>
      <c r="S3449" s="129"/>
      <c r="T3449" s="129"/>
      <c r="U3449" s="129"/>
      <c r="V3449" s="129"/>
      <c r="W3449" s="129"/>
      <c r="X3449" s="129"/>
      <c r="Y3449" s="129"/>
      <c r="Z3449" s="129"/>
      <c r="AA3449" s="129"/>
      <c r="AB3449" s="129"/>
    </row>
    <row r="3450" hidden="1">
      <c r="A3450" s="150" t="s">
        <v>1373</v>
      </c>
      <c r="B3450" s="132">
        <v>790.0</v>
      </c>
      <c r="C3450" s="147">
        <v>988.0</v>
      </c>
      <c r="D3450" s="132">
        <f t="shared" si="256"/>
        <v>198</v>
      </c>
      <c r="E3450" s="132"/>
      <c r="F3450" s="132"/>
      <c r="G3450" s="129"/>
      <c r="H3450" s="129"/>
      <c r="I3450" s="129"/>
      <c r="J3450" s="129"/>
      <c r="K3450" s="129"/>
      <c r="L3450" s="129"/>
      <c r="M3450" s="129"/>
      <c r="N3450" s="129"/>
      <c r="O3450" s="129"/>
      <c r="P3450" s="129"/>
      <c r="Q3450" s="129"/>
      <c r="R3450" s="129"/>
      <c r="S3450" s="129"/>
      <c r="T3450" s="129"/>
      <c r="U3450" s="129"/>
      <c r="V3450" s="129"/>
      <c r="W3450" s="129"/>
      <c r="X3450" s="129"/>
      <c r="Y3450" s="129"/>
      <c r="Z3450" s="129"/>
      <c r="AA3450" s="129"/>
      <c r="AB3450" s="129"/>
    </row>
    <row r="3451" hidden="1">
      <c r="A3451" s="123" t="s">
        <v>1592</v>
      </c>
      <c r="B3451" s="124">
        <v>1090.0</v>
      </c>
      <c r="C3451" s="124">
        <v>1268.0</v>
      </c>
      <c r="D3451" s="125">
        <f t="shared" si="256"/>
        <v>178</v>
      </c>
      <c r="E3451" s="124"/>
      <c r="F3451" s="124"/>
    </row>
    <row r="3452" hidden="1">
      <c r="A3452" s="128" t="s">
        <v>1593</v>
      </c>
      <c r="B3452" s="147">
        <v>690.0</v>
      </c>
      <c r="C3452" s="147">
        <v>854.0</v>
      </c>
      <c r="D3452" s="132">
        <f t="shared" si="256"/>
        <v>164</v>
      </c>
      <c r="E3452" s="139"/>
      <c r="F3452" s="139"/>
      <c r="G3452" s="129"/>
      <c r="H3452" s="129"/>
      <c r="I3452" s="129"/>
      <c r="J3452" s="129"/>
      <c r="K3452" s="129"/>
      <c r="L3452" s="129"/>
      <c r="M3452" s="129"/>
      <c r="N3452" s="129"/>
      <c r="O3452" s="129"/>
      <c r="P3452" s="129"/>
      <c r="Q3452" s="129"/>
      <c r="R3452" s="129"/>
      <c r="S3452" s="129"/>
      <c r="T3452" s="129"/>
      <c r="U3452" s="129"/>
      <c r="V3452" s="129"/>
      <c r="W3452" s="129"/>
      <c r="X3452" s="129"/>
      <c r="Y3452" s="129"/>
      <c r="Z3452" s="129"/>
      <c r="AA3452" s="129"/>
      <c r="AB3452" s="129"/>
    </row>
    <row r="3453" hidden="1">
      <c r="A3453" s="128" t="s">
        <v>1594</v>
      </c>
      <c r="B3453" s="147">
        <v>14990.0</v>
      </c>
      <c r="C3453" s="147">
        <v>16002.0</v>
      </c>
      <c r="D3453" s="132">
        <f t="shared" si="256"/>
        <v>1012</v>
      </c>
      <c r="E3453" s="139"/>
      <c r="F3453" s="139"/>
      <c r="G3453" s="129"/>
      <c r="H3453" s="129"/>
      <c r="I3453" s="129"/>
      <c r="J3453" s="129"/>
      <c r="K3453" s="129"/>
      <c r="L3453" s="129"/>
      <c r="M3453" s="129"/>
      <c r="N3453" s="129"/>
      <c r="O3453" s="129"/>
      <c r="P3453" s="129"/>
      <c r="Q3453" s="129"/>
      <c r="R3453" s="129"/>
      <c r="S3453" s="129"/>
      <c r="T3453" s="129"/>
      <c r="U3453" s="129"/>
      <c r="V3453" s="129"/>
      <c r="W3453" s="129"/>
      <c r="X3453" s="129"/>
      <c r="Y3453" s="129"/>
      <c r="Z3453" s="129"/>
      <c r="AA3453" s="129"/>
      <c r="AB3453" s="129"/>
    </row>
    <row r="3454" hidden="1">
      <c r="A3454" s="128" t="s">
        <v>1595</v>
      </c>
      <c r="B3454" s="147">
        <v>1390.0</v>
      </c>
      <c r="C3454" s="147">
        <v>1564.0</v>
      </c>
      <c r="D3454" s="132">
        <f t="shared" si="256"/>
        <v>174</v>
      </c>
      <c r="E3454" s="139"/>
      <c r="F3454" s="139"/>
      <c r="G3454" s="129"/>
      <c r="H3454" s="129"/>
      <c r="I3454" s="129"/>
      <c r="J3454" s="129"/>
      <c r="K3454" s="129"/>
      <c r="L3454" s="129"/>
      <c r="M3454" s="129"/>
      <c r="N3454" s="129"/>
      <c r="O3454" s="129"/>
      <c r="P3454" s="129"/>
      <c r="Q3454" s="129"/>
      <c r="R3454" s="129"/>
      <c r="S3454" s="129"/>
      <c r="T3454" s="129"/>
      <c r="U3454" s="129"/>
      <c r="V3454" s="129"/>
      <c r="W3454" s="129"/>
      <c r="X3454" s="129"/>
      <c r="Y3454" s="129"/>
      <c r="Z3454" s="129"/>
      <c r="AA3454" s="129"/>
      <c r="AB3454" s="129"/>
    </row>
    <row r="3455" hidden="1">
      <c r="A3455" s="128" t="s">
        <v>1300</v>
      </c>
      <c r="B3455" s="147">
        <v>1450.0</v>
      </c>
      <c r="C3455" s="147">
        <v>1534.0</v>
      </c>
      <c r="D3455" s="132">
        <f t="shared" si="256"/>
        <v>84</v>
      </c>
      <c r="E3455" s="147"/>
      <c r="F3455" s="132"/>
      <c r="G3455" s="129"/>
      <c r="H3455" s="129"/>
      <c r="I3455" s="129"/>
      <c r="J3455" s="129"/>
      <c r="K3455" s="129"/>
      <c r="L3455" s="129"/>
      <c r="M3455" s="129"/>
      <c r="N3455" s="129"/>
      <c r="O3455" s="129"/>
      <c r="P3455" s="129"/>
      <c r="Q3455" s="129"/>
      <c r="R3455" s="129"/>
      <c r="S3455" s="129"/>
      <c r="T3455" s="129"/>
      <c r="U3455" s="129"/>
      <c r="V3455" s="129"/>
      <c r="W3455" s="129"/>
      <c r="X3455" s="129"/>
      <c r="Y3455" s="129"/>
      <c r="Z3455" s="129"/>
      <c r="AA3455" s="129"/>
      <c r="AB3455" s="129"/>
    </row>
    <row r="3456" hidden="1">
      <c r="A3456" s="123" t="s">
        <v>1213</v>
      </c>
      <c r="B3456" s="147">
        <v>1425.0</v>
      </c>
      <c r="C3456" s="124">
        <v>1598.0</v>
      </c>
      <c r="D3456" s="132">
        <f t="shared" si="256"/>
        <v>173</v>
      </c>
      <c r="E3456" s="132"/>
      <c r="F3456" s="124"/>
    </row>
    <row r="3457" hidden="1">
      <c r="A3457" s="123" t="s">
        <v>1596</v>
      </c>
      <c r="B3457" s="124">
        <v>1090.0</v>
      </c>
      <c r="C3457" s="124">
        <v>1276.0</v>
      </c>
      <c r="D3457" s="125">
        <f t="shared" si="256"/>
        <v>186</v>
      </c>
      <c r="E3457" s="132"/>
      <c r="F3457" s="124"/>
    </row>
    <row r="3458" hidden="1">
      <c r="A3458" s="123" t="s">
        <v>1213</v>
      </c>
      <c r="B3458" s="147">
        <v>1425.0</v>
      </c>
      <c r="C3458" s="124">
        <v>1588.0</v>
      </c>
      <c r="D3458" s="132">
        <f t="shared" si="256"/>
        <v>163</v>
      </c>
      <c r="E3458" s="132"/>
      <c r="F3458" s="124"/>
    </row>
    <row r="3459" hidden="1">
      <c r="A3459" s="142" t="s">
        <v>1422</v>
      </c>
      <c r="B3459" s="147">
        <v>2380.0</v>
      </c>
      <c r="C3459" s="147">
        <v>2601.0</v>
      </c>
      <c r="D3459" s="132">
        <f t="shared" si="256"/>
        <v>221</v>
      </c>
      <c r="E3459" s="147"/>
      <c r="F3459" s="139"/>
      <c r="G3459" s="129"/>
      <c r="H3459" s="129"/>
      <c r="I3459" s="129"/>
      <c r="J3459" s="129"/>
      <c r="K3459" s="129"/>
      <c r="L3459" s="129"/>
      <c r="M3459" s="129"/>
      <c r="N3459" s="129"/>
      <c r="O3459" s="129"/>
      <c r="P3459" s="129"/>
      <c r="Q3459" s="129"/>
      <c r="R3459" s="129"/>
      <c r="S3459" s="129"/>
      <c r="T3459" s="129"/>
      <c r="U3459" s="129"/>
      <c r="V3459" s="129"/>
      <c r="W3459" s="129"/>
      <c r="X3459" s="129"/>
      <c r="Y3459" s="129"/>
      <c r="Z3459" s="129"/>
      <c r="AA3459" s="129"/>
      <c r="AB3459" s="129"/>
    </row>
    <row r="3460" hidden="1">
      <c r="A3460" s="128" t="s">
        <v>1533</v>
      </c>
      <c r="B3460" s="147">
        <v>0.0</v>
      </c>
      <c r="C3460" s="147">
        <v>0.0</v>
      </c>
      <c r="D3460" s="132">
        <f t="shared" si="256"/>
        <v>0</v>
      </c>
      <c r="E3460" s="139"/>
      <c r="F3460" s="139"/>
      <c r="G3460" s="129"/>
      <c r="H3460" s="129"/>
      <c r="I3460" s="129"/>
      <c r="J3460" s="129"/>
      <c r="K3460" s="129"/>
      <c r="L3460" s="129"/>
      <c r="M3460" s="129"/>
      <c r="N3460" s="129"/>
      <c r="O3460" s="129"/>
      <c r="P3460" s="129"/>
      <c r="Q3460" s="129"/>
      <c r="R3460" s="129"/>
      <c r="S3460" s="129"/>
      <c r="T3460" s="129"/>
      <c r="U3460" s="129"/>
      <c r="V3460" s="129"/>
      <c r="W3460" s="129"/>
      <c r="X3460" s="129"/>
      <c r="Y3460" s="129"/>
      <c r="Z3460" s="129"/>
      <c r="AA3460" s="129"/>
      <c r="AB3460" s="129"/>
    </row>
    <row r="3461" hidden="1">
      <c r="A3461" s="159" t="s">
        <v>1597</v>
      </c>
      <c r="B3461" s="124">
        <v>790.0</v>
      </c>
      <c r="C3461" s="147">
        <v>910.0</v>
      </c>
      <c r="D3461" s="125">
        <f t="shared" si="256"/>
        <v>120</v>
      </c>
      <c r="F3461" s="313"/>
    </row>
    <row r="3462" hidden="1">
      <c r="A3462" s="123" t="s">
        <v>1213</v>
      </c>
      <c r="B3462" s="147">
        <v>1425.0</v>
      </c>
      <c r="C3462" s="124">
        <v>1596.0</v>
      </c>
      <c r="D3462" s="132">
        <f t="shared" si="256"/>
        <v>171</v>
      </c>
      <c r="E3462" s="132"/>
      <c r="F3462" s="124"/>
    </row>
    <row r="3463" hidden="1">
      <c r="A3463" s="142" t="s">
        <v>1588</v>
      </c>
      <c r="B3463" s="147">
        <v>990.0</v>
      </c>
      <c r="C3463" s="124">
        <v>1180.0</v>
      </c>
      <c r="D3463" s="132">
        <f t="shared" si="256"/>
        <v>190</v>
      </c>
      <c r="E3463" s="127"/>
      <c r="F3463" s="139"/>
      <c r="G3463" s="129"/>
      <c r="H3463" s="129"/>
      <c r="I3463" s="129"/>
      <c r="J3463" s="129"/>
      <c r="K3463" s="129"/>
      <c r="L3463" s="129"/>
      <c r="M3463" s="129"/>
      <c r="N3463" s="129"/>
      <c r="O3463" s="129"/>
      <c r="P3463" s="129"/>
      <c r="Q3463" s="129"/>
      <c r="R3463" s="129"/>
      <c r="S3463" s="129"/>
      <c r="T3463" s="129"/>
      <c r="U3463" s="129"/>
      <c r="V3463" s="129"/>
      <c r="W3463" s="129"/>
      <c r="X3463" s="129"/>
      <c r="Y3463" s="129"/>
      <c r="Z3463" s="129"/>
      <c r="AA3463" s="129"/>
      <c r="AB3463" s="129"/>
    </row>
    <row r="3464" hidden="1">
      <c r="A3464" s="150" t="s">
        <v>1216</v>
      </c>
      <c r="B3464" s="147">
        <v>1490.0</v>
      </c>
      <c r="C3464" s="147">
        <v>1594.0</v>
      </c>
      <c r="D3464" s="132">
        <f t="shared" si="256"/>
        <v>104</v>
      </c>
      <c r="E3464" s="147"/>
      <c r="F3464" s="132"/>
      <c r="G3464" s="129"/>
      <c r="H3464" s="129"/>
      <c r="I3464" s="129"/>
      <c r="J3464" s="129"/>
      <c r="K3464" s="129"/>
      <c r="L3464" s="129"/>
      <c r="M3464" s="129"/>
      <c r="N3464" s="129"/>
      <c r="O3464" s="129"/>
      <c r="P3464" s="129"/>
      <c r="Q3464" s="129"/>
      <c r="R3464" s="129"/>
      <c r="S3464" s="129"/>
      <c r="T3464" s="129"/>
      <c r="U3464" s="129"/>
      <c r="V3464" s="129"/>
      <c r="W3464" s="129"/>
      <c r="X3464" s="129"/>
      <c r="Y3464" s="129"/>
      <c r="Z3464" s="129"/>
      <c r="AA3464" s="129"/>
      <c r="AB3464" s="129"/>
    </row>
    <row r="3465" hidden="1">
      <c r="A3465" s="128" t="s">
        <v>1300</v>
      </c>
      <c r="B3465" s="147">
        <v>1450.0</v>
      </c>
      <c r="C3465" s="147">
        <v>1526.0</v>
      </c>
      <c r="D3465" s="132">
        <f t="shared" si="256"/>
        <v>76</v>
      </c>
      <c r="E3465" s="147"/>
      <c r="F3465" s="132"/>
      <c r="G3465" s="129"/>
      <c r="H3465" s="129"/>
      <c r="I3465" s="129"/>
      <c r="J3465" s="129"/>
      <c r="K3465" s="129"/>
      <c r="L3465" s="129"/>
      <c r="M3465" s="129"/>
      <c r="N3465" s="129"/>
      <c r="O3465" s="129"/>
      <c r="P3465" s="129"/>
      <c r="Q3465" s="129"/>
      <c r="R3465" s="129"/>
      <c r="S3465" s="129"/>
      <c r="T3465" s="129"/>
      <c r="U3465" s="129"/>
      <c r="V3465" s="129"/>
      <c r="W3465" s="129"/>
      <c r="X3465" s="129"/>
      <c r="Y3465" s="129"/>
      <c r="Z3465" s="129"/>
      <c r="AA3465" s="129"/>
      <c r="AB3465" s="129"/>
    </row>
    <row r="3466" hidden="1">
      <c r="A3466" s="128" t="s">
        <v>1598</v>
      </c>
      <c r="B3466" s="147">
        <v>1275.0</v>
      </c>
      <c r="C3466" s="147">
        <v>1495.0</v>
      </c>
      <c r="D3466" s="132">
        <f t="shared" si="256"/>
        <v>220</v>
      </c>
      <c r="E3466" s="147"/>
      <c r="F3466" s="132"/>
      <c r="G3466" s="129"/>
      <c r="H3466" s="129"/>
      <c r="I3466" s="129"/>
      <c r="J3466" s="129"/>
      <c r="K3466" s="129"/>
      <c r="L3466" s="129"/>
      <c r="M3466" s="129"/>
      <c r="N3466" s="129"/>
      <c r="O3466" s="129"/>
      <c r="P3466" s="129"/>
      <c r="Q3466" s="129"/>
      <c r="R3466" s="129"/>
      <c r="S3466" s="129"/>
      <c r="T3466" s="129"/>
      <c r="U3466" s="129"/>
      <c r="V3466" s="129"/>
      <c r="W3466" s="129"/>
      <c r="X3466" s="129"/>
      <c r="Y3466" s="129"/>
      <c r="Z3466" s="129"/>
      <c r="AA3466" s="129"/>
      <c r="AB3466" s="129"/>
    </row>
    <row r="3467" hidden="1">
      <c r="A3467" s="123"/>
      <c r="B3467" s="124"/>
      <c r="C3467" s="123"/>
      <c r="D3467" s="123"/>
    </row>
    <row r="3468" hidden="1">
      <c r="A3468" s="122" t="s">
        <v>57</v>
      </c>
      <c r="B3468" s="133">
        <f t="shared" ref="B3468:D3468" si="257">SUM(B3333:B3467)</f>
        <v>244980</v>
      </c>
      <c r="C3468" s="133">
        <f t="shared" si="257"/>
        <v>273820</v>
      </c>
      <c r="D3468" s="133">
        <f t="shared" si="257"/>
        <v>28840</v>
      </c>
      <c r="E3468" s="135">
        <f>D3468/(C3468/100)</f>
        <v>10.53246658</v>
      </c>
    </row>
    <row r="3469" hidden="1">
      <c r="A3469" s="154"/>
      <c r="B3469" s="124"/>
      <c r="C3469" s="124"/>
      <c r="D3469" s="124"/>
    </row>
    <row r="3470" hidden="1">
      <c r="A3470" s="154">
        <v>43983.0</v>
      </c>
      <c r="B3470" s="124"/>
      <c r="C3470" s="124"/>
      <c r="D3470" s="124"/>
    </row>
    <row r="3471" hidden="1">
      <c r="A3471" s="122"/>
      <c r="B3471" s="124"/>
      <c r="C3471" s="123"/>
      <c r="D3471" s="312"/>
      <c r="F3471" s="313"/>
    </row>
    <row r="3472" hidden="1">
      <c r="A3472" s="128" t="s">
        <v>1208</v>
      </c>
      <c r="B3472" s="147">
        <v>1490.0</v>
      </c>
      <c r="C3472" s="147">
        <v>1596.0</v>
      </c>
      <c r="D3472" s="132">
        <f t="shared" ref="D3472:D3597" si="258">C3472-B3472</f>
        <v>106</v>
      </c>
      <c r="E3472" s="147"/>
      <c r="F3472" s="132"/>
      <c r="G3472" s="129"/>
      <c r="H3472" s="129"/>
      <c r="I3472" s="129"/>
      <c r="J3472" s="129"/>
      <c r="K3472" s="129"/>
      <c r="L3472" s="129"/>
      <c r="M3472" s="129"/>
      <c r="N3472" s="129"/>
      <c r="O3472" s="129"/>
      <c r="P3472" s="129"/>
      <c r="Q3472" s="129"/>
      <c r="R3472" s="129"/>
      <c r="S3472" s="129"/>
      <c r="T3472" s="129"/>
      <c r="U3472" s="129"/>
      <c r="V3472" s="129"/>
      <c r="W3472" s="129"/>
      <c r="X3472" s="129"/>
      <c r="Y3472" s="129"/>
      <c r="Z3472" s="129"/>
      <c r="AA3472" s="129"/>
      <c r="AB3472" s="129"/>
    </row>
    <row r="3473" hidden="1">
      <c r="A3473" s="128" t="s">
        <v>1599</v>
      </c>
      <c r="B3473" s="147">
        <v>5990.0</v>
      </c>
      <c r="C3473" s="147">
        <v>6702.0</v>
      </c>
      <c r="D3473" s="132">
        <f t="shared" si="258"/>
        <v>712</v>
      </c>
      <c r="E3473" s="139"/>
      <c r="F3473" s="139"/>
      <c r="G3473" s="129"/>
      <c r="H3473" s="129"/>
      <c r="I3473" s="129"/>
      <c r="J3473" s="129"/>
      <c r="K3473" s="129"/>
      <c r="L3473" s="129"/>
      <c r="M3473" s="129"/>
      <c r="N3473" s="129"/>
      <c r="O3473" s="129"/>
      <c r="P3473" s="129"/>
      <c r="Q3473" s="129"/>
      <c r="R3473" s="129"/>
      <c r="S3473" s="129"/>
      <c r="T3473" s="129"/>
      <c r="U3473" s="129"/>
      <c r="V3473" s="129"/>
      <c r="W3473" s="129"/>
      <c r="X3473" s="129"/>
      <c r="Y3473" s="129"/>
      <c r="Z3473" s="129"/>
      <c r="AA3473" s="129"/>
      <c r="AB3473" s="129"/>
    </row>
    <row r="3474" hidden="1">
      <c r="A3474" s="128" t="s">
        <v>1208</v>
      </c>
      <c r="B3474" s="147">
        <v>1490.0</v>
      </c>
      <c r="C3474" s="147">
        <v>1596.0</v>
      </c>
      <c r="D3474" s="132">
        <f t="shared" si="258"/>
        <v>106</v>
      </c>
      <c r="E3474" s="147"/>
      <c r="F3474" s="132"/>
      <c r="G3474" s="129"/>
      <c r="H3474" s="129"/>
      <c r="I3474" s="129"/>
      <c r="J3474" s="129"/>
      <c r="K3474" s="129"/>
      <c r="L3474" s="129"/>
      <c r="M3474" s="129"/>
      <c r="N3474" s="129"/>
      <c r="O3474" s="129"/>
      <c r="P3474" s="129"/>
      <c r="Q3474" s="129"/>
      <c r="R3474" s="129"/>
      <c r="S3474" s="129"/>
      <c r="T3474" s="129"/>
      <c r="U3474" s="129"/>
      <c r="V3474" s="129"/>
      <c r="W3474" s="129"/>
      <c r="X3474" s="129"/>
      <c r="Y3474" s="129"/>
      <c r="Z3474" s="129"/>
      <c r="AA3474" s="129"/>
      <c r="AB3474" s="129"/>
    </row>
    <row r="3475" hidden="1">
      <c r="A3475" s="128" t="s">
        <v>1179</v>
      </c>
      <c r="B3475" s="147">
        <v>5830.0</v>
      </c>
      <c r="C3475" s="147">
        <v>6054.0</v>
      </c>
      <c r="D3475" s="132">
        <f t="shared" si="258"/>
        <v>224</v>
      </c>
      <c r="E3475" s="147"/>
      <c r="F3475" s="132"/>
      <c r="G3475" s="129"/>
      <c r="H3475" s="129"/>
      <c r="I3475" s="129"/>
      <c r="J3475" s="129"/>
      <c r="K3475" s="129"/>
      <c r="L3475" s="129"/>
      <c r="M3475" s="129"/>
      <c r="N3475" s="129"/>
      <c r="O3475" s="129"/>
      <c r="P3475" s="129"/>
      <c r="Q3475" s="129"/>
      <c r="R3475" s="129"/>
      <c r="S3475" s="129"/>
      <c r="T3475" s="129"/>
      <c r="U3475" s="129"/>
      <c r="V3475" s="129"/>
      <c r="W3475" s="129"/>
      <c r="X3475" s="129"/>
      <c r="Y3475" s="129"/>
      <c r="Z3475" s="129"/>
      <c r="AA3475" s="129"/>
      <c r="AB3475" s="129"/>
    </row>
    <row r="3476" hidden="1">
      <c r="A3476" s="128" t="s">
        <v>1179</v>
      </c>
      <c r="B3476" s="147">
        <v>0.0</v>
      </c>
      <c r="C3476" s="147">
        <v>0.0</v>
      </c>
      <c r="D3476" s="132">
        <f t="shared" si="258"/>
        <v>0</v>
      </c>
      <c r="E3476" s="147"/>
      <c r="F3476" s="132"/>
      <c r="G3476" s="129"/>
      <c r="H3476" s="129"/>
      <c r="I3476" s="129"/>
      <c r="J3476" s="129"/>
      <c r="K3476" s="129"/>
      <c r="L3476" s="129"/>
      <c r="M3476" s="129"/>
      <c r="N3476" s="129"/>
      <c r="O3476" s="129"/>
      <c r="P3476" s="129"/>
      <c r="Q3476" s="129"/>
      <c r="R3476" s="129"/>
      <c r="S3476" s="129"/>
      <c r="T3476" s="129"/>
      <c r="U3476" s="129"/>
      <c r="V3476" s="129"/>
      <c r="W3476" s="129"/>
      <c r="X3476" s="129"/>
      <c r="Y3476" s="129"/>
      <c r="Z3476" s="129"/>
      <c r="AA3476" s="129"/>
      <c r="AB3476" s="129"/>
    </row>
    <row r="3477" hidden="1">
      <c r="A3477" s="123" t="s">
        <v>1213</v>
      </c>
      <c r="B3477" s="147">
        <v>0.0</v>
      </c>
      <c r="C3477" s="124">
        <v>0.0</v>
      </c>
      <c r="D3477" s="132">
        <f t="shared" si="258"/>
        <v>0</v>
      </c>
      <c r="E3477" s="132"/>
      <c r="F3477" s="124"/>
    </row>
    <row r="3478" hidden="1">
      <c r="A3478" s="123" t="s">
        <v>1213</v>
      </c>
      <c r="B3478" s="147">
        <v>0.0</v>
      </c>
      <c r="C3478" s="124">
        <v>0.0</v>
      </c>
      <c r="D3478" s="132">
        <f t="shared" si="258"/>
        <v>0</v>
      </c>
      <c r="E3478" s="132"/>
      <c r="F3478" s="124"/>
    </row>
    <row r="3479" hidden="1">
      <c r="A3479" s="123" t="s">
        <v>1387</v>
      </c>
      <c r="B3479" s="147">
        <v>3530.0</v>
      </c>
      <c r="C3479" s="147">
        <v>3753.0</v>
      </c>
      <c r="D3479" s="132">
        <f t="shared" si="258"/>
        <v>223</v>
      </c>
      <c r="E3479" s="124"/>
      <c r="F3479" s="124"/>
    </row>
    <row r="3480" hidden="1">
      <c r="A3480" s="128" t="s">
        <v>521</v>
      </c>
      <c r="B3480" s="147">
        <v>0.0</v>
      </c>
      <c r="C3480" s="147">
        <v>0.0</v>
      </c>
      <c r="D3480" s="132">
        <f t="shared" si="258"/>
        <v>0</v>
      </c>
      <c r="E3480" s="132"/>
      <c r="F3480" s="132"/>
      <c r="G3480" s="129"/>
      <c r="H3480" s="129"/>
      <c r="I3480" s="129"/>
      <c r="J3480" s="129"/>
      <c r="K3480" s="129"/>
      <c r="L3480" s="129"/>
      <c r="M3480" s="129"/>
      <c r="N3480" s="129"/>
      <c r="O3480" s="129"/>
      <c r="P3480" s="129"/>
      <c r="Q3480" s="129"/>
      <c r="R3480" s="129"/>
      <c r="S3480" s="129"/>
      <c r="T3480" s="129"/>
      <c r="U3480" s="129"/>
      <c r="V3480" s="129"/>
      <c r="W3480" s="129"/>
      <c r="X3480" s="129"/>
      <c r="Y3480" s="129"/>
      <c r="Z3480" s="129"/>
      <c r="AA3480" s="129"/>
      <c r="AB3480" s="129"/>
    </row>
    <row r="3481" hidden="1">
      <c r="A3481" s="128" t="s">
        <v>1600</v>
      </c>
      <c r="B3481" s="147">
        <v>4330.0</v>
      </c>
      <c r="C3481" s="147">
        <v>4617.0</v>
      </c>
      <c r="D3481" s="132">
        <f t="shared" si="258"/>
        <v>287</v>
      </c>
      <c r="E3481" s="139"/>
      <c r="F3481" s="139"/>
      <c r="G3481" s="129"/>
      <c r="H3481" s="129"/>
      <c r="I3481" s="129"/>
      <c r="J3481" s="129"/>
      <c r="K3481" s="129"/>
      <c r="L3481" s="129"/>
      <c r="M3481" s="129"/>
      <c r="N3481" s="129"/>
      <c r="O3481" s="129"/>
      <c r="P3481" s="129"/>
      <c r="Q3481" s="129"/>
      <c r="R3481" s="129"/>
      <c r="S3481" s="129"/>
      <c r="T3481" s="129"/>
      <c r="U3481" s="129"/>
      <c r="V3481" s="129"/>
      <c r="W3481" s="129"/>
      <c r="X3481" s="129"/>
      <c r="Y3481" s="129"/>
      <c r="Z3481" s="129"/>
      <c r="AA3481" s="129"/>
      <c r="AB3481" s="129"/>
    </row>
    <row r="3482" hidden="1">
      <c r="A3482" s="128" t="s">
        <v>1441</v>
      </c>
      <c r="B3482" s="147">
        <v>0.0</v>
      </c>
      <c r="C3482" s="147">
        <v>0.0</v>
      </c>
      <c r="D3482" s="132">
        <f t="shared" si="258"/>
        <v>0</v>
      </c>
      <c r="E3482" s="147"/>
      <c r="F3482" s="132"/>
      <c r="G3482" s="129"/>
      <c r="H3482" s="129"/>
      <c r="I3482" s="129"/>
      <c r="J3482" s="129"/>
      <c r="K3482" s="129"/>
      <c r="L3482" s="129"/>
      <c r="M3482" s="129"/>
      <c r="N3482" s="129"/>
      <c r="O3482" s="129"/>
      <c r="P3482" s="129"/>
      <c r="Q3482" s="129"/>
      <c r="R3482" s="129"/>
      <c r="S3482" s="129"/>
      <c r="T3482" s="129"/>
      <c r="U3482" s="129"/>
      <c r="V3482" s="129"/>
      <c r="W3482" s="129"/>
      <c r="X3482" s="129"/>
      <c r="Y3482" s="129"/>
      <c r="Z3482" s="129"/>
      <c r="AA3482" s="129"/>
      <c r="AB3482" s="129"/>
    </row>
    <row r="3483" hidden="1">
      <c r="A3483" s="150" t="s">
        <v>1216</v>
      </c>
      <c r="B3483" s="147">
        <v>0.0</v>
      </c>
      <c r="C3483" s="147">
        <v>0.0</v>
      </c>
      <c r="D3483" s="132">
        <f t="shared" si="258"/>
        <v>0</v>
      </c>
      <c r="E3483" s="147"/>
      <c r="F3483" s="132"/>
      <c r="G3483" s="129"/>
      <c r="H3483" s="129"/>
      <c r="I3483" s="129"/>
      <c r="J3483" s="129"/>
      <c r="K3483" s="129"/>
      <c r="L3483" s="129"/>
      <c r="M3483" s="129"/>
      <c r="N3483" s="129"/>
      <c r="O3483" s="129"/>
      <c r="P3483" s="129"/>
      <c r="Q3483" s="129"/>
      <c r="R3483" s="129"/>
      <c r="S3483" s="129"/>
      <c r="T3483" s="129"/>
      <c r="U3483" s="129"/>
      <c r="V3483" s="129"/>
      <c r="W3483" s="129"/>
      <c r="X3483" s="129"/>
      <c r="Y3483" s="129"/>
      <c r="Z3483" s="129"/>
      <c r="AA3483" s="129"/>
      <c r="AB3483" s="129"/>
    </row>
    <row r="3484" hidden="1">
      <c r="A3484" s="150" t="s">
        <v>1216</v>
      </c>
      <c r="B3484" s="147">
        <v>1490.0</v>
      </c>
      <c r="C3484" s="147">
        <v>1605.0</v>
      </c>
      <c r="D3484" s="132">
        <f t="shared" si="258"/>
        <v>115</v>
      </c>
      <c r="E3484" s="147"/>
      <c r="F3484" s="132"/>
      <c r="G3484" s="129"/>
      <c r="H3484" s="129"/>
      <c r="I3484" s="129"/>
      <c r="J3484" s="129"/>
      <c r="K3484" s="129"/>
      <c r="L3484" s="129"/>
      <c r="M3484" s="129"/>
      <c r="N3484" s="129"/>
      <c r="O3484" s="129"/>
      <c r="P3484" s="129"/>
      <c r="Q3484" s="129"/>
      <c r="R3484" s="129"/>
      <c r="S3484" s="129"/>
      <c r="T3484" s="129"/>
      <c r="U3484" s="129"/>
      <c r="V3484" s="129"/>
      <c r="W3484" s="129"/>
      <c r="X3484" s="129"/>
      <c r="Y3484" s="129"/>
      <c r="Z3484" s="129"/>
      <c r="AA3484" s="129"/>
      <c r="AB3484" s="129"/>
    </row>
    <row r="3485" hidden="1">
      <c r="A3485" s="150" t="s">
        <v>1209</v>
      </c>
      <c r="B3485" s="147">
        <v>1490.0</v>
      </c>
      <c r="C3485" s="147">
        <v>1588.0</v>
      </c>
      <c r="D3485" s="132">
        <f t="shared" si="258"/>
        <v>98</v>
      </c>
      <c r="E3485" s="127"/>
      <c r="F3485" s="139"/>
      <c r="G3485" s="129"/>
      <c r="H3485" s="129"/>
      <c r="I3485" s="129"/>
      <c r="J3485" s="129"/>
      <c r="K3485" s="129"/>
      <c r="L3485" s="129"/>
      <c r="M3485" s="129"/>
      <c r="N3485" s="129"/>
      <c r="O3485" s="129"/>
      <c r="P3485" s="129"/>
      <c r="Q3485" s="129"/>
      <c r="R3485" s="129"/>
      <c r="S3485" s="129"/>
      <c r="T3485" s="129"/>
      <c r="U3485" s="129"/>
      <c r="V3485" s="129"/>
      <c r="W3485" s="129"/>
      <c r="X3485" s="129"/>
      <c r="Y3485" s="129"/>
      <c r="Z3485" s="129"/>
      <c r="AA3485" s="129"/>
      <c r="AB3485" s="129"/>
    </row>
    <row r="3486" hidden="1">
      <c r="A3486" s="128" t="s">
        <v>1301</v>
      </c>
      <c r="B3486" s="147">
        <v>1490.0</v>
      </c>
      <c r="C3486" s="147">
        <v>1612.0</v>
      </c>
      <c r="D3486" s="132">
        <f t="shared" si="258"/>
        <v>122</v>
      </c>
      <c r="E3486" s="147"/>
      <c r="F3486" s="132"/>
      <c r="G3486" s="129"/>
      <c r="H3486" s="129"/>
      <c r="I3486" s="129"/>
      <c r="J3486" s="129"/>
      <c r="K3486" s="129"/>
      <c r="L3486" s="129"/>
      <c r="M3486" s="129"/>
      <c r="N3486" s="129"/>
      <c r="O3486" s="129"/>
      <c r="P3486" s="129"/>
      <c r="Q3486" s="129"/>
      <c r="R3486" s="129"/>
      <c r="S3486" s="129"/>
      <c r="T3486" s="129"/>
      <c r="U3486" s="129"/>
      <c r="V3486" s="129"/>
      <c r="W3486" s="129"/>
      <c r="X3486" s="129"/>
      <c r="Y3486" s="129"/>
      <c r="Z3486" s="129"/>
      <c r="AA3486" s="129"/>
      <c r="AB3486" s="129"/>
    </row>
    <row r="3487" hidden="1">
      <c r="A3487" s="128" t="s">
        <v>1391</v>
      </c>
      <c r="B3487" s="147">
        <v>3540.0</v>
      </c>
      <c r="C3487" s="147">
        <v>3606.0</v>
      </c>
      <c r="D3487" s="132">
        <f t="shared" si="258"/>
        <v>66</v>
      </c>
      <c r="E3487" s="139"/>
      <c r="F3487" s="139"/>
      <c r="G3487" s="129"/>
      <c r="H3487" s="129"/>
      <c r="I3487" s="129"/>
      <c r="J3487" s="129"/>
      <c r="K3487" s="129"/>
      <c r="L3487" s="129"/>
      <c r="M3487" s="129"/>
      <c r="N3487" s="129"/>
      <c r="O3487" s="129"/>
      <c r="P3487" s="129"/>
      <c r="Q3487" s="129"/>
      <c r="R3487" s="129"/>
      <c r="S3487" s="129"/>
      <c r="T3487" s="129"/>
      <c r="U3487" s="129"/>
      <c r="V3487" s="129"/>
      <c r="W3487" s="129"/>
      <c r="X3487" s="129"/>
      <c r="Y3487" s="129"/>
      <c r="Z3487" s="129"/>
      <c r="AA3487" s="129"/>
      <c r="AB3487" s="129"/>
    </row>
    <row r="3488" hidden="1">
      <c r="A3488" s="123" t="s">
        <v>1213</v>
      </c>
      <c r="B3488" s="147">
        <v>1390.0</v>
      </c>
      <c r="C3488" s="124">
        <v>1588.0</v>
      </c>
      <c r="D3488" s="132">
        <f t="shared" si="258"/>
        <v>198</v>
      </c>
      <c r="E3488" s="132"/>
      <c r="F3488" s="124"/>
    </row>
    <row r="3489" hidden="1">
      <c r="A3489" s="123" t="s">
        <v>1213</v>
      </c>
      <c r="B3489" s="147">
        <v>1390.0</v>
      </c>
      <c r="C3489" s="124">
        <v>1591.0</v>
      </c>
      <c r="D3489" s="132">
        <f t="shared" si="258"/>
        <v>201</v>
      </c>
      <c r="E3489" s="132"/>
      <c r="F3489" s="124"/>
    </row>
    <row r="3490" hidden="1">
      <c r="A3490" s="128" t="s">
        <v>1601</v>
      </c>
      <c r="B3490" s="147">
        <v>15990.0</v>
      </c>
      <c r="C3490" s="147">
        <v>17111.0</v>
      </c>
      <c r="D3490" s="132">
        <f t="shared" si="258"/>
        <v>1121</v>
      </c>
      <c r="E3490" s="139"/>
      <c r="F3490" s="139"/>
      <c r="G3490" s="129"/>
      <c r="H3490" s="129"/>
      <c r="I3490" s="129"/>
      <c r="J3490" s="129"/>
      <c r="K3490" s="129"/>
      <c r="L3490" s="129"/>
      <c r="M3490" s="129"/>
      <c r="N3490" s="129"/>
      <c r="O3490" s="129"/>
      <c r="P3490" s="129"/>
      <c r="Q3490" s="129"/>
      <c r="R3490" s="129"/>
      <c r="S3490" s="129"/>
      <c r="T3490" s="129"/>
      <c r="U3490" s="129"/>
      <c r="V3490" s="129"/>
      <c r="W3490" s="129"/>
      <c r="X3490" s="129"/>
      <c r="Y3490" s="129"/>
      <c r="Z3490" s="129"/>
      <c r="AA3490" s="129"/>
      <c r="AB3490" s="129"/>
    </row>
    <row r="3491" hidden="1">
      <c r="A3491" s="128" t="s">
        <v>1179</v>
      </c>
      <c r="B3491" s="147">
        <v>1490.0</v>
      </c>
      <c r="C3491" s="147">
        <v>1588.0</v>
      </c>
      <c r="D3491" s="132">
        <f t="shared" si="258"/>
        <v>98</v>
      </c>
      <c r="E3491" s="147"/>
      <c r="F3491" s="132"/>
      <c r="G3491" s="129"/>
      <c r="H3491" s="129"/>
      <c r="I3491" s="129"/>
      <c r="J3491" s="129"/>
      <c r="K3491" s="129"/>
      <c r="L3491" s="129"/>
      <c r="M3491" s="129"/>
      <c r="N3491" s="129"/>
      <c r="O3491" s="129"/>
      <c r="P3491" s="129"/>
      <c r="Q3491" s="129"/>
      <c r="R3491" s="129"/>
      <c r="S3491" s="129"/>
      <c r="T3491" s="129"/>
      <c r="U3491" s="129"/>
      <c r="V3491" s="129"/>
      <c r="W3491" s="129"/>
      <c r="X3491" s="129"/>
      <c r="Y3491" s="129"/>
      <c r="Z3491" s="129"/>
      <c r="AA3491" s="129"/>
      <c r="AB3491" s="129"/>
    </row>
    <row r="3492" hidden="1">
      <c r="A3492" s="123" t="s">
        <v>1213</v>
      </c>
      <c r="B3492" s="147">
        <v>2780.0</v>
      </c>
      <c r="C3492" s="124">
        <v>3093.0</v>
      </c>
      <c r="D3492" s="132">
        <f t="shared" si="258"/>
        <v>313</v>
      </c>
      <c r="E3492" s="132"/>
      <c r="F3492" s="124"/>
    </row>
    <row r="3493" hidden="1">
      <c r="A3493" s="123" t="s">
        <v>1213</v>
      </c>
      <c r="B3493" s="147">
        <v>0.0</v>
      </c>
      <c r="C3493" s="124">
        <v>0.0</v>
      </c>
      <c r="D3493" s="132">
        <f t="shared" si="258"/>
        <v>0</v>
      </c>
      <c r="E3493" s="132"/>
      <c r="F3493" s="124"/>
    </row>
    <row r="3494" hidden="1">
      <c r="A3494" s="150" t="s">
        <v>1213</v>
      </c>
      <c r="B3494" s="132">
        <v>5560.0</v>
      </c>
      <c r="C3494" s="147">
        <v>6160.0</v>
      </c>
      <c r="D3494" s="132">
        <f t="shared" si="258"/>
        <v>600</v>
      </c>
      <c r="E3494" s="132"/>
      <c r="F3494" s="139"/>
      <c r="G3494" s="129"/>
      <c r="H3494" s="129"/>
      <c r="I3494" s="129"/>
      <c r="J3494" s="129"/>
      <c r="K3494" s="129"/>
      <c r="L3494" s="129"/>
      <c r="M3494" s="129"/>
      <c r="N3494" s="129"/>
      <c r="O3494" s="129"/>
      <c r="P3494" s="129"/>
      <c r="Q3494" s="129"/>
      <c r="R3494" s="129"/>
      <c r="S3494" s="129"/>
      <c r="T3494" s="129"/>
      <c r="U3494" s="129"/>
      <c r="V3494" s="129"/>
      <c r="W3494" s="129"/>
      <c r="X3494" s="129"/>
      <c r="Y3494" s="129"/>
      <c r="Z3494" s="129"/>
      <c r="AA3494" s="129"/>
      <c r="AB3494" s="129"/>
    </row>
    <row r="3495" hidden="1">
      <c r="A3495" s="150" t="s">
        <v>1213</v>
      </c>
      <c r="B3495" s="132">
        <v>0.0</v>
      </c>
      <c r="C3495" s="132">
        <v>0.0</v>
      </c>
      <c r="D3495" s="132">
        <f t="shared" si="258"/>
        <v>0</v>
      </c>
      <c r="E3495" s="132"/>
      <c r="F3495" s="139"/>
      <c r="G3495" s="129"/>
      <c r="H3495" s="129"/>
      <c r="I3495" s="129"/>
      <c r="J3495" s="129"/>
      <c r="K3495" s="129"/>
      <c r="L3495" s="129"/>
      <c r="M3495" s="129"/>
      <c r="N3495" s="129"/>
      <c r="O3495" s="129"/>
      <c r="P3495" s="129"/>
      <c r="Q3495" s="129"/>
      <c r="R3495" s="129"/>
      <c r="S3495" s="129"/>
      <c r="T3495" s="129"/>
      <c r="U3495" s="129"/>
      <c r="V3495" s="129"/>
      <c r="W3495" s="129"/>
      <c r="X3495" s="129"/>
      <c r="Y3495" s="129"/>
      <c r="Z3495" s="129"/>
      <c r="AA3495" s="129"/>
      <c r="AB3495" s="129"/>
    </row>
    <row r="3496" hidden="1">
      <c r="A3496" s="150" t="s">
        <v>1213</v>
      </c>
      <c r="B3496" s="132">
        <v>0.0</v>
      </c>
      <c r="C3496" s="132">
        <v>0.0</v>
      </c>
      <c r="D3496" s="132">
        <f t="shared" si="258"/>
        <v>0</v>
      </c>
      <c r="E3496" s="132"/>
      <c r="F3496" s="139"/>
      <c r="G3496" s="129"/>
      <c r="H3496" s="129"/>
      <c r="I3496" s="129"/>
      <c r="J3496" s="129"/>
      <c r="K3496" s="129"/>
      <c r="L3496" s="129"/>
      <c r="M3496" s="129"/>
      <c r="N3496" s="129"/>
      <c r="O3496" s="129"/>
      <c r="P3496" s="129"/>
      <c r="Q3496" s="129"/>
      <c r="R3496" s="129"/>
      <c r="S3496" s="129"/>
      <c r="T3496" s="129"/>
      <c r="U3496" s="129"/>
      <c r="V3496" s="129"/>
      <c r="W3496" s="129"/>
      <c r="X3496" s="129"/>
      <c r="Y3496" s="129"/>
      <c r="Z3496" s="129"/>
      <c r="AA3496" s="129"/>
      <c r="AB3496" s="129"/>
    </row>
    <row r="3497" hidden="1">
      <c r="A3497" s="150" t="s">
        <v>1213</v>
      </c>
      <c r="B3497" s="132">
        <v>0.0</v>
      </c>
      <c r="C3497" s="132">
        <v>0.0</v>
      </c>
      <c r="D3497" s="132">
        <f t="shared" si="258"/>
        <v>0</v>
      </c>
      <c r="E3497" s="132"/>
      <c r="F3497" s="139"/>
      <c r="G3497" s="129"/>
      <c r="H3497" s="129"/>
      <c r="I3497" s="129"/>
      <c r="J3497" s="129"/>
      <c r="K3497" s="129"/>
      <c r="L3497" s="129"/>
      <c r="M3497" s="129"/>
      <c r="N3497" s="129"/>
      <c r="O3497" s="129"/>
      <c r="P3497" s="129"/>
      <c r="Q3497" s="129"/>
      <c r="R3497" s="129"/>
      <c r="S3497" s="129"/>
      <c r="T3497" s="129"/>
      <c r="U3497" s="129"/>
      <c r="V3497" s="129"/>
      <c r="W3497" s="129"/>
      <c r="X3497" s="129"/>
      <c r="Y3497" s="129"/>
      <c r="Z3497" s="129"/>
      <c r="AA3497" s="129"/>
      <c r="AB3497" s="129"/>
    </row>
    <row r="3498" hidden="1">
      <c r="A3498" s="123" t="s">
        <v>1602</v>
      </c>
      <c r="B3498" s="124">
        <v>1090.0</v>
      </c>
      <c r="C3498" s="124">
        <v>1252.0</v>
      </c>
      <c r="D3498" s="125">
        <f t="shared" si="258"/>
        <v>162</v>
      </c>
      <c r="E3498" s="132"/>
      <c r="F3498" s="124"/>
    </row>
    <row r="3499" hidden="1">
      <c r="A3499" s="128" t="s">
        <v>1140</v>
      </c>
      <c r="B3499" s="147">
        <v>1490.0</v>
      </c>
      <c r="C3499" s="147">
        <v>1622.0</v>
      </c>
      <c r="D3499" s="132">
        <f t="shared" si="258"/>
        <v>132</v>
      </c>
      <c r="E3499" s="127"/>
      <c r="F3499" s="139"/>
      <c r="G3499" s="129"/>
      <c r="H3499" s="129"/>
      <c r="I3499" s="129"/>
      <c r="J3499" s="129"/>
      <c r="K3499" s="129"/>
      <c r="L3499" s="129"/>
      <c r="M3499" s="129"/>
      <c r="N3499" s="129"/>
      <c r="O3499" s="129"/>
      <c r="P3499" s="129"/>
      <c r="Q3499" s="129"/>
      <c r="R3499" s="129"/>
      <c r="S3499" s="129"/>
      <c r="T3499" s="129"/>
      <c r="U3499" s="129"/>
      <c r="V3499" s="129"/>
      <c r="W3499" s="129"/>
      <c r="X3499" s="129"/>
      <c r="Y3499" s="129"/>
      <c r="Z3499" s="129"/>
      <c r="AA3499" s="129"/>
      <c r="AB3499" s="129"/>
    </row>
    <row r="3500" hidden="1">
      <c r="A3500" s="128" t="s">
        <v>1603</v>
      </c>
      <c r="B3500" s="147">
        <v>1525.0</v>
      </c>
      <c r="C3500" s="147">
        <v>1660.0</v>
      </c>
      <c r="D3500" s="132">
        <f t="shared" si="258"/>
        <v>135</v>
      </c>
      <c r="E3500" s="127"/>
      <c r="F3500" s="139"/>
      <c r="G3500" s="129"/>
      <c r="H3500" s="129"/>
      <c r="I3500" s="129"/>
      <c r="J3500" s="129"/>
      <c r="K3500" s="129"/>
      <c r="L3500" s="129"/>
      <c r="M3500" s="129"/>
      <c r="N3500" s="129"/>
      <c r="O3500" s="129"/>
      <c r="P3500" s="129"/>
      <c r="Q3500" s="129"/>
      <c r="R3500" s="129"/>
      <c r="S3500" s="129"/>
      <c r="T3500" s="129"/>
      <c r="U3500" s="129"/>
      <c r="V3500" s="129"/>
      <c r="W3500" s="129"/>
      <c r="X3500" s="129"/>
      <c r="Y3500" s="129"/>
      <c r="Z3500" s="129"/>
      <c r="AA3500" s="129"/>
      <c r="AB3500" s="129"/>
    </row>
    <row r="3501" hidden="1">
      <c r="A3501" s="123" t="s">
        <v>1213</v>
      </c>
      <c r="B3501" s="147">
        <v>1390.0</v>
      </c>
      <c r="C3501" s="124">
        <v>1555.0</v>
      </c>
      <c r="D3501" s="132">
        <f t="shared" si="258"/>
        <v>165</v>
      </c>
      <c r="E3501" s="132"/>
      <c r="F3501" s="124"/>
    </row>
    <row r="3502" hidden="1">
      <c r="A3502" s="128" t="s">
        <v>1604</v>
      </c>
      <c r="B3502" s="147">
        <v>6945.0</v>
      </c>
      <c r="C3502" s="147">
        <v>7368.0</v>
      </c>
      <c r="D3502" s="132">
        <f t="shared" si="258"/>
        <v>423</v>
      </c>
      <c r="E3502" s="132"/>
      <c r="F3502" s="132"/>
      <c r="G3502" s="129"/>
      <c r="H3502" s="129"/>
      <c r="I3502" s="129"/>
      <c r="J3502" s="129"/>
      <c r="K3502" s="129"/>
      <c r="L3502" s="129"/>
      <c r="M3502" s="129"/>
      <c r="N3502" s="129"/>
      <c r="O3502" s="129"/>
      <c r="P3502" s="129"/>
      <c r="Q3502" s="129"/>
      <c r="R3502" s="129"/>
      <c r="S3502" s="129"/>
      <c r="T3502" s="129"/>
      <c r="U3502" s="129"/>
      <c r="V3502" s="129"/>
      <c r="W3502" s="129"/>
      <c r="X3502" s="129"/>
      <c r="Y3502" s="129"/>
      <c r="Z3502" s="129"/>
      <c r="AA3502" s="129"/>
      <c r="AB3502" s="129"/>
    </row>
    <row r="3503" hidden="1">
      <c r="A3503" s="128" t="s">
        <v>1140</v>
      </c>
      <c r="B3503" s="124">
        <v>0.0</v>
      </c>
      <c r="C3503" s="124">
        <v>0.0</v>
      </c>
      <c r="D3503" s="132">
        <f t="shared" si="258"/>
        <v>0</v>
      </c>
      <c r="E3503" s="127"/>
      <c r="F3503" s="139"/>
      <c r="G3503" s="129"/>
      <c r="H3503" s="129"/>
      <c r="I3503" s="129"/>
      <c r="J3503" s="129"/>
      <c r="K3503" s="129"/>
      <c r="L3503" s="129"/>
      <c r="M3503" s="129"/>
      <c r="N3503" s="129"/>
      <c r="O3503" s="129"/>
      <c r="P3503" s="129"/>
      <c r="Q3503" s="129"/>
      <c r="R3503" s="129"/>
      <c r="S3503" s="129"/>
      <c r="T3503" s="129"/>
      <c r="U3503" s="129"/>
      <c r="V3503" s="129"/>
      <c r="W3503" s="129"/>
      <c r="X3503" s="129"/>
      <c r="Y3503" s="129"/>
      <c r="Z3503" s="129"/>
      <c r="AA3503" s="129"/>
      <c r="AB3503" s="129"/>
    </row>
    <row r="3504" hidden="1">
      <c r="A3504" s="128" t="s">
        <v>1208</v>
      </c>
      <c r="B3504" s="124">
        <v>0.0</v>
      </c>
      <c r="C3504" s="124">
        <v>0.0</v>
      </c>
      <c r="D3504" s="132">
        <f t="shared" si="258"/>
        <v>0</v>
      </c>
      <c r="E3504" s="147"/>
      <c r="F3504" s="132"/>
      <c r="G3504" s="129"/>
      <c r="H3504" s="129"/>
      <c r="I3504" s="129"/>
      <c r="J3504" s="129"/>
      <c r="K3504" s="129"/>
      <c r="L3504" s="129"/>
      <c r="M3504" s="129"/>
      <c r="N3504" s="129"/>
      <c r="O3504" s="129"/>
      <c r="P3504" s="129"/>
      <c r="Q3504" s="129"/>
      <c r="R3504" s="129"/>
      <c r="S3504" s="129"/>
      <c r="T3504" s="129"/>
      <c r="U3504" s="129"/>
      <c r="V3504" s="129"/>
      <c r="W3504" s="129"/>
      <c r="X3504" s="129"/>
      <c r="Y3504" s="129"/>
      <c r="Z3504" s="129"/>
      <c r="AA3504" s="129"/>
      <c r="AB3504" s="129"/>
    </row>
    <row r="3505" hidden="1">
      <c r="A3505" s="128" t="s">
        <v>1093</v>
      </c>
      <c r="B3505" s="124">
        <v>0.0</v>
      </c>
      <c r="C3505" s="124">
        <v>0.0</v>
      </c>
      <c r="D3505" s="132">
        <f t="shared" si="258"/>
        <v>0</v>
      </c>
      <c r="E3505" s="127"/>
      <c r="F3505" s="139"/>
      <c r="G3505" s="129"/>
      <c r="H3505" s="129"/>
      <c r="I3505" s="129"/>
      <c r="J3505" s="129"/>
      <c r="K3505" s="129"/>
      <c r="L3505" s="129"/>
      <c r="M3505" s="129"/>
      <c r="N3505" s="129"/>
      <c r="O3505" s="129"/>
      <c r="P3505" s="129"/>
      <c r="Q3505" s="129"/>
      <c r="R3505" s="129"/>
      <c r="S3505" s="129"/>
      <c r="T3505" s="129"/>
      <c r="U3505" s="129"/>
      <c r="V3505" s="129"/>
      <c r="W3505" s="129"/>
      <c r="X3505" s="129"/>
      <c r="Y3505" s="129"/>
      <c r="Z3505" s="129"/>
      <c r="AA3505" s="129"/>
      <c r="AB3505" s="129"/>
    </row>
    <row r="3506" hidden="1">
      <c r="A3506" s="128" t="s">
        <v>1274</v>
      </c>
      <c r="B3506" s="124">
        <v>0.0</v>
      </c>
      <c r="C3506" s="124">
        <v>0.0</v>
      </c>
      <c r="D3506" s="132">
        <f t="shared" si="258"/>
        <v>0</v>
      </c>
      <c r="E3506" s="147"/>
      <c r="F3506" s="132"/>
      <c r="G3506" s="129"/>
      <c r="H3506" s="129"/>
      <c r="I3506" s="129"/>
      <c r="J3506" s="129"/>
      <c r="K3506" s="129"/>
      <c r="L3506" s="129"/>
      <c r="M3506" s="129"/>
      <c r="N3506" s="129"/>
      <c r="O3506" s="129"/>
      <c r="P3506" s="129"/>
      <c r="Q3506" s="129"/>
      <c r="R3506" s="129"/>
      <c r="S3506" s="129"/>
      <c r="T3506" s="129"/>
      <c r="U3506" s="129"/>
      <c r="V3506" s="129"/>
      <c r="W3506" s="129"/>
      <c r="X3506" s="129"/>
      <c r="Y3506" s="129"/>
      <c r="Z3506" s="129"/>
      <c r="AA3506" s="129"/>
      <c r="AB3506" s="129"/>
    </row>
    <row r="3507" hidden="1">
      <c r="A3507" s="150" t="s">
        <v>1309</v>
      </c>
      <c r="B3507" s="132">
        <v>1500.0</v>
      </c>
      <c r="C3507" s="147">
        <v>1661.0</v>
      </c>
      <c r="D3507" s="132">
        <f t="shared" si="258"/>
        <v>161</v>
      </c>
      <c r="E3507" s="127"/>
      <c r="F3507" s="139"/>
      <c r="G3507" s="129"/>
      <c r="H3507" s="129"/>
      <c r="I3507" s="129"/>
      <c r="J3507" s="129"/>
      <c r="K3507" s="129"/>
      <c r="L3507" s="129"/>
      <c r="M3507" s="129"/>
      <c r="N3507" s="129"/>
      <c r="O3507" s="129"/>
      <c r="P3507" s="129"/>
      <c r="Q3507" s="129"/>
      <c r="R3507" s="129"/>
      <c r="S3507" s="129"/>
      <c r="T3507" s="129"/>
      <c r="U3507" s="129"/>
      <c r="V3507" s="129"/>
      <c r="W3507" s="129"/>
      <c r="X3507" s="129"/>
      <c r="Y3507" s="129"/>
      <c r="Z3507" s="129"/>
      <c r="AA3507" s="129"/>
      <c r="AB3507" s="129"/>
    </row>
    <row r="3508" hidden="1">
      <c r="A3508" s="123" t="s">
        <v>1213</v>
      </c>
      <c r="B3508" s="147">
        <v>5560.0</v>
      </c>
      <c r="C3508" s="124">
        <v>6152.0</v>
      </c>
      <c r="D3508" s="132">
        <f t="shared" si="258"/>
        <v>592</v>
      </c>
      <c r="E3508" s="132"/>
      <c r="F3508" s="124"/>
    </row>
    <row r="3509" hidden="1">
      <c r="A3509" s="123" t="s">
        <v>1213</v>
      </c>
      <c r="B3509" s="124">
        <v>0.0</v>
      </c>
      <c r="C3509" s="124">
        <v>0.0</v>
      </c>
      <c r="D3509" s="132">
        <f t="shared" si="258"/>
        <v>0</v>
      </c>
      <c r="E3509" s="132"/>
      <c r="F3509" s="124"/>
    </row>
    <row r="3510" hidden="1">
      <c r="A3510" s="123" t="s">
        <v>1213</v>
      </c>
      <c r="B3510" s="124">
        <v>0.0</v>
      </c>
      <c r="C3510" s="124">
        <v>0.0</v>
      </c>
      <c r="D3510" s="132">
        <f t="shared" si="258"/>
        <v>0</v>
      </c>
      <c r="E3510" s="132"/>
      <c r="F3510" s="124"/>
    </row>
    <row r="3511" hidden="1">
      <c r="A3511" s="123" t="s">
        <v>1213</v>
      </c>
      <c r="B3511" s="124">
        <v>0.0</v>
      </c>
      <c r="C3511" s="124">
        <v>0.0</v>
      </c>
      <c r="D3511" s="132">
        <f t="shared" si="258"/>
        <v>0</v>
      </c>
      <c r="E3511" s="132"/>
      <c r="F3511" s="124"/>
    </row>
    <row r="3512" hidden="1">
      <c r="A3512" s="142" t="s">
        <v>1605</v>
      </c>
      <c r="B3512" s="147">
        <v>690.0</v>
      </c>
      <c r="C3512" s="124">
        <v>768.0</v>
      </c>
      <c r="D3512" s="132">
        <f t="shared" si="258"/>
        <v>78</v>
      </c>
      <c r="E3512" s="127"/>
      <c r="F3512" s="139"/>
      <c r="G3512" s="129"/>
      <c r="H3512" s="129"/>
      <c r="I3512" s="129"/>
      <c r="J3512" s="129"/>
      <c r="K3512" s="129"/>
      <c r="L3512" s="129"/>
      <c r="M3512" s="129"/>
      <c r="N3512" s="129"/>
      <c r="O3512" s="129"/>
      <c r="P3512" s="129"/>
      <c r="Q3512" s="129"/>
      <c r="R3512" s="129"/>
      <c r="S3512" s="129"/>
      <c r="T3512" s="129"/>
      <c r="U3512" s="129"/>
      <c r="V3512" s="129"/>
      <c r="W3512" s="129"/>
      <c r="X3512" s="129"/>
      <c r="Y3512" s="129"/>
      <c r="Z3512" s="129"/>
      <c r="AA3512" s="129"/>
      <c r="AB3512" s="129"/>
    </row>
    <row r="3513" hidden="1">
      <c r="A3513" s="128" t="s">
        <v>1556</v>
      </c>
      <c r="B3513" s="132">
        <v>6000.0</v>
      </c>
      <c r="C3513" s="147">
        <v>6995.0</v>
      </c>
      <c r="D3513" s="132">
        <f t="shared" si="258"/>
        <v>995</v>
      </c>
      <c r="E3513" s="139"/>
      <c r="F3513" s="139"/>
      <c r="G3513" s="129"/>
      <c r="H3513" s="129"/>
      <c r="I3513" s="129"/>
      <c r="J3513" s="129"/>
      <c r="K3513" s="129"/>
      <c r="L3513" s="129"/>
      <c r="M3513" s="129"/>
      <c r="N3513" s="129"/>
      <c r="O3513" s="129"/>
      <c r="P3513" s="129"/>
      <c r="Q3513" s="129"/>
      <c r="R3513" s="129"/>
      <c r="S3513" s="129"/>
      <c r="T3513" s="129"/>
      <c r="U3513" s="129"/>
      <c r="V3513" s="129"/>
      <c r="W3513" s="129"/>
      <c r="X3513" s="129"/>
      <c r="Y3513" s="129"/>
      <c r="Z3513" s="129"/>
      <c r="AA3513" s="129"/>
      <c r="AB3513" s="129"/>
    </row>
    <row r="3514" hidden="1">
      <c r="A3514" s="128" t="s">
        <v>1140</v>
      </c>
      <c r="B3514" s="147">
        <v>1490.0</v>
      </c>
      <c r="C3514" s="147">
        <v>1617.0</v>
      </c>
      <c r="D3514" s="132">
        <f t="shared" si="258"/>
        <v>127</v>
      </c>
      <c r="E3514" s="127"/>
      <c r="F3514" s="139"/>
      <c r="G3514" s="129"/>
      <c r="H3514" s="129"/>
      <c r="I3514" s="129"/>
      <c r="J3514" s="129"/>
      <c r="K3514" s="129"/>
      <c r="L3514" s="129"/>
      <c r="M3514" s="129"/>
      <c r="N3514" s="129"/>
      <c r="O3514" s="129"/>
      <c r="P3514" s="129"/>
      <c r="Q3514" s="129"/>
      <c r="R3514" s="129"/>
      <c r="S3514" s="129"/>
      <c r="T3514" s="129"/>
      <c r="U3514" s="129"/>
      <c r="V3514" s="129"/>
      <c r="W3514" s="129"/>
      <c r="X3514" s="129"/>
      <c r="Y3514" s="129"/>
      <c r="Z3514" s="129"/>
      <c r="AA3514" s="129"/>
      <c r="AB3514" s="129"/>
    </row>
    <row r="3515" hidden="1">
      <c r="A3515" s="128" t="s">
        <v>1606</v>
      </c>
      <c r="B3515" s="147">
        <v>190.0</v>
      </c>
      <c r="C3515" s="147">
        <v>422.0</v>
      </c>
      <c r="D3515" s="132">
        <f t="shared" si="258"/>
        <v>232</v>
      </c>
      <c r="E3515" s="139"/>
      <c r="F3515" s="139"/>
      <c r="G3515" s="129"/>
      <c r="H3515" s="129"/>
      <c r="I3515" s="129"/>
      <c r="J3515" s="129"/>
      <c r="K3515" s="129"/>
      <c r="L3515" s="129"/>
      <c r="M3515" s="129"/>
      <c r="N3515" s="129"/>
      <c r="O3515" s="129"/>
      <c r="P3515" s="129"/>
      <c r="Q3515" s="129"/>
      <c r="R3515" s="129"/>
      <c r="S3515" s="129"/>
      <c r="T3515" s="129"/>
      <c r="U3515" s="129"/>
      <c r="V3515" s="129"/>
      <c r="W3515" s="129"/>
      <c r="X3515" s="129"/>
      <c r="Y3515" s="129"/>
      <c r="Z3515" s="129"/>
      <c r="AA3515" s="129"/>
      <c r="AB3515" s="129"/>
    </row>
    <row r="3516" hidden="1">
      <c r="A3516" s="123" t="s">
        <v>1213</v>
      </c>
      <c r="B3516" s="147">
        <v>1390.0</v>
      </c>
      <c r="C3516" s="124">
        <v>1622.0</v>
      </c>
      <c r="D3516" s="132">
        <f t="shared" si="258"/>
        <v>232</v>
      </c>
      <c r="E3516" s="132"/>
      <c r="F3516" s="124"/>
    </row>
    <row r="3517" hidden="1">
      <c r="A3517" s="128" t="s">
        <v>1607</v>
      </c>
      <c r="B3517" s="147">
        <v>990.0</v>
      </c>
      <c r="C3517" s="147">
        <v>1197.0</v>
      </c>
      <c r="D3517" s="132">
        <f t="shared" si="258"/>
        <v>207</v>
      </c>
      <c r="E3517" s="139"/>
      <c r="F3517" s="139"/>
      <c r="G3517" s="129"/>
      <c r="H3517" s="129"/>
      <c r="I3517" s="129"/>
      <c r="J3517" s="129"/>
      <c r="K3517" s="129"/>
      <c r="L3517" s="129"/>
      <c r="M3517" s="129"/>
      <c r="N3517" s="129"/>
      <c r="O3517" s="129"/>
      <c r="P3517" s="129"/>
      <c r="Q3517" s="129"/>
      <c r="R3517" s="129"/>
      <c r="S3517" s="129"/>
      <c r="T3517" s="129"/>
      <c r="U3517" s="129"/>
      <c r="V3517" s="129"/>
      <c r="W3517" s="129"/>
      <c r="X3517" s="129"/>
      <c r="Y3517" s="129"/>
      <c r="Z3517" s="129"/>
      <c r="AA3517" s="129"/>
      <c r="AB3517" s="129"/>
    </row>
    <row r="3518" hidden="1">
      <c r="A3518" s="123" t="s">
        <v>1213</v>
      </c>
      <c r="B3518" s="147">
        <v>1490.0</v>
      </c>
      <c r="C3518" s="124">
        <v>1629.0</v>
      </c>
      <c r="D3518" s="132">
        <f t="shared" si="258"/>
        <v>139</v>
      </c>
      <c r="E3518" s="147"/>
      <c r="F3518" s="124"/>
    </row>
    <row r="3519" hidden="1">
      <c r="A3519" s="123" t="s">
        <v>1608</v>
      </c>
      <c r="B3519" s="124">
        <v>1290.0</v>
      </c>
      <c r="C3519" s="124">
        <v>1406.0</v>
      </c>
      <c r="D3519" s="125">
        <f t="shared" si="258"/>
        <v>116</v>
      </c>
      <c r="E3519" s="124"/>
      <c r="F3519" s="124"/>
    </row>
    <row r="3520" hidden="1">
      <c r="A3520" s="123" t="s">
        <v>1213</v>
      </c>
      <c r="B3520" s="147">
        <v>2780.0</v>
      </c>
      <c r="C3520" s="124">
        <v>3066.0</v>
      </c>
      <c r="D3520" s="132">
        <f t="shared" si="258"/>
        <v>286</v>
      </c>
      <c r="E3520" s="147"/>
      <c r="F3520" s="124"/>
    </row>
    <row r="3521" hidden="1">
      <c r="A3521" s="123" t="s">
        <v>1609</v>
      </c>
      <c r="B3521" s="147">
        <v>0.0</v>
      </c>
      <c r="C3521" s="124">
        <v>0.0</v>
      </c>
      <c r="D3521" s="132">
        <f t="shared" si="258"/>
        <v>0</v>
      </c>
      <c r="E3521" s="147"/>
      <c r="F3521" s="132"/>
    </row>
    <row r="3522" hidden="1">
      <c r="A3522" s="128" t="s">
        <v>1274</v>
      </c>
      <c r="B3522" s="147">
        <v>1090.0</v>
      </c>
      <c r="C3522" s="147">
        <v>1249.0</v>
      </c>
      <c r="D3522" s="132">
        <f t="shared" si="258"/>
        <v>159</v>
      </c>
      <c r="E3522" s="147"/>
      <c r="F3522" s="132"/>
      <c r="G3522" s="129"/>
      <c r="H3522" s="129"/>
      <c r="I3522" s="129"/>
      <c r="J3522" s="129"/>
      <c r="K3522" s="129"/>
      <c r="L3522" s="129"/>
      <c r="M3522" s="129"/>
      <c r="N3522" s="129"/>
      <c r="O3522" s="129"/>
      <c r="P3522" s="129"/>
      <c r="Q3522" s="129"/>
      <c r="R3522" s="129"/>
      <c r="S3522" s="129"/>
      <c r="T3522" s="129"/>
      <c r="U3522" s="129"/>
      <c r="V3522" s="129"/>
      <c r="W3522" s="129"/>
      <c r="X3522" s="129"/>
      <c r="Y3522" s="129"/>
      <c r="Z3522" s="129"/>
      <c r="AA3522" s="129"/>
      <c r="AB3522" s="129"/>
    </row>
    <row r="3523" hidden="1">
      <c r="A3523" s="150" t="s">
        <v>1209</v>
      </c>
      <c r="B3523" s="147">
        <v>1490.0</v>
      </c>
      <c r="C3523" s="147">
        <v>1617.0</v>
      </c>
      <c r="D3523" s="132">
        <f t="shared" si="258"/>
        <v>127</v>
      </c>
      <c r="E3523" s="127"/>
      <c r="F3523" s="139"/>
      <c r="G3523" s="129"/>
      <c r="H3523" s="129"/>
      <c r="I3523" s="129"/>
      <c r="J3523" s="129"/>
      <c r="K3523" s="129"/>
      <c r="L3523" s="129"/>
      <c r="M3523" s="129"/>
      <c r="N3523" s="129"/>
      <c r="O3523" s="129"/>
      <c r="P3523" s="129"/>
      <c r="Q3523" s="129"/>
      <c r="R3523" s="129"/>
      <c r="S3523" s="129"/>
      <c r="T3523" s="129"/>
      <c r="U3523" s="129"/>
      <c r="V3523" s="129"/>
      <c r="W3523" s="129"/>
      <c r="X3523" s="129"/>
      <c r="Y3523" s="129"/>
      <c r="Z3523" s="129"/>
      <c r="AA3523" s="129"/>
      <c r="AB3523" s="129"/>
    </row>
    <row r="3524" hidden="1">
      <c r="A3524" s="128" t="s">
        <v>1610</v>
      </c>
      <c r="B3524" s="147">
        <v>590.0</v>
      </c>
      <c r="C3524" s="147">
        <v>774.0</v>
      </c>
      <c r="D3524" s="132">
        <f t="shared" si="258"/>
        <v>184</v>
      </c>
      <c r="E3524" s="132"/>
      <c r="F3524" s="132"/>
      <c r="G3524" s="129"/>
      <c r="H3524" s="129"/>
      <c r="I3524" s="129"/>
      <c r="J3524" s="129"/>
      <c r="K3524" s="129"/>
      <c r="L3524" s="129"/>
      <c r="M3524" s="129"/>
      <c r="N3524" s="129"/>
      <c r="O3524" s="129"/>
      <c r="P3524" s="129"/>
      <c r="Q3524" s="129"/>
      <c r="R3524" s="129"/>
      <c r="S3524" s="129"/>
      <c r="T3524" s="129"/>
      <c r="U3524" s="129"/>
      <c r="V3524" s="129"/>
      <c r="W3524" s="129"/>
      <c r="X3524" s="129"/>
      <c r="Y3524" s="129"/>
      <c r="Z3524" s="129"/>
      <c r="AA3524" s="129"/>
      <c r="AB3524" s="129"/>
    </row>
    <row r="3525" hidden="1">
      <c r="A3525" s="150" t="s">
        <v>1209</v>
      </c>
      <c r="B3525" s="147">
        <v>1490.0</v>
      </c>
      <c r="C3525" s="147">
        <v>1645.0</v>
      </c>
      <c r="D3525" s="132">
        <f t="shared" si="258"/>
        <v>155</v>
      </c>
      <c r="E3525" s="127"/>
      <c r="F3525" s="139"/>
      <c r="G3525" s="129"/>
      <c r="H3525" s="129"/>
      <c r="I3525" s="129"/>
      <c r="J3525" s="129"/>
      <c r="K3525" s="129"/>
      <c r="L3525" s="129"/>
      <c r="M3525" s="129"/>
      <c r="N3525" s="129"/>
      <c r="O3525" s="129"/>
      <c r="P3525" s="129"/>
      <c r="Q3525" s="129"/>
      <c r="R3525" s="129"/>
      <c r="S3525" s="129"/>
      <c r="T3525" s="129"/>
      <c r="U3525" s="129"/>
      <c r="V3525" s="129"/>
      <c r="W3525" s="129"/>
      <c r="X3525" s="129"/>
      <c r="Y3525" s="129"/>
      <c r="Z3525" s="129"/>
      <c r="AA3525" s="129"/>
      <c r="AB3525" s="129"/>
    </row>
    <row r="3526" hidden="1">
      <c r="A3526" s="128" t="s">
        <v>1301</v>
      </c>
      <c r="B3526" s="147">
        <v>1490.0</v>
      </c>
      <c r="C3526" s="147">
        <v>1668.0</v>
      </c>
      <c r="D3526" s="132">
        <f t="shared" si="258"/>
        <v>178</v>
      </c>
      <c r="E3526" s="147"/>
      <c r="F3526" s="132"/>
      <c r="G3526" s="129"/>
      <c r="H3526" s="129"/>
      <c r="I3526" s="129"/>
      <c r="J3526" s="129"/>
      <c r="K3526" s="129"/>
      <c r="L3526" s="129"/>
      <c r="M3526" s="129"/>
      <c r="N3526" s="129"/>
      <c r="O3526" s="129"/>
      <c r="P3526" s="129"/>
      <c r="Q3526" s="129"/>
      <c r="R3526" s="129"/>
      <c r="S3526" s="129"/>
      <c r="T3526" s="129"/>
      <c r="U3526" s="129"/>
      <c r="V3526" s="129"/>
      <c r="W3526" s="129"/>
      <c r="X3526" s="129"/>
      <c r="Y3526" s="129"/>
      <c r="Z3526" s="129"/>
      <c r="AA3526" s="129"/>
      <c r="AB3526" s="129"/>
    </row>
    <row r="3527" hidden="1">
      <c r="A3527" s="128" t="s">
        <v>1611</v>
      </c>
      <c r="B3527" s="147">
        <v>11990.0</v>
      </c>
      <c r="C3527" s="147">
        <v>13710.0</v>
      </c>
      <c r="D3527" s="132">
        <f t="shared" si="258"/>
        <v>1720</v>
      </c>
      <c r="E3527" s="139"/>
      <c r="F3527" s="139"/>
      <c r="G3527" s="129"/>
      <c r="H3527" s="129"/>
      <c r="I3527" s="129"/>
      <c r="J3527" s="129"/>
      <c r="K3527" s="129"/>
      <c r="L3527" s="129"/>
      <c r="M3527" s="129"/>
      <c r="N3527" s="129"/>
      <c r="O3527" s="129"/>
      <c r="P3527" s="129"/>
      <c r="Q3527" s="129"/>
      <c r="R3527" s="129"/>
      <c r="S3527" s="129"/>
      <c r="T3527" s="129"/>
      <c r="U3527" s="129"/>
      <c r="V3527" s="129"/>
      <c r="W3527" s="129"/>
      <c r="X3527" s="129"/>
      <c r="Y3527" s="129"/>
      <c r="Z3527" s="129"/>
      <c r="AA3527" s="129"/>
      <c r="AB3527" s="129"/>
    </row>
    <row r="3528" hidden="1">
      <c r="A3528" s="150" t="s">
        <v>1216</v>
      </c>
      <c r="B3528" s="147">
        <v>1490.0</v>
      </c>
      <c r="C3528" s="147">
        <v>1645.0</v>
      </c>
      <c r="D3528" s="132">
        <f t="shared" si="258"/>
        <v>155</v>
      </c>
      <c r="E3528" s="147"/>
      <c r="F3528" s="132"/>
      <c r="G3528" s="129"/>
      <c r="H3528" s="129"/>
      <c r="I3528" s="129"/>
      <c r="J3528" s="129"/>
      <c r="K3528" s="129"/>
      <c r="L3528" s="129"/>
      <c r="M3528" s="129"/>
      <c r="N3528" s="129"/>
      <c r="O3528" s="129"/>
      <c r="P3528" s="129"/>
      <c r="Q3528" s="129"/>
      <c r="R3528" s="129"/>
      <c r="S3528" s="129"/>
      <c r="T3528" s="129"/>
      <c r="U3528" s="129"/>
      <c r="V3528" s="129"/>
      <c r="W3528" s="129"/>
      <c r="X3528" s="129"/>
      <c r="Y3528" s="129"/>
      <c r="Z3528" s="129"/>
      <c r="AA3528" s="129"/>
      <c r="AB3528" s="129"/>
    </row>
    <row r="3529" hidden="1">
      <c r="A3529" s="128" t="s">
        <v>1612</v>
      </c>
      <c r="B3529" s="147">
        <v>5990.0</v>
      </c>
      <c r="C3529" s="147">
        <v>6860.0</v>
      </c>
      <c r="D3529" s="132">
        <f t="shared" si="258"/>
        <v>870</v>
      </c>
      <c r="E3529" s="139"/>
      <c r="F3529" s="139"/>
      <c r="G3529" s="129"/>
      <c r="H3529" s="129"/>
      <c r="I3529" s="129"/>
      <c r="J3529" s="129"/>
      <c r="K3529" s="129"/>
      <c r="L3529" s="129"/>
      <c r="M3529" s="129"/>
      <c r="N3529" s="129"/>
      <c r="O3529" s="129"/>
      <c r="P3529" s="129"/>
      <c r="Q3529" s="129"/>
      <c r="R3529" s="129"/>
      <c r="S3529" s="129"/>
      <c r="T3529" s="129"/>
      <c r="U3529" s="129"/>
      <c r="V3529" s="129"/>
      <c r="W3529" s="129"/>
      <c r="X3529" s="129"/>
      <c r="Y3529" s="129"/>
      <c r="Z3529" s="129"/>
      <c r="AA3529" s="129"/>
      <c r="AB3529" s="129"/>
    </row>
    <row r="3530" hidden="1">
      <c r="A3530" s="128" t="s">
        <v>1314</v>
      </c>
      <c r="B3530" s="147">
        <v>1350.0</v>
      </c>
      <c r="C3530" s="147">
        <v>1567.0</v>
      </c>
      <c r="D3530" s="132">
        <f t="shared" si="258"/>
        <v>217</v>
      </c>
      <c r="E3530" s="147"/>
      <c r="F3530" s="132"/>
      <c r="G3530" s="129"/>
      <c r="H3530" s="129"/>
      <c r="I3530" s="129"/>
      <c r="J3530" s="129"/>
      <c r="K3530" s="129"/>
      <c r="L3530" s="129"/>
      <c r="M3530" s="129"/>
      <c r="N3530" s="129"/>
      <c r="O3530" s="129"/>
      <c r="P3530" s="129"/>
      <c r="Q3530" s="129"/>
      <c r="R3530" s="129"/>
      <c r="S3530" s="129"/>
      <c r="T3530" s="129"/>
      <c r="U3530" s="129"/>
      <c r="V3530" s="129"/>
      <c r="W3530" s="129"/>
      <c r="X3530" s="129"/>
      <c r="Y3530" s="129"/>
      <c r="Z3530" s="129"/>
      <c r="AA3530" s="129"/>
      <c r="AB3530" s="129"/>
    </row>
    <row r="3531" hidden="1">
      <c r="A3531" s="128" t="s">
        <v>1613</v>
      </c>
      <c r="B3531" s="147">
        <v>690.0</v>
      </c>
      <c r="C3531" s="147">
        <v>901.0</v>
      </c>
      <c r="D3531" s="132">
        <f t="shared" si="258"/>
        <v>211</v>
      </c>
      <c r="E3531" s="139"/>
      <c r="F3531" s="139"/>
      <c r="G3531" s="129"/>
      <c r="H3531" s="129"/>
      <c r="I3531" s="129"/>
      <c r="J3531" s="129"/>
      <c r="K3531" s="129"/>
      <c r="L3531" s="129"/>
      <c r="M3531" s="129"/>
      <c r="N3531" s="129"/>
      <c r="O3531" s="129"/>
      <c r="P3531" s="129"/>
      <c r="Q3531" s="129"/>
      <c r="R3531" s="129"/>
      <c r="S3531" s="129"/>
      <c r="T3531" s="129"/>
      <c r="U3531" s="129"/>
      <c r="V3531" s="129"/>
      <c r="W3531" s="129"/>
      <c r="X3531" s="129"/>
      <c r="Y3531" s="129"/>
      <c r="Z3531" s="129"/>
      <c r="AA3531" s="129"/>
      <c r="AB3531" s="129"/>
    </row>
    <row r="3532" hidden="1">
      <c r="A3532" s="128" t="s">
        <v>1274</v>
      </c>
      <c r="B3532" s="147">
        <v>1090.0</v>
      </c>
      <c r="C3532" s="147">
        <v>1278.0</v>
      </c>
      <c r="D3532" s="132">
        <f t="shared" si="258"/>
        <v>188</v>
      </c>
      <c r="E3532" s="147"/>
      <c r="F3532" s="132"/>
      <c r="G3532" s="129"/>
      <c r="H3532" s="129"/>
      <c r="I3532" s="129"/>
      <c r="J3532" s="129"/>
      <c r="K3532" s="129"/>
      <c r="L3532" s="129"/>
      <c r="M3532" s="129"/>
      <c r="N3532" s="129"/>
      <c r="O3532" s="129"/>
      <c r="P3532" s="129"/>
      <c r="Q3532" s="129"/>
      <c r="R3532" s="129"/>
      <c r="S3532" s="129"/>
      <c r="T3532" s="129"/>
      <c r="U3532" s="129"/>
      <c r="V3532" s="129"/>
      <c r="W3532" s="129"/>
      <c r="X3532" s="129"/>
      <c r="Y3532" s="129"/>
      <c r="Z3532" s="129"/>
      <c r="AA3532" s="129"/>
      <c r="AB3532" s="129"/>
    </row>
    <row r="3533" hidden="1">
      <c r="A3533" s="123" t="s">
        <v>1213</v>
      </c>
      <c r="B3533" s="147">
        <v>1490.0</v>
      </c>
      <c r="C3533" s="124">
        <v>1631.0</v>
      </c>
      <c r="D3533" s="132">
        <f t="shared" si="258"/>
        <v>141</v>
      </c>
      <c r="E3533" s="147"/>
      <c r="F3533" s="124"/>
    </row>
    <row r="3534" hidden="1">
      <c r="A3534" s="123" t="s">
        <v>1213</v>
      </c>
      <c r="B3534" s="147">
        <v>2980.0</v>
      </c>
      <c r="C3534" s="124">
        <v>3227.0</v>
      </c>
      <c r="D3534" s="132">
        <f t="shared" si="258"/>
        <v>247</v>
      </c>
      <c r="E3534" s="147"/>
      <c r="F3534" s="124"/>
    </row>
    <row r="3535" hidden="1">
      <c r="A3535" s="123" t="s">
        <v>1213</v>
      </c>
      <c r="B3535" s="147">
        <v>0.0</v>
      </c>
      <c r="C3535" s="124">
        <v>0.0</v>
      </c>
      <c r="D3535" s="132">
        <f t="shared" si="258"/>
        <v>0</v>
      </c>
      <c r="E3535" s="147"/>
      <c r="F3535" s="124"/>
    </row>
    <row r="3536" hidden="1">
      <c r="A3536" s="123" t="s">
        <v>1321</v>
      </c>
      <c r="B3536" s="124">
        <v>990.0</v>
      </c>
      <c r="C3536" s="147">
        <v>1207.0</v>
      </c>
      <c r="D3536" s="125">
        <f t="shared" si="258"/>
        <v>217</v>
      </c>
      <c r="F3536" s="313"/>
    </row>
    <row r="3537" hidden="1">
      <c r="A3537" s="150" t="s">
        <v>1309</v>
      </c>
      <c r="B3537" s="132">
        <v>1500.0</v>
      </c>
      <c r="C3537" s="147">
        <v>1712.0</v>
      </c>
      <c r="D3537" s="132">
        <f t="shared" si="258"/>
        <v>212</v>
      </c>
      <c r="E3537" s="127"/>
      <c r="F3537" s="139"/>
      <c r="G3537" s="129"/>
      <c r="H3537" s="129"/>
      <c r="I3537" s="129"/>
      <c r="J3537" s="129"/>
      <c r="K3537" s="129"/>
      <c r="L3537" s="129"/>
      <c r="M3537" s="129"/>
      <c r="N3537" s="129"/>
      <c r="O3537" s="129"/>
      <c r="P3537" s="129"/>
      <c r="Q3537" s="129"/>
      <c r="R3537" s="129"/>
      <c r="S3537" s="129"/>
      <c r="T3537" s="129"/>
      <c r="U3537" s="129"/>
      <c r="V3537" s="129"/>
      <c r="W3537" s="129"/>
      <c r="X3537" s="129"/>
      <c r="Y3537" s="129"/>
      <c r="Z3537" s="129"/>
      <c r="AA3537" s="129"/>
      <c r="AB3537" s="129"/>
    </row>
    <row r="3538" hidden="1">
      <c r="A3538" s="128" t="s">
        <v>1614</v>
      </c>
      <c r="B3538" s="147">
        <v>690.0</v>
      </c>
      <c r="C3538" s="147">
        <v>892.0</v>
      </c>
      <c r="D3538" s="132">
        <f t="shared" si="258"/>
        <v>202</v>
      </c>
      <c r="E3538" s="124"/>
      <c r="F3538" s="124"/>
      <c r="G3538" s="129"/>
      <c r="H3538" s="129"/>
      <c r="I3538" s="129"/>
      <c r="J3538" s="129"/>
      <c r="K3538" s="129"/>
      <c r="L3538" s="129"/>
      <c r="M3538" s="129"/>
      <c r="N3538" s="129"/>
      <c r="O3538" s="129"/>
      <c r="P3538" s="129"/>
      <c r="Q3538" s="129"/>
      <c r="R3538" s="129"/>
      <c r="S3538" s="129"/>
      <c r="T3538" s="129"/>
      <c r="U3538" s="129"/>
      <c r="V3538" s="129"/>
      <c r="W3538" s="129"/>
      <c r="X3538" s="129"/>
      <c r="Y3538" s="129"/>
      <c r="Z3538" s="129"/>
      <c r="AA3538" s="129"/>
      <c r="AB3538" s="129"/>
    </row>
    <row r="3539" hidden="1">
      <c r="A3539" s="128" t="s">
        <v>1615</v>
      </c>
      <c r="B3539" s="124">
        <v>890.0</v>
      </c>
      <c r="C3539" s="147">
        <v>893.0</v>
      </c>
      <c r="D3539" s="132">
        <f t="shared" si="258"/>
        <v>3</v>
      </c>
      <c r="E3539" s="127"/>
      <c r="F3539" s="139"/>
      <c r="G3539" s="129"/>
      <c r="H3539" s="129"/>
      <c r="I3539" s="129"/>
      <c r="J3539" s="129"/>
      <c r="K3539" s="129"/>
      <c r="L3539" s="129"/>
      <c r="M3539" s="129"/>
      <c r="N3539" s="129"/>
      <c r="O3539" s="129"/>
      <c r="P3539" s="129"/>
      <c r="Q3539" s="129"/>
      <c r="R3539" s="129"/>
      <c r="S3539" s="129"/>
      <c r="T3539" s="129"/>
      <c r="U3539" s="129"/>
      <c r="V3539" s="129"/>
      <c r="W3539" s="129"/>
      <c r="X3539" s="129"/>
      <c r="Y3539" s="129"/>
      <c r="Z3539" s="129"/>
      <c r="AA3539" s="129"/>
      <c r="AB3539" s="129"/>
    </row>
    <row r="3540" hidden="1">
      <c r="A3540" s="128" t="s">
        <v>1189</v>
      </c>
      <c r="B3540" s="147">
        <v>690.0</v>
      </c>
      <c r="C3540" s="147">
        <v>890.0</v>
      </c>
      <c r="D3540" s="132">
        <f t="shared" si="258"/>
        <v>200</v>
      </c>
      <c r="E3540" s="147"/>
      <c r="F3540" s="132"/>
      <c r="G3540" s="129"/>
      <c r="H3540" s="129"/>
      <c r="I3540" s="129"/>
      <c r="J3540" s="129"/>
      <c r="K3540" s="129"/>
      <c r="L3540" s="129"/>
      <c r="M3540" s="129"/>
      <c r="N3540" s="129"/>
      <c r="O3540" s="129"/>
      <c r="P3540" s="129"/>
      <c r="Q3540" s="129"/>
      <c r="R3540" s="129"/>
      <c r="S3540" s="129"/>
      <c r="T3540" s="129"/>
      <c r="U3540" s="129"/>
      <c r="V3540" s="129"/>
      <c r="W3540" s="129"/>
      <c r="X3540" s="129"/>
      <c r="Y3540" s="129"/>
      <c r="Z3540" s="129"/>
      <c r="AA3540" s="129"/>
      <c r="AB3540" s="129"/>
    </row>
    <row r="3541" hidden="1">
      <c r="A3541" s="123" t="s">
        <v>1616</v>
      </c>
      <c r="B3541" s="124">
        <v>1150.0</v>
      </c>
      <c r="C3541" s="124">
        <v>1324.0</v>
      </c>
      <c r="D3541" s="125">
        <f t="shared" si="258"/>
        <v>174</v>
      </c>
      <c r="E3541" s="124"/>
      <c r="F3541" s="124"/>
    </row>
    <row r="3542" hidden="1">
      <c r="A3542" s="123" t="s">
        <v>1616</v>
      </c>
      <c r="B3542" s="124">
        <v>1150.0</v>
      </c>
      <c r="C3542" s="124">
        <v>1248.0</v>
      </c>
      <c r="D3542" s="125">
        <f t="shared" si="258"/>
        <v>98</v>
      </c>
      <c r="E3542" s="124"/>
      <c r="F3542" s="124"/>
    </row>
    <row r="3543" hidden="1">
      <c r="A3543" s="159" t="s">
        <v>1617</v>
      </c>
      <c r="B3543" s="124">
        <v>690.0</v>
      </c>
      <c r="C3543" s="124">
        <v>892.0</v>
      </c>
      <c r="D3543" s="125">
        <f t="shared" si="258"/>
        <v>202</v>
      </c>
      <c r="E3543" s="124"/>
      <c r="F3543" s="124"/>
    </row>
    <row r="3544" hidden="1">
      <c r="A3544" s="123" t="s">
        <v>1618</v>
      </c>
      <c r="B3544" s="124">
        <v>1090.0</v>
      </c>
      <c r="C3544" s="124">
        <v>1268.0</v>
      </c>
      <c r="D3544" s="125">
        <f t="shared" si="258"/>
        <v>178</v>
      </c>
      <c r="E3544" s="124"/>
      <c r="F3544" s="124"/>
    </row>
    <row r="3545" hidden="1">
      <c r="A3545" s="150" t="s">
        <v>1209</v>
      </c>
      <c r="B3545" s="147">
        <v>1490.0</v>
      </c>
      <c r="C3545" s="147">
        <v>1622.0</v>
      </c>
      <c r="D3545" s="132">
        <f t="shared" si="258"/>
        <v>132</v>
      </c>
      <c r="E3545" s="127"/>
      <c r="F3545" s="139"/>
      <c r="G3545" s="129"/>
      <c r="H3545" s="129"/>
      <c r="I3545" s="129"/>
      <c r="J3545" s="129"/>
      <c r="K3545" s="129"/>
      <c r="L3545" s="129"/>
      <c r="M3545" s="129"/>
      <c r="N3545" s="129"/>
      <c r="O3545" s="129"/>
      <c r="P3545" s="129"/>
      <c r="Q3545" s="129"/>
      <c r="R3545" s="129"/>
      <c r="S3545" s="129"/>
      <c r="T3545" s="129"/>
      <c r="U3545" s="129"/>
      <c r="V3545" s="129"/>
      <c r="W3545" s="129"/>
      <c r="X3545" s="129"/>
      <c r="Y3545" s="129"/>
      <c r="Z3545" s="129"/>
      <c r="AA3545" s="129"/>
      <c r="AB3545" s="129"/>
    </row>
    <row r="3546" hidden="1">
      <c r="A3546" s="142" t="s">
        <v>1619</v>
      </c>
      <c r="B3546" s="124">
        <v>890.0</v>
      </c>
      <c r="C3546" s="124">
        <v>1075.0</v>
      </c>
      <c r="D3546" s="132">
        <f t="shared" si="258"/>
        <v>185</v>
      </c>
      <c r="E3546" s="139"/>
      <c r="F3546" s="139"/>
      <c r="G3546" s="129"/>
      <c r="H3546" s="129"/>
      <c r="I3546" s="129"/>
      <c r="J3546" s="129"/>
      <c r="K3546" s="129"/>
      <c r="L3546" s="129"/>
      <c r="M3546" s="129"/>
      <c r="N3546" s="129"/>
      <c r="O3546" s="129"/>
      <c r="P3546" s="129"/>
      <c r="Q3546" s="129"/>
      <c r="R3546" s="129"/>
      <c r="S3546" s="129"/>
      <c r="T3546" s="129"/>
      <c r="U3546" s="129"/>
      <c r="V3546" s="129"/>
      <c r="W3546" s="129"/>
      <c r="X3546" s="129"/>
      <c r="Y3546" s="129"/>
      <c r="Z3546" s="129"/>
      <c r="AA3546" s="129"/>
      <c r="AB3546" s="129"/>
    </row>
    <row r="3547" hidden="1">
      <c r="A3547" s="128" t="s">
        <v>1620</v>
      </c>
      <c r="B3547" s="147">
        <v>690.0</v>
      </c>
      <c r="C3547" s="147">
        <v>883.0</v>
      </c>
      <c r="D3547" s="132">
        <f t="shared" si="258"/>
        <v>193</v>
      </c>
      <c r="E3547" s="139"/>
      <c r="F3547" s="139"/>
      <c r="G3547" s="129"/>
      <c r="H3547" s="129"/>
      <c r="I3547" s="129"/>
      <c r="J3547" s="129"/>
      <c r="K3547" s="129"/>
      <c r="L3547" s="129"/>
      <c r="M3547" s="129"/>
      <c r="N3547" s="129"/>
      <c r="O3547" s="129"/>
      <c r="P3547" s="129"/>
      <c r="Q3547" s="129"/>
      <c r="R3547" s="129"/>
      <c r="S3547" s="129"/>
      <c r="T3547" s="129"/>
      <c r="U3547" s="129"/>
      <c r="V3547" s="129"/>
      <c r="W3547" s="129"/>
      <c r="X3547" s="129"/>
      <c r="Y3547" s="129"/>
      <c r="Z3547" s="129"/>
      <c r="AA3547" s="129"/>
      <c r="AB3547" s="129"/>
    </row>
    <row r="3548" hidden="1">
      <c r="A3548" s="123" t="s">
        <v>1576</v>
      </c>
      <c r="B3548" s="124">
        <v>5000.0</v>
      </c>
      <c r="C3548" s="124">
        <v>5575.0</v>
      </c>
      <c r="D3548" s="125">
        <f t="shared" si="258"/>
        <v>575</v>
      </c>
      <c r="E3548" s="124"/>
      <c r="F3548" s="124"/>
    </row>
    <row r="3549" hidden="1">
      <c r="A3549" s="128" t="s">
        <v>1621</v>
      </c>
      <c r="B3549" s="147">
        <v>690.0</v>
      </c>
      <c r="C3549" s="147">
        <v>884.0</v>
      </c>
      <c r="D3549" s="132">
        <f t="shared" si="258"/>
        <v>194</v>
      </c>
      <c r="E3549" s="132"/>
      <c r="F3549" s="132"/>
      <c r="G3549" s="129"/>
      <c r="H3549" s="129"/>
      <c r="I3549" s="129"/>
      <c r="J3549" s="129"/>
      <c r="K3549" s="129"/>
      <c r="L3549" s="129"/>
      <c r="M3549" s="129"/>
      <c r="N3549" s="129"/>
      <c r="O3549" s="129"/>
      <c r="P3549" s="129"/>
      <c r="Q3549" s="129"/>
      <c r="R3549" s="129"/>
      <c r="S3549" s="129"/>
      <c r="T3549" s="129"/>
      <c r="U3549" s="129"/>
      <c r="V3549" s="129"/>
      <c r="W3549" s="129"/>
      <c r="X3549" s="129"/>
      <c r="Y3549" s="129"/>
      <c r="Z3549" s="129"/>
      <c r="AA3549" s="129"/>
      <c r="AB3549" s="129"/>
    </row>
    <row r="3550" hidden="1">
      <c r="A3550" s="128" t="s">
        <v>1314</v>
      </c>
      <c r="B3550" s="147">
        <v>1350.0</v>
      </c>
      <c r="C3550" s="147">
        <v>1516.0</v>
      </c>
      <c r="D3550" s="132">
        <f t="shared" si="258"/>
        <v>166</v>
      </c>
      <c r="E3550" s="147"/>
      <c r="F3550" s="132"/>
      <c r="G3550" s="129"/>
      <c r="H3550" s="129"/>
      <c r="I3550" s="129"/>
      <c r="J3550" s="129"/>
      <c r="K3550" s="129"/>
      <c r="L3550" s="129"/>
      <c r="M3550" s="129"/>
      <c r="N3550" s="129"/>
      <c r="O3550" s="129"/>
      <c r="P3550" s="129"/>
      <c r="Q3550" s="129"/>
      <c r="R3550" s="129"/>
      <c r="S3550" s="129"/>
      <c r="T3550" s="129"/>
      <c r="U3550" s="129"/>
      <c r="V3550" s="129"/>
      <c r="W3550" s="129"/>
      <c r="X3550" s="129"/>
      <c r="Y3550" s="129"/>
      <c r="Z3550" s="129"/>
      <c r="AA3550" s="129"/>
      <c r="AB3550" s="129"/>
    </row>
    <row r="3551" hidden="1">
      <c r="A3551" s="150" t="s">
        <v>1309</v>
      </c>
      <c r="B3551" s="132">
        <v>1500.0</v>
      </c>
      <c r="C3551" s="147">
        <v>1718.0</v>
      </c>
      <c r="D3551" s="132">
        <f t="shared" si="258"/>
        <v>218</v>
      </c>
      <c r="E3551" s="139"/>
      <c r="F3551" s="139"/>
      <c r="G3551" s="129"/>
      <c r="H3551" s="129"/>
      <c r="I3551" s="129"/>
      <c r="J3551" s="129"/>
      <c r="K3551" s="129"/>
      <c r="L3551" s="129"/>
      <c r="M3551" s="129"/>
      <c r="N3551" s="129"/>
      <c r="O3551" s="129"/>
      <c r="P3551" s="129"/>
      <c r="Q3551" s="129"/>
      <c r="R3551" s="129"/>
      <c r="S3551" s="129"/>
      <c r="T3551" s="129"/>
      <c r="U3551" s="129"/>
      <c r="V3551" s="129"/>
      <c r="W3551" s="129"/>
      <c r="X3551" s="129"/>
      <c r="Y3551" s="129"/>
      <c r="Z3551" s="129"/>
      <c r="AA3551" s="129"/>
      <c r="AB3551" s="129"/>
    </row>
    <row r="3552" hidden="1">
      <c r="A3552" s="123" t="s">
        <v>1453</v>
      </c>
      <c r="B3552" s="124">
        <v>4680.0</v>
      </c>
      <c r="C3552" s="124">
        <v>5012.0</v>
      </c>
      <c r="D3552" s="125">
        <f t="shared" si="258"/>
        <v>332</v>
      </c>
      <c r="E3552" s="132"/>
      <c r="F3552" s="124"/>
    </row>
    <row r="3553" hidden="1">
      <c r="A3553" s="128" t="s">
        <v>1622</v>
      </c>
      <c r="B3553" s="147">
        <v>0.0</v>
      </c>
      <c r="C3553" s="147">
        <v>0.0</v>
      </c>
      <c r="D3553" s="132">
        <f t="shared" si="258"/>
        <v>0</v>
      </c>
      <c r="E3553" s="139"/>
      <c r="F3553" s="139"/>
      <c r="G3553" s="129"/>
      <c r="H3553" s="129"/>
      <c r="I3553" s="129"/>
      <c r="J3553" s="129"/>
      <c r="K3553" s="129"/>
      <c r="L3553" s="129"/>
      <c r="M3553" s="129"/>
      <c r="N3553" s="129"/>
      <c r="O3553" s="129"/>
      <c r="P3553" s="129"/>
      <c r="Q3553" s="129"/>
      <c r="R3553" s="129"/>
      <c r="S3553" s="129"/>
      <c r="T3553" s="129"/>
      <c r="U3553" s="129"/>
      <c r="V3553" s="129"/>
      <c r="W3553" s="129"/>
      <c r="X3553" s="129"/>
      <c r="Y3553" s="129"/>
      <c r="Z3553" s="129"/>
      <c r="AA3553" s="129"/>
      <c r="AB3553" s="129"/>
    </row>
    <row r="3554" hidden="1">
      <c r="A3554" s="123" t="s">
        <v>1576</v>
      </c>
      <c r="B3554" s="124">
        <v>5000.0</v>
      </c>
      <c r="C3554" s="124">
        <v>5330.0</v>
      </c>
      <c r="D3554" s="125">
        <f t="shared" si="258"/>
        <v>330</v>
      </c>
      <c r="E3554" s="124"/>
      <c r="F3554" s="124"/>
    </row>
    <row r="3555" hidden="1">
      <c r="A3555" s="128" t="s">
        <v>1302</v>
      </c>
      <c r="B3555" s="147">
        <v>1290.0</v>
      </c>
      <c r="C3555" s="147">
        <v>1431.0</v>
      </c>
      <c r="D3555" s="132">
        <f t="shared" si="258"/>
        <v>141</v>
      </c>
      <c r="E3555" s="139"/>
      <c r="F3555" s="139"/>
      <c r="G3555" s="129"/>
      <c r="H3555" s="129"/>
      <c r="I3555" s="129"/>
      <c r="J3555" s="129"/>
      <c r="K3555" s="129"/>
      <c r="L3555" s="129"/>
      <c r="M3555" s="129"/>
      <c r="N3555" s="129"/>
      <c r="O3555" s="129"/>
      <c r="P3555" s="129"/>
      <c r="Q3555" s="129"/>
      <c r="R3555" s="129"/>
      <c r="S3555" s="129"/>
      <c r="T3555" s="129"/>
      <c r="U3555" s="129"/>
      <c r="V3555" s="129"/>
      <c r="W3555" s="129"/>
      <c r="X3555" s="129"/>
      <c r="Y3555" s="129"/>
      <c r="Z3555" s="129"/>
      <c r="AA3555" s="129"/>
      <c r="AB3555" s="129"/>
    </row>
    <row r="3556" hidden="1">
      <c r="A3556" s="123" t="s">
        <v>967</v>
      </c>
      <c r="B3556" s="124">
        <v>1790.0</v>
      </c>
      <c r="C3556" s="124">
        <v>1939.0</v>
      </c>
      <c r="D3556" s="125">
        <f t="shared" si="258"/>
        <v>149</v>
      </c>
      <c r="E3556" s="124"/>
      <c r="F3556" s="124"/>
    </row>
    <row r="3557" hidden="1">
      <c r="A3557" s="123" t="s">
        <v>1623</v>
      </c>
      <c r="B3557" s="124">
        <v>1290.0</v>
      </c>
      <c r="C3557" s="124">
        <v>1468.0</v>
      </c>
      <c r="D3557" s="125">
        <f t="shared" si="258"/>
        <v>178</v>
      </c>
      <c r="E3557" s="124"/>
      <c r="F3557" s="124"/>
    </row>
    <row r="3558" hidden="1">
      <c r="A3558" s="128" t="s">
        <v>1140</v>
      </c>
      <c r="B3558" s="147">
        <v>1540.0</v>
      </c>
      <c r="C3558" s="147">
        <v>1630.0</v>
      </c>
      <c r="D3558" s="132">
        <f t="shared" si="258"/>
        <v>90</v>
      </c>
      <c r="E3558" s="139"/>
      <c r="F3558" s="139"/>
      <c r="G3558" s="129"/>
      <c r="H3558" s="129"/>
      <c r="I3558" s="129"/>
      <c r="J3558" s="129"/>
      <c r="K3558" s="129"/>
      <c r="L3558" s="129"/>
      <c r="M3558" s="129"/>
      <c r="N3558" s="129"/>
      <c r="O3558" s="129"/>
      <c r="P3558" s="129"/>
      <c r="Q3558" s="129"/>
      <c r="R3558" s="129"/>
      <c r="S3558" s="129"/>
      <c r="T3558" s="129"/>
      <c r="U3558" s="129"/>
      <c r="V3558" s="129"/>
      <c r="W3558" s="129"/>
      <c r="X3558" s="129"/>
      <c r="Y3558" s="129"/>
      <c r="Z3558" s="129"/>
      <c r="AA3558" s="129"/>
      <c r="AB3558" s="129"/>
    </row>
    <row r="3559" hidden="1">
      <c r="A3559" s="128" t="s">
        <v>1624</v>
      </c>
      <c r="B3559" s="147">
        <v>6490.0</v>
      </c>
      <c r="C3559" s="147">
        <v>7290.0</v>
      </c>
      <c r="D3559" s="132">
        <f t="shared" si="258"/>
        <v>800</v>
      </c>
      <c r="E3559" s="139"/>
      <c r="F3559" s="139"/>
      <c r="G3559" s="129"/>
      <c r="H3559" s="129"/>
      <c r="I3559" s="129"/>
      <c r="J3559" s="129"/>
      <c r="K3559" s="129"/>
      <c r="L3559" s="129"/>
      <c r="M3559" s="129"/>
      <c r="N3559" s="129"/>
      <c r="O3559" s="129"/>
      <c r="P3559" s="129"/>
      <c r="Q3559" s="129"/>
      <c r="R3559" s="129"/>
      <c r="S3559" s="129"/>
      <c r="T3559" s="129"/>
      <c r="U3559" s="129"/>
      <c r="V3559" s="129"/>
      <c r="W3559" s="129"/>
      <c r="X3559" s="129"/>
      <c r="Y3559" s="129"/>
      <c r="Z3559" s="129"/>
      <c r="AA3559" s="129"/>
      <c r="AB3559" s="129"/>
    </row>
    <row r="3560" hidden="1">
      <c r="A3560" s="128" t="s">
        <v>1441</v>
      </c>
      <c r="B3560" s="147">
        <v>1400.0</v>
      </c>
      <c r="C3560" s="124">
        <v>1516.0</v>
      </c>
      <c r="D3560" s="132">
        <f t="shared" si="258"/>
        <v>116</v>
      </c>
      <c r="E3560" s="147"/>
      <c r="F3560" s="132"/>
      <c r="G3560" s="129"/>
      <c r="H3560" s="129"/>
      <c r="I3560" s="129"/>
      <c r="J3560" s="129"/>
      <c r="K3560" s="129"/>
      <c r="L3560" s="129"/>
      <c r="M3560" s="129"/>
      <c r="N3560" s="129"/>
      <c r="O3560" s="129"/>
      <c r="P3560" s="129"/>
      <c r="Q3560" s="129"/>
      <c r="R3560" s="129"/>
      <c r="S3560" s="129"/>
      <c r="T3560" s="129"/>
      <c r="U3560" s="129"/>
      <c r="V3560" s="129"/>
      <c r="W3560" s="129"/>
      <c r="X3560" s="129"/>
      <c r="Y3560" s="129"/>
      <c r="Z3560" s="129"/>
      <c r="AA3560" s="129"/>
      <c r="AB3560" s="129"/>
    </row>
    <row r="3561" hidden="1">
      <c r="A3561" s="128" t="s">
        <v>1140</v>
      </c>
      <c r="B3561" s="147">
        <v>1540.0</v>
      </c>
      <c r="C3561" s="147">
        <v>1628.0</v>
      </c>
      <c r="D3561" s="132">
        <f t="shared" si="258"/>
        <v>88</v>
      </c>
      <c r="E3561" s="139"/>
      <c r="F3561" s="139"/>
      <c r="G3561" s="129"/>
      <c r="H3561" s="129"/>
      <c r="I3561" s="129"/>
      <c r="J3561" s="129"/>
      <c r="K3561" s="129"/>
      <c r="L3561" s="129"/>
      <c r="M3561" s="129"/>
      <c r="N3561" s="129"/>
      <c r="O3561" s="129"/>
      <c r="P3561" s="129"/>
      <c r="Q3561" s="129"/>
      <c r="R3561" s="129"/>
      <c r="S3561" s="129"/>
      <c r="T3561" s="129"/>
      <c r="U3561" s="129"/>
      <c r="V3561" s="129"/>
      <c r="W3561" s="129"/>
      <c r="X3561" s="129"/>
      <c r="Y3561" s="129"/>
      <c r="Z3561" s="129"/>
      <c r="AA3561" s="129"/>
      <c r="AB3561" s="129"/>
    </row>
    <row r="3562" hidden="1">
      <c r="A3562" s="128" t="s">
        <v>1625</v>
      </c>
      <c r="B3562" s="147">
        <v>1440.0</v>
      </c>
      <c r="C3562" s="147">
        <v>1516.0</v>
      </c>
      <c r="D3562" s="132">
        <f t="shared" si="258"/>
        <v>76</v>
      </c>
      <c r="E3562" s="147"/>
      <c r="F3562" s="132"/>
      <c r="G3562" s="129"/>
      <c r="H3562" s="129"/>
      <c r="I3562" s="129"/>
      <c r="J3562" s="129"/>
      <c r="K3562" s="129"/>
      <c r="L3562" s="129"/>
      <c r="M3562" s="129"/>
      <c r="N3562" s="129"/>
      <c r="O3562" s="129"/>
      <c r="P3562" s="129"/>
      <c r="Q3562" s="129"/>
      <c r="R3562" s="129"/>
      <c r="S3562" s="129"/>
      <c r="T3562" s="129"/>
      <c r="U3562" s="129"/>
      <c r="V3562" s="129"/>
      <c r="W3562" s="129"/>
      <c r="X3562" s="129"/>
      <c r="Y3562" s="129"/>
      <c r="Z3562" s="129"/>
      <c r="AA3562" s="129"/>
      <c r="AB3562" s="129"/>
    </row>
    <row r="3563" hidden="1">
      <c r="A3563" s="123" t="s">
        <v>1350</v>
      </c>
      <c r="B3563" s="147">
        <v>1400.0</v>
      </c>
      <c r="C3563" s="124">
        <v>1496.0</v>
      </c>
      <c r="D3563" s="132">
        <f t="shared" si="258"/>
        <v>96</v>
      </c>
      <c r="E3563" s="124"/>
      <c r="F3563" s="124"/>
    </row>
    <row r="3564" hidden="1">
      <c r="A3564" s="150" t="s">
        <v>1209</v>
      </c>
      <c r="B3564" s="147">
        <v>1500.0</v>
      </c>
      <c r="C3564" s="147">
        <v>1500.0</v>
      </c>
      <c r="D3564" s="132">
        <f t="shared" si="258"/>
        <v>0</v>
      </c>
      <c r="E3564" s="139"/>
      <c r="F3564" s="139"/>
      <c r="G3564" s="129"/>
      <c r="H3564" s="129"/>
      <c r="I3564" s="129"/>
      <c r="J3564" s="129"/>
      <c r="K3564" s="129"/>
      <c r="L3564" s="129"/>
      <c r="M3564" s="129"/>
      <c r="N3564" s="129"/>
      <c r="O3564" s="129"/>
      <c r="P3564" s="129"/>
      <c r="Q3564" s="129"/>
      <c r="R3564" s="129"/>
      <c r="S3564" s="129"/>
      <c r="T3564" s="129"/>
      <c r="U3564" s="129"/>
      <c r="V3564" s="129"/>
      <c r="W3564" s="129"/>
      <c r="X3564" s="129"/>
      <c r="Y3564" s="129"/>
      <c r="Z3564" s="129"/>
      <c r="AA3564" s="129"/>
      <c r="AB3564" s="129"/>
    </row>
    <row r="3565" hidden="1">
      <c r="A3565" s="150" t="s">
        <v>1209</v>
      </c>
      <c r="B3565" s="147">
        <v>1500.0</v>
      </c>
      <c r="C3565" s="147">
        <v>1500.0</v>
      </c>
      <c r="D3565" s="132">
        <f t="shared" si="258"/>
        <v>0</v>
      </c>
      <c r="E3565" s="139"/>
      <c r="F3565" s="139"/>
      <c r="G3565" s="129"/>
      <c r="H3565" s="129"/>
      <c r="I3565" s="129"/>
      <c r="J3565" s="129"/>
      <c r="K3565" s="129"/>
      <c r="L3565" s="129"/>
      <c r="M3565" s="129"/>
      <c r="N3565" s="129"/>
      <c r="O3565" s="129"/>
      <c r="P3565" s="129"/>
      <c r="Q3565" s="129"/>
      <c r="R3565" s="129"/>
      <c r="S3565" s="129"/>
      <c r="T3565" s="129"/>
      <c r="U3565" s="129"/>
      <c r="V3565" s="129"/>
      <c r="W3565" s="129"/>
      <c r="X3565" s="129"/>
      <c r="Y3565" s="129"/>
      <c r="Z3565" s="129"/>
      <c r="AA3565" s="129"/>
      <c r="AB3565" s="129"/>
    </row>
    <row r="3566" hidden="1">
      <c r="A3566" s="128" t="s">
        <v>1301</v>
      </c>
      <c r="B3566" s="147">
        <v>1520.0</v>
      </c>
      <c r="C3566" s="147">
        <v>1520.0</v>
      </c>
      <c r="D3566" s="132">
        <f t="shared" si="258"/>
        <v>0</v>
      </c>
      <c r="E3566" s="147"/>
      <c r="F3566" s="132"/>
      <c r="G3566" s="129"/>
      <c r="H3566" s="129"/>
      <c r="I3566" s="129"/>
      <c r="J3566" s="129"/>
      <c r="K3566" s="129"/>
      <c r="L3566" s="129"/>
      <c r="M3566" s="129"/>
      <c r="N3566" s="129"/>
      <c r="O3566" s="129"/>
      <c r="P3566" s="129"/>
      <c r="Q3566" s="129"/>
      <c r="R3566" s="129"/>
      <c r="S3566" s="129"/>
      <c r="T3566" s="129"/>
      <c r="U3566" s="129"/>
      <c r="V3566" s="129"/>
      <c r="W3566" s="129"/>
      <c r="X3566" s="129"/>
      <c r="Y3566" s="129"/>
      <c r="Z3566" s="129"/>
      <c r="AA3566" s="129"/>
      <c r="AB3566" s="129"/>
    </row>
    <row r="3567" hidden="1">
      <c r="A3567" s="128" t="s">
        <v>1301</v>
      </c>
      <c r="B3567" s="147">
        <v>1520.0</v>
      </c>
      <c r="C3567" s="147">
        <v>1520.0</v>
      </c>
      <c r="D3567" s="132">
        <f t="shared" si="258"/>
        <v>0</v>
      </c>
      <c r="E3567" s="147"/>
      <c r="F3567" s="132"/>
      <c r="G3567" s="129"/>
      <c r="H3567" s="129"/>
      <c r="I3567" s="129"/>
      <c r="J3567" s="129"/>
      <c r="K3567" s="129"/>
      <c r="L3567" s="129"/>
      <c r="M3567" s="129"/>
      <c r="N3567" s="129"/>
      <c r="O3567" s="129"/>
      <c r="P3567" s="129"/>
      <c r="Q3567" s="129"/>
      <c r="R3567" s="129"/>
      <c r="S3567" s="129"/>
      <c r="T3567" s="129"/>
      <c r="U3567" s="129"/>
      <c r="V3567" s="129"/>
      <c r="W3567" s="129"/>
      <c r="X3567" s="129"/>
      <c r="Y3567" s="129"/>
      <c r="Z3567" s="129"/>
      <c r="AA3567" s="129"/>
      <c r="AB3567" s="129"/>
    </row>
    <row r="3568" hidden="1">
      <c r="A3568" s="123" t="s">
        <v>1213</v>
      </c>
      <c r="B3568" s="147">
        <v>1480.0</v>
      </c>
      <c r="C3568" s="147">
        <v>1480.0</v>
      </c>
      <c r="D3568" s="132">
        <f t="shared" si="258"/>
        <v>0</v>
      </c>
      <c r="E3568" s="132"/>
      <c r="F3568" s="124"/>
    </row>
    <row r="3569" hidden="1">
      <c r="A3569" s="128" t="s">
        <v>1208</v>
      </c>
      <c r="B3569" s="147">
        <v>1490.0</v>
      </c>
      <c r="C3569" s="147">
        <v>1490.0</v>
      </c>
      <c r="D3569" s="132">
        <f t="shared" si="258"/>
        <v>0</v>
      </c>
      <c r="E3569" s="132"/>
      <c r="F3569" s="132"/>
      <c r="G3569" s="129"/>
      <c r="H3569" s="129"/>
      <c r="I3569" s="129"/>
      <c r="J3569" s="129"/>
      <c r="K3569" s="129"/>
      <c r="L3569" s="129"/>
      <c r="M3569" s="129"/>
      <c r="N3569" s="129"/>
      <c r="O3569" s="129"/>
      <c r="P3569" s="129"/>
      <c r="Q3569" s="129"/>
      <c r="R3569" s="129"/>
      <c r="S3569" s="129"/>
      <c r="T3569" s="129"/>
      <c r="U3569" s="129"/>
      <c r="V3569" s="129"/>
      <c r="W3569" s="129"/>
      <c r="X3569" s="129"/>
      <c r="Y3569" s="129"/>
      <c r="Z3569" s="129"/>
      <c r="AA3569" s="129"/>
      <c r="AB3569" s="129"/>
    </row>
    <row r="3570" hidden="1">
      <c r="A3570" s="128" t="s">
        <v>1625</v>
      </c>
      <c r="B3570" s="147">
        <v>1440.0</v>
      </c>
      <c r="C3570" s="147">
        <v>1518.0</v>
      </c>
      <c r="D3570" s="132">
        <f t="shared" si="258"/>
        <v>78</v>
      </c>
      <c r="E3570" s="147"/>
      <c r="F3570" s="132"/>
      <c r="G3570" s="129"/>
      <c r="H3570" s="129"/>
      <c r="I3570" s="129"/>
      <c r="J3570" s="129"/>
      <c r="K3570" s="129"/>
      <c r="L3570" s="129"/>
      <c r="M3570" s="129"/>
      <c r="N3570" s="129"/>
      <c r="O3570" s="129"/>
      <c r="P3570" s="129"/>
      <c r="Q3570" s="129"/>
      <c r="R3570" s="129"/>
      <c r="S3570" s="129"/>
      <c r="T3570" s="129"/>
      <c r="U3570" s="129"/>
      <c r="V3570" s="129"/>
      <c r="W3570" s="129"/>
      <c r="X3570" s="129"/>
      <c r="Y3570" s="129"/>
      <c r="Z3570" s="129"/>
      <c r="AA3570" s="129"/>
      <c r="AB3570" s="129"/>
    </row>
    <row r="3571" hidden="1">
      <c r="A3571" s="128" t="s">
        <v>1301</v>
      </c>
      <c r="B3571" s="147">
        <v>3980.0</v>
      </c>
      <c r="C3571" s="147">
        <v>4252.0</v>
      </c>
      <c r="D3571" s="132">
        <f t="shared" si="258"/>
        <v>272</v>
      </c>
      <c r="E3571" s="147"/>
      <c r="F3571" s="132"/>
      <c r="G3571" s="129"/>
      <c r="H3571" s="129"/>
      <c r="I3571" s="129"/>
      <c r="J3571" s="129"/>
      <c r="K3571" s="129"/>
      <c r="L3571" s="129"/>
      <c r="M3571" s="129"/>
      <c r="N3571" s="129"/>
      <c r="O3571" s="129"/>
      <c r="P3571" s="129"/>
      <c r="Q3571" s="129"/>
      <c r="R3571" s="129"/>
      <c r="S3571" s="129"/>
      <c r="T3571" s="129"/>
      <c r="U3571" s="129"/>
      <c r="V3571" s="129"/>
      <c r="W3571" s="129"/>
      <c r="X3571" s="129"/>
      <c r="Y3571" s="129"/>
      <c r="Z3571" s="129"/>
      <c r="AA3571" s="129"/>
      <c r="AB3571" s="129"/>
    </row>
    <row r="3572" hidden="1">
      <c r="A3572" s="128" t="s">
        <v>1219</v>
      </c>
      <c r="B3572" s="124">
        <v>0.0</v>
      </c>
      <c r="C3572" s="124">
        <v>0.0</v>
      </c>
      <c r="D3572" s="132">
        <f t="shared" si="258"/>
        <v>0</v>
      </c>
      <c r="E3572" s="124"/>
      <c r="F3572" s="124"/>
      <c r="G3572" s="129"/>
      <c r="H3572" s="129"/>
      <c r="I3572" s="129"/>
      <c r="J3572" s="129"/>
      <c r="K3572" s="129"/>
      <c r="L3572" s="129"/>
      <c r="M3572" s="129"/>
      <c r="N3572" s="129"/>
      <c r="O3572" s="129"/>
      <c r="P3572" s="129"/>
      <c r="Q3572" s="129"/>
      <c r="R3572" s="129"/>
      <c r="S3572" s="129"/>
      <c r="T3572" s="129"/>
      <c r="U3572" s="129"/>
      <c r="V3572" s="129"/>
      <c r="W3572" s="129"/>
      <c r="X3572" s="129"/>
      <c r="Y3572" s="129"/>
      <c r="Z3572" s="129"/>
      <c r="AA3572" s="129"/>
      <c r="AB3572" s="129"/>
    </row>
    <row r="3573" hidden="1">
      <c r="A3573" s="150" t="s">
        <v>1209</v>
      </c>
      <c r="B3573" s="147">
        <v>0.0</v>
      </c>
      <c r="C3573" s="147">
        <v>0.0</v>
      </c>
      <c r="D3573" s="132">
        <f t="shared" si="258"/>
        <v>0</v>
      </c>
      <c r="E3573" s="139"/>
      <c r="F3573" s="139"/>
      <c r="G3573" s="129"/>
      <c r="H3573" s="129"/>
      <c r="I3573" s="129"/>
      <c r="J3573" s="129"/>
      <c r="K3573" s="129"/>
      <c r="L3573" s="129"/>
      <c r="M3573" s="129"/>
      <c r="N3573" s="129"/>
      <c r="O3573" s="129"/>
      <c r="P3573" s="129"/>
      <c r="Q3573" s="129"/>
      <c r="R3573" s="129"/>
      <c r="S3573" s="129"/>
      <c r="T3573" s="129"/>
      <c r="U3573" s="129"/>
      <c r="V3573" s="129"/>
      <c r="W3573" s="129"/>
      <c r="X3573" s="129"/>
      <c r="Y3573" s="129"/>
      <c r="Z3573" s="129"/>
      <c r="AA3573" s="129"/>
      <c r="AB3573" s="129"/>
    </row>
    <row r="3574" hidden="1">
      <c r="A3574" s="150" t="s">
        <v>1213</v>
      </c>
      <c r="B3574" s="132">
        <v>1500.0</v>
      </c>
      <c r="C3574" s="147">
        <v>1625.0</v>
      </c>
      <c r="D3574" s="132">
        <f t="shared" si="258"/>
        <v>125</v>
      </c>
      <c r="E3574" s="132"/>
      <c r="F3574" s="139"/>
      <c r="G3574" s="129"/>
      <c r="H3574" s="129"/>
      <c r="I3574" s="129"/>
      <c r="J3574" s="129"/>
      <c r="K3574" s="129"/>
      <c r="L3574" s="129"/>
      <c r="M3574" s="129"/>
      <c r="N3574" s="129"/>
      <c r="O3574" s="129"/>
      <c r="P3574" s="129"/>
      <c r="Q3574" s="129"/>
      <c r="R3574" s="129"/>
      <c r="S3574" s="129"/>
      <c r="T3574" s="129"/>
      <c r="U3574" s="129"/>
      <c r="V3574" s="129"/>
      <c r="W3574" s="129"/>
      <c r="X3574" s="129"/>
      <c r="Y3574" s="129"/>
      <c r="Z3574" s="129"/>
      <c r="AA3574" s="129"/>
      <c r="AB3574" s="129"/>
    </row>
    <row r="3575" hidden="1">
      <c r="A3575" s="150" t="s">
        <v>1209</v>
      </c>
      <c r="B3575" s="147">
        <v>1500.0</v>
      </c>
      <c r="C3575" s="147">
        <v>1584.0</v>
      </c>
      <c r="D3575" s="132">
        <f t="shared" si="258"/>
        <v>84</v>
      </c>
      <c r="E3575" s="139"/>
      <c r="F3575" s="139"/>
      <c r="G3575" s="129"/>
      <c r="H3575" s="129"/>
      <c r="I3575" s="129"/>
      <c r="J3575" s="129"/>
      <c r="K3575" s="129"/>
      <c r="L3575" s="129"/>
      <c r="M3575" s="129"/>
      <c r="N3575" s="129"/>
      <c r="O3575" s="129"/>
      <c r="P3575" s="129"/>
      <c r="Q3575" s="129"/>
      <c r="R3575" s="129"/>
      <c r="S3575" s="129"/>
      <c r="T3575" s="129"/>
      <c r="U3575" s="129"/>
      <c r="V3575" s="129"/>
      <c r="W3575" s="129"/>
      <c r="X3575" s="129"/>
      <c r="Y3575" s="129"/>
      <c r="Z3575" s="129"/>
      <c r="AA3575" s="129"/>
      <c r="AB3575" s="129"/>
    </row>
    <row r="3576" hidden="1">
      <c r="A3576" s="123" t="s">
        <v>1213</v>
      </c>
      <c r="B3576" s="147">
        <v>1500.0</v>
      </c>
      <c r="C3576" s="124">
        <v>1612.0</v>
      </c>
      <c r="D3576" s="132">
        <f t="shared" si="258"/>
        <v>112</v>
      </c>
      <c r="E3576" s="132"/>
      <c r="F3576" s="124"/>
    </row>
    <row r="3577" hidden="1">
      <c r="A3577" s="123" t="s">
        <v>1510</v>
      </c>
      <c r="B3577" s="124">
        <v>1740.0</v>
      </c>
      <c r="C3577" s="124">
        <v>1890.0</v>
      </c>
      <c r="D3577" s="125">
        <f t="shared" si="258"/>
        <v>150</v>
      </c>
      <c r="E3577" s="124"/>
      <c r="F3577" s="127"/>
      <c r="G3577" s="123"/>
    </row>
    <row r="3578" hidden="1">
      <c r="A3578" s="128" t="s">
        <v>1626</v>
      </c>
      <c r="B3578" s="147">
        <v>11990.0</v>
      </c>
      <c r="C3578" s="147">
        <v>12964.0</v>
      </c>
      <c r="D3578" s="132">
        <f t="shared" si="258"/>
        <v>974</v>
      </c>
      <c r="E3578" s="139"/>
      <c r="F3578" s="139"/>
      <c r="G3578" s="129"/>
      <c r="H3578" s="129"/>
      <c r="I3578" s="129"/>
      <c r="J3578" s="129"/>
      <c r="K3578" s="129"/>
      <c r="L3578" s="129"/>
      <c r="M3578" s="129"/>
      <c r="N3578" s="129"/>
      <c r="O3578" s="129"/>
      <c r="P3578" s="129"/>
      <c r="Q3578" s="129"/>
      <c r="R3578" s="129"/>
      <c r="S3578" s="129"/>
      <c r="T3578" s="129"/>
      <c r="U3578" s="129"/>
      <c r="V3578" s="129"/>
      <c r="W3578" s="129"/>
      <c r="X3578" s="129"/>
      <c r="Y3578" s="129"/>
      <c r="Z3578" s="129"/>
      <c r="AA3578" s="129"/>
      <c r="AB3578" s="129"/>
    </row>
    <row r="3579" hidden="1">
      <c r="A3579" s="123" t="s">
        <v>1350</v>
      </c>
      <c r="B3579" s="147">
        <v>1400.0</v>
      </c>
      <c r="C3579" s="124">
        <v>1516.0</v>
      </c>
      <c r="D3579" s="132">
        <f t="shared" si="258"/>
        <v>116</v>
      </c>
      <c r="E3579" s="124"/>
      <c r="F3579" s="124"/>
    </row>
    <row r="3580" hidden="1">
      <c r="A3580" s="128" t="s">
        <v>1451</v>
      </c>
      <c r="B3580" s="147">
        <v>1040.0</v>
      </c>
      <c r="C3580" s="147">
        <v>1171.0</v>
      </c>
      <c r="D3580" s="132">
        <f t="shared" si="258"/>
        <v>131</v>
      </c>
      <c r="E3580" s="139"/>
      <c r="F3580" s="139"/>
      <c r="G3580" s="129"/>
      <c r="H3580" s="129"/>
      <c r="I3580" s="129"/>
      <c r="J3580" s="129"/>
      <c r="K3580" s="129"/>
      <c r="L3580" s="129"/>
      <c r="M3580" s="129"/>
      <c r="N3580" s="129"/>
      <c r="O3580" s="129"/>
      <c r="P3580" s="129"/>
      <c r="Q3580" s="129"/>
      <c r="R3580" s="129"/>
      <c r="S3580" s="129"/>
      <c r="T3580" s="129"/>
      <c r="U3580" s="129"/>
      <c r="V3580" s="129"/>
      <c r="W3580" s="129"/>
      <c r="X3580" s="129"/>
      <c r="Y3580" s="129"/>
      <c r="Z3580" s="129"/>
      <c r="AA3580" s="129"/>
      <c r="AB3580" s="129"/>
    </row>
    <row r="3581" hidden="1">
      <c r="A3581" s="150" t="s">
        <v>1209</v>
      </c>
      <c r="B3581" s="147">
        <v>1500.0</v>
      </c>
      <c r="C3581" s="147">
        <v>1627.0</v>
      </c>
      <c r="D3581" s="132">
        <f t="shared" si="258"/>
        <v>127</v>
      </c>
      <c r="E3581" s="139"/>
      <c r="F3581" s="139"/>
      <c r="G3581" s="129"/>
      <c r="H3581" s="129"/>
      <c r="I3581" s="129"/>
      <c r="J3581" s="129"/>
      <c r="K3581" s="129"/>
      <c r="L3581" s="129"/>
      <c r="M3581" s="129"/>
      <c r="N3581" s="129"/>
      <c r="O3581" s="129"/>
      <c r="P3581" s="129"/>
      <c r="Q3581" s="129"/>
      <c r="R3581" s="129"/>
      <c r="S3581" s="129"/>
      <c r="T3581" s="129"/>
      <c r="U3581" s="129"/>
      <c r="V3581" s="129"/>
      <c r="W3581" s="129"/>
      <c r="X3581" s="129"/>
      <c r="Y3581" s="129"/>
      <c r="Z3581" s="129"/>
      <c r="AA3581" s="129"/>
      <c r="AB3581" s="129"/>
    </row>
    <row r="3582" hidden="1">
      <c r="A3582" s="128" t="s">
        <v>1140</v>
      </c>
      <c r="B3582" s="147">
        <v>2580.0</v>
      </c>
      <c r="C3582" s="147">
        <v>2795.0</v>
      </c>
      <c r="D3582" s="132">
        <f t="shared" si="258"/>
        <v>215</v>
      </c>
      <c r="E3582" s="139"/>
      <c r="F3582" s="139"/>
      <c r="G3582" s="129"/>
      <c r="H3582" s="129"/>
      <c r="I3582" s="129"/>
      <c r="J3582" s="129"/>
      <c r="K3582" s="129"/>
      <c r="L3582" s="129"/>
      <c r="M3582" s="129"/>
      <c r="N3582" s="129"/>
      <c r="O3582" s="129"/>
      <c r="P3582" s="129"/>
      <c r="Q3582" s="129"/>
      <c r="R3582" s="129"/>
      <c r="S3582" s="129"/>
      <c r="T3582" s="129"/>
      <c r="U3582" s="129"/>
      <c r="V3582" s="129"/>
      <c r="W3582" s="129"/>
      <c r="X3582" s="129"/>
      <c r="Y3582" s="129"/>
      <c r="Z3582" s="129"/>
      <c r="AA3582" s="129"/>
      <c r="AB3582" s="129"/>
    </row>
    <row r="3583" hidden="1">
      <c r="A3583" s="142" t="s">
        <v>1627</v>
      </c>
      <c r="B3583" s="147">
        <v>0.0</v>
      </c>
      <c r="C3583" s="147">
        <v>0.0</v>
      </c>
      <c r="D3583" s="132">
        <f t="shared" si="258"/>
        <v>0</v>
      </c>
      <c r="E3583" s="139"/>
      <c r="F3583" s="139"/>
      <c r="G3583" s="129"/>
      <c r="H3583" s="129"/>
      <c r="I3583" s="129"/>
      <c r="J3583" s="129"/>
      <c r="K3583" s="129"/>
      <c r="L3583" s="129"/>
      <c r="M3583" s="129"/>
      <c r="N3583" s="129"/>
      <c r="O3583" s="129"/>
      <c r="P3583" s="129"/>
      <c r="Q3583" s="129"/>
      <c r="R3583" s="129"/>
      <c r="S3583" s="129"/>
      <c r="T3583" s="129"/>
      <c r="U3583" s="129"/>
      <c r="V3583" s="129"/>
      <c r="W3583" s="129"/>
      <c r="X3583" s="129"/>
      <c r="Y3583" s="129"/>
      <c r="Z3583" s="129"/>
      <c r="AA3583" s="129"/>
      <c r="AB3583" s="129"/>
    </row>
    <row r="3584" hidden="1">
      <c r="A3584" s="128" t="s">
        <v>1533</v>
      </c>
      <c r="B3584" s="147">
        <v>1340.0</v>
      </c>
      <c r="C3584" s="147">
        <v>1496.0</v>
      </c>
      <c r="D3584" s="132">
        <f t="shared" si="258"/>
        <v>156</v>
      </c>
      <c r="E3584" s="139"/>
      <c r="F3584" s="139"/>
      <c r="G3584" s="129"/>
      <c r="H3584" s="129"/>
      <c r="I3584" s="129"/>
      <c r="J3584" s="129"/>
      <c r="K3584" s="129"/>
      <c r="L3584" s="129"/>
      <c r="M3584" s="129"/>
      <c r="N3584" s="129"/>
      <c r="O3584" s="129"/>
      <c r="P3584" s="129"/>
      <c r="Q3584" s="129"/>
      <c r="R3584" s="129"/>
      <c r="S3584" s="129"/>
      <c r="T3584" s="129"/>
      <c r="U3584" s="129"/>
      <c r="V3584" s="129"/>
      <c r="W3584" s="129"/>
      <c r="X3584" s="129"/>
      <c r="Y3584" s="129"/>
      <c r="Z3584" s="129"/>
      <c r="AA3584" s="129"/>
      <c r="AB3584" s="129"/>
    </row>
    <row r="3585" hidden="1">
      <c r="A3585" s="150" t="s">
        <v>1209</v>
      </c>
      <c r="B3585" s="147">
        <v>1500.0</v>
      </c>
      <c r="C3585" s="147">
        <v>1655.0</v>
      </c>
      <c r="D3585" s="132">
        <f t="shared" si="258"/>
        <v>155</v>
      </c>
      <c r="E3585" s="139"/>
      <c r="F3585" s="139"/>
      <c r="G3585" s="129"/>
      <c r="H3585" s="129"/>
      <c r="I3585" s="129"/>
      <c r="J3585" s="129"/>
      <c r="K3585" s="129"/>
      <c r="L3585" s="129"/>
      <c r="M3585" s="129"/>
      <c r="N3585" s="129"/>
      <c r="O3585" s="129"/>
      <c r="P3585" s="129"/>
      <c r="Q3585" s="129"/>
      <c r="R3585" s="129"/>
      <c r="S3585" s="129"/>
      <c r="T3585" s="129"/>
      <c r="U3585" s="129"/>
      <c r="V3585" s="129"/>
      <c r="W3585" s="129"/>
      <c r="X3585" s="129"/>
      <c r="Y3585" s="129"/>
      <c r="Z3585" s="129"/>
      <c r="AA3585" s="129"/>
      <c r="AB3585" s="129"/>
    </row>
    <row r="3586" hidden="1">
      <c r="A3586" s="123" t="s">
        <v>1510</v>
      </c>
      <c r="B3586" s="124">
        <v>1640.0</v>
      </c>
      <c r="C3586" s="124">
        <v>1766.0</v>
      </c>
      <c r="D3586" s="125">
        <f t="shared" si="258"/>
        <v>126</v>
      </c>
      <c r="E3586" s="124"/>
      <c r="F3586" s="127"/>
      <c r="G3586" s="123"/>
    </row>
    <row r="3587" hidden="1">
      <c r="A3587" s="123" t="s">
        <v>1628</v>
      </c>
      <c r="B3587" s="124">
        <v>1190.0</v>
      </c>
      <c r="C3587" s="124">
        <v>1362.0</v>
      </c>
      <c r="D3587" s="125">
        <f t="shared" si="258"/>
        <v>172</v>
      </c>
      <c r="E3587" s="124"/>
      <c r="F3587" s="124"/>
    </row>
    <row r="3588" hidden="1">
      <c r="A3588" s="123" t="s">
        <v>1629</v>
      </c>
      <c r="B3588" s="124">
        <v>5000.0</v>
      </c>
      <c r="C3588" s="124">
        <v>5635.0</v>
      </c>
      <c r="D3588" s="125">
        <f t="shared" si="258"/>
        <v>635</v>
      </c>
      <c r="E3588" s="124"/>
      <c r="F3588" s="124"/>
    </row>
    <row r="3589" hidden="1">
      <c r="A3589" s="123" t="s">
        <v>1628</v>
      </c>
      <c r="B3589" s="124">
        <v>1190.0</v>
      </c>
      <c r="C3589" s="124">
        <v>1362.0</v>
      </c>
      <c r="D3589" s="125">
        <f t="shared" si="258"/>
        <v>172</v>
      </c>
      <c r="E3589" s="124"/>
      <c r="F3589" s="124"/>
    </row>
    <row r="3590" hidden="1">
      <c r="A3590" s="128" t="s">
        <v>1415</v>
      </c>
      <c r="B3590" s="147">
        <v>1040.0</v>
      </c>
      <c r="C3590" s="147">
        <v>1204.0</v>
      </c>
      <c r="D3590" s="132">
        <f t="shared" si="258"/>
        <v>164</v>
      </c>
      <c r="E3590" s="132"/>
      <c r="F3590" s="132"/>
      <c r="G3590" s="129"/>
      <c r="H3590" s="129"/>
      <c r="I3590" s="129"/>
      <c r="J3590" s="129"/>
      <c r="K3590" s="129"/>
      <c r="L3590" s="129"/>
      <c r="M3590" s="129"/>
      <c r="N3590" s="129"/>
      <c r="O3590" s="129"/>
      <c r="P3590" s="129"/>
      <c r="Q3590" s="129"/>
      <c r="R3590" s="129"/>
      <c r="S3590" s="129"/>
      <c r="T3590" s="129"/>
      <c r="U3590" s="129"/>
      <c r="V3590" s="129"/>
      <c r="W3590" s="129"/>
      <c r="X3590" s="129"/>
      <c r="Y3590" s="129"/>
      <c r="Z3590" s="129"/>
      <c r="AA3590" s="129"/>
      <c r="AB3590" s="129"/>
    </row>
    <row r="3591" hidden="1">
      <c r="A3591" s="123" t="s">
        <v>1630</v>
      </c>
      <c r="B3591" s="147">
        <v>10990.0</v>
      </c>
      <c r="C3591" s="124">
        <v>11755.0</v>
      </c>
      <c r="D3591" s="125">
        <f t="shared" si="258"/>
        <v>765</v>
      </c>
      <c r="E3591" s="124"/>
      <c r="F3591" s="124"/>
    </row>
    <row r="3592" hidden="1">
      <c r="A3592" s="128" t="s">
        <v>1301</v>
      </c>
      <c r="B3592" s="147">
        <v>1525.0</v>
      </c>
      <c r="C3592" s="147">
        <v>1694.0</v>
      </c>
      <c r="D3592" s="132">
        <f t="shared" si="258"/>
        <v>169</v>
      </c>
      <c r="E3592" s="147"/>
      <c r="F3592" s="132"/>
      <c r="G3592" s="129"/>
      <c r="H3592" s="129"/>
      <c r="I3592" s="129"/>
      <c r="J3592" s="129"/>
      <c r="K3592" s="129"/>
      <c r="L3592" s="129"/>
      <c r="M3592" s="129"/>
      <c r="N3592" s="129"/>
      <c r="O3592" s="129"/>
      <c r="P3592" s="129"/>
      <c r="Q3592" s="129"/>
      <c r="R3592" s="129"/>
      <c r="S3592" s="129"/>
      <c r="T3592" s="129"/>
      <c r="U3592" s="129"/>
      <c r="V3592" s="129"/>
      <c r="W3592" s="129"/>
      <c r="X3592" s="129"/>
      <c r="Y3592" s="129"/>
      <c r="Z3592" s="129"/>
      <c r="AA3592" s="129"/>
      <c r="AB3592" s="129"/>
    </row>
    <row r="3593" hidden="1">
      <c r="A3593" s="150" t="s">
        <v>1209</v>
      </c>
      <c r="B3593" s="147">
        <v>1500.0</v>
      </c>
      <c r="C3593" s="147">
        <v>1592.0</v>
      </c>
      <c r="D3593" s="132">
        <f t="shared" si="258"/>
        <v>92</v>
      </c>
      <c r="E3593" s="139"/>
      <c r="F3593" s="139"/>
      <c r="G3593" s="129"/>
      <c r="H3593" s="129"/>
      <c r="I3593" s="129"/>
      <c r="J3593" s="129"/>
      <c r="K3593" s="129"/>
      <c r="L3593" s="129"/>
      <c r="M3593" s="129"/>
      <c r="N3593" s="129"/>
      <c r="O3593" s="129"/>
      <c r="P3593" s="129"/>
      <c r="Q3593" s="129"/>
      <c r="R3593" s="129"/>
      <c r="S3593" s="129"/>
      <c r="T3593" s="129"/>
      <c r="U3593" s="129"/>
      <c r="V3593" s="129"/>
      <c r="W3593" s="129"/>
      <c r="X3593" s="129"/>
      <c r="Y3593" s="129"/>
      <c r="Z3593" s="129"/>
      <c r="AA3593" s="129"/>
      <c r="AB3593" s="129"/>
    </row>
    <row r="3594" hidden="1">
      <c r="A3594" s="128" t="s">
        <v>1179</v>
      </c>
      <c r="B3594" s="147">
        <v>1475.0</v>
      </c>
      <c r="C3594" s="147">
        <v>1592.0</v>
      </c>
      <c r="D3594" s="132">
        <f t="shared" si="258"/>
        <v>117</v>
      </c>
      <c r="E3594" s="132"/>
      <c r="F3594" s="132"/>
      <c r="G3594" s="129"/>
      <c r="H3594" s="129"/>
      <c r="I3594" s="129"/>
      <c r="J3594" s="129"/>
      <c r="K3594" s="129"/>
      <c r="L3594" s="129"/>
      <c r="M3594" s="129"/>
      <c r="N3594" s="129"/>
      <c r="O3594" s="129"/>
      <c r="P3594" s="129"/>
      <c r="Q3594" s="129"/>
      <c r="R3594" s="129"/>
      <c r="S3594" s="129"/>
      <c r="T3594" s="129"/>
      <c r="U3594" s="129"/>
      <c r="V3594" s="129"/>
      <c r="W3594" s="129"/>
      <c r="X3594" s="129"/>
      <c r="Y3594" s="129"/>
      <c r="Z3594" s="129"/>
      <c r="AA3594" s="129"/>
      <c r="AB3594" s="129"/>
    </row>
    <row r="3595" hidden="1">
      <c r="A3595" s="150" t="s">
        <v>1209</v>
      </c>
      <c r="B3595" s="147">
        <v>1500.0</v>
      </c>
      <c r="C3595" s="147">
        <v>1621.0</v>
      </c>
      <c r="D3595" s="132">
        <f t="shared" si="258"/>
        <v>121</v>
      </c>
      <c r="E3595" s="139"/>
      <c r="F3595" s="139"/>
      <c r="G3595" s="129"/>
      <c r="H3595" s="129"/>
      <c r="I3595" s="129"/>
      <c r="J3595" s="129"/>
      <c r="K3595" s="129"/>
      <c r="L3595" s="129"/>
      <c r="M3595" s="129"/>
      <c r="N3595" s="129"/>
      <c r="O3595" s="129"/>
      <c r="P3595" s="129"/>
      <c r="Q3595" s="129"/>
      <c r="R3595" s="129"/>
      <c r="S3595" s="129"/>
      <c r="T3595" s="129"/>
      <c r="U3595" s="129"/>
      <c r="V3595" s="129"/>
      <c r="W3595" s="129"/>
      <c r="X3595" s="129"/>
      <c r="Y3595" s="129"/>
      <c r="Z3595" s="129"/>
      <c r="AA3595" s="129"/>
      <c r="AB3595" s="129"/>
    </row>
    <row r="3596" hidden="1">
      <c r="A3596" s="128" t="s">
        <v>1219</v>
      </c>
      <c r="B3596" s="124">
        <v>940.0</v>
      </c>
      <c r="C3596" s="124">
        <v>1090.0</v>
      </c>
      <c r="D3596" s="132">
        <f t="shared" si="258"/>
        <v>150</v>
      </c>
      <c r="E3596" s="124"/>
      <c r="F3596" s="124"/>
      <c r="G3596" s="129"/>
      <c r="H3596" s="129"/>
      <c r="I3596" s="129"/>
      <c r="J3596" s="129"/>
      <c r="K3596" s="129"/>
      <c r="L3596" s="129"/>
      <c r="M3596" s="129"/>
      <c r="N3596" s="129"/>
      <c r="O3596" s="129"/>
      <c r="P3596" s="129"/>
      <c r="Q3596" s="129"/>
      <c r="R3596" s="129"/>
      <c r="S3596" s="129"/>
      <c r="T3596" s="129"/>
      <c r="U3596" s="129"/>
      <c r="V3596" s="129"/>
      <c r="W3596" s="129"/>
      <c r="X3596" s="129"/>
      <c r="Y3596" s="129"/>
      <c r="Z3596" s="129"/>
      <c r="AA3596" s="129"/>
      <c r="AB3596" s="129"/>
    </row>
    <row r="3597" hidden="1">
      <c r="A3597" s="123" t="s">
        <v>1176</v>
      </c>
      <c r="B3597" s="147">
        <v>1400.0</v>
      </c>
      <c r="C3597" s="124">
        <v>1560.0</v>
      </c>
      <c r="D3597" s="132">
        <f t="shared" si="258"/>
        <v>160</v>
      </c>
      <c r="E3597" s="132"/>
      <c r="F3597" s="132"/>
    </row>
    <row r="3598" hidden="1">
      <c r="A3598" s="123"/>
      <c r="B3598" s="124"/>
      <c r="C3598" s="123"/>
      <c r="D3598" s="123"/>
    </row>
    <row r="3599" hidden="1">
      <c r="A3599" s="122" t="s">
        <v>57</v>
      </c>
      <c r="B3599" s="133">
        <f t="shared" ref="B3599:D3599" si="259">SUM(B3470:B3598)</f>
        <v>248020</v>
      </c>
      <c r="C3599" s="133">
        <f t="shared" si="259"/>
        <v>272427</v>
      </c>
      <c r="D3599" s="133">
        <f t="shared" si="259"/>
        <v>24407</v>
      </c>
      <c r="E3599" s="135">
        <f>D3599/(C3599/100)</f>
        <v>8.959097299</v>
      </c>
    </row>
    <row r="3600" hidden="1">
      <c r="A3600" s="154"/>
      <c r="B3600" s="124"/>
      <c r="C3600" s="124"/>
      <c r="D3600" s="124"/>
    </row>
    <row r="3601" hidden="1">
      <c r="A3601" s="154">
        <v>43952.0</v>
      </c>
      <c r="B3601" s="124"/>
      <c r="C3601" s="124"/>
      <c r="D3601" s="124"/>
    </row>
    <row r="3602" hidden="1">
      <c r="A3602" s="122"/>
      <c r="B3602" s="124"/>
      <c r="C3602" s="123"/>
      <c r="D3602" s="312"/>
      <c r="F3602" s="313"/>
    </row>
    <row r="3603" hidden="1">
      <c r="A3603" s="150" t="s">
        <v>1209</v>
      </c>
      <c r="B3603" s="147">
        <v>1500.0</v>
      </c>
      <c r="C3603" s="132">
        <v>1650.0</v>
      </c>
      <c r="D3603" s="132">
        <f t="shared" ref="D3603:D3744" si="260">C3603-B3603</f>
        <v>150</v>
      </c>
      <c r="E3603" s="139"/>
      <c r="F3603" s="139"/>
      <c r="G3603" s="129"/>
      <c r="H3603" s="129"/>
      <c r="I3603" s="129"/>
      <c r="J3603" s="129"/>
      <c r="K3603" s="129"/>
      <c r="L3603" s="129"/>
      <c r="M3603" s="129"/>
      <c r="N3603" s="129"/>
      <c r="O3603" s="129"/>
      <c r="P3603" s="129"/>
      <c r="Q3603" s="129"/>
      <c r="R3603" s="129"/>
      <c r="S3603" s="129"/>
      <c r="T3603" s="129"/>
      <c r="U3603" s="129"/>
      <c r="V3603" s="129"/>
      <c r="W3603" s="129"/>
      <c r="X3603" s="129"/>
      <c r="Y3603" s="129"/>
      <c r="Z3603" s="129"/>
      <c r="AA3603" s="129"/>
      <c r="AB3603" s="129"/>
    </row>
    <row r="3604" hidden="1">
      <c r="A3604" s="150" t="s">
        <v>1209</v>
      </c>
      <c r="B3604" s="147">
        <v>1500.0</v>
      </c>
      <c r="C3604" s="132">
        <v>1650.0</v>
      </c>
      <c r="D3604" s="132">
        <f t="shared" si="260"/>
        <v>150</v>
      </c>
      <c r="E3604" s="139"/>
      <c r="F3604" s="139"/>
      <c r="G3604" s="129"/>
      <c r="H3604" s="129"/>
      <c r="I3604" s="129"/>
      <c r="J3604" s="129"/>
      <c r="K3604" s="129"/>
      <c r="L3604" s="129"/>
      <c r="M3604" s="129"/>
      <c r="N3604" s="129"/>
      <c r="O3604" s="129"/>
      <c r="P3604" s="129"/>
      <c r="Q3604" s="129"/>
      <c r="R3604" s="129"/>
      <c r="S3604" s="129"/>
      <c r="T3604" s="129"/>
      <c r="U3604" s="129"/>
      <c r="V3604" s="129"/>
      <c r="W3604" s="129"/>
      <c r="X3604" s="129"/>
      <c r="Y3604" s="129"/>
      <c r="Z3604" s="129"/>
      <c r="AA3604" s="129"/>
      <c r="AB3604" s="129"/>
    </row>
    <row r="3605" hidden="1">
      <c r="A3605" s="128" t="s">
        <v>1631</v>
      </c>
      <c r="B3605" s="147">
        <v>1190.0</v>
      </c>
      <c r="C3605" s="147">
        <v>1390.0</v>
      </c>
      <c r="D3605" s="132">
        <f t="shared" si="260"/>
        <v>200</v>
      </c>
      <c r="E3605" s="139"/>
      <c r="F3605" s="139"/>
      <c r="G3605" s="129"/>
      <c r="H3605" s="129"/>
      <c r="I3605" s="129"/>
      <c r="J3605" s="129"/>
      <c r="K3605" s="129"/>
      <c r="L3605" s="129"/>
      <c r="M3605" s="129"/>
      <c r="N3605" s="129"/>
      <c r="O3605" s="129"/>
      <c r="P3605" s="129"/>
      <c r="Q3605" s="129"/>
      <c r="R3605" s="129"/>
      <c r="S3605" s="129"/>
      <c r="T3605" s="129"/>
      <c r="U3605" s="129"/>
      <c r="V3605" s="129"/>
      <c r="W3605" s="129"/>
      <c r="X3605" s="129"/>
      <c r="Y3605" s="129"/>
      <c r="Z3605" s="129"/>
      <c r="AA3605" s="129"/>
      <c r="AB3605" s="129"/>
    </row>
    <row r="3606" hidden="1">
      <c r="A3606" s="128" t="s">
        <v>1327</v>
      </c>
      <c r="B3606" s="147">
        <v>1200.0</v>
      </c>
      <c r="C3606" s="147">
        <v>1350.0</v>
      </c>
      <c r="D3606" s="132">
        <f t="shared" si="260"/>
        <v>150</v>
      </c>
      <c r="E3606" s="147"/>
      <c r="F3606" s="132"/>
      <c r="G3606" s="129"/>
      <c r="H3606" s="129"/>
      <c r="I3606" s="129"/>
      <c r="J3606" s="129"/>
      <c r="K3606" s="129"/>
      <c r="L3606" s="129"/>
      <c r="M3606" s="129"/>
      <c r="N3606" s="129"/>
      <c r="O3606" s="129"/>
      <c r="P3606" s="129"/>
      <c r="Q3606" s="129"/>
      <c r="R3606" s="129"/>
      <c r="S3606" s="129"/>
      <c r="T3606" s="129"/>
      <c r="U3606" s="129"/>
      <c r="V3606" s="129"/>
      <c r="W3606" s="129"/>
      <c r="X3606" s="129"/>
      <c r="Y3606" s="129"/>
      <c r="Z3606" s="129"/>
      <c r="AA3606" s="129"/>
      <c r="AB3606" s="129"/>
    </row>
    <row r="3607" hidden="1">
      <c r="A3607" s="128" t="s">
        <v>1216</v>
      </c>
      <c r="B3607" s="147">
        <v>1475.0</v>
      </c>
      <c r="C3607" s="147">
        <v>1625.0</v>
      </c>
      <c r="D3607" s="132">
        <f t="shared" si="260"/>
        <v>150</v>
      </c>
      <c r="E3607" s="132"/>
      <c r="F3607" s="132"/>
      <c r="G3607" s="129"/>
      <c r="H3607" s="129"/>
      <c r="I3607" s="129"/>
      <c r="J3607" s="129"/>
      <c r="K3607" s="129"/>
      <c r="L3607" s="129"/>
      <c r="M3607" s="129"/>
      <c r="N3607" s="129"/>
      <c r="O3607" s="129"/>
      <c r="P3607" s="129"/>
      <c r="Q3607" s="129"/>
      <c r="R3607" s="129"/>
      <c r="S3607" s="129"/>
      <c r="T3607" s="129"/>
      <c r="U3607" s="129"/>
      <c r="V3607" s="129"/>
      <c r="W3607" s="129"/>
      <c r="X3607" s="129"/>
      <c r="Y3607" s="129"/>
      <c r="Z3607" s="129"/>
      <c r="AA3607" s="129"/>
      <c r="AB3607" s="129"/>
    </row>
    <row r="3608" hidden="1">
      <c r="A3608" s="128" t="s">
        <v>1632</v>
      </c>
      <c r="B3608" s="147">
        <v>1475.0</v>
      </c>
      <c r="C3608" s="147">
        <v>1625.0</v>
      </c>
      <c r="D3608" s="132">
        <f t="shared" si="260"/>
        <v>150</v>
      </c>
      <c r="E3608" s="132"/>
      <c r="F3608" s="132"/>
      <c r="G3608" s="129"/>
      <c r="H3608" s="129"/>
      <c r="I3608" s="129"/>
      <c r="J3608" s="129"/>
      <c r="K3608" s="129"/>
      <c r="L3608" s="129"/>
      <c r="M3608" s="129"/>
      <c r="N3608" s="129"/>
      <c r="O3608" s="129"/>
      <c r="P3608" s="129"/>
      <c r="Q3608" s="129"/>
      <c r="R3608" s="129"/>
      <c r="S3608" s="129"/>
      <c r="T3608" s="129"/>
      <c r="U3608" s="129"/>
      <c r="V3608" s="129"/>
      <c r="W3608" s="129"/>
      <c r="X3608" s="129"/>
      <c r="Y3608" s="129"/>
      <c r="Z3608" s="129"/>
      <c r="AA3608" s="129"/>
      <c r="AB3608" s="129"/>
    </row>
    <row r="3609" hidden="1">
      <c r="A3609" s="123" t="s">
        <v>1633</v>
      </c>
      <c r="B3609" s="124">
        <v>1040.0</v>
      </c>
      <c r="C3609" s="124">
        <v>1190.0</v>
      </c>
      <c r="D3609" s="125">
        <f t="shared" si="260"/>
        <v>150</v>
      </c>
      <c r="E3609" s="124"/>
      <c r="F3609" s="124"/>
    </row>
    <row r="3610" hidden="1">
      <c r="A3610" s="128" t="s">
        <v>1600</v>
      </c>
      <c r="B3610" s="147">
        <v>1540.0</v>
      </c>
      <c r="C3610" s="147">
        <v>1690.0</v>
      </c>
      <c r="D3610" s="132">
        <f t="shared" si="260"/>
        <v>150</v>
      </c>
      <c r="E3610" s="139"/>
      <c r="F3610" s="139"/>
      <c r="G3610" s="129"/>
      <c r="H3610" s="129"/>
      <c r="I3610" s="129"/>
      <c r="J3610" s="129"/>
      <c r="K3610" s="129"/>
      <c r="L3610" s="129"/>
      <c r="M3610" s="129"/>
      <c r="N3610" s="129"/>
      <c r="O3610" s="129"/>
      <c r="P3610" s="129"/>
      <c r="Q3610" s="129"/>
      <c r="R3610" s="129"/>
      <c r="S3610" s="129"/>
      <c r="T3610" s="129"/>
      <c r="U3610" s="129"/>
      <c r="V3610" s="129"/>
      <c r="W3610" s="129"/>
      <c r="X3610" s="129"/>
      <c r="Y3610" s="129"/>
      <c r="Z3610" s="129"/>
      <c r="AA3610" s="129"/>
      <c r="AB3610" s="129"/>
    </row>
    <row r="3611" hidden="1">
      <c r="A3611" s="123" t="s">
        <v>1634</v>
      </c>
      <c r="B3611" s="124">
        <v>1500.0</v>
      </c>
      <c r="C3611" s="124">
        <v>1650.0</v>
      </c>
      <c r="D3611" s="125">
        <f t="shared" si="260"/>
        <v>150</v>
      </c>
      <c r="E3611" s="132"/>
      <c r="F3611" s="124"/>
    </row>
    <row r="3612" hidden="1">
      <c r="A3612" s="128" t="s">
        <v>1471</v>
      </c>
      <c r="B3612" s="147">
        <v>1040.0</v>
      </c>
      <c r="C3612" s="147">
        <v>1190.0</v>
      </c>
      <c r="D3612" s="132">
        <f t="shared" si="260"/>
        <v>150</v>
      </c>
      <c r="E3612" s="139"/>
      <c r="F3612" s="139"/>
      <c r="G3612" s="129"/>
      <c r="H3612" s="129"/>
      <c r="I3612" s="129"/>
      <c r="J3612" s="129"/>
      <c r="K3612" s="129"/>
      <c r="L3612" s="129"/>
      <c r="M3612" s="129"/>
      <c r="N3612" s="129"/>
      <c r="O3612" s="129"/>
      <c r="P3612" s="129"/>
      <c r="Q3612" s="129"/>
      <c r="R3612" s="129"/>
      <c r="S3612" s="129"/>
      <c r="T3612" s="129"/>
      <c r="U3612" s="129"/>
      <c r="V3612" s="129"/>
      <c r="W3612" s="129"/>
      <c r="X3612" s="129"/>
      <c r="Y3612" s="129"/>
      <c r="Z3612" s="129"/>
      <c r="AA3612" s="129"/>
      <c r="AB3612" s="129"/>
    </row>
    <row r="3613" hidden="1">
      <c r="A3613" s="128" t="s">
        <v>1415</v>
      </c>
      <c r="B3613" s="147">
        <v>1040.0</v>
      </c>
      <c r="C3613" s="132">
        <v>1190.0</v>
      </c>
      <c r="D3613" s="132">
        <f t="shared" si="260"/>
        <v>150</v>
      </c>
      <c r="E3613" s="132"/>
      <c r="F3613" s="132"/>
      <c r="G3613" s="129"/>
      <c r="H3613" s="129"/>
      <c r="I3613" s="129"/>
      <c r="J3613" s="129"/>
      <c r="K3613" s="129"/>
      <c r="L3613" s="129"/>
      <c r="M3613" s="129"/>
      <c r="N3613" s="129"/>
      <c r="O3613" s="129"/>
      <c r="P3613" s="129"/>
      <c r="Q3613" s="129"/>
      <c r="R3613" s="129"/>
      <c r="S3613" s="129"/>
      <c r="T3613" s="129"/>
      <c r="U3613" s="129"/>
      <c r="V3613" s="129"/>
      <c r="W3613" s="129"/>
      <c r="X3613" s="129"/>
      <c r="Y3613" s="129"/>
      <c r="Z3613" s="129"/>
      <c r="AA3613" s="129"/>
      <c r="AB3613" s="129"/>
    </row>
    <row r="3614" hidden="1">
      <c r="A3614" s="128" t="s">
        <v>1373</v>
      </c>
      <c r="B3614" s="147">
        <v>840.0</v>
      </c>
      <c r="C3614" s="147">
        <v>990.0</v>
      </c>
      <c r="D3614" s="132">
        <f t="shared" si="260"/>
        <v>150</v>
      </c>
      <c r="E3614" s="147"/>
      <c r="F3614" s="132"/>
      <c r="G3614" s="129"/>
      <c r="H3614" s="129"/>
      <c r="I3614" s="129"/>
      <c r="J3614" s="129"/>
      <c r="K3614" s="129"/>
      <c r="L3614" s="129"/>
      <c r="M3614" s="129"/>
      <c r="N3614" s="129"/>
      <c r="O3614" s="129"/>
      <c r="P3614" s="129"/>
      <c r="Q3614" s="129"/>
      <c r="R3614" s="129"/>
      <c r="S3614" s="129"/>
      <c r="T3614" s="129"/>
      <c r="U3614" s="129"/>
      <c r="V3614" s="129"/>
      <c r="W3614" s="129"/>
      <c r="X3614" s="129"/>
      <c r="Y3614" s="129"/>
      <c r="Z3614" s="129"/>
      <c r="AA3614" s="129"/>
      <c r="AB3614" s="129"/>
    </row>
    <row r="3615" hidden="1">
      <c r="A3615" s="128" t="s">
        <v>1415</v>
      </c>
      <c r="B3615" s="147">
        <v>1040.0</v>
      </c>
      <c r="C3615" s="147">
        <v>1190.0</v>
      </c>
      <c r="D3615" s="132">
        <f t="shared" si="260"/>
        <v>150</v>
      </c>
      <c r="E3615" s="132"/>
      <c r="F3615" s="132"/>
      <c r="G3615" s="129"/>
      <c r="H3615" s="129"/>
      <c r="I3615" s="129"/>
      <c r="J3615" s="129"/>
      <c r="K3615" s="129"/>
      <c r="L3615" s="129"/>
      <c r="M3615" s="129"/>
      <c r="N3615" s="129"/>
      <c r="O3615" s="129"/>
      <c r="P3615" s="129"/>
      <c r="Q3615" s="129"/>
      <c r="R3615" s="129"/>
      <c r="S3615" s="129"/>
      <c r="T3615" s="129"/>
      <c r="U3615" s="129"/>
      <c r="V3615" s="129"/>
      <c r="W3615" s="129"/>
      <c r="X3615" s="129"/>
      <c r="Y3615" s="129"/>
      <c r="Z3615" s="129"/>
      <c r="AA3615" s="129"/>
      <c r="AB3615" s="129"/>
    </row>
    <row r="3616" hidden="1">
      <c r="A3616" s="128" t="s">
        <v>1632</v>
      </c>
      <c r="B3616" s="147">
        <v>1475.0</v>
      </c>
      <c r="C3616" s="147">
        <v>1625.0</v>
      </c>
      <c r="D3616" s="132">
        <f t="shared" si="260"/>
        <v>150</v>
      </c>
      <c r="E3616" s="132"/>
      <c r="F3616" s="132"/>
      <c r="G3616" s="129"/>
      <c r="H3616" s="129"/>
      <c r="I3616" s="129"/>
      <c r="J3616" s="129"/>
      <c r="K3616" s="129"/>
      <c r="L3616" s="129"/>
      <c r="M3616" s="129"/>
      <c r="N3616" s="129"/>
      <c r="O3616" s="129"/>
      <c r="P3616" s="129"/>
      <c r="Q3616" s="129"/>
      <c r="R3616" s="129"/>
      <c r="S3616" s="129"/>
      <c r="T3616" s="129"/>
      <c r="U3616" s="129"/>
      <c r="V3616" s="129"/>
      <c r="W3616" s="129"/>
      <c r="X3616" s="129"/>
      <c r="Y3616" s="129"/>
      <c r="Z3616" s="129"/>
      <c r="AA3616" s="129"/>
      <c r="AB3616" s="129"/>
    </row>
    <row r="3617" hidden="1">
      <c r="A3617" s="128" t="s">
        <v>1632</v>
      </c>
      <c r="B3617" s="147">
        <v>1475.0</v>
      </c>
      <c r="C3617" s="147">
        <v>1625.0</v>
      </c>
      <c r="D3617" s="132">
        <f t="shared" si="260"/>
        <v>150</v>
      </c>
      <c r="E3617" s="132"/>
      <c r="F3617" s="132"/>
      <c r="G3617" s="129"/>
      <c r="H3617" s="129"/>
      <c r="I3617" s="129"/>
      <c r="J3617" s="129"/>
      <c r="K3617" s="129"/>
      <c r="L3617" s="129"/>
      <c r="M3617" s="129"/>
      <c r="N3617" s="129"/>
      <c r="O3617" s="129"/>
      <c r="P3617" s="129"/>
      <c r="Q3617" s="129"/>
      <c r="R3617" s="129"/>
      <c r="S3617" s="129"/>
      <c r="T3617" s="129"/>
      <c r="U3617" s="129"/>
      <c r="V3617" s="129"/>
      <c r="W3617" s="129"/>
      <c r="X3617" s="129"/>
      <c r="Y3617" s="129"/>
      <c r="Z3617" s="129"/>
      <c r="AA3617" s="129"/>
      <c r="AB3617" s="129"/>
    </row>
    <row r="3618" hidden="1">
      <c r="A3618" s="128" t="s">
        <v>1093</v>
      </c>
      <c r="B3618" s="147">
        <v>1540.0</v>
      </c>
      <c r="C3618" s="147">
        <v>1690.0</v>
      </c>
      <c r="D3618" s="132">
        <f t="shared" si="260"/>
        <v>150</v>
      </c>
      <c r="E3618" s="139"/>
      <c r="F3618" s="139"/>
      <c r="G3618" s="129"/>
      <c r="H3618" s="129"/>
      <c r="I3618" s="129"/>
      <c r="J3618" s="129"/>
      <c r="K3618" s="129"/>
      <c r="L3618" s="129"/>
      <c r="M3618" s="129"/>
      <c r="N3618" s="129"/>
      <c r="O3618" s="129"/>
      <c r="P3618" s="129"/>
      <c r="Q3618" s="129"/>
      <c r="R3618" s="129"/>
      <c r="S3618" s="129"/>
      <c r="T3618" s="129"/>
      <c r="U3618" s="129"/>
      <c r="V3618" s="129"/>
      <c r="W3618" s="129"/>
      <c r="X3618" s="129"/>
      <c r="Y3618" s="129"/>
      <c r="Z3618" s="129"/>
      <c r="AA3618" s="129"/>
      <c r="AB3618" s="129"/>
    </row>
    <row r="3619" hidden="1">
      <c r="A3619" s="150" t="s">
        <v>1209</v>
      </c>
      <c r="B3619" s="147">
        <v>1500.0</v>
      </c>
      <c r="C3619" s="132">
        <v>1650.0</v>
      </c>
      <c r="D3619" s="132">
        <f t="shared" si="260"/>
        <v>150</v>
      </c>
      <c r="E3619" s="139"/>
      <c r="F3619" s="139"/>
      <c r="G3619" s="129"/>
      <c r="H3619" s="129"/>
      <c r="I3619" s="129"/>
      <c r="J3619" s="129"/>
      <c r="K3619" s="129"/>
      <c r="L3619" s="129"/>
      <c r="M3619" s="129"/>
      <c r="N3619" s="129"/>
      <c r="O3619" s="129"/>
      <c r="P3619" s="129"/>
      <c r="Q3619" s="129"/>
      <c r="R3619" s="129"/>
      <c r="S3619" s="129"/>
      <c r="T3619" s="129"/>
      <c r="U3619" s="129"/>
      <c r="V3619" s="129"/>
      <c r="W3619" s="129"/>
      <c r="X3619" s="129"/>
      <c r="Y3619" s="129"/>
      <c r="Z3619" s="129"/>
      <c r="AA3619" s="129"/>
      <c r="AB3619" s="129"/>
    </row>
    <row r="3620" hidden="1">
      <c r="A3620" s="150" t="s">
        <v>1209</v>
      </c>
      <c r="B3620" s="147">
        <v>1475.0</v>
      </c>
      <c r="C3620" s="147">
        <v>1625.0</v>
      </c>
      <c r="D3620" s="132">
        <f t="shared" si="260"/>
        <v>150</v>
      </c>
      <c r="E3620" s="139"/>
      <c r="F3620" s="139"/>
      <c r="G3620" s="129"/>
      <c r="H3620" s="129"/>
      <c r="I3620" s="129"/>
      <c r="J3620" s="129"/>
      <c r="K3620" s="129"/>
      <c r="L3620" s="129"/>
      <c r="M3620" s="129"/>
      <c r="N3620" s="129"/>
      <c r="O3620" s="129"/>
      <c r="P3620" s="129"/>
      <c r="Q3620" s="129"/>
      <c r="R3620" s="129"/>
      <c r="S3620" s="129"/>
      <c r="T3620" s="129"/>
      <c r="U3620" s="129"/>
      <c r="V3620" s="129"/>
      <c r="W3620" s="129"/>
      <c r="X3620" s="129"/>
      <c r="Y3620" s="129"/>
      <c r="Z3620" s="129"/>
      <c r="AA3620" s="129"/>
      <c r="AB3620" s="129"/>
    </row>
    <row r="3621" hidden="1">
      <c r="A3621" s="151" t="s">
        <v>461</v>
      </c>
      <c r="B3621" s="124">
        <v>1040.0</v>
      </c>
      <c r="C3621" s="124">
        <v>1190.0</v>
      </c>
      <c r="D3621" s="132">
        <f t="shared" si="260"/>
        <v>150</v>
      </c>
      <c r="E3621" s="139"/>
      <c r="F3621" s="139"/>
      <c r="G3621" s="129"/>
      <c r="H3621" s="129"/>
      <c r="I3621" s="129"/>
      <c r="J3621" s="129"/>
      <c r="K3621" s="129"/>
      <c r="L3621" s="129"/>
      <c r="M3621" s="129"/>
      <c r="N3621" s="129"/>
      <c r="O3621" s="129"/>
      <c r="P3621" s="129"/>
      <c r="Q3621" s="129"/>
      <c r="R3621" s="129"/>
      <c r="S3621" s="129"/>
      <c r="T3621" s="129"/>
      <c r="U3621" s="129"/>
      <c r="V3621" s="129"/>
      <c r="W3621" s="129"/>
      <c r="X3621" s="129"/>
      <c r="Y3621" s="129"/>
      <c r="Z3621" s="129"/>
      <c r="AA3621" s="129"/>
      <c r="AB3621" s="129"/>
    </row>
    <row r="3622" hidden="1">
      <c r="A3622" s="159" t="s">
        <v>1187</v>
      </c>
      <c r="B3622" s="124">
        <v>800.0</v>
      </c>
      <c r="C3622" s="124">
        <v>950.0</v>
      </c>
      <c r="D3622" s="125">
        <f t="shared" si="260"/>
        <v>150</v>
      </c>
      <c r="E3622" s="124"/>
      <c r="F3622" s="124"/>
    </row>
    <row r="3623" hidden="1">
      <c r="A3623" s="128" t="s">
        <v>1533</v>
      </c>
      <c r="B3623" s="147">
        <v>1500.0</v>
      </c>
      <c r="C3623" s="147">
        <v>1650.0</v>
      </c>
      <c r="D3623" s="132">
        <f t="shared" si="260"/>
        <v>150</v>
      </c>
      <c r="E3623" s="139"/>
      <c r="F3623" s="139"/>
      <c r="G3623" s="129"/>
      <c r="H3623" s="129"/>
      <c r="I3623" s="129"/>
      <c r="J3623" s="129"/>
      <c r="K3623" s="129"/>
      <c r="L3623" s="129"/>
      <c r="M3623" s="129"/>
      <c r="N3623" s="129"/>
      <c r="O3623" s="129"/>
      <c r="P3623" s="129"/>
      <c r="Q3623" s="129"/>
      <c r="R3623" s="129"/>
      <c r="S3623" s="129"/>
      <c r="T3623" s="129"/>
      <c r="U3623" s="129"/>
      <c r="V3623" s="129"/>
      <c r="W3623" s="129"/>
      <c r="X3623" s="129"/>
      <c r="Y3623" s="129"/>
      <c r="Z3623" s="129"/>
      <c r="AA3623" s="129"/>
      <c r="AB3623" s="129"/>
    </row>
    <row r="3624" hidden="1">
      <c r="A3624" s="150" t="s">
        <v>1140</v>
      </c>
      <c r="B3624" s="147">
        <v>1540.0</v>
      </c>
      <c r="C3624" s="147">
        <v>1690.0</v>
      </c>
      <c r="D3624" s="132">
        <f t="shared" si="260"/>
        <v>150</v>
      </c>
      <c r="E3624" s="139"/>
      <c r="F3624" s="139"/>
      <c r="G3624" s="129"/>
      <c r="H3624" s="129"/>
      <c r="I3624" s="129"/>
      <c r="J3624" s="129"/>
      <c r="K3624" s="129"/>
      <c r="L3624" s="129"/>
      <c r="M3624" s="129"/>
      <c r="N3624" s="129"/>
      <c r="O3624" s="129"/>
      <c r="P3624" s="129"/>
      <c r="Q3624" s="129"/>
      <c r="R3624" s="129"/>
      <c r="S3624" s="129"/>
      <c r="T3624" s="129"/>
      <c r="U3624" s="129"/>
      <c r="V3624" s="129"/>
      <c r="W3624" s="129"/>
      <c r="X3624" s="129"/>
      <c r="Y3624" s="129"/>
      <c r="Z3624" s="129"/>
      <c r="AA3624" s="129"/>
      <c r="AB3624" s="129"/>
    </row>
    <row r="3625" hidden="1">
      <c r="A3625" s="128" t="s">
        <v>1621</v>
      </c>
      <c r="B3625" s="147">
        <v>700.0</v>
      </c>
      <c r="C3625" s="147">
        <v>850.0</v>
      </c>
      <c r="D3625" s="132">
        <f t="shared" si="260"/>
        <v>150</v>
      </c>
      <c r="E3625" s="132"/>
      <c r="F3625" s="132"/>
      <c r="G3625" s="129"/>
      <c r="H3625" s="129"/>
      <c r="I3625" s="129"/>
      <c r="J3625" s="129"/>
      <c r="K3625" s="129"/>
      <c r="L3625" s="129"/>
      <c r="M3625" s="129"/>
      <c r="N3625" s="129"/>
      <c r="O3625" s="129"/>
      <c r="P3625" s="129"/>
      <c r="Q3625" s="129"/>
      <c r="R3625" s="129"/>
      <c r="S3625" s="129"/>
      <c r="T3625" s="129"/>
      <c r="U3625" s="129"/>
      <c r="V3625" s="129"/>
      <c r="W3625" s="129"/>
      <c r="X3625" s="129"/>
      <c r="Y3625" s="129"/>
      <c r="Z3625" s="129"/>
      <c r="AA3625" s="129"/>
      <c r="AB3625" s="129"/>
    </row>
    <row r="3626" hidden="1">
      <c r="A3626" s="123" t="s">
        <v>1176</v>
      </c>
      <c r="B3626" s="147">
        <v>1400.0</v>
      </c>
      <c r="C3626" s="124">
        <v>1550.0</v>
      </c>
      <c r="D3626" s="132">
        <f t="shared" si="260"/>
        <v>150</v>
      </c>
      <c r="E3626" s="132"/>
      <c r="F3626" s="132"/>
    </row>
    <row r="3627" hidden="1">
      <c r="A3627" s="123" t="s">
        <v>1213</v>
      </c>
      <c r="B3627" s="147">
        <v>1475.0</v>
      </c>
      <c r="C3627" s="124">
        <v>1625.0</v>
      </c>
      <c r="D3627" s="132">
        <f t="shared" si="260"/>
        <v>150</v>
      </c>
      <c r="E3627" s="132"/>
      <c r="F3627" s="124"/>
    </row>
    <row r="3628" hidden="1">
      <c r="A3628" s="128" t="s">
        <v>1635</v>
      </c>
      <c r="B3628" s="147">
        <v>1440.0</v>
      </c>
      <c r="C3628" s="132">
        <v>1590.0</v>
      </c>
      <c r="D3628" s="132">
        <f t="shared" si="260"/>
        <v>150</v>
      </c>
      <c r="E3628" s="132"/>
      <c r="F3628" s="132"/>
      <c r="G3628" s="129"/>
      <c r="H3628" s="129"/>
      <c r="I3628" s="129"/>
      <c r="J3628" s="129"/>
      <c r="K3628" s="129"/>
      <c r="L3628" s="129"/>
      <c r="M3628" s="129"/>
      <c r="N3628" s="129"/>
      <c r="O3628" s="129"/>
      <c r="P3628" s="129"/>
      <c r="Q3628" s="129"/>
      <c r="R3628" s="129"/>
      <c r="S3628" s="129"/>
      <c r="T3628" s="129"/>
      <c r="U3628" s="129"/>
      <c r="V3628" s="129"/>
      <c r="W3628" s="129"/>
      <c r="X3628" s="129"/>
      <c r="Y3628" s="129"/>
      <c r="Z3628" s="129"/>
      <c r="AA3628" s="129"/>
      <c r="AB3628" s="129"/>
    </row>
    <row r="3629" hidden="1">
      <c r="A3629" s="123" t="s">
        <v>1213</v>
      </c>
      <c r="B3629" s="147">
        <v>1475.0</v>
      </c>
      <c r="C3629" s="124">
        <v>1625.0</v>
      </c>
      <c r="D3629" s="132">
        <f t="shared" si="260"/>
        <v>150</v>
      </c>
      <c r="E3629" s="132"/>
      <c r="F3629" s="124"/>
    </row>
    <row r="3630" hidden="1">
      <c r="A3630" s="123" t="s">
        <v>1636</v>
      </c>
      <c r="B3630" s="124">
        <v>1390.0</v>
      </c>
      <c r="C3630" s="124">
        <v>1890.0</v>
      </c>
      <c r="D3630" s="125">
        <f t="shared" si="260"/>
        <v>500</v>
      </c>
      <c r="E3630" s="124"/>
      <c r="F3630" s="124"/>
    </row>
    <row r="3631" hidden="1">
      <c r="A3631" s="123" t="s">
        <v>1350</v>
      </c>
      <c r="B3631" s="147">
        <v>1400.0</v>
      </c>
      <c r="C3631" s="124">
        <v>1550.0</v>
      </c>
      <c r="D3631" s="132">
        <f t="shared" si="260"/>
        <v>150</v>
      </c>
      <c r="E3631" s="124"/>
      <c r="F3631" s="124"/>
    </row>
    <row r="3632" hidden="1">
      <c r="A3632" s="128" t="s">
        <v>1219</v>
      </c>
      <c r="B3632" s="124">
        <v>940.0</v>
      </c>
      <c r="C3632" s="124">
        <v>1090.0</v>
      </c>
      <c r="D3632" s="132">
        <f t="shared" si="260"/>
        <v>150</v>
      </c>
      <c r="E3632" s="124"/>
      <c r="F3632" s="124"/>
      <c r="G3632" s="129"/>
      <c r="H3632" s="129"/>
      <c r="I3632" s="129"/>
      <c r="J3632" s="129"/>
      <c r="K3632" s="129"/>
      <c r="L3632" s="129"/>
      <c r="M3632" s="129"/>
      <c r="N3632" s="129"/>
      <c r="O3632" s="129"/>
      <c r="P3632" s="129"/>
      <c r="Q3632" s="129"/>
      <c r="R3632" s="129"/>
      <c r="S3632" s="129"/>
      <c r="T3632" s="129"/>
      <c r="U3632" s="129"/>
      <c r="V3632" s="129"/>
      <c r="W3632" s="129"/>
      <c r="X3632" s="129"/>
      <c r="Y3632" s="129"/>
      <c r="Z3632" s="129"/>
      <c r="AA3632" s="129"/>
      <c r="AB3632" s="129"/>
    </row>
    <row r="3633" hidden="1">
      <c r="A3633" s="123" t="s">
        <v>378</v>
      </c>
      <c r="B3633" s="124">
        <v>1240.0</v>
      </c>
      <c r="C3633" s="124">
        <v>1390.0</v>
      </c>
      <c r="D3633" s="125">
        <f t="shared" si="260"/>
        <v>150</v>
      </c>
      <c r="E3633" s="124"/>
      <c r="F3633" s="124"/>
    </row>
    <row r="3634" hidden="1">
      <c r="A3634" s="123" t="s">
        <v>1213</v>
      </c>
      <c r="B3634" s="147">
        <v>1475.0</v>
      </c>
      <c r="C3634" s="124">
        <v>1625.0</v>
      </c>
      <c r="D3634" s="132">
        <f t="shared" si="260"/>
        <v>150</v>
      </c>
      <c r="E3634" s="132"/>
      <c r="F3634" s="124"/>
    </row>
    <row r="3635" hidden="1">
      <c r="A3635" s="128" t="s">
        <v>1274</v>
      </c>
      <c r="B3635" s="147">
        <v>1140.0</v>
      </c>
      <c r="C3635" s="147">
        <v>1290.0</v>
      </c>
      <c r="D3635" s="132">
        <f t="shared" si="260"/>
        <v>150</v>
      </c>
      <c r="E3635" s="132"/>
      <c r="F3635" s="132"/>
      <c r="G3635" s="129"/>
      <c r="H3635" s="129"/>
      <c r="I3635" s="129"/>
      <c r="J3635" s="129"/>
      <c r="K3635" s="129"/>
      <c r="L3635" s="129"/>
      <c r="M3635" s="129"/>
      <c r="N3635" s="129"/>
      <c r="O3635" s="129"/>
      <c r="P3635" s="129"/>
      <c r="Q3635" s="129"/>
      <c r="R3635" s="129"/>
      <c r="S3635" s="129"/>
      <c r="T3635" s="129"/>
      <c r="U3635" s="129"/>
      <c r="V3635" s="129"/>
      <c r="W3635" s="129"/>
      <c r="X3635" s="129"/>
      <c r="Y3635" s="129"/>
      <c r="Z3635" s="129"/>
      <c r="AA3635" s="129"/>
      <c r="AB3635" s="129"/>
    </row>
    <row r="3636" hidden="1">
      <c r="A3636" s="159" t="s">
        <v>1637</v>
      </c>
      <c r="B3636" s="124">
        <v>1340.0</v>
      </c>
      <c r="C3636" s="124">
        <v>1490.0</v>
      </c>
      <c r="D3636" s="125">
        <f t="shared" si="260"/>
        <v>150</v>
      </c>
      <c r="E3636" s="124"/>
      <c r="F3636" s="124"/>
    </row>
    <row r="3637" hidden="1">
      <c r="A3637" s="128" t="s">
        <v>1301</v>
      </c>
      <c r="B3637" s="147">
        <v>1525.0</v>
      </c>
      <c r="C3637" s="147">
        <v>1675.0</v>
      </c>
      <c r="D3637" s="132">
        <f t="shared" si="260"/>
        <v>150</v>
      </c>
      <c r="E3637" s="147"/>
      <c r="F3637" s="132"/>
      <c r="G3637" s="129"/>
      <c r="H3637" s="129"/>
      <c r="I3637" s="129"/>
      <c r="J3637" s="129"/>
      <c r="K3637" s="129"/>
      <c r="L3637" s="129"/>
      <c r="M3637" s="129"/>
      <c r="N3637" s="129"/>
      <c r="O3637" s="129"/>
      <c r="P3637" s="129"/>
      <c r="Q3637" s="129"/>
      <c r="R3637" s="129"/>
      <c r="S3637" s="129"/>
      <c r="T3637" s="129"/>
      <c r="U3637" s="129"/>
      <c r="V3637" s="129"/>
      <c r="W3637" s="129"/>
      <c r="X3637" s="129"/>
      <c r="Y3637" s="129"/>
      <c r="Z3637" s="129"/>
      <c r="AA3637" s="129"/>
      <c r="AB3637" s="129"/>
    </row>
    <row r="3638" hidden="1">
      <c r="A3638" s="123" t="s">
        <v>1638</v>
      </c>
      <c r="B3638" s="124">
        <v>1750.0</v>
      </c>
      <c r="C3638" s="124">
        <v>2250.0</v>
      </c>
      <c r="D3638" s="125">
        <f t="shared" si="260"/>
        <v>500</v>
      </c>
    </row>
    <row r="3639" hidden="1">
      <c r="A3639" s="123" t="s">
        <v>1213</v>
      </c>
      <c r="B3639" s="147">
        <v>1475.0</v>
      </c>
      <c r="C3639" s="124">
        <v>1625.0</v>
      </c>
      <c r="D3639" s="132">
        <f t="shared" si="260"/>
        <v>150</v>
      </c>
      <c r="E3639" s="132"/>
      <c r="F3639" s="124"/>
    </row>
    <row r="3640" hidden="1">
      <c r="A3640" s="123" t="s">
        <v>1213</v>
      </c>
      <c r="B3640" s="147">
        <v>1475.0</v>
      </c>
      <c r="C3640" s="124">
        <v>1625.0</v>
      </c>
      <c r="D3640" s="132">
        <f t="shared" si="260"/>
        <v>150</v>
      </c>
      <c r="E3640" s="132"/>
      <c r="F3640" s="124"/>
    </row>
    <row r="3641" hidden="1">
      <c r="A3641" s="128" t="s">
        <v>1140</v>
      </c>
      <c r="B3641" s="147">
        <v>1540.0</v>
      </c>
      <c r="C3641" s="147">
        <v>1690.0</v>
      </c>
      <c r="D3641" s="132">
        <f t="shared" si="260"/>
        <v>150</v>
      </c>
      <c r="E3641" s="139"/>
      <c r="F3641" s="139"/>
      <c r="G3641" s="129"/>
      <c r="H3641" s="129"/>
      <c r="I3641" s="129"/>
      <c r="J3641" s="129"/>
      <c r="K3641" s="129"/>
      <c r="L3641" s="129"/>
      <c r="M3641" s="129"/>
      <c r="N3641" s="129"/>
      <c r="O3641" s="129"/>
      <c r="P3641" s="129"/>
      <c r="Q3641" s="129"/>
      <c r="R3641" s="129"/>
      <c r="S3641" s="129"/>
      <c r="T3641" s="129"/>
      <c r="U3641" s="129"/>
      <c r="V3641" s="129"/>
      <c r="W3641" s="129"/>
      <c r="X3641" s="129"/>
      <c r="Y3641" s="129"/>
      <c r="Z3641" s="129"/>
      <c r="AA3641" s="129"/>
      <c r="AB3641" s="129"/>
    </row>
    <row r="3642" hidden="1">
      <c r="A3642" s="123" t="s">
        <v>1213</v>
      </c>
      <c r="B3642" s="147">
        <v>1475.0</v>
      </c>
      <c r="C3642" s="124">
        <v>1625.0</v>
      </c>
      <c r="D3642" s="132">
        <f t="shared" si="260"/>
        <v>150</v>
      </c>
      <c r="E3642" s="132"/>
      <c r="F3642" s="124"/>
    </row>
    <row r="3643" hidden="1">
      <c r="A3643" s="128" t="s">
        <v>1300</v>
      </c>
      <c r="B3643" s="147">
        <v>1500.0</v>
      </c>
      <c r="C3643" s="147">
        <v>1650.0</v>
      </c>
      <c r="D3643" s="132">
        <f t="shared" si="260"/>
        <v>150</v>
      </c>
      <c r="E3643" s="147"/>
      <c r="F3643" s="132"/>
      <c r="G3643" s="129"/>
      <c r="H3643" s="129"/>
      <c r="I3643" s="129"/>
      <c r="J3643" s="129"/>
      <c r="K3643" s="129"/>
      <c r="L3643" s="129"/>
      <c r="M3643" s="129"/>
      <c r="N3643" s="129"/>
      <c r="O3643" s="129"/>
      <c r="P3643" s="129"/>
      <c r="Q3643" s="129"/>
      <c r="R3643" s="129"/>
      <c r="S3643" s="129"/>
      <c r="T3643" s="129"/>
      <c r="U3643" s="129"/>
      <c r="V3643" s="129"/>
      <c r="W3643" s="129"/>
      <c r="X3643" s="129"/>
      <c r="Y3643" s="129"/>
      <c r="Z3643" s="129"/>
      <c r="AA3643" s="129"/>
      <c r="AB3643" s="129"/>
    </row>
    <row r="3644" hidden="1">
      <c r="A3644" s="123" t="s">
        <v>1405</v>
      </c>
      <c r="B3644" s="124">
        <v>1040.0</v>
      </c>
      <c r="C3644" s="124">
        <v>1190.0</v>
      </c>
      <c r="D3644" s="125">
        <f t="shared" si="260"/>
        <v>150</v>
      </c>
      <c r="E3644" s="124"/>
      <c r="F3644" s="124"/>
    </row>
    <row r="3645" hidden="1">
      <c r="A3645" s="123" t="s">
        <v>1634</v>
      </c>
      <c r="B3645" s="124">
        <v>1500.0</v>
      </c>
      <c r="C3645" s="124">
        <v>1650.0</v>
      </c>
      <c r="D3645" s="125">
        <f t="shared" si="260"/>
        <v>150</v>
      </c>
      <c r="E3645" s="132"/>
      <c r="F3645" s="124"/>
    </row>
    <row r="3646" hidden="1">
      <c r="A3646" s="128" t="s">
        <v>1300</v>
      </c>
      <c r="B3646" s="147">
        <v>1500.0</v>
      </c>
      <c r="C3646" s="147">
        <v>1650.0</v>
      </c>
      <c r="D3646" s="132">
        <f t="shared" si="260"/>
        <v>150</v>
      </c>
      <c r="E3646" s="147"/>
      <c r="F3646" s="132"/>
      <c r="G3646" s="129"/>
      <c r="H3646" s="129"/>
      <c r="I3646" s="129"/>
      <c r="J3646" s="129"/>
      <c r="K3646" s="129"/>
      <c r="L3646" s="129"/>
      <c r="M3646" s="129"/>
      <c r="N3646" s="129"/>
      <c r="O3646" s="129"/>
      <c r="P3646" s="129"/>
      <c r="Q3646" s="129"/>
      <c r="R3646" s="129"/>
      <c r="S3646" s="129"/>
      <c r="T3646" s="129"/>
      <c r="U3646" s="129"/>
      <c r="V3646" s="129"/>
      <c r="W3646" s="129"/>
      <c r="X3646" s="129"/>
      <c r="Y3646" s="129"/>
      <c r="Z3646" s="129"/>
      <c r="AA3646" s="129"/>
      <c r="AB3646" s="129"/>
    </row>
    <row r="3647" hidden="1">
      <c r="A3647" s="128" t="s">
        <v>1093</v>
      </c>
      <c r="B3647" s="147">
        <v>1540.0</v>
      </c>
      <c r="C3647" s="147">
        <v>1690.0</v>
      </c>
      <c r="D3647" s="132">
        <f t="shared" si="260"/>
        <v>150</v>
      </c>
      <c r="E3647" s="139"/>
      <c r="F3647" s="139"/>
      <c r="G3647" s="129"/>
      <c r="H3647" s="129"/>
      <c r="I3647" s="129"/>
      <c r="J3647" s="129"/>
      <c r="K3647" s="129"/>
      <c r="L3647" s="129"/>
      <c r="M3647" s="129"/>
      <c r="N3647" s="129"/>
      <c r="O3647" s="129"/>
      <c r="P3647" s="129"/>
      <c r="Q3647" s="129"/>
      <c r="R3647" s="129"/>
      <c r="S3647" s="129"/>
      <c r="T3647" s="129"/>
      <c r="U3647" s="129"/>
      <c r="V3647" s="129"/>
      <c r="W3647" s="129"/>
      <c r="X3647" s="129"/>
      <c r="Y3647" s="129"/>
      <c r="Z3647" s="129"/>
      <c r="AA3647" s="129"/>
      <c r="AB3647" s="129"/>
    </row>
    <row r="3648" hidden="1">
      <c r="A3648" s="128" t="s">
        <v>1216</v>
      </c>
      <c r="B3648" s="147">
        <v>1475.0</v>
      </c>
      <c r="C3648" s="147">
        <v>1625.0</v>
      </c>
      <c r="D3648" s="132">
        <f t="shared" si="260"/>
        <v>150</v>
      </c>
      <c r="E3648" s="132"/>
      <c r="F3648" s="132"/>
      <c r="G3648" s="129"/>
      <c r="H3648" s="129"/>
      <c r="I3648" s="129"/>
      <c r="J3648" s="129"/>
      <c r="K3648" s="129"/>
      <c r="L3648" s="129"/>
      <c r="M3648" s="129"/>
      <c r="N3648" s="129"/>
      <c r="O3648" s="129"/>
      <c r="P3648" s="129"/>
      <c r="Q3648" s="129"/>
      <c r="R3648" s="129"/>
      <c r="S3648" s="129"/>
      <c r="T3648" s="129"/>
      <c r="U3648" s="129"/>
      <c r="V3648" s="129"/>
      <c r="W3648" s="129"/>
      <c r="X3648" s="129"/>
      <c r="Y3648" s="129"/>
      <c r="Z3648" s="129"/>
      <c r="AA3648" s="129"/>
      <c r="AB3648" s="129"/>
    </row>
    <row r="3649" hidden="1">
      <c r="A3649" s="123" t="s">
        <v>1213</v>
      </c>
      <c r="B3649" s="147">
        <v>1475.0</v>
      </c>
      <c r="C3649" s="124">
        <v>1625.0</v>
      </c>
      <c r="D3649" s="132">
        <f t="shared" si="260"/>
        <v>150</v>
      </c>
      <c r="E3649" s="132"/>
      <c r="F3649" s="124"/>
    </row>
    <row r="3650" hidden="1">
      <c r="A3650" s="128" t="s">
        <v>1301</v>
      </c>
      <c r="B3650" s="147">
        <v>1525.0</v>
      </c>
      <c r="C3650" s="147">
        <v>1675.0</v>
      </c>
      <c r="D3650" s="132">
        <f t="shared" si="260"/>
        <v>150</v>
      </c>
      <c r="E3650" s="147"/>
      <c r="F3650" s="132"/>
      <c r="G3650" s="129"/>
      <c r="H3650" s="129"/>
      <c r="I3650" s="129"/>
      <c r="J3650" s="129"/>
      <c r="K3650" s="129"/>
      <c r="L3650" s="129"/>
      <c r="M3650" s="129"/>
      <c r="N3650" s="129"/>
      <c r="O3650" s="129"/>
      <c r="P3650" s="129"/>
      <c r="Q3650" s="129"/>
      <c r="R3650" s="129"/>
      <c r="S3650" s="129"/>
      <c r="T3650" s="129"/>
      <c r="U3650" s="129"/>
      <c r="V3650" s="129"/>
      <c r="W3650" s="129"/>
      <c r="X3650" s="129"/>
      <c r="Y3650" s="129"/>
      <c r="Z3650" s="129"/>
      <c r="AA3650" s="129"/>
      <c r="AB3650" s="129"/>
    </row>
    <row r="3651" hidden="1">
      <c r="A3651" s="142" t="s">
        <v>1321</v>
      </c>
      <c r="B3651" s="147">
        <v>1040.0</v>
      </c>
      <c r="C3651" s="124">
        <v>1190.0</v>
      </c>
      <c r="D3651" s="125">
        <f t="shared" si="260"/>
        <v>150</v>
      </c>
      <c r="E3651" s="124"/>
      <c r="F3651" s="124"/>
      <c r="G3651" s="129"/>
      <c r="H3651" s="129"/>
      <c r="I3651" s="129"/>
      <c r="J3651" s="129"/>
      <c r="K3651" s="129"/>
      <c r="L3651" s="129"/>
      <c r="M3651" s="129"/>
      <c r="N3651" s="129"/>
      <c r="O3651" s="129"/>
      <c r="P3651" s="129"/>
      <c r="Q3651" s="129"/>
      <c r="R3651" s="129"/>
      <c r="S3651" s="129"/>
      <c r="T3651" s="129"/>
      <c r="U3651" s="129"/>
      <c r="V3651" s="129"/>
      <c r="W3651" s="129"/>
      <c r="X3651" s="129"/>
      <c r="Y3651" s="129"/>
      <c r="Z3651" s="129"/>
      <c r="AA3651" s="129"/>
      <c r="AB3651" s="129"/>
    </row>
    <row r="3652" hidden="1">
      <c r="A3652" s="150" t="s">
        <v>1209</v>
      </c>
      <c r="B3652" s="147">
        <v>1500.0</v>
      </c>
      <c r="C3652" s="147">
        <v>1650.0</v>
      </c>
      <c r="D3652" s="132">
        <f t="shared" si="260"/>
        <v>150</v>
      </c>
      <c r="E3652" s="139"/>
      <c r="F3652" s="139"/>
      <c r="G3652" s="129"/>
      <c r="H3652" s="129"/>
      <c r="I3652" s="129"/>
      <c r="J3652" s="129"/>
      <c r="K3652" s="129"/>
      <c r="L3652" s="129"/>
      <c r="M3652" s="129"/>
      <c r="N3652" s="129"/>
      <c r="O3652" s="129"/>
      <c r="P3652" s="129"/>
      <c r="Q3652" s="129"/>
      <c r="R3652" s="129"/>
      <c r="S3652" s="129"/>
      <c r="T3652" s="129"/>
      <c r="U3652" s="129"/>
      <c r="V3652" s="129"/>
      <c r="W3652" s="129"/>
      <c r="X3652" s="129"/>
      <c r="Y3652" s="129"/>
      <c r="Z3652" s="129"/>
      <c r="AA3652" s="129"/>
      <c r="AB3652" s="129"/>
    </row>
    <row r="3653" hidden="1">
      <c r="A3653" s="128" t="s">
        <v>1520</v>
      </c>
      <c r="B3653" s="147">
        <v>1640.0</v>
      </c>
      <c r="C3653" s="147">
        <v>1790.0</v>
      </c>
      <c r="D3653" s="132">
        <f t="shared" si="260"/>
        <v>150</v>
      </c>
      <c r="E3653" s="139"/>
      <c r="F3653" s="139"/>
      <c r="G3653" s="129"/>
      <c r="H3653" s="129"/>
      <c r="I3653" s="129"/>
      <c r="J3653" s="129"/>
      <c r="K3653" s="129"/>
      <c r="L3653" s="129"/>
      <c r="M3653" s="129"/>
      <c r="N3653" s="129"/>
      <c r="O3653" s="129"/>
      <c r="P3653" s="129"/>
      <c r="Q3653" s="129"/>
      <c r="R3653" s="129"/>
      <c r="S3653" s="129"/>
      <c r="T3653" s="129"/>
      <c r="U3653" s="129"/>
      <c r="V3653" s="129"/>
      <c r="W3653" s="129"/>
      <c r="X3653" s="129"/>
      <c r="Y3653" s="129"/>
      <c r="Z3653" s="129"/>
      <c r="AA3653" s="129"/>
      <c r="AB3653" s="129"/>
    </row>
    <row r="3654" hidden="1">
      <c r="A3654" s="123" t="s">
        <v>1213</v>
      </c>
      <c r="B3654" s="147">
        <v>1475.0</v>
      </c>
      <c r="C3654" s="124">
        <v>1625.0</v>
      </c>
      <c r="D3654" s="132">
        <f t="shared" si="260"/>
        <v>150</v>
      </c>
      <c r="E3654" s="132"/>
      <c r="F3654" s="124"/>
    </row>
    <row r="3655" hidden="1">
      <c r="A3655" s="150" t="s">
        <v>1140</v>
      </c>
      <c r="B3655" s="147">
        <v>1500.0</v>
      </c>
      <c r="C3655" s="147">
        <v>1650.0</v>
      </c>
      <c r="D3655" s="132">
        <f t="shared" si="260"/>
        <v>150</v>
      </c>
      <c r="E3655" s="139"/>
      <c r="F3655" s="139"/>
      <c r="G3655" s="129"/>
      <c r="H3655" s="129"/>
      <c r="I3655" s="129"/>
      <c r="J3655" s="129"/>
      <c r="K3655" s="129"/>
      <c r="L3655" s="129"/>
      <c r="M3655" s="129"/>
      <c r="N3655" s="129"/>
      <c r="O3655" s="129"/>
      <c r="P3655" s="129"/>
      <c r="Q3655" s="129"/>
      <c r="R3655" s="129"/>
      <c r="S3655" s="129"/>
      <c r="T3655" s="129"/>
      <c r="U3655" s="129"/>
      <c r="V3655" s="129"/>
      <c r="W3655" s="129"/>
      <c r="X3655" s="129"/>
      <c r="Y3655" s="129"/>
      <c r="Z3655" s="129"/>
      <c r="AA3655" s="129"/>
      <c r="AB3655" s="129"/>
    </row>
    <row r="3656" hidden="1">
      <c r="A3656" s="123" t="s">
        <v>1308</v>
      </c>
      <c r="B3656" s="147">
        <v>1440.0</v>
      </c>
      <c r="C3656" s="124">
        <v>1590.0</v>
      </c>
      <c r="D3656" s="132">
        <f t="shared" si="260"/>
        <v>150</v>
      </c>
      <c r="E3656" s="132"/>
      <c r="F3656" s="132"/>
    </row>
    <row r="3657" hidden="1">
      <c r="A3657" s="123" t="s">
        <v>1308</v>
      </c>
      <c r="B3657" s="147">
        <v>1440.0</v>
      </c>
      <c r="C3657" s="124">
        <v>1590.0</v>
      </c>
      <c r="D3657" s="132">
        <f t="shared" si="260"/>
        <v>150</v>
      </c>
      <c r="E3657" s="132"/>
      <c r="F3657" s="132"/>
    </row>
    <row r="3658" hidden="1">
      <c r="A3658" s="123" t="s">
        <v>1387</v>
      </c>
      <c r="B3658" s="124">
        <v>1190.0</v>
      </c>
      <c r="C3658" s="124">
        <v>1390.0</v>
      </c>
      <c r="D3658" s="132">
        <f t="shared" si="260"/>
        <v>200</v>
      </c>
      <c r="E3658" s="124"/>
      <c r="F3658" s="124"/>
    </row>
    <row r="3659" hidden="1">
      <c r="A3659" s="128" t="s">
        <v>1327</v>
      </c>
      <c r="B3659" s="147">
        <v>1150.0</v>
      </c>
      <c r="C3659" s="147">
        <v>1300.0</v>
      </c>
      <c r="D3659" s="132">
        <f t="shared" si="260"/>
        <v>150</v>
      </c>
      <c r="E3659" s="147"/>
      <c r="F3659" s="132"/>
      <c r="G3659" s="129"/>
      <c r="H3659" s="129"/>
      <c r="I3659" s="129"/>
      <c r="J3659" s="129"/>
      <c r="K3659" s="129"/>
      <c r="L3659" s="129"/>
      <c r="M3659" s="129"/>
      <c r="N3659" s="129"/>
      <c r="O3659" s="129"/>
      <c r="P3659" s="129"/>
      <c r="Q3659" s="129"/>
      <c r="R3659" s="129"/>
      <c r="S3659" s="129"/>
      <c r="T3659" s="129"/>
      <c r="U3659" s="129"/>
      <c r="V3659" s="129"/>
      <c r="W3659" s="129"/>
      <c r="X3659" s="129"/>
      <c r="Y3659" s="129"/>
      <c r="Z3659" s="129"/>
      <c r="AA3659" s="129"/>
      <c r="AB3659" s="129"/>
    </row>
    <row r="3660" hidden="1">
      <c r="A3660" s="128" t="s">
        <v>1623</v>
      </c>
      <c r="B3660" s="147">
        <v>1340.0</v>
      </c>
      <c r="C3660" s="147">
        <v>1490.0</v>
      </c>
      <c r="D3660" s="132">
        <f t="shared" si="260"/>
        <v>150</v>
      </c>
      <c r="E3660" s="139"/>
      <c r="F3660" s="139"/>
      <c r="G3660" s="129"/>
      <c r="H3660" s="129"/>
      <c r="I3660" s="129"/>
      <c r="J3660" s="129"/>
      <c r="K3660" s="129"/>
      <c r="L3660" s="129"/>
      <c r="M3660" s="129"/>
      <c r="N3660" s="129"/>
      <c r="O3660" s="129"/>
      <c r="P3660" s="129"/>
      <c r="Q3660" s="129"/>
      <c r="R3660" s="129"/>
      <c r="S3660" s="129"/>
      <c r="T3660" s="129"/>
      <c r="U3660" s="129"/>
      <c r="V3660" s="129"/>
      <c r="W3660" s="129"/>
      <c r="X3660" s="129"/>
      <c r="Y3660" s="129"/>
      <c r="Z3660" s="129"/>
      <c r="AA3660" s="129"/>
      <c r="AB3660" s="129"/>
    </row>
    <row r="3661" hidden="1">
      <c r="A3661" s="128" t="s">
        <v>1520</v>
      </c>
      <c r="B3661" s="147">
        <v>1640.0</v>
      </c>
      <c r="C3661" s="147">
        <v>1790.0</v>
      </c>
      <c r="D3661" s="132">
        <f t="shared" si="260"/>
        <v>150</v>
      </c>
      <c r="E3661" s="139"/>
      <c r="F3661" s="139"/>
      <c r="G3661" s="129"/>
      <c r="H3661" s="129"/>
      <c r="I3661" s="129"/>
      <c r="J3661" s="129"/>
      <c r="K3661" s="129"/>
      <c r="L3661" s="129"/>
      <c r="M3661" s="129"/>
      <c r="N3661" s="129"/>
      <c r="O3661" s="129"/>
      <c r="P3661" s="129"/>
      <c r="Q3661" s="129"/>
      <c r="R3661" s="129"/>
      <c r="S3661" s="129"/>
      <c r="T3661" s="129"/>
      <c r="U3661" s="129"/>
      <c r="V3661" s="129"/>
      <c r="W3661" s="129"/>
      <c r="X3661" s="129"/>
      <c r="Y3661" s="129"/>
      <c r="Z3661" s="129"/>
      <c r="AA3661" s="129"/>
      <c r="AB3661" s="129"/>
    </row>
    <row r="3662" hidden="1">
      <c r="A3662" s="150" t="s">
        <v>1209</v>
      </c>
      <c r="B3662" s="147">
        <v>1475.0</v>
      </c>
      <c r="C3662" s="147">
        <v>1625.0</v>
      </c>
      <c r="D3662" s="132">
        <f t="shared" si="260"/>
        <v>150</v>
      </c>
      <c r="E3662" s="139"/>
      <c r="F3662" s="139"/>
      <c r="G3662" s="129"/>
      <c r="H3662" s="129"/>
      <c r="I3662" s="129"/>
      <c r="J3662" s="129"/>
      <c r="K3662" s="129"/>
      <c r="L3662" s="129"/>
      <c r="M3662" s="129"/>
      <c r="N3662" s="129"/>
      <c r="O3662" s="129"/>
      <c r="P3662" s="129"/>
      <c r="Q3662" s="129"/>
      <c r="R3662" s="129"/>
      <c r="S3662" s="129"/>
      <c r="T3662" s="129"/>
      <c r="U3662" s="129"/>
      <c r="V3662" s="129"/>
      <c r="W3662" s="129"/>
      <c r="X3662" s="129"/>
      <c r="Y3662" s="129"/>
      <c r="Z3662" s="129"/>
      <c r="AA3662" s="129"/>
      <c r="AB3662" s="129"/>
    </row>
    <row r="3663" hidden="1">
      <c r="A3663" s="123" t="s">
        <v>1213</v>
      </c>
      <c r="B3663" s="147">
        <v>1440.0</v>
      </c>
      <c r="C3663" s="124">
        <v>1590.0</v>
      </c>
      <c r="D3663" s="132">
        <f t="shared" si="260"/>
        <v>150</v>
      </c>
      <c r="E3663" s="132"/>
      <c r="F3663" s="124"/>
    </row>
    <row r="3664" hidden="1">
      <c r="A3664" s="123" t="s">
        <v>411</v>
      </c>
      <c r="B3664" s="124">
        <v>640.0</v>
      </c>
      <c r="C3664" s="124">
        <v>790.0</v>
      </c>
      <c r="D3664" s="125">
        <f t="shared" si="260"/>
        <v>150</v>
      </c>
      <c r="E3664" s="132"/>
      <c r="F3664" s="124"/>
    </row>
    <row r="3665" hidden="1">
      <c r="A3665" s="128" t="s">
        <v>498</v>
      </c>
      <c r="B3665" s="147">
        <v>740.0</v>
      </c>
      <c r="C3665" s="132">
        <v>890.0</v>
      </c>
      <c r="D3665" s="132">
        <f t="shared" si="260"/>
        <v>150</v>
      </c>
      <c r="E3665" s="132"/>
      <c r="F3665" s="132"/>
      <c r="G3665" s="129"/>
      <c r="H3665" s="129"/>
      <c r="I3665" s="129"/>
      <c r="J3665" s="129"/>
      <c r="K3665" s="129"/>
      <c r="L3665" s="129"/>
      <c r="M3665" s="129"/>
      <c r="N3665" s="129"/>
      <c r="O3665" s="129"/>
      <c r="P3665" s="129"/>
      <c r="Q3665" s="129"/>
      <c r="R3665" s="129"/>
      <c r="S3665" s="129"/>
      <c r="T3665" s="129"/>
      <c r="U3665" s="129"/>
      <c r="V3665" s="129"/>
      <c r="W3665" s="129"/>
      <c r="X3665" s="129"/>
      <c r="Y3665" s="129"/>
      <c r="Z3665" s="129"/>
      <c r="AA3665" s="129"/>
      <c r="AB3665" s="129"/>
    </row>
    <row r="3666" hidden="1">
      <c r="A3666" s="159" t="s">
        <v>1639</v>
      </c>
      <c r="B3666" s="124">
        <v>640.0</v>
      </c>
      <c r="C3666" s="124">
        <v>790.0</v>
      </c>
      <c r="D3666" s="125">
        <f t="shared" si="260"/>
        <v>150</v>
      </c>
      <c r="E3666" s="124"/>
      <c r="F3666" s="124"/>
    </row>
    <row r="3667" hidden="1">
      <c r="A3667" s="123" t="s">
        <v>1213</v>
      </c>
      <c r="B3667" s="147">
        <v>1440.0</v>
      </c>
      <c r="C3667" s="124">
        <v>1590.0</v>
      </c>
      <c r="D3667" s="132">
        <f t="shared" si="260"/>
        <v>150</v>
      </c>
      <c r="E3667" s="132"/>
      <c r="F3667" s="124"/>
    </row>
    <row r="3668" hidden="1">
      <c r="A3668" s="150" t="s">
        <v>1209</v>
      </c>
      <c r="B3668" s="147">
        <v>1475.0</v>
      </c>
      <c r="C3668" s="147">
        <v>1625.0</v>
      </c>
      <c r="D3668" s="132">
        <f t="shared" si="260"/>
        <v>150</v>
      </c>
      <c r="E3668" s="139"/>
      <c r="F3668" s="139"/>
      <c r="G3668" s="129"/>
      <c r="H3668" s="129"/>
      <c r="I3668" s="129"/>
      <c r="J3668" s="129"/>
      <c r="K3668" s="129"/>
      <c r="L3668" s="129"/>
      <c r="M3668" s="129"/>
      <c r="N3668" s="129"/>
      <c r="O3668" s="129"/>
      <c r="P3668" s="129"/>
      <c r="Q3668" s="129"/>
      <c r="R3668" s="129"/>
      <c r="S3668" s="129"/>
      <c r="T3668" s="129"/>
      <c r="U3668" s="129"/>
      <c r="V3668" s="129"/>
      <c r="W3668" s="129"/>
      <c r="X3668" s="129"/>
      <c r="Y3668" s="129"/>
      <c r="Z3668" s="129"/>
      <c r="AA3668" s="129"/>
      <c r="AB3668" s="129"/>
    </row>
    <row r="3669" hidden="1">
      <c r="A3669" s="150" t="s">
        <v>1209</v>
      </c>
      <c r="B3669" s="147">
        <v>1475.0</v>
      </c>
      <c r="C3669" s="147">
        <v>1625.0</v>
      </c>
      <c r="D3669" s="132">
        <f t="shared" si="260"/>
        <v>150</v>
      </c>
      <c r="E3669" s="139"/>
      <c r="F3669" s="139"/>
      <c r="G3669" s="129"/>
      <c r="H3669" s="129"/>
      <c r="I3669" s="129"/>
      <c r="J3669" s="129"/>
      <c r="K3669" s="129"/>
      <c r="L3669" s="129"/>
      <c r="M3669" s="129"/>
      <c r="N3669" s="129"/>
      <c r="O3669" s="129"/>
      <c r="P3669" s="129"/>
      <c r="Q3669" s="129"/>
      <c r="R3669" s="129"/>
      <c r="S3669" s="129"/>
      <c r="T3669" s="129"/>
      <c r="U3669" s="129"/>
      <c r="V3669" s="129"/>
      <c r="W3669" s="129"/>
      <c r="X3669" s="129"/>
      <c r="Y3669" s="129"/>
      <c r="Z3669" s="129"/>
      <c r="AA3669" s="129"/>
      <c r="AB3669" s="129"/>
    </row>
    <row r="3670" hidden="1">
      <c r="A3670" s="123" t="s">
        <v>1213</v>
      </c>
      <c r="B3670" s="147">
        <v>1440.0</v>
      </c>
      <c r="C3670" s="124">
        <v>1590.0</v>
      </c>
      <c r="D3670" s="132">
        <f t="shared" si="260"/>
        <v>150</v>
      </c>
      <c r="E3670" s="132"/>
      <c r="F3670" s="124"/>
    </row>
    <row r="3671" hidden="1">
      <c r="A3671" s="150" t="s">
        <v>1209</v>
      </c>
      <c r="B3671" s="147">
        <v>1475.0</v>
      </c>
      <c r="C3671" s="147">
        <v>1625.0</v>
      </c>
      <c r="D3671" s="132">
        <f t="shared" si="260"/>
        <v>150</v>
      </c>
      <c r="E3671" s="139"/>
      <c r="F3671" s="139"/>
      <c r="G3671" s="129"/>
      <c r="H3671" s="129"/>
      <c r="I3671" s="129"/>
      <c r="J3671" s="129"/>
      <c r="K3671" s="129"/>
      <c r="L3671" s="129"/>
      <c r="M3671" s="129"/>
      <c r="N3671" s="129"/>
      <c r="O3671" s="129"/>
      <c r="P3671" s="129"/>
      <c r="Q3671" s="129"/>
      <c r="R3671" s="129"/>
      <c r="S3671" s="129"/>
      <c r="T3671" s="129"/>
      <c r="U3671" s="129"/>
      <c r="V3671" s="129"/>
      <c r="W3671" s="129"/>
      <c r="X3671" s="129"/>
      <c r="Y3671" s="129"/>
      <c r="Z3671" s="129"/>
      <c r="AA3671" s="129"/>
      <c r="AB3671" s="129"/>
    </row>
    <row r="3672" hidden="1">
      <c r="A3672" s="128" t="s">
        <v>1093</v>
      </c>
      <c r="B3672" s="147">
        <v>1540.0</v>
      </c>
      <c r="C3672" s="147">
        <v>1690.0</v>
      </c>
      <c r="D3672" s="132">
        <f t="shared" si="260"/>
        <v>150</v>
      </c>
      <c r="E3672" s="139"/>
      <c r="F3672" s="139"/>
      <c r="G3672" s="129"/>
      <c r="H3672" s="129"/>
      <c r="I3672" s="129"/>
      <c r="J3672" s="129"/>
      <c r="K3672" s="129"/>
      <c r="L3672" s="129"/>
      <c r="M3672" s="129"/>
      <c r="N3672" s="129"/>
      <c r="O3672" s="129"/>
      <c r="P3672" s="129"/>
      <c r="Q3672" s="129"/>
      <c r="R3672" s="129"/>
      <c r="S3672" s="129"/>
      <c r="T3672" s="129"/>
      <c r="U3672" s="129"/>
      <c r="V3672" s="129"/>
      <c r="W3672" s="129"/>
      <c r="X3672" s="129"/>
      <c r="Y3672" s="129"/>
      <c r="Z3672" s="129"/>
      <c r="AA3672" s="129"/>
      <c r="AB3672" s="129"/>
    </row>
    <row r="3673" hidden="1">
      <c r="A3673" s="128" t="s">
        <v>1631</v>
      </c>
      <c r="B3673" s="147">
        <v>1190.0</v>
      </c>
      <c r="C3673" s="147">
        <v>1390.0</v>
      </c>
      <c r="D3673" s="132">
        <f t="shared" si="260"/>
        <v>200</v>
      </c>
      <c r="E3673" s="139"/>
      <c r="F3673" s="139"/>
      <c r="G3673" s="129"/>
      <c r="H3673" s="129"/>
      <c r="I3673" s="129"/>
      <c r="J3673" s="129"/>
      <c r="K3673" s="129"/>
      <c r="L3673" s="129"/>
      <c r="M3673" s="129"/>
      <c r="N3673" s="129"/>
      <c r="O3673" s="129"/>
      <c r="P3673" s="129"/>
      <c r="Q3673" s="129"/>
      <c r="R3673" s="129"/>
      <c r="S3673" s="129"/>
      <c r="T3673" s="129"/>
      <c r="U3673" s="129"/>
      <c r="V3673" s="129"/>
      <c r="W3673" s="129"/>
      <c r="X3673" s="129"/>
      <c r="Y3673" s="129"/>
      <c r="Z3673" s="129"/>
      <c r="AA3673" s="129"/>
      <c r="AB3673" s="129"/>
    </row>
    <row r="3674" hidden="1">
      <c r="A3674" s="123" t="s">
        <v>1309</v>
      </c>
      <c r="B3674" s="124">
        <v>1600.0</v>
      </c>
      <c r="C3674" s="124">
        <v>1750.0</v>
      </c>
      <c r="D3674" s="125">
        <f t="shared" si="260"/>
        <v>150</v>
      </c>
      <c r="E3674" s="124"/>
      <c r="F3674" s="124"/>
    </row>
    <row r="3675" hidden="1">
      <c r="A3675" s="123" t="s">
        <v>1640</v>
      </c>
      <c r="B3675" s="124">
        <v>2500.0</v>
      </c>
      <c r="C3675" s="124">
        <v>2750.0</v>
      </c>
      <c r="D3675" s="125">
        <f t="shared" si="260"/>
        <v>250</v>
      </c>
      <c r="E3675" s="124"/>
      <c r="F3675" s="124"/>
    </row>
    <row r="3676" hidden="1">
      <c r="A3676" s="150" t="s">
        <v>1209</v>
      </c>
      <c r="B3676" s="147">
        <v>1475.0</v>
      </c>
      <c r="C3676" s="147">
        <v>1625.0</v>
      </c>
      <c r="D3676" s="132">
        <f t="shared" si="260"/>
        <v>150</v>
      </c>
      <c r="E3676" s="139"/>
      <c r="F3676" s="139"/>
      <c r="G3676" s="129"/>
      <c r="H3676" s="129"/>
      <c r="I3676" s="129"/>
      <c r="J3676" s="129"/>
      <c r="K3676" s="129"/>
      <c r="L3676" s="129"/>
      <c r="M3676" s="129"/>
      <c r="N3676" s="129"/>
      <c r="O3676" s="129"/>
      <c r="P3676" s="129"/>
      <c r="Q3676" s="129"/>
      <c r="R3676" s="129"/>
      <c r="S3676" s="129"/>
      <c r="T3676" s="129"/>
      <c r="U3676" s="129"/>
      <c r="V3676" s="129"/>
      <c r="W3676" s="129"/>
      <c r="X3676" s="129"/>
      <c r="Y3676" s="129"/>
      <c r="Z3676" s="129"/>
      <c r="AA3676" s="129"/>
      <c r="AB3676" s="129"/>
    </row>
    <row r="3677" hidden="1">
      <c r="A3677" s="128" t="s">
        <v>1093</v>
      </c>
      <c r="B3677" s="147">
        <v>1540.0</v>
      </c>
      <c r="C3677" s="147">
        <v>1690.0</v>
      </c>
      <c r="D3677" s="132">
        <f t="shared" si="260"/>
        <v>150</v>
      </c>
      <c r="E3677" s="139"/>
      <c r="F3677" s="139"/>
      <c r="G3677" s="129"/>
      <c r="H3677" s="129"/>
      <c r="I3677" s="129"/>
      <c r="J3677" s="129"/>
      <c r="K3677" s="129"/>
      <c r="L3677" s="129"/>
      <c r="M3677" s="129"/>
      <c r="N3677" s="129"/>
      <c r="O3677" s="129"/>
      <c r="P3677" s="129"/>
      <c r="Q3677" s="129"/>
      <c r="R3677" s="129"/>
      <c r="S3677" s="129"/>
      <c r="T3677" s="129"/>
      <c r="U3677" s="129"/>
      <c r="V3677" s="129"/>
      <c r="W3677" s="129"/>
      <c r="X3677" s="129"/>
      <c r="Y3677" s="129"/>
      <c r="Z3677" s="129"/>
      <c r="AA3677" s="129"/>
      <c r="AB3677" s="129"/>
    </row>
    <row r="3678" hidden="1">
      <c r="A3678" s="123" t="s">
        <v>1213</v>
      </c>
      <c r="B3678" s="147">
        <v>1440.0</v>
      </c>
      <c r="C3678" s="124">
        <v>1590.0</v>
      </c>
      <c r="D3678" s="132">
        <f t="shared" si="260"/>
        <v>150</v>
      </c>
      <c r="E3678" s="132"/>
      <c r="F3678" s="124"/>
    </row>
    <row r="3679" hidden="1">
      <c r="A3679" s="123" t="s">
        <v>1213</v>
      </c>
      <c r="B3679" s="147">
        <v>1440.0</v>
      </c>
      <c r="C3679" s="124">
        <v>1590.0</v>
      </c>
      <c r="D3679" s="132">
        <f t="shared" si="260"/>
        <v>150</v>
      </c>
      <c r="E3679" s="132"/>
      <c r="F3679" s="124"/>
    </row>
    <row r="3680" hidden="1">
      <c r="A3680" s="150" t="s">
        <v>1209</v>
      </c>
      <c r="B3680" s="147">
        <v>1475.0</v>
      </c>
      <c r="C3680" s="147">
        <v>1625.0</v>
      </c>
      <c r="D3680" s="132">
        <f t="shared" si="260"/>
        <v>150</v>
      </c>
      <c r="E3680" s="139"/>
      <c r="F3680" s="139"/>
      <c r="G3680" s="129"/>
      <c r="H3680" s="129"/>
      <c r="I3680" s="129"/>
      <c r="J3680" s="129"/>
      <c r="K3680" s="129"/>
      <c r="L3680" s="129"/>
      <c r="M3680" s="129"/>
      <c r="N3680" s="129"/>
      <c r="O3680" s="129"/>
      <c r="P3680" s="129"/>
      <c r="Q3680" s="129"/>
      <c r="R3680" s="129"/>
      <c r="S3680" s="129"/>
      <c r="T3680" s="129"/>
      <c r="U3680" s="129"/>
      <c r="V3680" s="129"/>
      <c r="W3680" s="129"/>
      <c r="X3680" s="129"/>
      <c r="Y3680" s="129"/>
      <c r="Z3680" s="129"/>
      <c r="AA3680" s="129"/>
      <c r="AB3680" s="129"/>
    </row>
    <row r="3681" hidden="1">
      <c r="A3681" s="123" t="s">
        <v>1213</v>
      </c>
      <c r="B3681" s="147">
        <v>1440.0</v>
      </c>
      <c r="C3681" s="124">
        <v>1590.0</v>
      </c>
      <c r="D3681" s="132">
        <f t="shared" si="260"/>
        <v>150</v>
      </c>
      <c r="E3681" s="132"/>
      <c r="F3681" s="124"/>
    </row>
    <row r="3682" hidden="1">
      <c r="A3682" s="150" t="s">
        <v>1209</v>
      </c>
      <c r="B3682" s="147">
        <v>1475.0</v>
      </c>
      <c r="C3682" s="147">
        <v>1625.0</v>
      </c>
      <c r="D3682" s="132">
        <f t="shared" si="260"/>
        <v>150</v>
      </c>
      <c r="E3682" s="139"/>
      <c r="F3682" s="139"/>
      <c r="G3682" s="129"/>
      <c r="H3682" s="129"/>
      <c r="I3682" s="129"/>
      <c r="J3682" s="129"/>
      <c r="K3682" s="129"/>
      <c r="L3682" s="129"/>
      <c r="M3682" s="129"/>
      <c r="N3682" s="129"/>
      <c r="O3682" s="129"/>
      <c r="P3682" s="129"/>
      <c r="Q3682" s="129"/>
      <c r="R3682" s="129"/>
      <c r="S3682" s="129"/>
      <c r="T3682" s="129"/>
      <c r="U3682" s="129"/>
      <c r="V3682" s="129"/>
      <c r="W3682" s="129"/>
      <c r="X3682" s="129"/>
      <c r="Y3682" s="129"/>
      <c r="Z3682" s="129"/>
      <c r="AA3682" s="129"/>
      <c r="AB3682" s="129"/>
    </row>
    <row r="3683" hidden="1">
      <c r="A3683" s="123" t="s">
        <v>1213</v>
      </c>
      <c r="B3683" s="147">
        <v>1440.0</v>
      </c>
      <c r="C3683" s="124">
        <v>1590.0</v>
      </c>
      <c r="D3683" s="132">
        <f t="shared" si="260"/>
        <v>150</v>
      </c>
      <c r="E3683" s="132"/>
      <c r="F3683" s="124"/>
    </row>
    <row r="3684" hidden="1">
      <c r="A3684" s="123" t="s">
        <v>1309</v>
      </c>
      <c r="B3684" s="124">
        <v>1500.0</v>
      </c>
      <c r="C3684" s="124">
        <v>1750.0</v>
      </c>
      <c r="D3684" s="125">
        <f t="shared" si="260"/>
        <v>250</v>
      </c>
      <c r="E3684" s="124"/>
      <c r="F3684" s="124"/>
    </row>
    <row r="3685" hidden="1">
      <c r="A3685" s="128" t="s">
        <v>1452</v>
      </c>
      <c r="B3685" s="147">
        <v>2000.0</v>
      </c>
      <c r="C3685" s="147">
        <v>2250.0</v>
      </c>
      <c r="D3685" s="132">
        <f t="shared" si="260"/>
        <v>250</v>
      </c>
      <c r="E3685" s="132"/>
      <c r="F3685" s="132"/>
      <c r="G3685" s="129"/>
      <c r="H3685" s="129"/>
      <c r="I3685" s="129"/>
      <c r="J3685" s="129"/>
      <c r="K3685" s="129"/>
      <c r="L3685" s="129"/>
      <c r="M3685" s="129"/>
      <c r="N3685" s="129"/>
      <c r="O3685" s="129"/>
      <c r="P3685" s="129"/>
      <c r="Q3685" s="129"/>
      <c r="R3685" s="129"/>
      <c r="S3685" s="129"/>
      <c r="T3685" s="129"/>
      <c r="U3685" s="129"/>
      <c r="V3685" s="129"/>
      <c r="W3685" s="129"/>
      <c r="X3685" s="129"/>
      <c r="Y3685" s="129"/>
      <c r="Z3685" s="129"/>
      <c r="AA3685" s="129"/>
      <c r="AB3685" s="129"/>
    </row>
    <row r="3686" hidden="1">
      <c r="A3686" s="123" t="s">
        <v>406</v>
      </c>
      <c r="B3686" s="124">
        <v>1290.0</v>
      </c>
      <c r="C3686" s="124">
        <v>1490.0</v>
      </c>
      <c r="D3686" s="313">
        <f t="shared" si="260"/>
        <v>200</v>
      </c>
      <c r="E3686" s="147"/>
      <c r="F3686" s="124"/>
    </row>
    <row r="3687" hidden="1">
      <c r="A3687" s="128" t="s">
        <v>1451</v>
      </c>
      <c r="B3687" s="147">
        <v>1040.0</v>
      </c>
      <c r="C3687" s="147">
        <v>1190.0</v>
      </c>
      <c r="D3687" s="132">
        <f t="shared" si="260"/>
        <v>150</v>
      </c>
      <c r="E3687" s="139"/>
      <c r="F3687" s="139"/>
      <c r="G3687" s="129"/>
      <c r="H3687" s="129"/>
      <c r="I3687" s="129"/>
      <c r="J3687" s="129"/>
      <c r="K3687" s="129"/>
      <c r="L3687" s="129"/>
      <c r="M3687" s="129"/>
      <c r="N3687" s="129"/>
      <c r="O3687" s="129"/>
      <c r="P3687" s="129"/>
      <c r="Q3687" s="129"/>
      <c r="R3687" s="129"/>
      <c r="S3687" s="129"/>
      <c r="T3687" s="129"/>
      <c r="U3687" s="129"/>
      <c r="V3687" s="129"/>
      <c r="W3687" s="129"/>
      <c r="X3687" s="129"/>
      <c r="Y3687" s="129"/>
      <c r="Z3687" s="129"/>
      <c r="AA3687" s="129"/>
      <c r="AB3687" s="129"/>
    </row>
    <row r="3688" hidden="1">
      <c r="A3688" s="128" t="s">
        <v>1179</v>
      </c>
      <c r="B3688" s="147">
        <v>1440.0</v>
      </c>
      <c r="C3688" s="147">
        <v>1590.0</v>
      </c>
      <c r="D3688" s="132">
        <f t="shared" si="260"/>
        <v>150</v>
      </c>
      <c r="E3688" s="132"/>
      <c r="F3688" s="132"/>
      <c r="G3688" s="129"/>
      <c r="H3688" s="129"/>
      <c r="I3688" s="129"/>
      <c r="J3688" s="129"/>
      <c r="K3688" s="129"/>
      <c r="L3688" s="129"/>
      <c r="M3688" s="129"/>
      <c r="N3688" s="129"/>
      <c r="O3688" s="129"/>
      <c r="P3688" s="129"/>
      <c r="Q3688" s="129"/>
      <c r="R3688" s="129"/>
      <c r="S3688" s="129"/>
      <c r="T3688" s="129"/>
      <c r="U3688" s="129"/>
      <c r="V3688" s="129"/>
      <c r="W3688" s="129"/>
      <c r="X3688" s="129"/>
      <c r="Y3688" s="129"/>
      <c r="Z3688" s="129"/>
      <c r="AA3688" s="129"/>
      <c r="AB3688" s="129"/>
    </row>
    <row r="3689" hidden="1">
      <c r="A3689" s="123" t="s">
        <v>1213</v>
      </c>
      <c r="B3689" s="147">
        <v>1440.0</v>
      </c>
      <c r="C3689" s="124">
        <v>1590.0</v>
      </c>
      <c r="D3689" s="132">
        <f t="shared" si="260"/>
        <v>150</v>
      </c>
      <c r="E3689" s="132"/>
      <c r="F3689" s="124"/>
    </row>
    <row r="3690" hidden="1">
      <c r="A3690" s="123" t="s">
        <v>1213</v>
      </c>
      <c r="B3690" s="147">
        <v>1440.0</v>
      </c>
      <c r="C3690" s="124">
        <v>1590.0</v>
      </c>
      <c r="D3690" s="132">
        <f t="shared" si="260"/>
        <v>150</v>
      </c>
      <c r="E3690" s="132"/>
      <c r="F3690" s="124"/>
    </row>
    <row r="3691" hidden="1">
      <c r="A3691" s="128" t="s">
        <v>1216</v>
      </c>
      <c r="B3691" s="147">
        <v>1475.0</v>
      </c>
      <c r="C3691" s="147">
        <v>1625.0</v>
      </c>
      <c r="D3691" s="132">
        <f t="shared" si="260"/>
        <v>150</v>
      </c>
      <c r="E3691" s="132"/>
      <c r="F3691" s="132"/>
      <c r="G3691" s="129"/>
      <c r="H3691" s="129"/>
      <c r="I3691" s="129"/>
      <c r="J3691" s="129"/>
      <c r="K3691" s="129"/>
      <c r="L3691" s="129"/>
      <c r="M3691" s="129"/>
      <c r="N3691" s="129"/>
      <c r="O3691" s="129"/>
      <c r="P3691" s="129"/>
      <c r="Q3691" s="129"/>
      <c r="R3691" s="129"/>
      <c r="S3691" s="129"/>
      <c r="T3691" s="129"/>
      <c r="U3691" s="129"/>
      <c r="V3691" s="129"/>
      <c r="W3691" s="129"/>
      <c r="X3691" s="129"/>
      <c r="Y3691" s="129"/>
      <c r="Z3691" s="129"/>
      <c r="AA3691" s="129"/>
      <c r="AB3691" s="129"/>
    </row>
    <row r="3692" hidden="1">
      <c r="A3692" s="159" t="s">
        <v>1641</v>
      </c>
      <c r="B3692" s="124">
        <v>1440.0</v>
      </c>
      <c r="C3692" s="147">
        <v>1590.0</v>
      </c>
      <c r="D3692" s="132">
        <f t="shared" si="260"/>
        <v>150</v>
      </c>
      <c r="E3692" s="124"/>
      <c r="F3692" s="124"/>
      <c r="G3692" s="129"/>
      <c r="H3692" s="129"/>
      <c r="I3692" s="129"/>
      <c r="J3692" s="129"/>
      <c r="K3692" s="129"/>
      <c r="L3692" s="129"/>
      <c r="M3692" s="129"/>
      <c r="N3692" s="129"/>
      <c r="O3692" s="129"/>
      <c r="P3692" s="129"/>
      <c r="Q3692" s="129"/>
      <c r="R3692" s="129"/>
      <c r="S3692" s="129"/>
      <c r="T3692" s="129"/>
      <c r="U3692" s="129"/>
      <c r="V3692" s="129"/>
      <c r="W3692" s="129"/>
      <c r="X3692" s="129"/>
      <c r="Y3692" s="129"/>
      <c r="Z3692" s="129"/>
      <c r="AA3692" s="129"/>
      <c r="AB3692" s="129"/>
    </row>
    <row r="3693" hidden="1">
      <c r="A3693" s="128" t="s">
        <v>1642</v>
      </c>
      <c r="B3693" s="132">
        <v>1475.0</v>
      </c>
      <c r="C3693" s="132">
        <v>1625.0</v>
      </c>
      <c r="D3693" s="132">
        <f t="shared" si="260"/>
        <v>150</v>
      </c>
      <c r="E3693" s="132"/>
      <c r="F3693" s="132"/>
      <c r="G3693" s="129"/>
      <c r="H3693" s="129"/>
      <c r="I3693" s="129"/>
      <c r="J3693" s="129"/>
      <c r="K3693" s="129"/>
      <c r="L3693" s="129"/>
      <c r="M3693" s="129"/>
      <c r="N3693" s="129"/>
      <c r="O3693" s="129"/>
      <c r="P3693" s="129"/>
      <c r="Q3693" s="129"/>
      <c r="R3693" s="129"/>
      <c r="S3693" s="129"/>
      <c r="T3693" s="129"/>
      <c r="U3693" s="129"/>
      <c r="V3693" s="129"/>
      <c r="W3693" s="129"/>
      <c r="X3693" s="129"/>
      <c r="Y3693" s="129"/>
      <c r="Z3693" s="129"/>
      <c r="AA3693" s="129"/>
      <c r="AB3693" s="129"/>
    </row>
    <row r="3694" hidden="1">
      <c r="A3694" s="123" t="s">
        <v>1321</v>
      </c>
      <c r="B3694" s="124">
        <v>1040.0</v>
      </c>
      <c r="C3694" s="124">
        <v>1190.0</v>
      </c>
      <c r="D3694" s="125">
        <f t="shared" si="260"/>
        <v>150</v>
      </c>
      <c r="E3694" s="124"/>
      <c r="F3694" s="124"/>
    </row>
    <row r="3695" hidden="1">
      <c r="A3695" s="151" t="s">
        <v>461</v>
      </c>
      <c r="B3695" s="124">
        <v>940.0</v>
      </c>
      <c r="C3695" s="124">
        <v>1090.0</v>
      </c>
      <c r="D3695" s="132">
        <f t="shared" si="260"/>
        <v>150</v>
      </c>
      <c r="E3695" s="139"/>
      <c r="F3695" s="139"/>
      <c r="G3695" s="129"/>
      <c r="H3695" s="129"/>
      <c r="I3695" s="129"/>
      <c r="J3695" s="129"/>
      <c r="K3695" s="129"/>
      <c r="L3695" s="129"/>
      <c r="M3695" s="129"/>
      <c r="N3695" s="129"/>
      <c r="O3695" s="129"/>
      <c r="P3695" s="129"/>
      <c r="Q3695" s="129"/>
      <c r="R3695" s="129"/>
      <c r="S3695" s="129"/>
      <c r="T3695" s="129"/>
      <c r="U3695" s="129"/>
      <c r="V3695" s="129"/>
      <c r="W3695" s="129"/>
      <c r="X3695" s="129"/>
      <c r="Y3695" s="129"/>
      <c r="Z3695" s="129"/>
      <c r="AA3695" s="129"/>
      <c r="AB3695" s="129"/>
    </row>
    <row r="3696" hidden="1">
      <c r="A3696" s="128" t="s">
        <v>1093</v>
      </c>
      <c r="B3696" s="147">
        <v>1540.0</v>
      </c>
      <c r="C3696" s="147">
        <v>1690.0</v>
      </c>
      <c r="D3696" s="132">
        <f t="shared" si="260"/>
        <v>150</v>
      </c>
      <c r="E3696" s="139"/>
      <c r="F3696" s="139"/>
      <c r="G3696" s="129"/>
      <c r="H3696" s="129"/>
      <c r="I3696" s="129"/>
      <c r="J3696" s="129"/>
      <c r="K3696" s="129"/>
      <c r="L3696" s="129"/>
      <c r="M3696" s="129"/>
      <c r="N3696" s="129"/>
      <c r="O3696" s="129"/>
      <c r="P3696" s="129"/>
      <c r="Q3696" s="129"/>
      <c r="R3696" s="129"/>
      <c r="S3696" s="129"/>
      <c r="T3696" s="129"/>
      <c r="U3696" s="129"/>
      <c r="V3696" s="129"/>
      <c r="W3696" s="129"/>
      <c r="X3696" s="129"/>
      <c r="Y3696" s="129"/>
      <c r="Z3696" s="129"/>
      <c r="AA3696" s="129"/>
      <c r="AB3696" s="129"/>
    </row>
    <row r="3697" hidden="1">
      <c r="A3697" s="128" t="s">
        <v>1643</v>
      </c>
      <c r="B3697" s="147">
        <v>1240.0</v>
      </c>
      <c r="C3697" s="147">
        <v>1390.0</v>
      </c>
      <c r="D3697" s="132">
        <f t="shared" si="260"/>
        <v>150</v>
      </c>
      <c r="E3697" s="139"/>
      <c r="F3697" s="139"/>
      <c r="G3697" s="129"/>
      <c r="H3697" s="129"/>
      <c r="I3697" s="129"/>
      <c r="J3697" s="129"/>
      <c r="K3697" s="129"/>
      <c r="L3697" s="129"/>
      <c r="M3697" s="129"/>
      <c r="N3697" s="129"/>
      <c r="O3697" s="129"/>
      <c r="P3697" s="129"/>
      <c r="Q3697" s="129"/>
      <c r="R3697" s="129"/>
      <c r="S3697" s="129"/>
      <c r="T3697" s="129"/>
      <c r="U3697" s="129"/>
      <c r="V3697" s="129"/>
      <c r="W3697" s="129"/>
      <c r="X3697" s="129"/>
      <c r="Y3697" s="129"/>
      <c r="Z3697" s="129"/>
      <c r="AA3697" s="129"/>
      <c r="AB3697" s="129"/>
    </row>
    <row r="3698" hidden="1">
      <c r="A3698" s="123" t="s">
        <v>1309</v>
      </c>
      <c r="B3698" s="124">
        <v>1500.0</v>
      </c>
      <c r="C3698" s="124">
        <v>1750.0</v>
      </c>
      <c r="D3698" s="125">
        <f t="shared" si="260"/>
        <v>250</v>
      </c>
      <c r="E3698" s="124"/>
      <c r="F3698" s="124"/>
    </row>
    <row r="3699" hidden="1">
      <c r="A3699" s="128" t="s">
        <v>1644</v>
      </c>
      <c r="B3699" s="147">
        <v>840.0</v>
      </c>
      <c r="C3699" s="147">
        <v>990.0</v>
      </c>
      <c r="D3699" s="132">
        <f t="shared" si="260"/>
        <v>150</v>
      </c>
      <c r="E3699" s="139"/>
      <c r="F3699" s="139"/>
      <c r="G3699" s="129"/>
      <c r="H3699" s="129"/>
      <c r="I3699" s="129"/>
      <c r="J3699" s="129"/>
      <c r="K3699" s="129"/>
      <c r="L3699" s="129"/>
      <c r="M3699" s="129"/>
      <c r="N3699" s="129"/>
      <c r="O3699" s="129"/>
      <c r="P3699" s="129"/>
      <c r="Q3699" s="129"/>
      <c r="R3699" s="129"/>
      <c r="S3699" s="129"/>
      <c r="T3699" s="129"/>
      <c r="U3699" s="129"/>
      <c r="V3699" s="129"/>
      <c r="W3699" s="129"/>
      <c r="X3699" s="129"/>
      <c r="Y3699" s="129"/>
      <c r="Z3699" s="129"/>
      <c r="AA3699" s="129"/>
      <c r="AB3699" s="129"/>
    </row>
    <row r="3700" hidden="1">
      <c r="A3700" s="128" t="s">
        <v>1645</v>
      </c>
      <c r="B3700" s="147">
        <v>1840.0</v>
      </c>
      <c r="C3700" s="147">
        <v>1990.0</v>
      </c>
      <c r="D3700" s="132">
        <f t="shared" si="260"/>
        <v>150</v>
      </c>
      <c r="E3700" s="139"/>
      <c r="F3700" s="139"/>
      <c r="G3700" s="129"/>
      <c r="H3700" s="129"/>
      <c r="I3700" s="129"/>
      <c r="J3700" s="129"/>
      <c r="K3700" s="129"/>
      <c r="L3700" s="129"/>
      <c r="M3700" s="129"/>
      <c r="N3700" s="129"/>
      <c r="O3700" s="129"/>
      <c r="P3700" s="129"/>
      <c r="Q3700" s="129"/>
      <c r="R3700" s="129"/>
      <c r="S3700" s="129"/>
      <c r="T3700" s="129"/>
      <c r="U3700" s="129"/>
      <c r="V3700" s="129"/>
      <c r="W3700" s="129"/>
      <c r="X3700" s="129"/>
      <c r="Y3700" s="129"/>
      <c r="Z3700" s="129"/>
      <c r="AA3700" s="129"/>
      <c r="AB3700" s="129"/>
    </row>
    <row r="3701" hidden="1">
      <c r="A3701" s="128" t="s">
        <v>1644</v>
      </c>
      <c r="B3701" s="147">
        <v>840.0</v>
      </c>
      <c r="C3701" s="147">
        <v>990.0</v>
      </c>
      <c r="D3701" s="132">
        <f t="shared" si="260"/>
        <v>150</v>
      </c>
      <c r="E3701" s="139"/>
      <c r="F3701" s="139"/>
      <c r="G3701" s="129"/>
      <c r="H3701" s="129"/>
      <c r="I3701" s="129"/>
      <c r="J3701" s="129"/>
      <c r="K3701" s="129"/>
      <c r="L3701" s="129"/>
      <c r="M3701" s="129"/>
      <c r="N3701" s="129"/>
      <c r="O3701" s="129"/>
      <c r="P3701" s="129"/>
      <c r="Q3701" s="129"/>
      <c r="R3701" s="129"/>
      <c r="S3701" s="129"/>
      <c r="T3701" s="129"/>
      <c r="U3701" s="129"/>
      <c r="V3701" s="129"/>
      <c r="W3701" s="129"/>
      <c r="X3701" s="129"/>
      <c r="Y3701" s="129"/>
      <c r="Z3701" s="129"/>
      <c r="AA3701" s="129"/>
      <c r="AB3701" s="129"/>
    </row>
    <row r="3702" hidden="1">
      <c r="A3702" s="128" t="s">
        <v>1646</v>
      </c>
      <c r="B3702" s="147">
        <v>0.0</v>
      </c>
      <c r="C3702" s="147">
        <v>1050.0</v>
      </c>
      <c r="D3702" s="132">
        <f t="shared" si="260"/>
        <v>1050</v>
      </c>
      <c r="E3702" s="139"/>
      <c r="F3702" s="139"/>
      <c r="G3702" s="129"/>
      <c r="H3702" s="129"/>
      <c r="I3702" s="129"/>
      <c r="J3702" s="129"/>
      <c r="K3702" s="129"/>
      <c r="L3702" s="129"/>
      <c r="M3702" s="129"/>
      <c r="N3702" s="129"/>
      <c r="O3702" s="129"/>
      <c r="P3702" s="129"/>
      <c r="Q3702" s="129"/>
      <c r="R3702" s="129"/>
      <c r="S3702" s="129"/>
      <c r="T3702" s="129"/>
      <c r="U3702" s="129"/>
      <c r="V3702" s="129"/>
      <c r="W3702" s="129"/>
      <c r="X3702" s="129"/>
      <c r="Y3702" s="129"/>
      <c r="Z3702" s="129"/>
      <c r="AA3702" s="129"/>
      <c r="AB3702" s="129"/>
    </row>
    <row r="3703" hidden="1">
      <c r="A3703" s="128" t="s">
        <v>1140</v>
      </c>
      <c r="B3703" s="147">
        <v>1525.0</v>
      </c>
      <c r="C3703" s="147">
        <v>1675.0</v>
      </c>
      <c r="D3703" s="132">
        <f t="shared" si="260"/>
        <v>150</v>
      </c>
      <c r="E3703" s="139"/>
      <c r="F3703" s="139"/>
      <c r="G3703" s="129"/>
      <c r="H3703" s="129"/>
      <c r="I3703" s="129"/>
      <c r="J3703" s="129"/>
      <c r="K3703" s="129"/>
      <c r="L3703" s="129"/>
      <c r="M3703" s="129"/>
      <c r="N3703" s="129"/>
      <c r="O3703" s="129"/>
      <c r="P3703" s="129"/>
      <c r="Q3703" s="129"/>
      <c r="R3703" s="129"/>
      <c r="S3703" s="129"/>
      <c r="T3703" s="129"/>
      <c r="U3703" s="129"/>
      <c r="V3703" s="129"/>
      <c r="W3703" s="129"/>
      <c r="X3703" s="129"/>
      <c r="Y3703" s="129"/>
      <c r="Z3703" s="129"/>
      <c r="AA3703" s="129"/>
      <c r="AB3703" s="129"/>
    </row>
    <row r="3704" hidden="1">
      <c r="A3704" s="128" t="s">
        <v>1363</v>
      </c>
      <c r="B3704" s="147">
        <v>1500.0</v>
      </c>
      <c r="C3704" s="147">
        <v>1650.0</v>
      </c>
      <c r="D3704" s="132">
        <f t="shared" si="260"/>
        <v>150</v>
      </c>
      <c r="E3704" s="132"/>
      <c r="F3704" s="132"/>
      <c r="G3704" s="129"/>
      <c r="H3704" s="129"/>
      <c r="I3704" s="129"/>
      <c r="J3704" s="129"/>
      <c r="K3704" s="129"/>
      <c r="L3704" s="129"/>
      <c r="M3704" s="129"/>
      <c r="N3704" s="129"/>
      <c r="O3704" s="129"/>
      <c r="P3704" s="129"/>
      <c r="Q3704" s="129"/>
      <c r="R3704" s="129"/>
      <c r="S3704" s="129"/>
      <c r="T3704" s="129"/>
      <c r="U3704" s="129"/>
      <c r="V3704" s="129"/>
      <c r="W3704" s="129"/>
      <c r="X3704" s="129"/>
      <c r="Y3704" s="129"/>
      <c r="Z3704" s="129"/>
      <c r="AA3704" s="129"/>
      <c r="AB3704" s="129"/>
    </row>
    <row r="3705" hidden="1">
      <c r="A3705" s="123" t="s">
        <v>1213</v>
      </c>
      <c r="B3705" s="147">
        <v>1475.0</v>
      </c>
      <c r="C3705" s="124">
        <v>1625.0</v>
      </c>
      <c r="D3705" s="132">
        <f t="shared" si="260"/>
        <v>150</v>
      </c>
      <c r="E3705" s="132"/>
      <c r="F3705" s="124"/>
    </row>
    <row r="3706" hidden="1">
      <c r="A3706" s="128" t="s">
        <v>1642</v>
      </c>
      <c r="B3706" s="132">
        <v>1475.0</v>
      </c>
      <c r="C3706" s="132">
        <v>1625.0</v>
      </c>
      <c r="D3706" s="132">
        <f t="shared" si="260"/>
        <v>150</v>
      </c>
      <c r="E3706" s="132"/>
      <c r="F3706" s="132"/>
      <c r="G3706" s="129"/>
      <c r="H3706" s="129"/>
      <c r="I3706" s="129"/>
      <c r="J3706" s="129"/>
      <c r="K3706" s="129"/>
      <c r="L3706" s="129"/>
      <c r="M3706" s="129"/>
      <c r="N3706" s="129"/>
      <c r="O3706" s="129"/>
      <c r="P3706" s="129"/>
      <c r="Q3706" s="129"/>
      <c r="R3706" s="129"/>
      <c r="S3706" s="129"/>
      <c r="T3706" s="129"/>
      <c r="U3706" s="129"/>
      <c r="V3706" s="129"/>
      <c r="W3706" s="129"/>
      <c r="X3706" s="129"/>
      <c r="Y3706" s="129"/>
      <c r="Z3706" s="129"/>
      <c r="AA3706" s="129"/>
      <c r="AB3706" s="129"/>
    </row>
    <row r="3707" hidden="1">
      <c r="A3707" s="151" t="s">
        <v>461</v>
      </c>
      <c r="B3707" s="124">
        <v>940.0</v>
      </c>
      <c r="C3707" s="124">
        <v>1090.0</v>
      </c>
      <c r="D3707" s="132">
        <f t="shared" si="260"/>
        <v>150</v>
      </c>
      <c r="E3707" s="139"/>
      <c r="F3707" s="139"/>
      <c r="G3707" s="129"/>
      <c r="H3707" s="129"/>
      <c r="I3707" s="129"/>
      <c r="J3707" s="129"/>
      <c r="K3707" s="129"/>
      <c r="L3707" s="129"/>
      <c r="M3707" s="129"/>
      <c r="N3707" s="129"/>
      <c r="O3707" s="129"/>
      <c r="P3707" s="129"/>
      <c r="Q3707" s="129"/>
      <c r="R3707" s="129"/>
      <c r="S3707" s="129"/>
      <c r="T3707" s="129"/>
      <c r="U3707" s="129"/>
      <c r="V3707" s="129"/>
      <c r="W3707" s="129"/>
      <c r="X3707" s="129"/>
      <c r="Y3707" s="129"/>
      <c r="Z3707" s="129"/>
      <c r="AA3707" s="129"/>
      <c r="AB3707" s="129"/>
    </row>
    <row r="3708" hidden="1">
      <c r="A3708" s="128" t="s">
        <v>1387</v>
      </c>
      <c r="B3708" s="147">
        <v>1190.0</v>
      </c>
      <c r="C3708" s="147">
        <v>1390.0</v>
      </c>
      <c r="D3708" s="270">
        <f t="shared" si="260"/>
        <v>200</v>
      </c>
      <c r="E3708" s="147"/>
      <c r="F3708" s="132"/>
      <c r="G3708" s="129"/>
      <c r="H3708" s="129"/>
      <c r="I3708" s="129"/>
      <c r="J3708" s="129"/>
      <c r="K3708" s="129"/>
      <c r="L3708" s="129"/>
      <c r="M3708" s="129"/>
      <c r="N3708" s="129"/>
      <c r="O3708" s="129"/>
      <c r="P3708" s="129"/>
      <c r="Q3708" s="129"/>
      <c r="R3708" s="129"/>
      <c r="S3708" s="129"/>
      <c r="T3708" s="129"/>
      <c r="U3708" s="129"/>
      <c r="V3708" s="129"/>
      <c r="W3708" s="129"/>
      <c r="X3708" s="129"/>
      <c r="Y3708" s="129"/>
      <c r="Z3708" s="129"/>
      <c r="AA3708" s="129"/>
      <c r="AB3708" s="129"/>
    </row>
    <row r="3709" hidden="1">
      <c r="A3709" s="150" t="s">
        <v>1209</v>
      </c>
      <c r="B3709" s="132">
        <v>1500.0</v>
      </c>
      <c r="C3709" s="132">
        <v>1650.0</v>
      </c>
      <c r="D3709" s="132">
        <f t="shared" si="260"/>
        <v>150</v>
      </c>
      <c r="E3709" s="139"/>
      <c r="F3709" s="139"/>
      <c r="G3709" s="129"/>
      <c r="H3709" s="129"/>
      <c r="I3709" s="129"/>
      <c r="J3709" s="129"/>
      <c r="K3709" s="129"/>
      <c r="L3709" s="129"/>
      <c r="M3709" s="129"/>
      <c r="N3709" s="129"/>
      <c r="O3709" s="129"/>
      <c r="P3709" s="129"/>
      <c r="Q3709" s="129"/>
      <c r="R3709" s="129"/>
      <c r="S3709" s="129"/>
      <c r="T3709" s="129"/>
      <c r="U3709" s="129"/>
      <c r="V3709" s="129"/>
      <c r="W3709" s="129"/>
      <c r="X3709" s="129"/>
      <c r="Y3709" s="129"/>
      <c r="Z3709" s="129"/>
      <c r="AA3709" s="129"/>
      <c r="AB3709" s="129"/>
    </row>
    <row r="3710" hidden="1">
      <c r="A3710" s="123" t="s">
        <v>1213</v>
      </c>
      <c r="B3710" s="147">
        <v>1475.0</v>
      </c>
      <c r="C3710" s="124">
        <v>1625.0</v>
      </c>
      <c r="D3710" s="132">
        <f t="shared" si="260"/>
        <v>150</v>
      </c>
      <c r="E3710" s="132"/>
      <c r="F3710" s="124"/>
    </row>
    <row r="3711" hidden="1">
      <c r="A3711" s="123" t="s">
        <v>1362</v>
      </c>
      <c r="B3711" s="124">
        <v>5740.0</v>
      </c>
      <c r="C3711" s="124">
        <v>6990.0</v>
      </c>
      <c r="D3711" s="125">
        <f t="shared" si="260"/>
        <v>1250</v>
      </c>
      <c r="E3711" s="124"/>
      <c r="F3711" s="124"/>
    </row>
    <row r="3712" hidden="1">
      <c r="A3712" s="150" t="s">
        <v>1309</v>
      </c>
      <c r="B3712" s="147">
        <v>1350.0</v>
      </c>
      <c r="C3712" s="147">
        <v>1500.0</v>
      </c>
      <c r="D3712" s="132">
        <f t="shared" si="260"/>
        <v>150</v>
      </c>
      <c r="E3712" s="139"/>
      <c r="F3712" s="139"/>
      <c r="G3712" s="129"/>
      <c r="H3712" s="129"/>
      <c r="I3712" s="129"/>
      <c r="J3712" s="129"/>
      <c r="K3712" s="129"/>
      <c r="L3712" s="129"/>
      <c r="M3712" s="129"/>
      <c r="N3712" s="129"/>
      <c r="O3712" s="129"/>
      <c r="P3712" s="129"/>
      <c r="Q3712" s="129"/>
      <c r="R3712" s="129"/>
      <c r="S3712" s="129"/>
      <c r="T3712" s="129"/>
      <c r="U3712" s="129"/>
      <c r="V3712" s="129"/>
      <c r="W3712" s="129"/>
      <c r="X3712" s="129"/>
      <c r="Y3712" s="129"/>
      <c r="Z3712" s="129"/>
      <c r="AA3712" s="129"/>
      <c r="AB3712" s="129"/>
    </row>
    <row r="3713" hidden="1">
      <c r="A3713" s="123" t="s">
        <v>1362</v>
      </c>
      <c r="B3713" s="124">
        <v>5650.0</v>
      </c>
      <c r="C3713" s="124">
        <v>6900.0</v>
      </c>
      <c r="D3713" s="125">
        <f t="shared" si="260"/>
        <v>1250</v>
      </c>
      <c r="E3713" s="124"/>
      <c r="F3713" s="124"/>
    </row>
    <row r="3714" hidden="1">
      <c r="A3714" s="123" t="s">
        <v>1647</v>
      </c>
      <c r="B3714" s="124">
        <v>6950.0</v>
      </c>
      <c r="C3714" s="124">
        <v>7100.0</v>
      </c>
      <c r="D3714" s="125">
        <f t="shared" si="260"/>
        <v>150</v>
      </c>
      <c r="E3714" s="124"/>
      <c r="F3714" s="124"/>
    </row>
    <row r="3715" hidden="1">
      <c r="A3715" s="128" t="s">
        <v>1648</v>
      </c>
      <c r="B3715" s="147">
        <v>13240.0</v>
      </c>
      <c r="C3715" s="147">
        <v>14490.0</v>
      </c>
      <c r="D3715" s="132">
        <f t="shared" si="260"/>
        <v>1250</v>
      </c>
      <c r="E3715" s="139"/>
      <c r="F3715" s="139"/>
      <c r="G3715" s="129"/>
      <c r="H3715" s="129"/>
      <c r="I3715" s="129"/>
      <c r="J3715" s="129"/>
      <c r="K3715" s="129"/>
      <c r="L3715" s="129"/>
      <c r="M3715" s="129"/>
      <c r="N3715" s="129"/>
      <c r="O3715" s="129"/>
      <c r="P3715" s="129"/>
      <c r="Q3715" s="129"/>
      <c r="R3715" s="129"/>
      <c r="S3715" s="129"/>
      <c r="T3715" s="129"/>
      <c r="U3715" s="129"/>
      <c r="V3715" s="129"/>
      <c r="W3715" s="129"/>
      <c r="X3715" s="129"/>
      <c r="Y3715" s="129"/>
      <c r="Z3715" s="129"/>
      <c r="AA3715" s="129"/>
      <c r="AB3715" s="129"/>
    </row>
    <row r="3716" hidden="1">
      <c r="A3716" s="123" t="s">
        <v>1649</v>
      </c>
      <c r="B3716" s="147">
        <v>5990.0</v>
      </c>
      <c r="C3716" s="124">
        <v>6990.0</v>
      </c>
      <c r="D3716" s="125">
        <f t="shared" si="260"/>
        <v>1000</v>
      </c>
      <c r="E3716" s="124"/>
      <c r="F3716" s="124"/>
    </row>
    <row r="3717" hidden="1">
      <c r="A3717" s="128" t="s">
        <v>1650</v>
      </c>
      <c r="B3717" s="147">
        <v>1440.0</v>
      </c>
      <c r="C3717" s="147">
        <v>1590.0</v>
      </c>
      <c r="D3717" s="132">
        <f t="shared" si="260"/>
        <v>150</v>
      </c>
      <c r="E3717" s="132"/>
      <c r="F3717" s="132"/>
      <c r="G3717" s="129"/>
      <c r="H3717" s="129"/>
      <c r="I3717" s="129"/>
      <c r="J3717" s="129"/>
      <c r="K3717" s="129"/>
      <c r="L3717" s="129"/>
      <c r="M3717" s="129"/>
      <c r="N3717" s="129"/>
      <c r="O3717" s="129"/>
      <c r="P3717" s="129"/>
      <c r="Q3717" s="129"/>
      <c r="R3717" s="129"/>
      <c r="S3717" s="129"/>
      <c r="T3717" s="129"/>
      <c r="U3717" s="129"/>
      <c r="V3717" s="129"/>
      <c r="W3717" s="129"/>
      <c r="X3717" s="129"/>
      <c r="Y3717" s="129"/>
      <c r="Z3717" s="129"/>
      <c r="AA3717" s="129"/>
      <c r="AB3717" s="129"/>
    </row>
    <row r="3718" hidden="1">
      <c r="A3718" s="128" t="s">
        <v>1651</v>
      </c>
      <c r="B3718" s="147">
        <v>5490.0</v>
      </c>
      <c r="C3718" s="147">
        <v>6490.0</v>
      </c>
      <c r="D3718" s="125">
        <f t="shared" si="260"/>
        <v>1000</v>
      </c>
      <c r="E3718" s="147"/>
      <c r="F3718" s="132"/>
      <c r="G3718" s="129"/>
      <c r="H3718" s="129"/>
      <c r="I3718" s="129"/>
      <c r="J3718" s="129"/>
      <c r="K3718" s="129"/>
      <c r="L3718" s="129"/>
      <c r="M3718" s="129"/>
      <c r="N3718" s="129"/>
      <c r="O3718" s="129"/>
      <c r="P3718" s="129"/>
      <c r="Q3718" s="129"/>
      <c r="R3718" s="129"/>
      <c r="S3718" s="129"/>
      <c r="T3718" s="129"/>
      <c r="U3718" s="129"/>
      <c r="V3718" s="129"/>
      <c r="W3718" s="129"/>
      <c r="X3718" s="129"/>
      <c r="Y3718" s="129"/>
      <c r="Z3718" s="129"/>
      <c r="AA3718" s="129"/>
      <c r="AB3718" s="129"/>
    </row>
    <row r="3719" hidden="1">
      <c r="A3719" s="128" t="s">
        <v>1650</v>
      </c>
      <c r="B3719" s="147">
        <v>1440.0</v>
      </c>
      <c r="C3719" s="147">
        <v>1590.0</v>
      </c>
      <c r="D3719" s="132">
        <f t="shared" si="260"/>
        <v>150</v>
      </c>
      <c r="E3719" s="132"/>
      <c r="F3719" s="132"/>
      <c r="G3719" s="129"/>
      <c r="H3719" s="129"/>
      <c r="I3719" s="129"/>
      <c r="J3719" s="129"/>
      <c r="K3719" s="129"/>
      <c r="L3719" s="129"/>
      <c r="M3719" s="129"/>
      <c r="N3719" s="129"/>
      <c r="O3719" s="129"/>
      <c r="P3719" s="129"/>
      <c r="Q3719" s="129"/>
      <c r="R3719" s="129"/>
      <c r="S3719" s="129"/>
      <c r="T3719" s="129"/>
      <c r="U3719" s="129"/>
      <c r="V3719" s="129"/>
      <c r="W3719" s="129"/>
      <c r="X3719" s="129"/>
      <c r="Y3719" s="129"/>
      <c r="Z3719" s="129"/>
      <c r="AA3719" s="129"/>
      <c r="AB3719" s="129"/>
    </row>
    <row r="3720" hidden="1">
      <c r="A3720" s="123" t="s">
        <v>1649</v>
      </c>
      <c r="B3720" s="147">
        <v>6000.0</v>
      </c>
      <c r="C3720" s="124">
        <v>6750.0</v>
      </c>
      <c r="D3720" s="125">
        <f t="shared" si="260"/>
        <v>750</v>
      </c>
      <c r="E3720" s="124"/>
      <c r="F3720" s="124"/>
    </row>
    <row r="3721" hidden="1">
      <c r="A3721" s="123" t="s">
        <v>1652</v>
      </c>
      <c r="B3721" s="124">
        <v>6990.0</v>
      </c>
      <c r="C3721" s="124">
        <v>7490.0</v>
      </c>
      <c r="D3721" s="125">
        <f t="shared" si="260"/>
        <v>500</v>
      </c>
      <c r="E3721" s="124"/>
      <c r="F3721" s="124"/>
    </row>
    <row r="3722" hidden="1">
      <c r="A3722" s="128" t="s">
        <v>1653</v>
      </c>
      <c r="B3722" s="147">
        <v>1640.0</v>
      </c>
      <c r="C3722" s="147">
        <v>1790.0</v>
      </c>
      <c r="D3722" s="132">
        <f t="shared" si="260"/>
        <v>150</v>
      </c>
      <c r="E3722" s="139"/>
      <c r="F3722" s="139"/>
      <c r="G3722" s="129"/>
      <c r="H3722" s="129"/>
      <c r="I3722" s="129"/>
      <c r="J3722" s="129"/>
      <c r="K3722" s="129"/>
      <c r="L3722" s="129"/>
      <c r="M3722" s="129"/>
      <c r="N3722" s="129"/>
      <c r="O3722" s="129"/>
      <c r="P3722" s="129"/>
      <c r="Q3722" s="129"/>
      <c r="R3722" s="129"/>
      <c r="S3722" s="129"/>
      <c r="T3722" s="129"/>
      <c r="U3722" s="129"/>
      <c r="V3722" s="129"/>
      <c r="W3722" s="129"/>
      <c r="X3722" s="129"/>
      <c r="Y3722" s="129"/>
      <c r="Z3722" s="129"/>
      <c r="AA3722" s="129"/>
      <c r="AB3722" s="129"/>
    </row>
    <row r="3723" hidden="1">
      <c r="A3723" s="128" t="s">
        <v>1555</v>
      </c>
      <c r="B3723" s="147">
        <v>740.0</v>
      </c>
      <c r="C3723" s="147">
        <v>890.0</v>
      </c>
      <c r="D3723" s="132">
        <f t="shared" si="260"/>
        <v>150</v>
      </c>
      <c r="E3723" s="132"/>
      <c r="F3723" s="132"/>
      <c r="G3723" s="129"/>
      <c r="H3723" s="129"/>
      <c r="I3723" s="129"/>
      <c r="J3723" s="129"/>
      <c r="K3723" s="129"/>
      <c r="L3723" s="129"/>
      <c r="M3723" s="129"/>
      <c r="N3723" s="129"/>
      <c r="O3723" s="129"/>
      <c r="P3723" s="129"/>
      <c r="Q3723" s="129"/>
      <c r="R3723" s="129"/>
      <c r="S3723" s="129"/>
      <c r="T3723" s="129"/>
      <c r="U3723" s="129"/>
      <c r="V3723" s="129"/>
      <c r="W3723" s="129"/>
      <c r="X3723" s="129"/>
      <c r="Y3723" s="129"/>
      <c r="Z3723" s="129"/>
      <c r="AA3723" s="129"/>
      <c r="AB3723" s="129"/>
    </row>
    <row r="3724" hidden="1">
      <c r="A3724" s="128" t="s">
        <v>1300</v>
      </c>
      <c r="B3724" s="147">
        <v>1500.0</v>
      </c>
      <c r="C3724" s="147">
        <v>1650.0</v>
      </c>
      <c r="D3724" s="132">
        <f t="shared" si="260"/>
        <v>150</v>
      </c>
      <c r="E3724" s="147"/>
      <c r="F3724" s="132"/>
      <c r="G3724" s="129"/>
      <c r="H3724" s="129"/>
      <c r="I3724" s="129"/>
      <c r="J3724" s="129"/>
      <c r="K3724" s="129"/>
      <c r="L3724" s="129"/>
      <c r="M3724" s="129"/>
      <c r="N3724" s="129"/>
      <c r="O3724" s="129"/>
      <c r="P3724" s="129"/>
      <c r="Q3724" s="129"/>
      <c r="R3724" s="129"/>
      <c r="S3724" s="129"/>
      <c r="T3724" s="129"/>
      <c r="U3724" s="129"/>
      <c r="V3724" s="129"/>
      <c r="W3724" s="129"/>
      <c r="X3724" s="129"/>
      <c r="Y3724" s="129"/>
      <c r="Z3724" s="129"/>
      <c r="AA3724" s="129"/>
      <c r="AB3724" s="129"/>
    </row>
    <row r="3725" hidden="1">
      <c r="A3725" s="150" t="s">
        <v>1634</v>
      </c>
      <c r="B3725" s="132">
        <v>1340.0</v>
      </c>
      <c r="C3725" s="132">
        <v>1490.0</v>
      </c>
      <c r="D3725" s="132">
        <f t="shared" si="260"/>
        <v>150</v>
      </c>
      <c r="E3725" s="139"/>
      <c r="F3725" s="139"/>
      <c r="G3725" s="129"/>
      <c r="H3725" s="129"/>
      <c r="I3725" s="129"/>
      <c r="J3725" s="129"/>
      <c r="K3725" s="129"/>
      <c r="L3725" s="129"/>
      <c r="M3725" s="129"/>
      <c r="N3725" s="129"/>
      <c r="O3725" s="129"/>
      <c r="P3725" s="129"/>
      <c r="Q3725" s="129"/>
      <c r="R3725" s="129"/>
      <c r="S3725" s="129"/>
      <c r="T3725" s="129"/>
      <c r="U3725" s="129"/>
      <c r="V3725" s="129"/>
      <c r="W3725" s="129"/>
      <c r="X3725" s="129"/>
      <c r="Y3725" s="129"/>
      <c r="Z3725" s="129"/>
      <c r="AA3725" s="129"/>
      <c r="AB3725" s="129"/>
    </row>
    <row r="3726" hidden="1">
      <c r="A3726" s="142" t="s">
        <v>1654</v>
      </c>
      <c r="B3726" s="124">
        <v>1500.0</v>
      </c>
      <c r="C3726" s="124">
        <v>1650.0</v>
      </c>
      <c r="D3726" s="132">
        <f t="shared" si="260"/>
        <v>150</v>
      </c>
      <c r="E3726" s="139"/>
      <c r="F3726" s="139"/>
      <c r="G3726" s="129"/>
      <c r="H3726" s="129"/>
      <c r="I3726" s="129"/>
      <c r="J3726" s="129"/>
      <c r="K3726" s="129"/>
      <c r="L3726" s="129"/>
      <c r="M3726" s="129"/>
      <c r="N3726" s="129"/>
      <c r="O3726" s="129"/>
      <c r="P3726" s="129"/>
      <c r="Q3726" s="129"/>
      <c r="R3726" s="129"/>
      <c r="S3726" s="129"/>
      <c r="T3726" s="129"/>
      <c r="U3726" s="129"/>
      <c r="V3726" s="129"/>
      <c r="W3726" s="129"/>
      <c r="X3726" s="129"/>
      <c r="Y3726" s="129"/>
      <c r="Z3726" s="129"/>
      <c r="AA3726" s="129"/>
      <c r="AB3726" s="129"/>
    </row>
    <row r="3727" hidden="1">
      <c r="A3727" s="123" t="s">
        <v>1655</v>
      </c>
      <c r="B3727" s="124">
        <v>740.0</v>
      </c>
      <c r="C3727" s="124">
        <v>890.0</v>
      </c>
      <c r="D3727" s="125">
        <f t="shared" si="260"/>
        <v>150</v>
      </c>
      <c r="E3727" s="124"/>
      <c r="F3727" s="124"/>
    </row>
    <row r="3728" hidden="1">
      <c r="A3728" s="123" t="s">
        <v>1656</v>
      </c>
      <c r="B3728" s="124">
        <v>1640.0</v>
      </c>
      <c r="C3728" s="124">
        <v>1790.0</v>
      </c>
      <c r="D3728" s="125">
        <f t="shared" si="260"/>
        <v>150</v>
      </c>
      <c r="E3728" s="124"/>
      <c r="F3728" s="124"/>
    </row>
    <row r="3729" hidden="1">
      <c r="A3729" s="151" t="s">
        <v>1114</v>
      </c>
      <c r="B3729" s="147">
        <v>900.0</v>
      </c>
      <c r="C3729" s="147">
        <v>1050.0</v>
      </c>
      <c r="D3729" s="132">
        <f t="shared" si="260"/>
        <v>150</v>
      </c>
      <c r="E3729" s="139"/>
      <c r="F3729" s="139"/>
      <c r="G3729" s="129"/>
      <c r="H3729" s="129"/>
      <c r="I3729" s="129"/>
      <c r="J3729" s="129"/>
      <c r="K3729" s="129"/>
      <c r="L3729" s="129"/>
      <c r="M3729" s="129"/>
      <c r="N3729" s="129"/>
      <c r="O3729" s="129"/>
      <c r="P3729" s="129"/>
      <c r="Q3729" s="129"/>
      <c r="R3729" s="129"/>
      <c r="S3729" s="129"/>
      <c r="T3729" s="129"/>
      <c r="U3729" s="129"/>
      <c r="V3729" s="129"/>
      <c r="W3729" s="129"/>
      <c r="X3729" s="129"/>
      <c r="Y3729" s="129"/>
      <c r="Z3729" s="129"/>
      <c r="AA3729" s="129"/>
      <c r="AB3729" s="129"/>
    </row>
    <row r="3730" hidden="1">
      <c r="A3730" s="128" t="s">
        <v>1657</v>
      </c>
      <c r="B3730" s="147">
        <v>440.0</v>
      </c>
      <c r="C3730" s="147">
        <v>590.0</v>
      </c>
      <c r="D3730" s="132">
        <f t="shared" si="260"/>
        <v>150</v>
      </c>
      <c r="E3730" s="139"/>
      <c r="F3730" s="139"/>
      <c r="G3730" s="129"/>
      <c r="H3730" s="129"/>
      <c r="I3730" s="129"/>
      <c r="J3730" s="129"/>
      <c r="K3730" s="129"/>
      <c r="L3730" s="129"/>
      <c r="M3730" s="129"/>
      <c r="N3730" s="129"/>
      <c r="O3730" s="129"/>
      <c r="P3730" s="129"/>
      <c r="Q3730" s="129"/>
      <c r="R3730" s="129"/>
      <c r="S3730" s="129"/>
      <c r="T3730" s="129"/>
      <c r="U3730" s="129"/>
      <c r="V3730" s="129"/>
      <c r="W3730" s="129"/>
      <c r="X3730" s="129"/>
      <c r="Y3730" s="129"/>
      <c r="Z3730" s="129"/>
      <c r="AA3730" s="129"/>
      <c r="AB3730" s="129"/>
    </row>
    <row r="3731" hidden="1">
      <c r="A3731" s="128" t="s">
        <v>1658</v>
      </c>
      <c r="B3731" s="147">
        <v>1140.0</v>
      </c>
      <c r="C3731" s="147">
        <v>1290.0</v>
      </c>
      <c r="D3731" s="132">
        <f t="shared" si="260"/>
        <v>150</v>
      </c>
      <c r="E3731" s="139"/>
      <c r="F3731" s="139"/>
      <c r="G3731" s="129"/>
      <c r="H3731" s="129"/>
      <c r="I3731" s="129"/>
      <c r="J3731" s="129"/>
      <c r="K3731" s="129"/>
      <c r="L3731" s="129"/>
      <c r="M3731" s="129"/>
      <c r="N3731" s="129"/>
      <c r="O3731" s="129"/>
      <c r="P3731" s="129"/>
      <c r="Q3731" s="129"/>
      <c r="R3731" s="129"/>
      <c r="S3731" s="129"/>
      <c r="T3731" s="129"/>
      <c r="U3731" s="129"/>
      <c r="V3731" s="129"/>
      <c r="W3731" s="129"/>
      <c r="X3731" s="129"/>
      <c r="Y3731" s="129"/>
      <c r="Z3731" s="129"/>
      <c r="AA3731" s="129"/>
      <c r="AB3731" s="129"/>
    </row>
    <row r="3732" hidden="1">
      <c r="A3732" s="159" t="s">
        <v>1327</v>
      </c>
      <c r="B3732" s="124">
        <v>1100.0</v>
      </c>
      <c r="C3732" s="124">
        <v>1250.0</v>
      </c>
      <c r="D3732" s="125">
        <f t="shared" si="260"/>
        <v>150</v>
      </c>
      <c r="E3732" s="124"/>
      <c r="F3732" s="124"/>
    </row>
    <row r="3733" hidden="1">
      <c r="A3733" s="159" t="s">
        <v>1659</v>
      </c>
      <c r="B3733" s="124">
        <v>740.0</v>
      </c>
      <c r="C3733" s="124">
        <v>890.0</v>
      </c>
      <c r="D3733" s="125">
        <f t="shared" si="260"/>
        <v>150</v>
      </c>
      <c r="E3733" s="124"/>
      <c r="F3733" s="124"/>
    </row>
    <row r="3734" hidden="1">
      <c r="A3734" s="159" t="s">
        <v>1660</v>
      </c>
      <c r="B3734" s="124">
        <v>740.0</v>
      </c>
      <c r="C3734" s="124">
        <v>890.0</v>
      </c>
      <c r="D3734" s="125">
        <f t="shared" si="260"/>
        <v>150</v>
      </c>
      <c r="E3734" s="124"/>
      <c r="F3734" s="124"/>
    </row>
    <row r="3735" hidden="1">
      <c r="A3735" s="128" t="s">
        <v>1661</v>
      </c>
      <c r="B3735" s="132">
        <v>1140.0</v>
      </c>
      <c r="C3735" s="132">
        <v>1290.0</v>
      </c>
      <c r="D3735" s="132">
        <f t="shared" si="260"/>
        <v>150</v>
      </c>
      <c r="E3735" s="139"/>
      <c r="F3735" s="139"/>
      <c r="G3735" s="129"/>
      <c r="H3735" s="129"/>
      <c r="I3735" s="129"/>
      <c r="J3735" s="129"/>
      <c r="K3735" s="129"/>
      <c r="L3735" s="129"/>
      <c r="M3735" s="129"/>
      <c r="N3735" s="129"/>
      <c r="O3735" s="129"/>
      <c r="P3735" s="129"/>
      <c r="Q3735" s="129"/>
      <c r="R3735" s="129"/>
      <c r="S3735" s="129"/>
      <c r="T3735" s="129"/>
      <c r="U3735" s="129"/>
      <c r="V3735" s="129"/>
      <c r="W3735" s="129"/>
      <c r="X3735" s="129"/>
      <c r="Y3735" s="129"/>
      <c r="Z3735" s="129"/>
      <c r="AA3735" s="129"/>
      <c r="AB3735" s="129"/>
    </row>
    <row r="3736" hidden="1">
      <c r="A3736" s="128" t="s">
        <v>1347</v>
      </c>
      <c r="B3736" s="147">
        <v>1200.0</v>
      </c>
      <c r="C3736" s="147">
        <v>1350.0</v>
      </c>
      <c r="D3736" s="132">
        <f t="shared" si="260"/>
        <v>150</v>
      </c>
      <c r="E3736" s="139"/>
      <c r="F3736" s="139"/>
      <c r="G3736" s="129"/>
      <c r="H3736" s="129"/>
      <c r="I3736" s="129"/>
      <c r="J3736" s="129"/>
      <c r="K3736" s="129"/>
      <c r="L3736" s="129"/>
      <c r="M3736" s="129"/>
      <c r="N3736" s="129"/>
      <c r="O3736" s="129"/>
      <c r="P3736" s="129"/>
      <c r="Q3736" s="129"/>
      <c r="R3736" s="129"/>
      <c r="S3736" s="129"/>
      <c r="T3736" s="129"/>
      <c r="U3736" s="129"/>
      <c r="V3736" s="129"/>
      <c r="W3736" s="129"/>
      <c r="X3736" s="129"/>
      <c r="Y3736" s="129"/>
      <c r="Z3736" s="129"/>
      <c r="AA3736" s="129"/>
      <c r="AB3736" s="129"/>
    </row>
    <row r="3737" hidden="1">
      <c r="A3737" s="128" t="s">
        <v>1301</v>
      </c>
      <c r="B3737" s="147">
        <v>1500.0</v>
      </c>
      <c r="C3737" s="147">
        <v>1650.0</v>
      </c>
      <c r="D3737" s="132">
        <f t="shared" si="260"/>
        <v>150</v>
      </c>
      <c r="E3737" s="147"/>
      <c r="F3737" s="132"/>
      <c r="G3737" s="129"/>
      <c r="H3737" s="129"/>
      <c r="I3737" s="129"/>
      <c r="J3737" s="129"/>
      <c r="K3737" s="129"/>
      <c r="L3737" s="129"/>
      <c r="M3737" s="129"/>
      <c r="N3737" s="129"/>
      <c r="O3737" s="129"/>
      <c r="P3737" s="129"/>
      <c r="Q3737" s="129"/>
      <c r="R3737" s="129"/>
      <c r="S3737" s="129"/>
      <c r="T3737" s="129"/>
      <c r="U3737" s="129"/>
      <c r="V3737" s="129"/>
      <c r="W3737" s="129"/>
      <c r="X3737" s="129"/>
      <c r="Y3737" s="129"/>
      <c r="Z3737" s="129"/>
      <c r="AA3737" s="129"/>
      <c r="AB3737" s="129"/>
    </row>
    <row r="3738" hidden="1">
      <c r="A3738" s="142" t="s">
        <v>1115</v>
      </c>
      <c r="B3738" s="147">
        <v>940.0</v>
      </c>
      <c r="C3738" s="147">
        <v>1090.0</v>
      </c>
      <c r="D3738" s="132">
        <f t="shared" si="260"/>
        <v>150</v>
      </c>
      <c r="E3738" s="139"/>
      <c r="F3738" s="139"/>
      <c r="G3738" s="129"/>
      <c r="H3738" s="129"/>
      <c r="I3738" s="129"/>
      <c r="J3738" s="129"/>
      <c r="K3738" s="129"/>
      <c r="L3738" s="129"/>
      <c r="M3738" s="129"/>
      <c r="N3738" s="129"/>
      <c r="O3738" s="129"/>
      <c r="P3738" s="129"/>
      <c r="Q3738" s="129"/>
      <c r="R3738" s="129"/>
      <c r="S3738" s="129"/>
      <c r="T3738" s="129"/>
      <c r="U3738" s="129"/>
      <c r="V3738" s="129"/>
      <c r="W3738" s="129"/>
      <c r="X3738" s="129"/>
      <c r="Y3738" s="129"/>
      <c r="Z3738" s="129"/>
      <c r="AA3738" s="129"/>
      <c r="AB3738" s="129"/>
    </row>
    <row r="3739" hidden="1">
      <c r="A3739" s="151" t="s">
        <v>1115</v>
      </c>
      <c r="B3739" s="147">
        <v>940.0</v>
      </c>
      <c r="C3739" s="147">
        <v>1090.0</v>
      </c>
      <c r="D3739" s="132">
        <f t="shared" si="260"/>
        <v>150</v>
      </c>
      <c r="E3739" s="139"/>
      <c r="F3739" s="139"/>
      <c r="G3739" s="129"/>
      <c r="H3739" s="129"/>
      <c r="I3739" s="129"/>
      <c r="J3739" s="129"/>
      <c r="K3739" s="129"/>
      <c r="L3739" s="129"/>
      <c r="M3739" s="129"/>
      <c r="N3739" s="129"/>
      <c r="O3739" s="129"/>
      <c r="P3739" s="129"/>
      <c r="Q3739" s="129"/>
      <c r="R3739" s="129"/>
      <c r="S3739" s="129"/>
      <c r="T3739" s="129"/>
      <c r="U3739" s="129"/>
      <c r="V3739" s="129"/>
      <c r="W3739" s="129"/>
      <c r="X3739" s="129"/>
      <c r="Y3739" s="129"/>
      <c r="Z3739" s="129"/>
      <c r="AA3739" s="129"/>
      <c r="AB3739" s="129"/>
    </row>
    <row r="3740" hidden="1">
      <c r="A3740" s="128" t="s">
        <v>1662</v>
      </c>
      <c r="B3740" s="147">
        <v>1440.0</v>
      </c>
      <c r="C3740" s="147">
        <v>1590.0</v>
      </c>
      <c r="D3740" s="132">
        <f t="shared" si="260"/>
        <v>150</v>
      </c>
      <c r="E3740" s="139"/>
      <c r="F3740" s="139"/>
      <c r="G3740" s="129"/>
      <c r="H3740" s="129"/>
      <c r="I3740" s="129"/>
      <c r="J3740" s="129"/>
      <c r="K3740" s="129"/>
      <c r="L3740" s="129"/>
      <c r="M3740" s="129"/>
      <c r="N3740" s="129"/>
      <c r="O3740" s="129"/>
      <c r="P3740" s="129"/>
      <c r="Q3740" s="129"/>
      <c r="R3740" s="129"/>
      <c r="S3740" s="129"/>
      <c r="T3740" s="129"/>
      <c r="U3740" s="129"/>
      <c r="V3740" s="129"/>
      <c r="W3740" s="129"/>
      <c r="X3740" s="129"/>
      <c r="Y3740" s="129"/>
      <c r="Z3740" s="129"/>
      <c r="AA3740" s="129"/>
      <c r="AB3740" s="129"/>
    </row>
    <row r="3741" hidden="1">
      <c r="A3741" s="142" t="s">
        <v>1663</v>
      </c>
      <c r="B3741" s="124">
        <v>1440.0</v>
      </c>
      <c r="C3741" s="124">
        <v>1590.0</v>
      </c>
      <c r="D3741" s="132">
        <f t="shared" si="260"/>
        <v>150</v>
      </c>
      <c r="E3741" s="139"/>
      <c r="F3741" s="139"/>
      <c r="G3741" s="129"/>
      <c r="H3741" s="129"/>
      <c r="I3741" s="129"/>
      <c r="J3741" s="129"/>
      <c r="K3741" s="129"/>
      <c r="L3741" s="129"/>
      <c r="M3741" s="129"/>
      <c r="N3741" s="129"/>
      <c r="O3741" s="129"/>
      <c r="P3741" s="129"/>
      <c r="Q3741" s="129"/>
      <c r="R3741" s="129"/>
      <c r="S3741" s="129"/>
      <c r="T3741" s="129"/>
      <c r="U3741" s="129"/>
      <c r="V3741" s="129"/>
      <c r="W3741" s="129"/>
      <c r="X3741" s="129"/>
      <c r="Y3741" s="129"/>
      <c r="Z3741" s="129"/>
      <c r="AA3741" s="129"/>
      <c r="AB3741" s="129"/>
    </row>
    <row r="3742" hidden="1">
      <c r="A3742" s="123" t="s">
        <v>1545</v>
      </c>
      <c r="B3742" s="147">
        <v>1350.0</v>
      </c>
      <c r="C3742" s="124">
        <v>1500.0</v>
      </c>
      <c r="D3742" s="132">
        <f t="shared" si="260"/>
        <v>150</v>
      </c>
      <c r="E3742" s="132"/>
      <c r="F3742" s="124"/>
    </row>
    <row r="3743" hidden="1">
      <c r="A3743" s="123" t="s">
        <v>1213</v>
      </c>
      <c r="B3743" s="147">
        <v>1350.0</v>
      </c>
      <c r="C3743" s="124">
        <v>1500.0</v>
      </c>
      <c r="D3743" s="132">
        <f t="shared" si="260"/>
        <v>150</v>
      </c>
      <c r="E3743" s="132"/>
      <c r="F3743" s="124"/>
    </row>
    <row r="3744" hidden="1">
      <c r="A3744" s="123" t="s">
        <v>1664</v>
      </c>
      <c r="B3744" s="124">
        <v>15500.0</v>
      </c>
      <c r="C3744" s="124">
        <v>16500.0</v>
      </c>
      <c r="D3744" s="125">
        <f t="shared" si="260"/>
        <v>1000</v>
      </c>
      <c r="E3744" s="124"/>
      <c r="F3744" s="124"/>
    </row>
    <row r="3745" hidden="1">
      <c r="A3745" s="123"/>
      <c r="B3745" s="124"/>
      <c r="C3745" s="123"/>
      <c r="D3745" s="123"/>
    </row>
    <row r="3746" hidden="1">
      <c r="A3746" s="122" t="s">
        <v>57</v>
      </c>
      <c r="B3746" s="133">
        <f t="shared" ref="B3746:D3746" si="261">SUM(B3601:B3745)</f>
        <v>247725</v>
      </c>
      <c r="C3746" s="133">
        <f t="shared" si="261"/>
        <v>278075</v>
      </c>
      <c r="D3746" s="133">
        <f t="shared" si="261"/>
        <v>30350</v>
      </c>
      <c r="E3746" s="135">
        <f>D3746/(C3746/100)</f>
        <v>10.91432168</v>
      </c>
    </row>
    <row r="3747" hidden="1">
      <c r="A3747" s="154"/>
      <c r="B3747" s="124"/>
      <c r="C3747" s="124"/>
      <c r="D3747" s="124"/>
    </row>
    <row r="3748" hidden="1">
      <c r="A3748" s="154">
        <v>43922.0</v>
      </c>
      <c r="B3748" s="124"/>
      <c r="C3748" s="124"/>
      <c r="D3748" s="124"/>
    </row>
    <row r="3749" hidden="1">
      <c r="A3749" s="122"/>
      <c r="B3749" s="124"/>
      <c r="C3749" s="123"/>
      <c r="D3749" s="312"/>
      <c r="F3749" s="313"/>
    </row>
    <row r="3750" hidden="1">
      <c r="A3750" s="128" t="s">
        <v>1665</v>
      </c>
      <c r="B3750" s="147">
        <v>1140.0</v>
      </c>
      <c r="C3750" s="147">
        <v>1290.0</v>
      </c>
      <c r="D3750" s="132">
        <f t="shared" ref="D3750:D3856" si="262">C3750-B3750</f>
        <v>150</v>
      </c>
      <c r="E3750" s="132"/>
      <c r="F3750" s="132"/>
      <c r="G3750" s="129"/>
      <c r="H3750" s="129"/>
      <c r="I3750" s="129"/>
      <c r="J3750" s="129"/>
      <c r="K3750" s="129"/>
      <c r="L3750" s="129"/>
      <c r="M3750" s="129"/>
      <c r="N3750" s="129"/>
      <c r="O3750" s="129"/>
      <c r="P3750" s="129"/>
      <c r="Q3750" s="129"/>
      <c r="R3750" s="129"/>
      <c r="S3750" s="129"/>
      <c r="T3750" s="129"/>
      <c r="U3750" s="129"/>
      <c r="V3750" s="129"/>
      <c r="W3750" s="129"/>
      <c r="X3750" s="129"/>
      <c r="Y3750" s="129"/>
      <c r="Z3750" s="129"/>
      <c r="AA3750" s="129"/>
      <c r="AB3750" s="129"/>
    </row>
    <row r="3751" hidden="1">
      <c r="A3751" s="128" t="s">
        <v>1215</v>
      </c>
      <c r="B3751" s="147">
        <v>1740.0</v>
      </c>
      <c r="C3751" s="147">
        <v>1890.0</v>
      </c>
      <c r="D3751" s="132">
        <f t="shared" si="262"/>
        <v>150</v>
      </c>
      <c r="E3751" s="139"/>
      <c r="F3751" s="139"/>
      <c r="G3751" s="129"/>
      <c r="H3751" s="129"/>
      <c r="I3751" s="129"/>
      <c r="J3751" s="129"/>
      <c r="K3751" s="129"/>
      <c r="L3751" s="129"/>
      <c r="M3751" s="129"/>
      <c r="N3751" s="129"/>
      <c r="O3751" s="129"/>
      <c r="P3751" s="129"/>
      <c r="Q3751" s="129"/>
      <c r="R3751" s="129"/>
      <c r="S3751" s="129"/>
      <c r="T3751" s="129"/>
      <c r="U3751" s="129"/>
      <c r="V3751" s="129"/>
      <c r="W3751" s="129"/>
      <c r="X3751" s="129"/>
      <c r="Y3751" s="129"/>
      <c r="Z3751" s="129"/>
      <c r="AA3751" s="129"/>
      <c r="AB3751" s="129"/>
    </row>
    <row r="3752" hidden="1">
      <c r="A3752" s="128" t="s">
        <v>1215</v>
      </c>
      <c r="B3752" s="147">
        <v>1740.0</v>
      </c>
      <c r="C3752" s="147">
        <v>1890.0</v>
      </c>
      <c r="D3752" s="132">
        <f t="shared" si="262"/>
        <v>150</v>
      </c>
      <c r="E3752" s="139"/>
      <c r="F3752" s="139"/>
      <c r="G3752" s="129"/>
      <c r="H3752" s="129"/>
      <c r="I3752" s="129"/>
      <c r="J3752" s="129"/>
      <c r="K3752" s="129"/>
      <c r="L3752" s="129"/>
      <c r="M3752" s="129"/>
      <c r="N3752" s="129"/>
      <c r="O3752" s="129"/>
      <c r="P3752" s="129"/>
      <c r="Q3752" s="129"/>
      <c r="R3752" s="129"/>
      <c r="S3752" s="129"/>
      <c r="T3752" s="129"/>
      <c r="U3752" s="129"/>
      <c r="V3752" s="129"/>
      <c r="W3752" s="129"/>
      <c r="X3752" s="129"/>
      <c r="Y3752" s="129"/>
      <c r="Z3752" s="129"/>
      <c r="AA3752" s="129"/>
      <c r="AB3752" s="129"/>
    </row>
    <row r="3753" hidden="1">
      <c r="A3753" s="128" t="s">
        <v>1665</v>
      </c>
      <c r="B3753" s="147">
        <v>1140.0</v>
      </c>
      <c r="C3753" s="147">
        <v>1290.0</v>
      </c>
      <c r="D3753" s="132">
        <f t="shared" si="262"/>
        <v>150</v>
      </c>
      <c r="E3753" s="132"/>
      <c r="F3753" s="132"/>
      <c r="G3753" s="129"/>
      <c r="H3753" s="129"/>
      <c r="I3753" s="129"/>
      <c r="J3753" s="129"/>
      <c r="K3753" s="129"/>
      <c r="L3753" s="129"/>
      <c r="M3753" s="129"/>
      <c r="N3753" s="129"/>
      <c r="O3753" s="129"/>
      <c r="P3753" s="129"/>
      <c r="Q3753" s="129"/>
      <c r="R3753" s="129"/>
      <c r="S3753" s="129"/>
      <c r="T3753" s="129"/>
      <c r="U3753" s="129"/>
      <c r="V3753" s="129"/>
      <c r="W3753" s="129"/>
      <c r="X3753" s="129"/>
      <c r="Y3753" s="129"/>
      <c r="Z3753" s="129"/>
      <c r="AA3753" s="129"/>
      <c r="AB3753" s="129"/>
    </row>
    <row r="3754" hidden="1">
      <c r="A3754" s="128" t="s">
        <v>1666</v>
      </c>
      <c r="B3754" s="147">
        <v>11390.0</v>
      </c>
      <c r="C3754" s="147">
        <v>11890.0</v>
      </c>
      <c r="D3754" s="132">
        <f t="shared" si="262"/>
        <v>500</v>
      </c>
      <c r="E3754" s="139"/>
      <c r="F3754" s="139"/>
      <c r="G3754" s="129"/>
      <c r="H3754" s="129"/>
      <c r="I3754" s="129"/>
      <c r="J3754" s="129"/>
      <c r="K3754" s="129"/>
      <c r="L3754" s="129"/>
      <c r="M3754" s="129"/>
      <c r="N3754" s="129"/>
      <c r="O3754" s="129"/>
      <c r="P3754" s="129"/>
      <c r="Q3754" s="129"/>
      <c r="R3754" s="129"/>
      <c r="S3754" s="129"/>
      <c r="T3754" s="129"/>
      <c r="U3754" s="129"/>
      <c r="V3754" s="129"/>
      <c r="W3754" s="129"/>
      <c r="X3754" s="129"/>
      <c r="Y3754" s="129"/>
      <c r="Z3754" s="129"/>
      <c r="AA3754" s="129"/>
      <c r="AB3754" s="129"/>
    </row>
    <row r="3755" hidden="1">
      <c r="A3755" s="123" t="s">
        <v>1664</v>
      </c>
      <c r="B3755" s="124">
        <v>15490.0</v>
      </c>
      <c r="C3755" s="124">
        <v>15990.0</v>
      </c>
      <c r="D3755" s="125">
        <f t="shared" si="262"/>
        <v>500</v>
      </c>
      <c r="E3755" s="124"/>
      <c r="F3755" s="124"/>
      <c r="G3755" s="123"/>
    </row>
    <row r="3756" hidden="1">
      <c r="A3756" s="128" t="s">
        <v>1667</v>
      </c>
      <c r="B3756" s="147">
        <v>1840.0</v>
      </c>
      <c r="C3756" s="147">
        <v>1990.0</v>
      </c>
      <c r="D3756" s="132">
        <f t="shared" si="262"/>
        <v>150</v>
      </c>
      <c r="E3756" s="139"/>
      <c r="F3756" s="124"/>
      <c r="G3756" s="129"/>
      <c r="H3756" s="129"/>
      <c r="I3756" s="129"/>
      <c r="J3756" s="129"/>
      <c r="K3756" s="129"/>
      <c r="L3756" s="129"/>
      <c r="M3756" s="129"/>
      <c r="N3756" s="129"/>
      <c r="O3756" s="129"/>
      <c r="P3756" s="129"/>
      <c r="Q3756" s="129"/>
      <c r="R3756" s="129"/>
      <c r="S3756" s="129"/>
      <c r="T3756" s="129"/>
      <c r="U3756" s="129"/>
      <c r="V3756" s="129"/>
      <c r="W3756" s="129"/>
      <c r="X3756" s="129"/>
      <c r="Y3756" s="129"/>
      <c r="Z3756" s="129"/>
      <c r="AA3756" s="129"/>
      <c r="AB3756" s="129"/>
    </row>
    <row r="3757" hidden="1">
      <c r="A3757" s="123" t="s">
        <v>1664</v>
      </c>
      <c r="B3757" s="124">
        <v>15490.0</v>
      </c>
      <c r="C3757" s="124">
        <v>16990.0</v>
      </c>
      <c r="D3757" s="125">
        <f t="shared" si="262"/>
        <v>1500</v>
      </c>
      <c r="E3757" s="124"/>
      <c r="F3757" s="124"/>
      <c r="G3757" s="123"/>
    </row>
    <row r="3758" hidden="1">
      <c r="A3758" s="123" t="s">
        <v>1668</v>
      </c>
      <c r="B3758" s="147">
        <v>1500.0</v>
      </c>
      <c r="C3758" s="147">
        <v>1650.0</v>
      </c>
      <c r="D3758" s="132">
        <f t="shared" si="262"/>
        <v>150</v>
      </c>
      <c r="E3758" s="139"/>
      <c r="F3758" s="139"/>
      <c r="G3758" s="129"/>
      <c r="H3758" s="129"/>
      <c r="I3758" s="129"/>
      <c r="J3758" s="129"/>
      <c r="K3758" s="129"/>
      <c r="L3758" s="129"/>
      <c r="M3758" s="129"/>
      <c r="N3758" s="129"/>
      <c r="O3758" s="129"/>
      <c r="P3758" s="129"/>
      <c r="Q3758" s="129"/>
      <c r="R3758" s="129"/>
      <c r="S3758" s="129"/>
      <c r="T3758" s="129"/>
      <c r="U3758" s="129"/>
      <c r="V3758" s="129"/>
      <c r="W3758" s="129"/>
      <c r="X3758" s="129"/>
      <c r="Y3758" s="129"/>
      <c r="Z3758" s="129"/>
      <c r="AA3758" s="129"/>
      <c r="AB3758" s="129"/>
    </row>
    <row r="3759" hidden="1">
      <c r="A3759" s="123" t="s">
        <v>1213</v>
      </c>
      <c r="B3759" s="147">
        <v>1475.0</v>
      </c>
      <c r="C3759" s="124">
        <v>1625.0</v>
      </c>
      <c r="D3759" s="132">
        <f t="shared" si="262"/>
        <v>150</v>
      </c>
      <c r="E3759" s="132"/>
      <c r="F3759" s="132"/>
    </row>
    <row r="3760" hidden="1">
      <c r="A3760" s="128" t="s">
        <v>1669</v>
      </c>
      <c r="B3760" s="147">
        <v>1740.0</v>
      </c>
      <c r="C3760" s="147">
        <v>1890.0</v>
      </c>
      <c r="D3760" s="132">
        <f t="shared" si="262"/>
        <v>150</v>
      </c>
      <c r="E3760" s="139"/>
      <c r="F3760" s="139"/>
      <c r="G3760" s="129"/>
      <c r="H3760" s="129"/>
      <c r="I3760" s="129"/>
      <c r="J3760" s="129"/>
      <c r="K3760" s="129"/>
      <c r="L3760" s="129"/>
      <c r="M3760" s="129"/>
      <c r="N3760" s="129"/>
      <c r="O3760" s="129"/>
      <c r="P3760" s="129"/>
      <c r="Q3760" s="129"/>
      <c r="R3760" s="129"/>
      <c r="S3760" s="129"/>
      <c r="T3760" s="129"/>
      <c r="U3760" s="129"/>
      <c r="V3760" s="129"/>
      <c r="W3760" s="129"/>
      <c r="X3760" s="129"/>
      <c r="Y3760" s="129"/>
      <c r="Z3760" s="129"/>
      <c r="AA3760" s="129"/>
      <c r="AB3760" s="129"/>
    </row>
    <row r="3761" hidden="1">
      <c r="A3761" s="150" t="s">
        <v>1669</v>
      </c>
      <c r="B3761" s="147">
        <v>1740.0</v>
      </c>
      <c r="C3761" s="147">
        <v>1890.0</v>
      </c>
      <c r="D3761" s="132">
        <f t="shared" si="262"/>
        <v>150</v>
      </c>
      <c r="E3761" s="139"/>
      <c r="F3761" s="139"/>
      <c r="G3761" s="129"/>
      <c r="H3761" s="129"/>
      <c r="I3761" s="129"/>
      <c r="J3761" s="129"/>
      <c r="K3761" s="129"/>
      <c r="L3761" s="129"/>
      <c r="M3761" s="129"/>
      <c r="N3761" s="129"/>
      <c r="O3761" s="129"/>
      <c r="P3761" s="129"/>
      <c r="Q3761" s="129"/>
      <c r="R3761" s="129"/>
      <c r="S3761" s="129"/>
      <c r="T3761" s="129"/>
      <c r="U3761" s="129"/>
      <c r="V3761" s="129"/>
      <c r="W3761" s="129"/>
      <c r="X3761" s="129"/>
      <c r="Y3761" s="129"/>
      <c r="Z3761" s="129"/>
      <c r="AA3761" s="129"/>
      <c r="AB3761" s="129"/>
    </row>
    <row r="3762" hidden="1">
      <c r="A3762" s="123" t="s">
        <v>1213</v>
      </c>
      <c r="B3762" s="147">
        <v>1475.0</v>
      </c>
      <c r="C3762" s="124">
        <v>1625.0</v>
      </c>
      <c r="D3762" s="132">
        <f t="shared" si="262"/>
        <v>150</v>
      </c>
      <c r="E3762" s="132"/>
      <c r="F3762" s="132"/>
    </row>
    <row r="3763" hidden="1">
      <c r="A3763" s="128" t="s">
        <v>1631</v>
      </c>
      <c r="B3763" s="147">
        <v>1190.0</v>
      </c>
      <c r="C3763" s="147">
        <v>1390.0</v>
      </c>
      <c r="D3763" s="132">
        <f t="shared" si="262"/>
        <v>200</v>
      </c>
      <c r="E3763" s="139"/>
      <c r="F3763" s="139"/>
      <c r="G3763" s="129"/>
      <c r="H3763" s="129"/>
      <c r="I3763" s="129"/>
      <c r="J3763" s="129"/>
      <c r="K3763" s="129"/>
      <c r="L3763" s="129"/>
      <c r="M3763" s="129"/>
      <c r="N3763" s="129"/>
      <c r="O3763" s="129"/>
      <c r="P3763" s="129"/>
      <c r="Q3763" s="129"/>
      <c r="R3763" s="129"/>
      <c r="S3763" s="129"/>
      <c r="T3763" s="129"/>
      <c r="U3763" s="129"/>
      <c r="V3763" s="129"/>
      <c r="W3763" s="129"/>
      <c r="X3763" s="129"/>
      <c r="Y3763" s="129"/>
      <c r="Z3763" s="129"/>
      <c r="AA3763" s="129"/>
      <c r="AB3763" s="129"/>
    </row>
    <row r="3764" hidden="1">
      <c r="A3764" s="123" t="s">
        <v>1628</v>
      </c>
      <c r="B3764" s="124">
        <v>1190.0</v>
      </c>
      <c r="C3764" s="124">
        <v>1390.0</v>
      </c>
      <c r="D3764" s="125">
        <f t="shared" si="262"/>
        <v>200</v>
      </c>
      <c r="E3764" s="124"/>
      <c r="F3764" s="124"/>
    </row>
    <row r="3765" hidden="1">
      <c r="A3765" s="150" t="s">
        <v>1308</v>
      </c>
      <c r="B3765" s="132">
        <v>1440.0</v>
      </c>
      <c r="C3765" s="132">
        <v>1590.0</v>
      </c>
      <c r="D3765" s="132">
        <f t="shared" si="262"/>
        <v>150</v>
      </c>
      <c r="E3765" s="132"/>
      <c r="F3765" s="132"/>
      <c r="G3765" s="129"/>
      <c r="H3765" s="129"/>
      <c r="I3765" s="129"/>
      <c r="J3765" s="129"/>
      <c r="K3765" s="129"/>
      <c r="L3765" s="129"/>
      <c r="M3765" s="129"/>
      <c r="N3765" s="129"/>
      <c r="O3765" s="129"/>
      <c r="P3765" s="129"/>
      <c r="Q3765" s="129"/>
      <c r="R3765" s="129"/>
      <c r="S3765" s="129"/>
      <c r="T3765" s="129"/>
      <c r="U3765" s="129"/>
      <c r="V3765" s="129"/>
      <c r="W3765" s="129"/>
      <c r="X3765" s="129"/>
      <c r="Y3765" s="129"/>
      <c r="Z3765" s="129"/>
      <c r="AA3765" s="129"/>
      <c r="AB3765" s="129"/>
    </row>
    <row r="3766" hidden="1">
      <c r="A3766" s="150" t="s">
        <v>1670</v>
      </c>
      <c r="B3766" s="147">
        <v>11490.0</v>
      </c>
      <c r="C3766" s="147">
        <v>11990.0</v>
      </c>
      <c r="D3766" s="132">
        <f t="shared" si="262"/>
        <v>500</v>
      </c>
      <c r="E3766" s="139"/>
      <c r="F3766" s="139"/>
      <c r="G3766" s="129"/>
      <c r="H3766" s="129"/>
      <c r="I3766" s="129"/>
      <c r="J3766" s="129"/>
      <c r="K3766" s="129"/>
      <c r="L3766" s="129"/>
      <c r="M3766" s="129"/>
      <c r="N3766" s="129"/>
      <c r="O3766" s="129"/>
      <c r="P3766" s="129"/>
      <c r="Q3766" s="129"/>
      <c r="R3766" s="129"/>
      <c r="S3766" s="129"/>
      <c r="T3766" s="129"/>
      <c r="U3766" s="129"/>
      <c r="V3766" s="129"/>
      <c r="W3766" s="129"/>
      <c r="X3766" s="129"/>
      <c r="Y3766" s="129"/>
      <c r="Z3766" s="129"/>
      <c r="AA3766" s="129"/>
      <c r="AB3766" s="129"/>
    </row>
    <row r="3767" hidden="1">
      <c r="A3767" s="123" t="s">
        <v>1671</v>
      </c>
      <c r="B3767" s="124">
        <v>15990.0</v>
      </c>
      <c r="C3767" s="124">
        <v>16990.0</v>
      </c>
      <c r="D3767" s="125">
        <f t="shared" si="262"/>
        <v>1000</v>
      </c>
      <c r="E3767" s="124"/>
      <c r="F3767" s="124"/>
    </row>
    <row r="3768" hidden="1">
      <c r="A3768" s="159" t="s">
        <v>1114</v>
      </c>
      <c r="B3768" s="124">
        <v>900.0</v>
      </c>
      <c r="C3768" s="124">
        <v>1100.0</v>
      </c>
      <c r="D3768" s="125">
        <f t="shared" si="262"/>
        <v>200</v>
      </c>
      <c r="E3768" s="124"/>
      <c r="F3768" s="124"/>
    </row>
    <row r="3769" hidden="1">
      <c r="A3769" s="159" t="s">
        <v>1672</v>
      </c>
      <c r="B3769" s="147">
        <v>3550.0</v>
      </c>
      <c r="C3769" s="147">
        <v>3750.0</v>
      </c>
      <c r="D3769" s="132">
        <f t="shared" si="262"/>
        <v>200</v>
      </c>
      <c r="E3769" s="139"/>
      <c r="F3769" s="139"/>
      <c r="G3769" s="129"/>
      <c r="H3769" s="129"/>
      <c r="I3769" s="129"/>
      <c r="J3769" s="129"/>
      <c r="K3769" s="129"/>
      <c r="L3769" s="129"/>
      <c r="M3769" s="129"/>
      <c r="N3769" s="129"/>
      <c r="O3769" s="129"/>
      <c r="P3769" s="129"/>
      <c r="Q3769" s="129"/>
      <c r="R3769" s="129"/>
      <c r="S3769" s="129"/>
      <c r="T3769" s="129"/>
      <c r="U3769" s="129"/>
      <c r="V3769" s="129"/>
      <c r="W3769" s="129"/>
      <c r="X3769" s="129"/>
      <c r="Y3769" s="129"/>
      <c r="Z3769" s="129"/>
      <c r="AA3769" s="129"/>
      <c r="AB3769" s="129"/>
    </row>
    <row r="3770" hidden="1">
      <c r="A3770" s="159" t="s">
        <v>1673</v>
      </c>
      <c r="B3770" s="147">
        <v>1150.0</v>
      </c>
      <c r="C3770" s="147">
        <v>1300.0</v>
      </c>
      <c r="D3770" s="132">
        <f t="shared" si="262"/>
        <v>150</v>
      </c>
      <c r="E3770" s="139"/>
      <c r="F3770" s="139"/>
      <c r="G3770" s="129"/>
      <c r="H3770" s="129"/>
      <c r="I3770" s="129"/>
      <c r="J3770" s="129"/>
      <c r="K3770" s="129"/>
      <c r="L3770" s="129"/>
      <c r="M3770" s="129"/>
      <c r="N3770" s="129"/>
      <c r="O3770" s="129"/>
      <c r="P3770" s="129"/>
      <c r="Q3770" s="129"/>
      <c r="R3770" s="129"/>
      <c r="S3770" s="129"/>
      <c r="T3770" s="129"/>
      <c r="U3770" s="129"/>
      <c r="V3770" s="129"/>
      <c r="W3770" s="129"/>
      <c r="X3770" s="129"/>
      <c r="Y3770" s="129"/>
      <c r="Z3770" s="129"/>
      <c r="AA3770" s="129"/>
      <c r="AB3770" s="129"/>
    </row>
    <row r="3771" hidden="1">
      <c r="A3771" s="128" t="s">
        <v>1674</v>
      </c>
      <c r="B3771" s="147">
        <v>1575.0</v>
      </c>
      <c r="C3771" s="147">
        <v>1725.0</v>
      </c>
      <c r="D3771" s="132">
        <f t="shared" si="262"/>
        <v>150</v>
      </c>
      <c r="E3771" s="139"/>
      <c r="F3771" s="139"/>
      <c r="G3771" s="129"/>
      <c r="H3771" s="129"/>
      <c r="I3771" s="129"/>
      <c r="J3771" s="129"/>
      <c r="K3771" s="129"/>
      <c r="L3771" s="129"/>
      <c r="M3771" s="129"/>
      <c r="N3771" s="129"/>
      <c r="O3771" s="129"/>
      <c r="P3771" s="129"/>
      <c r="Q3771" s="129"/>
      <c r="R3771" s="129"/>
      <c r="S3771" s="129"/>
      <c r="T3771" s="129"/>
      <c r="U3771" s="129"/>
      <c r="V3771" s="129"/>
      <c r="W3771" s="129"/>
      <c r="X3771" s="129"/>
      <c r="Y3771" s="129"/>
      <c r="Z3771" s="129"/>
      <c r="AA3771" s="129"/>
      <c r="AB3771" s="129"/>
    </row>
    <row r="3772" hidden="1">
      <c r="A3772" s="128" t="s">
        <v>1675</v>
      </c>
      <c r="B3772" s="147">
        <v>1525.0</v>
      </c>
      <c r="C3772" s="147">
        <v>1675.0</v>
      </c>
      <c r="D3772" s="132">
        <f t="shared" si="262"/>
        <v>150</v>
      </c>
      <c r="E3772" s="139"/>
      <c r="F3772" s="139"/>
      <c r="G3772" s="129"/>
      <c r="H3772" s="129"/>
      <c r="I3772" s="129"/>
      <c r="J3772" s="129"/>
      <c r="K3772" s="129"/>
      <c r="L3772" s="129"/>
      <c r="M3772" s="129"/>
      <c r="N3772" s="129"/>
      <c r="O3772" s="129"/>
      <c r="P3772" s="129"/>
      <c r="Q3772" s="129"/>
      <c r="R3772" s="129"/>
      <c r="S3772" s="129"/>
      <c r="T3772" s="129"/>
      <c r="U3772" s="129"/>
      <c r="V3772" s="129"/>
      <c r="W3772" s="129"/>
      <c r="X3772" s="129"/>
      <c r="Y3772" s="129"/>
      <c r="Z3772" s="129"/>
      <c r="AA3772" s="129"/>
      <c r="AB3772" s="129"/>
    </row>
    <row r="3773" hidden="1">
      <c r="A3773" s="150" t="s">
        <v>1209</v>
      </c>
      <c r="B3773" s="147">
        <v>1500.0</v>
      </c>
      <c r="C3773" s="147">
        <v>1650.0</v>
      </c>
      <c r="D3773" s="132">
        <f t="shared" si="262"/>
        <v>150</v>
      </c>
      <c r="E3773" s="139"/>
      <c r="F3773" s="139"/>
      <c r="G3773" s="129"/>
      <c r="H3773" s="129"/>
      <c r="I3773" s="129"/>
      <c r="J3773" s="129"/>
      <c r="K3773" s="129"/>
      <c r="L3773" s="129"/>
      <c r="M3773" s="129"/>
      <c r="N3773" s="129"/>
      <c r="O3773" s="129"/>
      <c r="P3773" s="129"/>
      <c r="Q3773" s="129"/>
      <c r="R3773" s="129"/>
      <c r="S3773" s="129"/>
      <c r="T3773" s="129"/>
      <c r="U3773" s="129"/>
      <c r="V3773" s="129"/>
      <c r="W3773" s="129"/>
      <c r="X3773" s="129"/>
      <c r="Y3773" s="129"/>
      <c r="Z3773" s="129"/>
      <c r="AA3773" s="129"/>
      <c r="AB3773" s="129"/>
    </row>
    <row r="3774" hidden="1">
      <c r="A3774" s="150" t="s">
        <v>1209</v>
      </c>
      <c r="B3774" s="147">
        <v>1500.0</v>
      </c>
      <c r="C3774" s="147">
        <v>1650.0</v>
      </c>
      <c r="D3774" s="132">
        <f t="shared" si="262"/>
        <v>150</v>
      </c>
      <c r="E3774" s="139"/>
      <c r="F3774" s="139"/>
      <c r="G3774" s="129"/>
      <c r="H3774" s="129"/>
      <c r="I3774" s="129"/>
      <c r="J3774" s="129"/>
      <c r="K3774" s="129"/>
      <c r="L3774" s="129"/>
      <c r="M3774" s="129"/>
      <c r="N3774" s="129"/>
      <c r="O3774" s="129"/>
      <c r="P3774" s="129"/>
      <c r="Q3774" s="129"/>
      <c r="R3774" s="129"/>
      <c r="S3774" s="129"/>
      <c r="T3774" s="129"/>
      <c r="U3774" s="129"/>
      <c r="V3774" s="129"/>
      <c r="W3774" s="129"/>
      <c r="X3774" s="129"/>
      <c r="Y3774" s="129"/>
      <c r="Z3774" s="129"/>
      <c r="AA3774" s="129"/>
      <c r="AB3774" s="129"/>
    </row>
    <row r="3775" hidden="1">
      <c r="A3775" s="128" t="s">
        <v>1301</v>
      </c>
      <c r="B3775" s="124">
        <v>1500.0</v>
      </c>
      <c r="C3775" s="124">
        <v>1650.0</v>
      </c>
      <c r="D3775" s="125">
        <f t="shared" si="262"/>
        <v>150</v>
      </c>
      <c r="E3775" s="124"/>
      <c r="F3775" s="124"/>
    </row>
    <row r="3776" hidden="1">
      <c r="A3776" s="123" t="s">
        <v>1655</v>
      </c>
      <c r="B3776" s="124">
        <v>740.0</v>
      </c>
      <c r="C3776" s="124">
        <v>890.0</v>
      </c>
      <c r="D3776" s="125">
        <f t="shared" si="262"/>
        <v>150</v>
      </c>
      <c r="E3776" s="124"/>
      <c r="F3776" s="124"/>
    </row>
    <row r="3777" hidden="1">
      <c r="A3777" s="123" t="s">
        <v>1350</v>
      </c>
      <c r="B3777" s="147">
        <v>1440.0</v>
      </c>
      <c r="C3777" s="124">
        <v>1590.0</v>
      </c>
      <c r="D3777" s="132">
        <f t="shared" si="262"/>
        <v>150</v>
      </c>
      <c r="E3777" s="124"/>
      <c r="F3777" s="124"/>
    </row>
    <row r="3778" hidden="1">
      <c r="A3778" s="123" t="s">
        <v>1671</v>
      </c>
      <c r="B3778" s="124">
        <v>15990.0</v>
      </c>
      <c r="C3778" s="124">
        <v>16890.0</v>
      </c>
      <c r="D3778" s="125">
        <f t="shared" si="262"/>
        <v>900</v>
      </c>
      <c r="E3778" s="124"/>
      <c r="F3778" s="124"/>
    </row>
    <row r="3779" hidden="1">
      <c r="A3779" s="128" t="s">
        <v>1209</v>
      </c>
      <c r="B3779" s="147">
        <v>1500.0</v>
      </c>
      <c r="C3779" s="147">
        <v>1650.0</v>
      </c>
      <c r="D3779" s="132">
        <f t="shared" si="262"/>
        <v>150</v>
      </c>
      <c r="E3779" s="139"/>
      <c r="F3779" s="139"/>
      <c r="G3779" s="129"/>
      <c r="H3779" s="129"/>
      <c r="I3779" s="129"/>
      <c r="J3779" s="129"/>
      <c r="K3779" s="129"/>
      <c r="L3779" s="129"/>
      <c r="M3779" s="129"/>
      <c r="N3779" s="129"/>
      <c r="O3779" s="129"/>
      <c r="P3779" s="129"/>
      <c r="Q3779" s="129"/>
      <c r="R3779" s="129"/>
      <c r="S3779" s="129"/>
      <c r="T3779" s="129"/>
      <c r="U3779" s="129"/>
      <c r="V3779" s="129"/>
      <c r="W3779" s="129"/>
      <c r="X3779" s="129"/>
      <c r="Y3779" s="129"/>
      <c r="Z3779" s="129"/>
      <c r="AA3779" s="129"/>
      <c r="AB3779" s="129"/>
    </row>
    <row r="3780" hidden="1">
      <c r="A3780" s="123" t="s">
        <v>1213</v>
      </c>
      <c r="B3780" s="147">
        <v>1440.0</v>
      </c>
      <c r="C3780" s="124">
        <v>1590.0</v>
      </c>
      <c r="D3780" s="132">
        <f t="shared" si="262"/>
        <v>150</v>
      </c>
      <c r="E3780" s="132"/>
      <c r="F3780" s="132"/>
    </row>
    <row r="3781" hidden="1">
      <c r="A3781" s="123" t="s">
        <v>1656</v>
      </c>
      <c r="B3781" s="124">
        <v>1740.0</v>
      </c>
      <c r="C3781" s="124">
        <v>1890.0</v>
      </c>
      <c r="D3781" s="125">
        <f t="shared" si="262"/>
        <v>150</v>
      </c>
      <c r="E3781" s="124"/>
      <c r="F3781" s="124"/>
    </row>
    <row r="3782" hidden="1">
      <c r="A3782" s="123" t="s">
        <v>1656</v>
      </c>
      <c r="B3782" s="124">
        <v>1740.0</v>
      </c>
      <c r="C3782" s="124">
        <v>1890.0</v>
      </c>
      <c r="D3782" s="125">
        <f t="shared" si="262"/>
        <v>150</v>
      </c>
      <c r="E3782" s="124"/>
      <c r="F3782" s="124"/>
    </row>
    <row r="3783" hidden="1">
      <c r="A3783" s="123" t="s">
        <v>1668</v>
      </c>
      <c r="B3783" s="147">
        <v>1350.0</v>
      </c>
      <c r="C3783" s="147">
        <v>1500.0</v>
      </c>
      <c r="D3783" s="132">
        <f t="shared" si="262"/>
        <v>150</v>
      </c>
      <c r="E3783" s="139"/>
      <c r="F3783" s="139"/>
      <c r="G3783" s="129"/>
      <c r="H3783" s="129"/>
      <c r="I3783" s="129"/>
      <c r="J3783" s="129"/>
      <c r="K3783" s="129"/>
      <c r="L3783" s="129"/>
      <c r="M3783" s="129"/>
      <c r="N3783" s="129"/>
      <c r="O3783" s="129"/>
      <c r="P3783" s="129"/>
      <c r="Q3783" s="129"/>
      <c r="R3783" s="129"/>
      <c r="S3783" s="129"/>
      <c r="T3783" s="129"/>
      <c r="U3783" s="129"/>
      <c r="V3783" s="129"/>
      <c r="W3783" s="129"/>
      <c r="X3783" s="129"/>
      <c r="Y3783" s="129"/>
      <c r="Z3783" s="129"/>
      <c r="AA3783" s="129"/>
      <c r="AB3783" s="129"/>
    </row>
    <row r="3784" hidden="1">
      <c r="A3784" s="123" t="s">
        <v>1676</v>
      </c>
      <c r="B3784" s="124">
        <v>21500.0</v>
      </c>
      <c r="C3784" s="124">
        <v>23000.0</v>
      </c>
      <c r="D3784" s="125">
        <f t="shared" si="262"/>
        <v>1500</v>
      </c>
      <c r="E3784" s="124"/>
      <c r="F3784" s="124"/>
    </row>
    <row r="3785" hidden="1">
      <c r="A3785" s="123" t="s">
        <v>1671</v>
      </c>
      <c r="B3785" s="124">
        <v>16000.0</v>
      </c>
      <c r="C3785" s="124">
        <v>16750.0</v>
      </c>
      <c r="D3785" s="125">
        <f t="shared" si="262"/>
        <v>750</v>
      </c>
      <c r="E3785" s="124"/>
      <c r="F3785" s="124"/>
    </row>
    <row r="3786" hidden="1">
      <c r="A3786" s="123" t="s">
        <v>1676</v>
      </c>
      <c r="B3786" s="124">
        <v>21500.0</v>
      </c>
      <c r="C3786" s="124">
        <v>23000.0</v>
      </c>
      <c r="D3786" s="125">
        <f t="shared" si="262"/>
        <v>1500</v>
      </c>
      <c r="E3786" s="124"/>
      <c r="F3786" s="124"/>
    </row>
    <row r="3787" hidden="1">
      <c r="A3787" s="123" t="s">
        <v>1213</v>
      </c>
      <c r="B3787" s="147">
        <v>1440.0</v>
      </c>
      <c r="C3787" s="124">
        <v>1590.0</v>
      </c>
      <c r="D3787" s="132">
        <f t="shared" si="262"/>
        <v>150</v>
      </c>
      <c r="E3787" s="132"/>
      <c r="F3787" s="132"/>
    </row>
    <row r="3788" hidden="1">
      <c r="A3788" s="123" t="s">
        <v>1213</v>
      </c>
      <c r="B3788" s="147">
        <v>1440.0</v>
      </c>
      <c r="C3788" s="124">
        <v>1590.0</v>
      </c>
      <c r="D3788" s="132">
        <f t="shared" si="262"/>
        <v>150</v>
      </c>
      <c r="E3788" s="132"/>
      <c r="F3788" s="132"/>
    </row>
    <row r="3789" hidden="1">
      <c r="A3789" s="128" t="s">
        <v>1674</v>
      </c>
      <c r="B3789" s="147">
        <v>1540.0</v>
      </c>
      <c r="C3789" s="147">
        <v>1690.0</v>
      </c>
      <c r="D3789" s="132">
        <f t="shared" si="262"/>
        <v>150</v>
      </c>
      <c r="E3789" s="139"/>
      <c r="F3789" s="139"/>
      <c r="G3789" s="129"/>
      <c r="H3789" s="129"/>
      <c r="I3789" s="129"/>
      <c r="J3789" s="129"/>
      <c r="K3789" s="129"/>
      <c r="L3789" s="129"/>
      <c r="M3789" s="129"/>
      <c r="N3789" s="129"/>
      <c r="O3789" s="129"/>
      <c r="P3789" s="129"/>
      <c r="Q3789" s="129"/>
      <c r="R3789" s="129"/>
      <c r="S3789" s="129"/>
      <c r="T3789" s="129"/>
      <c r="U3789" s="129"/>
      <c r="V3789" s="129"/>
      <c r="W3789" s="129"/>
      <c r="X3789" s="129"/>
      <c r="Y3789" s="129"/>
      <c r="Z3789" s="129"/>
      <c r="AA3789" s="129"/>
      <c r="AB3789" s="129"/>
    </row>
    <row r="3790" hidden="1">
      <c r="A3790" s="123" t="s">
        <v>1677</v>
      </c>
      <c r="B3790" s="124">
        <v>7250.0</v>
      </c>
      <c r="C3790" s="124">
        <v>8250.0</v>
      </c>
      <c r="D3790" s="125">
        <f t="shared" si="262"/>
        <v>1000</v>
      </c>
      <c r="E3790" s="124"/>
      <c r="F3790" s="124"/>
    </row>
    <row r="3791" hidden="1">
      <c r="A3791" s="159" t="s">
        <v>1678</v>
      </c>
      <c r="B3791" s="147">
        <v>3990.0</v>
      </c>
      <c r="C3791" s="147">
        <v>4190.0</v>
      </c>
      <c r="D3791" s="132">
        <f t="shared" si="262"/>
        <v>200</v>
      </c>
      <c r="E3791" s="139"/>
      <c r="F3791" s="139"/>
      <c r="G3791" s="129"/>
      <c r="H3791" s="129"/>
      <c r="I3791" s="129"/>
      <c r="J3791" s="129"/>
      <c r="K3791" s="129"/>
      <c r="L3791" s="129"/>
      <c r="M3791" s="129"/>
      <c r="N3791" s="129"/>
      <c r="O3791" s="129"/>
      <c r="P3791" s="129"/>
      <c r="Q3791" s="129"/>
      <c r="R3791" s="129"/>
      <c r="S3791" s="129"/>
      <c r="T3791" s="129"/>
      <c r="U3791" s="129"/>
      <c r="V3791" s="129"/>
      <c r="W3791" s="129"/>
      <c r="X3791" s="129"/>
      <c r="Y3791" s="129"/>
      <c r="Z3791" s="129"/>
      <c r="AA3791" s="129"/>
      <c r="AB3791" s="129"/>
    </row>
    <row r="3792" hidden="1">
      <c r="A3792" s="123" t="s">
        <v>1308</v>
      </c>
      <c r="B3792" s="147">
        <v>1440.0</v>
      </c>
      <c r="C3792" s="124">
        <v>1590.0</v>
      </c>
      <c r="D3792" s="132">
        <f t="shared" si="262"/>
        <v>150</v>
      </c>
      <c r="E3792" s="132"/>
      <c r="F3792" s="132"/>
    </row>
    <row r="3793" hidden="1">
      <c r="A3793" s="123" t="s">
        <v>1671</v>
      </c>
      <c r="B3793" s="124">
        <v>16000.0</v>
      </c>
      <c r="C3793" s="124">
        <v>17350.0</v>
      </c>
      <c r="D3793" s="125">
        <f t="shared" si="262"/>
        <v>1350</v>
      </c>
      <c r="E3793" s="124"/>
      <c r="F3793" s="124"/>
    </row>
    <row r="3794" hidden="1">
      <c r="A3794" s="128" t="s">
        <v>1679</v>
      </c>
      <c r="B3794" s="147">
        <v>1200.0</v>
      </c>
      <c r="C3794" s="147">
        <v>1350.0</v>
      </c>
      <c r="D3794" s="132">
        <f t="shared" si="262"/>
        <v>150</v>
      </c>
      <c r="E3794" s="124"/>
      <c r="F3794" s="124"/>
      <c r="G3794" s="129"/>
      <c r="H3794" s="129"/>
      <c r="I3794" s="129"/>
      <c r="J3794" s="129"/>
      <c r="K3794" s="129"/>
      <c r="L3794" s="129"/>
      <c r="M3794" s="129"/>
      <c r="N3794" s="129"/>
      <c r="O3794" s="129"/>
      <c r="P3794" s="129"/>
      <c r="Q3794" s="129"/>
      <c r="R3794" s="129"/>
      <c r="S3794" s="129"/>
      <c r="T3794" s="129"/>
      <c r="U3794" s="129"/>
      <c r="V3794" s="129"/>
      <c r="W3794" s="129"/>
      <c r="X3794" s="129"/>
      <c r="Y3794" s="129"/>
      <c r="Z3794" s="129"/>
      <c r="AA3794" s="129"/>
      <c r="AB3794" s="129"/>
    </row>
    <row r="3795" hidden="1">
      <c r="A3795" s="128" t="s">
        <v>1675</v>
      </c>
      <c r="B3795" s="147">
        <v>1525.0</v>
      </c>
      <c r="C3795" s="147">
        <v>1675.0</v>
      </c>
      <c r="D3795" s="132">
        <f t="shared" si="262"/>
        <v>150</v>
      </c>
      <c r="E3795" s="139"/>
      <c r="F3795" s="139"/>
      <c r="G3795" s="129"/>
      <c r="H3795" s="129"/>
      <c r="I3795" s="129"/>
      <c r="J3795" s="129"/>
      <c r="K3795" s="129"/>
      <c r="L3795" s="129"/>
      <c r="M3795" s="129"/>
      <c r="N3795" s="129"/>
      <c r="O3795" s="129"/>
      <c r="P3795" s="129"/>
      <c r="Q3795" s="129"/>
      <c r="R3795" s="129"/>
      <c r="S3795" s="129"/>
      <c r="T3795" s="129"/>
      <c r="U3795" s="129"/>
      <c r="V3795" s="129"/>
      <c r="W3795" s="129"/>
      <c r="X3795" s="129"/>
      <c r="Y3795" s="129"/>
      <c r="Z3795" s="129"/>
      <c r="AA3795" s="129"/>
      <c r="AB3795" s="129"/>
    </row>
    <row r="3796" hidden="1">
      <c r="A3796" s="123" t="s">
        <v>1680</v>
      </c>
      <c r="B3796" s="124">
        <v>5000.0</v>
      </c>
      <c r="C3796" s="124">
        <v>5750.0</v>
      </c>
      <c r="D3796" s="125">
        <f t="shared" si="262"/>
        <v>750</v>
      </c>
      <c r="E3796" s="124"/>
      <c r="F3796" s="124"/>
    </row>
    <row r="3797" hidden="1">
      <c r="A3797" s="123" t="s">
        <v>1681</v>
      </c>
      <c r="B3797" s="147">
        <v>1040.0</v>
      </c>
      <c r="C3797" s="147">
        <v>1190.0</v>
      </c>
      <c r="D3797" s="125">
        <f t="shared" si="262"/>
        <v>150</v>
      </c>
      <c r="E3797" s="124"/>
      <c r="F3797" s="124"/>
    </row>
    <row r="3798" hidden="1">
      <c r="A3798" s="123" t="s">
        <v>1656</v>
      </c>
      <c r="B3798" s="124">
        <v>1800.0</v>
      </c>
      <c r="C3798" s="124">
        <v>2000.0</v>
      </c>
      <c r="D3798" s="125">
        <f t="shared" si="262"/>
        <v>200</v>
      </c>
      <c r="E3798" s="124"/>
      <c r="F3798" s="124"/>
    </row>
    <row r="3799" hidden="1">
      <c r="A3799" s="128" t="s">
        <v>1682</v>
      </c>
      <c r="B3799" s="147">
        <v>10500.0</v>
      </c>
      <c r="C3799" s="147">
        <v>12500.0</v>
      </c>
      <c r="D3799" s="132">
        <f t="shared" si="262"/>
        <v>2000</v>
      </c>
      <c r="E3799" s="139"/>
      <c r="F3799" s="139"/>
      <c r="G3799" s="129"/>
      <c r="H3799" s="129"/>
      <c r="I3799" s="129"/>
      <c r="J3799" s="129"/>
      <c r="K3799" s="129"/>
      <c r="L3799" s="129"/>
      <c r="M3799" s="129"/>
      <c r="N3799" s="129"/>
      <c r="O3799" s="129"/>
      <c r="P3799" s="129"/>
      <c r="Q3799" s="129"/>
      <c r="R3799" s="129"/>
      <c r="S3799" s="129"/>
      <c r="T3799" s="129"/>
      <c r="U3799" s="129"/>
      <c r="V3799" s="129"/>
      <c r="W3799" s="129"/>
      <c r="X3799" s="129"/>
      <c r="Y3799" s="129"/>
      <c r="Z3799" s="129"/>
      <c r="AA3799" s="129"/>
      <c r="AB3799" s="129"/>
    </row>
    <row r="3800" hidden="1">
      <c r="A3800" s="150" t="s">
        <v>1656</v>
      </c>
      <c r="B3800" s="132">
        <v>1790.0</v>
      </c>
      <c r="C3800" s="147">
        <v>1990.0</v>
      </c>
      <c r="D3800" s="132">
        <f t="shared" si="262"/>
        <v>200</v>
      </c>
      <c r="E3800" s="139"/>
      <c r="F3800" s="139"/>
      <c r="G3800" s="129"/>
      <c r="H3800" s="129"/>
      <c r="I3800" s="129"/>
      <c r="J3800" s="129"/>
      <c r="K3800" s="129"/>
      <c r="L3800" s="129"/>
      <c r="M3800" s="129"/>
      <c r="N3800" s="129"/>
      <c r="O3800" s="129"/>
      <c r="P3800" s="129"/>
      <c r="Q3800" s="129"/>
      <c r="R3800" s="129"/>
      <c r="S3800" s="129"/>
      <c r="T3800" s="129"/>
      <c r="U3800" s="129"/>
      <c r="V3800" s="129"/>
      <c r="W3800" s="129"/>
      <c r="X3800" s="129"/>
      <c r="Y3800" s="129"/>
      <c r="Z3800" s="129"/>
      <c r="AA3800" s="129"/>
      <c r="AB3800" s="129"/>
    </row>
    <row r="3801" hidden="1">
      <c r="A3801" s="150" t="s">
        <v>1656</v>
      </c>
      <c r="B3801" s="132">
        <v>1790.0</v>
      </c>
      <c r="C3801" s="147">
        <v>1990.0</v>
      </c>
      <c r="D3801" s="132">
        <f t="shared" si="262"/>
        <v>200</v>
      </c>
      <c r="E3801" s="139"/>
      <c r="F3801" s="139"/>
      <c r="G3801" s="129"/>
      <c r="H3801" s="129"/>
      <c r="I3801" s="129"/>
      <c r="J3801" s="129"/>
      <c r="K3801" s="129"/>
      <c r="L3801" s="129"/>
      <c r="M3801" s="129"/>
      <c r="N3801" s="129"/>
      <c r="O3801" s="129"/>
      <c r="P3801" s="129"/>
      <c r="Q3801" s="129"/>
      <c r="R3801" s="129"/>
      <c r="S3801" s="129"/>
      <c r="T3801" s="129"/>
      <c r="U3801" s="129"/>
      <c r="V3801" s="129"/>
      <c r="W3801" s="129"/>
      <c r="X3801" s="129"/>
      <c r="Y3801" s="129"/>
      <c r="Z3801" s="129"/>
      <c r="AA3801" s="129"/>
      <c r="AB3801" s="129"/>
    </row>
    <row r="3802" hidden="1">
      <c r="A3802" s="123" t="s">
        <v>1213</v>
      </c>
      <c r="B3802" s="147">
        <v>1440.0</v>
      </c>
      <c r="C3802" s="124">
        <v>1590.0</v>
      </c>
      <c r="D3802" s="132">
        <f t="shared" si="262"/>
        <v>150</v>
      </c>
      <c r="E3802" s="132"/>
      <c r="F3802" s="132"/>
    </row>
    <row r="3803" hidden="1">
      <c r="A3803" s="123" t="s">
        <v>1213</v>
      </c>
      <c r="B3803" s="147">
        <v>1440.0</v>
      </c>
      <c r="C3803" s="124">
        <v>1590.0</v>
      </c>
      <c r="D3803" s="132">
        <f t="shared" si="262"/>
        <v>150</v>
      </c>
      <c r="E3803" s="132"/>
      <c r="F3803" s="132"/>
    </row>
    <row r="3804" hidden="1">
      <c r="A3804" s="128" t="s">
        <v>1301</v>
      </c>
      <c r="B3804" s="147">
        <v>1500.0</v>
      </c>
      <c r="C3804" s="147">
        <v>1650.0</v>
      </c>
      <c r="D3804" s="132">
        <f t="shared" si="262"/>
        <v>150</v>
      </c>
      <c r="E3804" s="147"/>
      <c r="F3804" s="132"/>
      <c r="G3804" s="129"/>
      <c r="H3804" s="129"/>
      <c r="I3804" s="129"/>
      <c r="J3804" s="129"/>
      <c r="K3804" s="129"/>
      <c r="L3804" s="129"/>
      <c r="M3804" s="129"/>
      <c r="N3804" s="129"/>
      <c r="O3804" s="129"/>
      <c r="P3804" s="129"/>
      <c r="Q3804" s="129"/>
      <c r="R3804" s="129"/>
      <c r="S3804" s="129"/>
      <c r="T3804" s="129"/>
      <c r="U3804" s="129"/>
      <c r="V3804" s="129"/>
      <c r="W3804" s="129"/>
      <c r="X3804" s="129"/>
      <c r="Y3804" s="129"/>
      <c r="Z3804" s="129"/>
      <c r="AA3804" s="129"/>
      <c r="AB3804" s="129"/>
    </row>
    <row r="3805" hidden="1">
      <c r="A3805" s="128" t="s">
        <v>1675</v>
      </c>
      <c r="B3805" s="147">
        <v>1525.0</v>
      </c>
      <c r="C3805" s="147">
        <v>1675.0</v>
      </c>
      <c r="D3805" s="132">
        <f t="shared" si="262"/>
        <v>150</v>
      </c>
      <c r="E3805" s="139"/>
      <c r="F3805" s="139"/>
      <c r="G3805" s="129"/>
      <c r="H3805" s="129"/>
      <c r="I3805" s="129"/>
      <c r="J3805" s="129"/>
      <c r="K3805" s="129"/>
      <c r="L3805" s="129"/>
      <c r="M3805" s="129"/>
      <c r="N3805" s="129"/>
      <c r="O3805" s="129"/>
      <c r="P3805" s="129"/>
      <c r="Q3805" s="129"/>
      <c r="R3805" s="129"/>
      <c r="S3805" s="129"/>
      <c r="T3805" s="129"/>
      <c r="U3805" s="129"/>
      <c r="V3805" s="129"/>
      <c r="W3805" s="129"/>
      <c r="X3805" s="129"/>
      <c r="Y3805" s="129"/>
      <c r="Z3805" s="129"/>
      <c r="AA3805" s="129"/>
      <c r="AB3805" s="129"/>
    </row>
    <row r="3806" hidden="1">
      <c r="A3806" s="123" t="s">
        <v>1213</v>
      </c>
      <c r="B3806" s="147">
        <v>1440.0</v>
      </c>
      <c r="C3806" s="124">
        <v>1590.0</v>
      </c>
      <c r="D3806" s="132">
        <f t="shared" si="262"/>
        <v>150</v>
      </c>
      <c r="E3806" s="132"/>
      <c r="F3806" s="132"/>
    </row>
    <row r="3807" hidden="1">
      <c r="A3807" s="123" t="s">
        <v>1213</v>
      </c>
      <c r="B3807" s="147">
        <v>1440.0</v>
      </c>
      <c r="C3807" s="124">
        <v>1590.0</v>
      </c>
      <c r="D3807" s="132">
        <f t="shared" si="262"/>
        <v>150</v>
      </c>
      <c r="E3807" s="132"/>
      <c r="F3807" s="132"/>
    </row>
    <row r="3808" hidden="1">
      <c r="A3808" s="150" t="s">
        <v>1209</v>
      </c>
      <c r="B3808" s="147">
        <v>1475.0</v>
      </c>
      <c r="C3808" s="147">
        <v>1625.0</v>
      </c>
      <c r="D3808" s="132">
        <f t="shared" si="262"/>
        <v>150</v>
      </c>
      <c r="E3808" s="139"/>
      <c r="F3808" s="139"/>
      <c r="G3808" s="129"/>
      <c r="H3808" s="129"/>
      <c r="I3808" s="129"/>
      <c r="J3808" s="129"/>
      <c r="K3808" s="129"/>
      <c r="L3808" s="129"/>
      <c r="M3808" s="129"/>
      <c r="N3808" s="129"/>
      <c r="O3808" s="129"/>
      <c r="P3808" s="129"/>
      <c r="Q3808" s="129"/>
      <c r="R3808" s="129"/>
      <c r="S3808" s="129"/>
      <c r="T3808" s="129"/>
      <c r="U3808" s="129"/>
      <c r="V3808" s="129"/>
      <c r="W3808" s="129"/>
      <c r="X3808" s="129"/>
      <c r="Y3808" s="129"/>
      <c r="Z3808" s="129"/>
      <c r="AA3808" s="129"/>
      <c r="AB3808" s="129"/>
    </row>
    <row r="3809" hidden="1">
      <c r="A3809" s="150" t="s">
        <v>1209</v>
      </c>
      <c r="B3809" s="147">
        <v>1475.0</v>
      </c>
      <c r="C3809" s="147">
        <v>1625.0</v>
      </c>
      <c r="D3809" s="132">
        <f t="shared" si="262"/>
        <v>150</v>
      </c>
      <c r="E3809" s="139"/>
      <c r="F3809" s="139"/>
      <c r="G3809" s="129"/>
      <c r="H3809" s="129"/>
      <c r="I3809" s="129"/>
      <c r="J3809" s="129"/>
      <c r="K3809" s="129"/>
      <c r="L3809" s="129"/>
      <c r="M3809" s="129"/>
      <c r="N3809" s="129"/>
      <c r="O3809" s="129"/>
      <c r="P3809" s="129"/>
      <c r="Q3809" s="129"/>
      <c r="R3809" s="129"/>
      <c r="S3809" s="129"/>
      <c r="T3809" s="129"/>
      <c r="U3809" s="129"/>
      <c r="V3809" s="129"/>
      <c r="W3809" s="129"/>
      <c r="X3809" s="129"/>
      <c r="Y3809" s="129"/>
      <c r="Z3809" s="129"/>
      <c r="AA3809" s="129"/>
      <c r="AB3809" s="129"/>
    </row>
    <row r="3810" hidden="1">
      <c r="A3810" s="150" t="s">
        <v>1669</v>
      </c>
      <c r="B3810" s="147">
        <v>1740.0</v>
      </c>
      <c r="C3810" s="132">
        <v>1890.0</v>
      </c>
      <c r="D3810" s="132">
        <f t="shared" si="262"/>
        <v>150</v>
      </c>
      <c r="E3810" s="139"/>
      <c r="F3810" s="139"/>
      <c r="G3810" s="129"/>
      <c r="H3810" s="129"/>
      <c r="I3810" s="129"/>
      <c r="J3810" s="129"/>
      <c r="K3810" s="129"/>
      <c r="L3810" s="129"/>
      <c r="M3810" s="129"/>
      <c r="N3810" s="129"/>
      <c r="O3810" s="129"/>
      <c r="P3810" s="129"/>
      <c r="Q3810" s="129"/>
      <c r="R3810" s="129"/>
      <c r="S3810" s="129"/>
      <c r="T3810" s="129"/>
      <c r="U3810" s="129"/>
      <c r="V3810" s="129"/>
      <c r="W3810" s="129"/>
      <c r="X3810" s="129"/>
      <c r="Y3810" s="129"/>
      <c r="Z3810" s="129"/>
      <c r="AA3810" s="129"/>
      <c r="AB3810" s="129"/>
    </row>
    <row r="3811" hidden="1">
      <c r="A3811" s="128" t="s">
        <v>1669</v>
      </c>
      <c r="B3811" s="147">
        <v>1740.0</v>
      </c>
      <c r="C3811" s="147">
        <v>1890.0</v>
      </c>
      <c r="D3811" s="132">
        <f t="shared" si="262"/>
        <v>150</v>
      </c>
      <c r="E3811" s="139"/>
      <c r="F3811" s="139"/>
      <c r="G3811" s="129"/>
      <c r="H3811" s="129"/>
      <c r="I3811" s="129"/>
      <c r="J3811" s="129"/>
      <c r="K3811" s="129"/>
      <c r="L3811" s="129"/>
      <c r="M3811" s="129"/>
      <c r="N3811" s="129"/>
      <c r="O3811" s="129"/>
      <c r="P3811" s="129"/>
      <c r="Q3811" s="129"/>
      <c r="R3811" s="129"/>
      <c r="S3811" s="129"/>
      <c r="T3811" s="129"/>
      <c r="U3811" s="129"/>
      <c r="V3811" s="129"/>
      <c r="W3811" s="129"/>
      <c r="X3811" s="129"/>
      <c r="Y3811" s="129"/>
      <c r="Z3811" s="129"/>
      <c r="AA3811" s="129"/>
      <c r="AB3811" s="129"/>
    </row>
    <row r="3812" hidden="1">
      <c r="A3812" s="123" t="s">
        <v>1656</v>
      </c>
      <c r="B3812" s="124">
        <v>1790.0</v>
      </c>
      <c r="C3812" s="124">
        <v>1990.0</v>
      </c>
      <c r="D3812" s="125">
        <f t="shared" si="262"/>
        <v>200</v>
      </c>
      <c r="E3812" s="124"/>
      <c r="F3812" s="124"/>
    </row>
    <row r="3813" hidden="1">
      <c r="A3813" s="128" t="s">
        <v>1301</v>
      </c>
      <c r="B3813" s="147">
        <v>1500.0</v>
      </c>
      <c r="C3813" s="147">
        <v>1650.0</v>
      </c>
      <c r="D3813" s="132">
        <f t="shared" si="262"/>
        <v>150</v>
      </c>
      <c r="E3813" s="147"/>
      <c r="F3813" s="132"/>
      <c r="G3813" s="129"/>
      <c r="H3813" s="129"/>
      <c r="I3813" s="129"/>
      <c r="J3813" s="129"/>
      <c r="K3813" s="129"/>
      <c r="L3813" s="129"/>
      <c r="M3813" s="129"/>
      <c r="N3813" s="129"/>
      <c r="O3813" s="129"/>
      <c r="P3813" s="129"/>
      <c r="Q3813" s="129"/>
      <c r="R3813" s="129"/>
      <c r="S3813" s="129"/>
      <c r="T3813" s="129"/>
      <c r="U3813" s="129"/>
      <c r="V3813" s="129"/>
      <c r="W3813" s="129"/>
      <c r="X3813" s="129"/>
      <c r="Y3813" s="129"/>
      <c r="Z3813" s="129"/>
      <c r="AA3813" s="129"/>
      <c r="AB3813" s="129"/>
    </row>
    <row r="3814" hidden="1">
      <c r="A3814" s="123" t="s">
        <v>1683</v>
      </c>
      <c r="B3814" s="124">
        <v>3590.0</v>
      </c>
      <c r="C3814" s="124">
        <v>4090.0</v>
      </c>
      <c r="D3814" s="125">
        <f t="shared" si="262"/>
        <v>500</v>
      </c>
      <c r="E3814" s="124"/>
      <c r="F3814" s="124"/>
    </row>
    <row r="3815" hidden="1">
      <c r="A3815" s="123" t="s">
        <v>1213</v>
      </c>
      <c r="B3815" s="147">
        <v>1475.0</v>
      </c>
      <c r="C3815" s="124">
        <v>1625.0</v>
      </c>
      <c r="D3815" s="132">
        <f t="shared" si="262"/>
        <v>150</v>
      </c>
      <c r="E3815" s="132"/>
      <c r="F3815" s="132"/>
    </row>
    <row r="3816" hidden="1">
      <c r="A3816" s="123" t="s">
        <v>1656</v>
      </c>
      <c r="B3816" s="124">
        <v>1790.0</v>
      </c>
      <c r="C3816" s="124">
        <v>1990.0</v>
      </c>
      <c r="D3816" s="125">
        <f t="shared" si="262"/>
        <v>200</v>
      </c>
      <c r="E3816" s="124"/>
      <c r="F3816" s="124"/>
    </row>
    <row r="3817" hidden="1">
      <c r="A3817" s="123" t="s">
        <v>1683</v>
      </c>
      <c r="B3817" s="124">
        <v>3590.0</v>
      </c>
      <c r="C3817" s="124">
        <v>4090.0</v>
      </c>
      <c r="D3817" s="125">
        <f t="shared" si="262"/>
        <v>500</v>
      </c>
      <c r="E3817" s="124"/>
      <c r="F3817" s="124"/>
    </row>
    <row r="3818" hidden="1">
      <c r="A3818" s="123" t="s">
        <v>1683</v>
      </c>
      <c r="B3818" s="124">
        <v>3440.0</v>
      </c>
      <c r="C3818" s="124">
        <v>4090.0</v>
      </c>
      <c r="D3818" s="125">
        <f t="shared" si="262"/>
        <v>650</v>
      </c>
      <c r="E3818" s="124"/>
      <c r="F3818" s="124"/>
    </row>
    <row r="3819" hidden="1">
      <c r="A3819" s="123" t="s">
        <v>1348</v>
      </c>
      <c r="B3819" s="147">
        <v>1290.0</v>
      </c>
      <c r="C3819" s="147">
        <v>1490.0</v>
      </c>
      <c r="D3819" s="132">
        <f t="shared" si="262"/>
        <v>200</v>
      </c>
      <c r="E3819" s="124"/>
      <c r="F3819" s="124"/>
    </row>
    <row r="3820" hidden="1">
      <c r="A3820" s="128" t="s">
        <v>1623</v>
      </c>
      <c r="B3820" s="147">
        <v>1390.0</v>
      </c>
      <c r="C3820" s="147">
        <v>1490.0</v>
      </c>
      <c r="D3820" s="132">
        <f t="shared" si="262"/>
        <v>100</v>
      </c>
      <c r="E3820" s="139"/>
      <c r="F3820" s="139"/>
      <c r="G3820" s="129"/>
      <c r="H3820" s="129"/>
      <c r="I3820" s="129"/>
      <c r="J3820" s="129"/>
      <c r="K3820" s="129"/>
      <c r="L3820" s="129"/>
      <c r="M3820" s="129"/>
      <c r="N3820" s="129"/>
      <c r="O3820" s="129"/>
      <c r="P3820" s="129"/>
      <c r="Q3820" s="129"/>
      <c r="R3820" s="129"/>
      <c r="S3820" s="129"/>
      <c r="T3820" s="129"/>
      <c r="U3820" s="129"/>
      <c r="V3820" s="129"/>
      <c r="W3820" s="129"/>
      <c r="X3820" s="129"/>
      <c r="Y3820" s="129"/>
      <c r="Z3820" s="129"/>
      <c r="AA3820" s="129"/>
      <c r="AB3820" s="129"/>
    </row>
    <row r="3821" hidden="1">
      <c r="A3821" s="128" t="s">
        <v>1684</v>
      </c>
      <c r="B3821" s="147">
        <v>10500.0</v>
      </c>
      <c r="C3821" s="147">
        <v>12500.0</v>
      </c>
      <c r="D3821" s="132">
        <f t="shared" si="262"/>
        <v>2000</v>
      </c>
      <c r="E3821" s="139"/>
      <c r="F3821" s="139"/>
      <c r="G3821" s="129"/>
      <c r="H3821" s="129"/>
      <c r="I3821" s="129"/>
      <c r="J3821" s="129"/>
      <c r="K3821" s="129"/>
      <c r="L3821" s="129"/>
      <c r="M3821" s="129"/>
      <c r="N3821" s="129"/>
      <c r="O3821" s="129"/>
      <c r="P3821" s="129"/>
      <c r="Q3821" s="129"/>
      <c r="R3821" s="129"/>
      <c r="S3821" s="129"/>
      <c r="T3821" s="129"/>
      <c r="U3821" s="129"/>
      <c r="V3821" s="129"/>
      <c r="W3821" s="129"/>
      <c r="X3821" s="129"/>
      <c r="Y3821" s="129"/>
      <c r="Z3821" s="129"/>
      <c r="AA3821" s="129"/>
      <c r="AB3821" s="129"/>
    </row>
    <row r="3822" hidden="1">
      <c r="A3822" s="142" t="s">
        <v>1685</v>
      </c>
      <c r="B3822" s="124">
        <v>1040.0</v>
      </c>
      <c r="C3822" s="124">
        <v>1190.0</v>
      </c>
      <c r="D3822" s="132">
        <f t="shared" si="262"/>
        <v>150</v>
      </c>
      <c r="E3822" s="139"/>
      <c r="F3822" s="139"/>
      <c r="G3822" s="129"/>
      <c r="H3822" s="129"/>
      <c r="I3822" s="129"/>
      <c r="J3822" s="129"/>
      <c r="K3822" s="129"/>
      <c r="L3822" s="129"/>
      <c r="M3822" s="129"/>
      <c r="N3822" s="129"/>
      <c r="O3822" s="129"/>
      <c r="P3822" s="129"/>
      <c r="Q3822" s="129"/>
      <c r="R3822" s="129"/>
      <c r="S3822" s="129"/>
      <c r="T3822" s="129"/>
      <c r="U3822" s="129"/>
      <c r="V3822" s="129"/>
      <c r="W3822" s="129"/>
      <c r="X3822" s="129"/>
      <c r="Y3822" s="129"/>
      <c r="Z3822" s="129"/>
      <c r="AA3822" s="129"/>
      <c r="AB3822" s="129"/>
    </row>
    <row r="3823" hidden="1">
      <c r="A3823" s="159" t="s">
        <v>1686</v>
      </c>
      <c r="B3823" s="147">
        <v>1490.0</v>
      </c>
      <c r="C3823" s="147">
        <v>1690.0</v>
      </c>
      <c r="D3823" s="132">
        <f t="shared" si="262"/>
        <v>200</v>
      </c>
      <c r="E3823" s="139"/>
      <c r="F3823" s="139"/>
      <c r="G3823" s="129"/>
      <c r="H3823" s="129"/>
      <c r="I3823" s="129"/>
      <c r="J3823" s="129"/>
      <c r="K3823" s="129"/>
      <c r="L3823" s="129"/>
      <c r="M3823" s="129"/>
      <c r="N3823" s="129"/>
      <c r="O3823" s="129"/>
      <c r="P3823" s="129"/>
      <c r="Q3823" s="129"/>
      <c r="R3823" s="129"/>
      <c r="S3823" s="129"/>
      <c r="T3823" s="129"/>
      <c r="U3823" s="129"/>
      <c r="V3823" s="129"/>
      <c r="W3823" s="129"/>
      <c r="X3823" s="129"/>
      <c r="Y3823" s="129"/>
      <c r="Z3823" s="129"/>
      <c r="AA3823" s="129"/>
      <c r="AB3823" s="129"/>
    </row>
    <row r="3824" hidden="1">
      <c r="A3824" s="128" t="s">
        <v>1651</v>
      </c>
      <c r="B3824" s="147">
        <v>5490.0</v>
      </c>
      <c r="C3824" s="147">
        <v>6490.0</v>
      </c>
      <c r="D3824" s="125">
        <f t="shared" si="262"/>
        <v>1000</v>
      </c>
      <c r="E3824" s="147"/>
      <c r="F3824" s="132"/>
      <c r="G3824" s="129"/>
      <c r="H3824" s="129"/>
      <c r="I3824" s="129"/>
      <c r="J3824" s="129"/>
      <c r="K3824" s="129"/>
      <c r="L3824" s="129"/>
      <c r="M3824" s="129"/>
      <c r="N3824" s="129"/>
      <c r="O3824" s="129"/>
      <c r="P3824" s="129"/>
      <c r="Q3824" s="129"/>
      <c r="R3824" s="129"/>
      <c r="S3824" s="129"/>
      <c r="T3824" s="129"/>
      <c r="U3824" s="129"/>
      <c r="V3824" s="129"/>
      <c r="W3824" s="129"/>
      <c r="X3824" s="129"/>
      <c r="Y3824" s="129"/>
      <c r="Z3824" s="129"/>
      <c r="AA3824" s="129"/>
      <c r="AB3824" s="129"/>
    </row>
    <row r="3825" hidden="1">
      <c r="A3825" s="159" t="s">
        <v>1641</v>
      </c>
      <c r="B3825" s="124">
        <v>1400.0</v>
      </c>
      <c r="C3825" s="147">
        <v>1550.0</v>
      </c>
      <c r="D3825" s="132">
        <f t="shared" si="262"/>
        <v>150</v>
      </c>
      <c r="E3825" s="124"/>
      <c r="F3825" s="124"/>
      <c r="G3825" s="129"/>
      <c r="H3825" s="129"/>
      <c r="I3825" s="129"/>
      <c r="J3825" s="129"/>
      <c r="K3825" s="129"/>
      <c r="L3825" s="129"/>
      <c r="M3825" s="129"/>
      <c r="N3825" s="129"/>
      <c r="O3825" s="129"/>
      <c r="P3825" s="129"/>
      <c r="Q3825" s="129"/>
      <c r="R3825" s="129"/>
      <c r="S3825" s="129"/>
      <c r="T3825" s="129"/>
      <c r="U3825" s="129"/>
      <c r="V3825" s="129"/>
      <c r="W3825" s="129"/>
      <c r="X3825" s="129"/>
      <c r="Y3825" s="129"/>
      <c r="Z3825" s="129"/>
      <c r="AA3825" s="129"/>
      <c r="AB3825" s="129"/>
    </row>
    <row r="3826" hidden="1">
      <c r="A3826" s="142" t="s">
        <v>1687</v>
      </c>
      <c r="B3826" s="147">
        <v>1290.0</v>
      </c>
      <c r="C3826" s="124">
        <v>1490.0</v>
      </c>
      <c r="D3826" s="125">
        <f t="shared" si="262"/>
        <v>200</v>
      </c>
      <c r="E3826" s="124"/>
      <c r="F3826" s="124"/>
      <c r="G3826" s="129"/>
      <c r="H3826" s="129"/>
      <c r="I3826" s="129"/>
      <c r="J3826" s="129"/>
      <c r="K3826" s="129"/>
      <c r="L3826" s="129"/>
      <c r="M3826" s="129"/>
      <c r="N3826" s="129"/>
      <c r="O3826" s="129"/>
      <c r="P3826" s="129"/>
      <c r="Q3826" s="129"/>
      <c r="R3826" s="129"/>
      <c r="S3826" s="129"/>
      <c r="T3826" s="129"/>
      <c r="U3826" s="129"/>
      <c r="V3826" s="129"/>
      <c r="W3826" s="129"/>
      <c r="X3826" s="129"/>
      <c r="Y3826" s="129"/>
      <c r="Z3826" s="129"/>
      <c r="AA3826" s="129"/>
      <c r="AB3826" s="129"/>
    </row>
    <row r="3827" hidden="1">
      <c r="A3827" s="128" t="s">
        <v>1665</v>
      </c>
      <c r="B3827" s="147">
        <v>1140.0</v>
      </c>
      <c r="C3827" s="147">
        <v>1290.0</v>
      </c>
      <c r="D3827" s="132">
        <f t="shared" si="262"/>
        <v>150</v>
      </c>
      <c r="E3827" s="132"/>
      <c r="F3827" s="132"/>
      <c r="G3827" s="129"/>
      <c r="H3827" s="129"/>
      <c r="I3827" s="129"/>
      <c r="J3827" s="129"/>
      <c r="K3827" s="129"/>
      <c r="L3827" s="129"/>
      <c r="M3827" s="129"/>
      <c r="N3827" s="129"/>
      <c r="O3827" s="129"/>
      <c r="P3827" s="129"/>
      <c r="Q3827" s="129"/>
      <c r="R3827" s="129"/>
      <c r="S3827" s="129"/>
      <c r="T3827" s="129"/>
      <c r="U3827" s="129"/>
      <c r="V3827" s="129"/>
      <c r="W3827" s="129"/>
      <c r="X3827" s="129"/>
      <c r="Y3827" s="129"/>
      <c r="Z3827" s="129"/>
      <c r="AA3827" s="129"/>
      <c r="AB3827" s="129"/>
    </row>
    <row r="3828" hidden="1">
      <c r="A3828" s="128" t="s">
        <v>1209</v>
      </c>
      <c r="B3828" s="147">
        <v>1450.0</v>
      </c>
      <c r="C3828" s="147">
        <v>1650.0</v>
      </c>
      <c r="D3828" s="132">
        <f t="shared" si="262"/>
        <v>200</v>
      </c>
      <c r="E3828" s="139"/>
      <c r="F3828" s="139"/>
      <c r="G3828" s="129"/>
      <c r="H3828" s="129"/>
      <c r="I3828" s="129"/>
      <c r="J3828" s="129"/>
      <c r="K3828" s="129"/>
      <c r="L3828" s="129"/>
      <c r="M3828" s="129"/>
      <c r="N3828" s="129"/>
      <c r="O3828" s="129"/>
      <c r="P3828" s="129"/>
      <c r="Q3828" s="129"/>
      <c r="R3828" s="129"/>
      <c r="S3828" s="129"/>
      <c r="T3828" s="129"/>
      <c r="U3828" s="129"/>
      <c r="V3828" s="129"/>
      <c r="W3828" s="129"/>
      <c r="X3828" s="129"/>
      <c r="Y3828" s="129"/>
      <c r="Z3828" s="129"/>
      <c r="AA3828" s="129"/>
      <c r="AB3828" s="129"/>
    </row>
    <row r="3829" hidden="1">
      <c r="A3829" s="391" t="s">
        <v>1688</v>
      </c>
      <c r="B3829" s="393">
        <v>2340.0</v>
      </c>
      <c r="C3829" s="393">
        <v>2590.0</v>
      </c>
      <c r="D3829" s="392">
        <f t="shared" si="262"/>
        <v>250</v>
      </c>
      <c r="E3829" s="410"/>
      <c r="F3829" s="410"/>
      <c r="G3829" s="411"/>
      <c r="H3829" s="411"/>
      <c r="I3829" s="411"/>
      <c r="J3829" s="411"/>
      <c r="K3829" s="411"/>
      <c r="L3829" s="411"/>
      <c r="M3829" s="411"/>
      <c r="N3829" s="411"/>
      <c r="O3829" s="411"/>
      <c r="P3829" s="411"/>
      <c r="Q3829" s="411"/>
      <c r="R3829" s="411"/>
      <c r="S3829" s="411"/>
      <c r="T3829" s="411"/>
      <c r="U3829" s="411"/>
      <c r="V3829" s="411"/>
      <c r="W3829" s="411"/>
      <c r="X3829" s="411"/>
      <c r="Y3829" s="411"/>
      <c r="Z3829" s="411"/>
      <c r="AA3829" s="411"/>
      <c r="AB3829" s="411"/>
    </row>
    <row r="3830" hidden="1">
      <c r="A3830" s="123" t="s">
        <v>1689</v>
      </c>
      <c r="B3830" s="124">
        <v>1340.0</v>
      </c>
      <c r="C3830" s="124">
        <v>1490.0</v>
      </c>
      <c r="D3830" s="125">
        <f t="shared" si="262"/>
        <v>150</v>
      </c>
      <c r="E3830" s="132"/>
      <c r="F3830" s="124"/>
    </row>
    <row r="3831" hidden="1">
      <c r="A3831" s="123" t="s">
        <v>1631</v>
      </c>
      <c r="B3831" s="124">
        <v>1190.0</v>
      </c>
      <c r="C3831" s="124">
        <v>1390.0</v>
      </c>
      <c r="D3831" s="125">
        <f t="shared" si="262"/>
        <v>200</v>
      </c>
      <c r="E3831" s="124"/>
      <c r="F3831" s="124"/>
    </row>
    <row r="3832" hidden="1">
      <c r="A3832" s="123" t="s">
        <v>1628</v>
      </c>
      <c r="B3832" s="124">
        <v>1190.0</v>
      </c>
      <c r="C3832" s="124">
        <v>1390.0</v>
      </c>
      <c r="D3832" s="125">
        <f t="shared" si="262"/>
        <v>200</v>
      </c>
      <c r="E3832" s="124"/>
      <c r="F3832" s="124"/>
    </row>
    <row r="3833" hidden="1">
      <c r="A3833" s="123" t="s">
        <v>1690</v>
      </c>
      <c r="B3833" s="124">
        <v>1100.0</v>
      </c>
      <c r="C3833" s="124">
        <v>1250.0</v>
      </c>
      <c r="D3833" s="125">
        <f t="shared" si="262"/>
        <v>150</v>
      </c>
      <c r="E3833" s="124"/>
      <c r="F3833" s="124"/>
    </row>
    <row r="3834" hidden="1">
      <c r="A3834" s="123" t="s">
        <v>1680</v>
      </c>
      <c r="B3834" s="124">
        <v>4290.0</v>
      </c>
      <c r="C3834" s="124">
        <v>4790.0</v>
      </c>
      <c r="D3834" s="125">
        <f t="shared" si="262"/>
        <v>500</v>
      </c>
      <c r="E3834" s="124"/>
      <c r="F3834" s="124"/>
      <c r="G3834" s="123"/>
    </row>
    <row r="3835" hidden="1">
      <c r="A3835" s="128" t="s">
        <v>1691</v>
      </c>
      <c r="B3835" s="147">
        <v>1040.0</v>
      </c>
      <c r="C3835" s="147">
        <v>1190.0</v>
      </c>
      <c r="D3835" s="132">
        <f t="shared" si="262"/>
        <v>150</v>
      </c>
      <c r="E3835" s="132"/>
      <c r="F3835" s="132"/>
      <c r="G3835" s="129"/>
      <c r="H3835" s="129"/>
      <c r="I3835" s="129"/>
      <c r="J3835" s="129"/>
      <c r="K3835" s="129"/>
      <c r="L3835" s="129"/>
      <c r="M3835" s="129"/>
      <c r="N3835" s="129"/>
      <c r="O3835" s="129"/>
      <c r="P3835" s="129"/>
      <c r="Q3835" s="129"/>
      <c r="R3835" s="129"/>
      <c r="S3835" s="129"/>
      <c r="T3835" s="129"/>
      <c r="U3835" s="129"/>
      <c r="V3835" s="129"/>
      <c r="W3835" s="129"/>
      <c r="X3835" s="129"/>
      <c r="Y3835" s="129"/>
      <c r="Z3835" s="129"/>
      <c r="AA3835" s="129"/>
      <c r="AB3835" s="129"/>
    </row>
    <row r="3836" hidden="1">
      <c r="A3836" s="123" t="s">
        <v>1692</v>
      </c>
      <c r="B3836" s="124">
        <v>1340.0</v>
      </c>
      <c r="C3836" s="124">
        <v>1490.0</v>
      </c>
      <c r="D3836" s="125">
        <f t="shared" si="262"/>
        <v>150</v>
      </c>
      <c r="E3836" s="132"/>
      <c r="F3836" s="124"/>
    </row>
    <row r="3837" hidden="1">
      <c r="A3837" s="123" t="s">
        <v>1693</v>
      </c>
      <c r="B3837" s="124">
        <v>12250.0</v>
      </c>
      <c r="C3837" s="124">
        <v>13000.0</v>
      </c>
      <c r="D3837" s="125">
        <f t="shared" si="262"/>
        <v>750</v>
      </c>
      <c r="E3837" s="124"/>
      <c r="F3837" s="124"/>
    </row>
    <row r="3838" hidden="1">
      <c r="A3838" s="128" t="s">
        <v>1209</v>
      </c>
      <c r="B3838" s="147">
        <v>1500.0</v>
      </c>
      <c r="C3838" s="147">
        <v>1650.0</v>
      </c>
      <c r="D3838" s="132">
        <f t="shared" si="262"/>
        <v>150</v>
      </c>
      <c r="E3838" s="139"/>
      <c r="F3838" s="139"/>
      <c r="G3838" s="129"/>
      <c r="H3838" s="129"/>
      <c r="I3838" s="129"/>
      <c r="J3838" s="129"/>
      <c r="K3838" s="129"/>
      <c r="L3838" s="129"/>
      <c r="M3838" s="129"/>
      <c r="N3838" s="129"/>
      <c r="O3838" s="129"/>
      <c r="P3838" s="129"/>
      <c r="Q3838" s="129"/>
      <c r="R3838" s="129"/>
      <c r="S3838" s="129"/>
      <c r="T3838" s="129"/>
      <c r="U3838" s="129"/>
      <c r="V3838" s="129"/>
      <c r="W3838" s="129"/>
      <c r="X3838" s="129"/>
      <c r="Y3838" s="129"/>
      <c r="Z3838" s="129"/>
      <c r="AA3838" s="129"/>
      <c r="AB3838" s="129"/>
    </row>
    <row r="3839" hidden="1">
      <c r="A3839" s="123" t="s">
        <v>1694</v>
      </c>
      <c r="B3839" s="124">
        <v>540.0</v>
      </c>
      <c r="C3839" s="124">
        <v>690.0</v>
      </c>
      <c r="D3839" s="132">
        <f t="shared" si="262"/>
        <v>150</v>
      </c>
      <c r="F3839" s="313"/>
    </row>
    <row r="3840" hidden="1">
      <c r="A3840" s="128" t="s">
        <v>1691</v>
      </c>
      <c r="B3840" s="147">
        <v>1040.0</v>
      </c>
      <c r="C3840" s="147">
        <v>1190.0</v>
      </c>
      <c r="D3840" s="132">
        <f t="shared" si="262"/>
        <v>150</v>
      </c>
      <c r="E3840" s="132"/>
      <c r="F3840" s="132"/>
      <c r="G3840" s="129"/>
      <c r="H3840" s="129"/>
      <c r="I3840" s="129"/>
      <c r="J3840" s="129"/>
      <c r="K3840" s="129"/>
      <c r="L3840" s="129"/>
      <c r="M3840" s="129"/>
      <c r="N3840" s="129"/>
      <c r="O3840" s="129"/>
      <c r="P3840" s="129"/>
      <c r="Q3840" s="129"/>
      <c r="R3840" s="129"/>
      <c r="S3840" s="129"/>
      <c r="T3840" s="129"/>
      <c r="U3840" s="129"/>
      <c r="V3840" s="129"/>
      <c r="W3840" s="129"/>
      <c r="X3840" s="129"/>
      <c r="Y3840" s="129"/>
      <c r="Z3840" s="129"/>
      <c r="AA3840" s="129"/>
      <c r="AB3840" s="129"/>
    </row>
    <row r="3841" hidden="1">
      <c r="A3841" s="123" t="s">
        <v>1695</v>
      </c>
      <c r="B3841" s="124">
        <v>1740.0</v>
      </c>
      <c r="C3841" s="124">
        <v>1890.0</v>
      </c>
      <c r="D3841" s="125">
        <f t="shared" si="262"/>
        <v>150</v>
      </c>
      <c r="E3841" s="132"/>
      <c r="F3841" s="124"/>
    </row>
    <row r="3842" hidden="1">
      <c r="A3842" s="123" t="s">
        <v>1680</v>
      </c>
      <c r="B3842" s="124">
        <v>4290.0</v>
      </c>
      <c r="C3842" s="124">
        <v>4790.0</v>
      </c>
      <c r="D3842" s="125">
        <f t="shared" si="262"/>
        <v>500</v>
      </c>
      <c r="E3842" s="124"/>
      <c r="F3842" s="124"/>
      <c r="G3842" s="123"/>
    </row>
    <row r="3843" hidden="1">
      <c r="A3843" s="123" t="s">
        <v>404</v>
      </c>
      <c r="B3843" s="147">
        <v>990.0</v>
      </c>
      <c r="C3843" s="124">
        <v>1190.0</v>
      </c>
      <c r="D3843" s="125">
        <f t="shared" si="262"/>
        <v>200</v>
      </c>
      <c r="E3843" s="147"/>
      <c r="F3843" s="124"/>
    </row>
    <row r="3844" hidden="1">
      <c r="A3844" s="123" t="s">
        <v>1696</v>
      </c>
      <c r="B3844" s="124">
        <v>7500.0</v>
      </c>
      <c r="C3844" s="124">
        <v>8250.0</v>
      </c>
      <c r="D3844" s="125">
        <f t="shared" si="262"/>
        <v>750</v>
      </c>
      <c r="E3844" s="124"/>
      <c r="F3844" s="124"/>
    </row>
    <row r="3845" hidden="1">
      <c r="A3845" s="123" t="s">
        <v>1697</v>
      </c>
      <c r="B3845" s="124">
        <v>7250.0</v>
      </c>
      <c r="C3845" s="124">
        <v>8250.0</v>
      </c>
      <c r="D3845" s="125">
        <f t="shared" si="262"/>
        <v>1000</v>
      </c>
      <c r="E3845" s="124"/>
      <c r="F3845" s="124"/>
    </row>
    <row r="3846" hidden="1">
      <c r="A3846" s="123" t="s">
        <v>1698</v>
      </c>
      <c r="B3846" s="124">
        <v>6250.0</v>
      </c>
      <c r="C3846" s="124">
        <v>7250.0</v>
      </c>
      <c r="D3846" s="125">
        <f t="shared" si="262"/>
        <v>1000</v>
      </c>
      <c r="E3846" s="124"/>
      <c r="F3846" s="124"/>
    </row>
    <row r="3847" hidden="1">
      <c r="A3847" s="150" t="s">
        <v>1665</v>
      </c>
      <c r="B3847" s="132">
        <v>1125.0</v>
      </c>
      <c r="C3847" s="132">
        <v>1275.0</v>
      </c>
      <c r="D3847" s="132">
        <f t="shared" si="262"/>
        <v>150</v>
      </c>
      <c r="E3847" s="132"/>
      <c r="F3847" s="132"/>
      <c r="G3847" s="129"/>
      <c r="H3847" s="129"/>
      <c r="I3847" s="129"/>
      <c r="J3847" s="129"/>
      <c r="K3847" s="129"/>
      <c r="L3847" s="129"/>
      <c r="M3847" s="129"/>
      <c r="N3847" s="129"/>
      <c r="O3847" s="129"/>
      <c r="P3847" s="129"/>
      <c r="Q3847" s="129"/>
      <c r="R3847" s="129"/>
      <c r="S3847" s="129"/>
      <c r="T3847" s="129"/>
      <c r="U3847" s="129"/>
      <c r="V3847" s="129"/>
      <c r="W3847" s="129"/>
      <c r="X3847" s="129"/>
      <c r="Y3847" s="129"/>
      <c r="Z3847" s="129"/>
      <c r="AA3847" s="129"/>
      <c r="AB3847" s="129"/>
    </row>
    <row r="3848" hidden="1">
      <c r="A3848" s="128" t="s">
        <v>1665</v>
      </c>
      <c r="B3848" s="147">
        <v>1125.0</v>
      </c>
      <c r="C3848" s="147">
        <v>1275.0</v>
      </c>
      <c r="D3848" s="132">
        <f t="shared" si="262"/>
        <v>150</v>
      </c>
      <c r="E3848" s="132"/>
      <c r="F3848" s="132"/>
      <c r="G3848" s="129"/>
      <c r="H3848" s="129"/>
      <c r="I3848" s="129"/>
      <c r="J3848" s="129"/>
      <c r="K3848" s="129"/>
      <c r="L3848" s="129"/>
      <c r="M3848" s="129"/>
      <c r="N3848" s="129"/>
      <c r="O3848" s="129"/>
      <c r="P3848" s="129"/>
      <c r="Q3848" s="129"/>
      <c r="R3848" s="129"/>
      <c r="S3848" s="129"/>
      <c r="T3848" s="129"/>
      <c r="U3848" s="129"/>
      <c r="V3848" s="129"/>
      <c r="W3848" s="129"/>
      <c r="X3848" s="129"/>
      <c r="Y3848" s="129"/>
      <c r="Z3848" s="129"/>
      <c r="AA3848" s="129"/>
      <c r="AB3848" s="129"/>
    </row>
    <row r="3849" hidden="1">
      <c r="A3849" s="128" t="s">
        <v>1209</v>
      </c>
      <c r="B3849" s="147">
        <v>1475.0</v>
      </c>
      <c r="C3849" s="147">
        <v>1625.0</v>
      </c>
      <c r="D3849" s="132">
        <f t="shared" si="262"/>
        <v>150</v>
      </c>
      <c r="E3849" s="139"/>
      <c r="F3849" s="139"/>
      <c r="G3849" s="129"/>
      <c r="H3849" s="129"/>
      <c r="I3849" s="129"/>
      <c r="J3849" s="129"/>
      <c r="K3849" s="129"/>
      <c r="L3849" s="129"/>
      <c r="M3849" s="129"/>
      <c r="N3849" s="129"/>
      <c r="O3849" s="129"/>
      <c r="P3849" s="129"/>
      <c r="Q3849" s="129"/>
      <c r="R3849" s="129"/>
      <c r="S3849" s="129"/>
      <c r="T3849" s="129"/>
      <c r="U3849" s="129"/>
      <c r="V3849" s="129"/>
      <c r="W3849" s="129"/>
      <c r="X3849" s="129"/>
      <c r="Y3849" s="129"/>
      <c r="Z3849" s="129"/>
      <c r="AA3849" s="129"/>
      <c r="AB3849" s="129"/>
    </row>
    <row r="3850" hidden="1">
      <c r="A3850" s="123" t="s">
        <v>494</v>
      </c>
      <c r="B3850" s="124">
        <v>600.0</v>
      </c>
      <c r="C3850" s="124">
        <v>750.0</v>
      </c>
      <c r="D3850" s="125">
        <f t="shared" si="262"/>
        <v>150</v>
      </c>
    </row>
    <row r="3851" hidden="1">
      <c r="A3851" s="128" t="s">
        <v>1209</v>
      </c>
      <c r="B3851" s="147">
        <v>1475.0</v>
      </c>
      <c r="C3851" s="147">
        <v>1625.0</v>
      </c>
      <c r="D3851" s="125">
        <f t="shared" si="262"/>
        <v>150</v>
      </c>
      <c r="E3851" s="139"/>
      <c r="F3851" s="139"/>
      <c r="G3851" s="129"/>
      <c r="H3851" s="129"/>
      <c r="I3851" s="129"/>
      <c r="J3851" s="129"/>
      <c r="K3851" s="129"/>
      <c r="L3851" s="129"/>
      <c r="M3851" s="129"/>
      <c r="N3851" s="129"/>
      <c r="O3851" s="129"/>
      <c r="P3851" s="129"/>
      <c r="Q3851" s="129"/>
      <c r="R3851" s="129"/>
      <c r="S3851" s="129"/>
      <c r="T3851" s="129"/>
      <c r="U3851" s="129"/>
      <c r="V3851" s="129"/>
      <c r="W3851" s="129"/>
      <c r="X3851" s="129"/>
      <c r="Y3851" s="129"/>
      <c r="Z3851" s="129"/>
      <c r="AA3851" s="129"/>
      <c r="AB3851" s="129"/>
    </row>
    <row r="3852" hidden="1">
      <c r="A3852" s="128" t="s">
        <v>1209</v>
      </c>
      <c r="B3852" s="147">
        <v>1475.0</v>
      </c>
      <c r="C3852" s="147">
        <v>1625.0</v>
      </c>
      <c r="D3852" s="125">
        <f t="shared" si="262"/>
        <v>150</v>
      </c>
      <c r="E3852" s="139"/>
      <c r="F3852" s="139"/>
      <c r="G3852" s="129"/>
      <c r="H3852" s="129"/>
      <c r="I3852" s="129"/>
      <c r="J3852" s="129"/>
      <c r="K3852" s="129"/>
      <c r="L3852" s="129"/>
      <c r="M3852" s="129"/>
      <c r="N3852" s="129"/>
      <c r="O3852" s="129"/>
      <c r="P3852" s="129"/>
      <c r="Q3852" s="129"/>
      <c r="R3852" s="129"/>
      <c r="S3852" s="129"/>
      <c r="T3852" s="129"/>
      <c r="U3852" s="129"/>
      <c r="V3852" s="129"/>
      <c r="W3852" s="129"/>
      <c r="X3852" s="129"/>
      <c r="Y3852" s="129"/>
      <c r="Z3852" s="129"/>
      <c r="AA3852" s="129"/>
      <c r="AB3852" s="129"/>
    </row>
    <row r="3853" hidden="1">
      <c r="A3853" s="123" t="s">
        <v>1699</v>
      </c>
      <c r="B3853" s="147">
        <v>1425.0</v>
      </c>
      <c r="C3853" s="124">
        <v>1575.0</v>
      </c>
      <c r="D3853" s="125">
        <f t="shared" si="262"/>
        <v>150</v>
      </c>
      <c r="E3853" s="124"/>
      <c r="F3853" s="124"/>
    </row>
    <row r="3854" hidden="1">
      <c r="A3854" s="123" t="s">
        <v>1586</v>
      </c>
      <c r="B3854" s="124">
        <v>2275.0</v>
      </c>
      <c r="C3854" s="124">
        <v>2475.0</v>
      </c>
      <c r="D3854" s="125">
        <f t="shared" si="262"/>
        <v>200</v>
      </c>
      <c r="E3854" s="124"/>
      <c r="F3854" s="124"/>
    </row>
    <row r="3855" hidden="1">
      <c r="A3855" s="128" t="s">
        <v>1301</v>
      </c>
      <c r="B3855" s="147">
        <v>1500.0</v>
      </c>
      <c r="C3855" s="147">
        <v>1650.0</v>
      </c>
      <c r="D3855" s="132">
        <f t="shared" si="262"/>
        <v>150</v>
      </c>
      <c r="E3855" s="147"/>
      <c r="F3855" s="132"/>
      <c r="G3855" s="129"/>
      <c r="H3855" s="129"/>
      <c r="I3855" s="129"/>
      <c r="J3855" s="129"/>
      <c r="K3855" s="129"/>
      <c r="L3855" s="129"/>
      <c r="M3855" s="129"/>
      <c r="N3855" s="129"/>
      <c r="O3855" s="129"/>
      <c r="P3855" s="129"/>
      <c r="Q3855" s="129"/>
      <c r="R3855" s="129"/>
      <c r="S3855" s="129"/>
      <c r="T3855" s="129"/>
      <c r="U3855" s="129"/>
      <c r="V3855" s="129"/>
      <c r="W3855" s="129"/>
      <c r="X3855" s="129"/>
      <c r="Y3855" s="129"/>
      <c r="Z3855" s="129"/>
      <c r="AA3855" s="129"/>
      <c r="AB3855" s="129"/>
    </row>
    <row r="3856" hidden="1">
      <c r="A3856" s="123" t="s">
        <v>1700</v>
      </c>
      <c r="B3856" s="124">
        <v>1100.0</v>
      </c>
      <c r="C3856" s="124">
        <v>1250.0</v>
      </c>
      <c r="D3856" s="125">
        <f t="shared" si="262"/>
        <v>150</v>
      </c>
      <c r="E3856" s="132"/>
      <c r="F3856" s="124"/>
    </row>
    <row r="3857" hidden="1">
      <c r="A3857" s="123"/>
      <c r="B3857" s="124"/>
      <c r="C3857" s="123"/>
      <c r="D3857" s="123"/>
    </row>
    <row r="3858" hidden="1">
      <c r="A3858" s="122" t="s">
        <v>57</v>
      </c>
      <c r="B3858" s="133">
        <f t="shared" ref="B3858:D3858" si="263">SUM(B3748:B3857)</f>
        <v>374710</v>
      </c>
      <c r="C3858" s="133">
        <f t="shared" si="263"/>
        <v>411010</v>
      </c>
      <c r="D3858" s="133">
        <f t="shared" si="263"/>
        <v>36300</v>
      </c>
      <c r="E3858" s="135">
        <f>D3858/(C3858/100)</f>
        <v>8.8319019</v>
      </c>
    </row>
    <row r="3859" hidden="1">
      <c r="A3859" s="154"/>
      <c r="B3859" s="124"/>
      <c r="C3859" s="124"/>
      <c r="D3859" s="124"/>
    </row>
    <row r="3860" hidden="1">
      <c r="A3860" s="154">
        <v>43891.0</v>
      </c>
      <c r="B3860" s="124"/>
      <c r="C3860" s="124"/>
      <c r="D3860" s="124"/>
    </row>
    <row r="3861" hidden="1">
      <c r="A3861" s="122"/>
      <c r="B3861" s="124"/>
      <c r="C3861" s="123"/>
      <c r="D3861" s="312"/>
      <c r="F3861" s="313"/>
    </row>
    <row r="3862" hidden="1">
      <c r="A3862" s="128" t="s">
        <v>1209</v>
      </c>
      <c r="B3862" s="147">
        <v>1450.0</v>
      </c>
      <c r="C3862" s="147">
        <v>1600.0</v>
      </c>
      <c r="D3862" s="125">
        <f t="shared" ref="D3862:D3988" si="264">C3862-B3862</f>
        <v>150</v>
      </c>
      <c r="E3862" s="139"/>
      <c r="F3862" s="139"/>
      <c r="G3862" s="129"/>
      <c r="H3862" s="129"/>
      <c r="I3862" s="129"/>
      <c r="J3862" s="129"/>
      <c r="K3862" s="129"/>
      <c r="L3862" s="129"/>
      <c r="M3862" s="129"/>
      <c r="N3862" s="129"/>
      <c r="O3862" s="129"/>
      <c r="P3862" s="129"/>
      <c r="Q3862" s="129"/>
      <c r="R3862" s="129"/>
      <c r="S3862" s="129"/>
      <c r="T3862" s="129"/>
      <c r="U3862" s="129"/>
      <c r="V3862" s="129"/>
      <c r="W3862" s="129"/>
      <c r="X3862" s="129"/>
      <c r="Y3862" s="129"/>
      <c r="Z3862" s="129"/>
      <c r="AA3862" s="129"/>
      <c r="AB3862" s="129"/>
    </row>
    <row r="3863" hidden="1">
      <c r="A3863" s="128" t="s">
        <v>1674</v>
      </c>
      <c r="B3863" s="147">
        <v>1500.0</v>
      </c>
      <c r="C3863" s="147">
        <v>1650.0</v>
      </c>
      <c r="D3863" s="132">
        <f t="shared" si="264"/>
        <v>150</v>
      </c>
      <c r="E3863" s="139"/>
      <c r="F3863" s="139"/>
      <c r="G3863" s="129"/>
      <c r="H3863" s="129"/>
      <c r="I3863" s="129"/>
      <c r="J3863" s="129"/>
      <c r="K3863" s="129"/>
      <c r="L3863" s="129"/>
      <c r="M3863" s="129"/>
      <c r="N3863" s="129"/>
      <c r="O3863" s="129"/>
      <c r="P3863" s="129"/>
      <c r="Q3863" s="129"/>
      <c r="R3863" s="129"/>
      <c r="S3863" s="129"/>
      <c r="T3863" s="129"/>
      <c r="U3863" s="129"/>
      <c r="V3863" s="129"/>
      <c r="W3863" s="129"/>
      <c r="X3863" s="129"/>
      <c r="Y3863" s="129"/>
      <c r="Z3863" s="129"/>
      <c r="AA3863" s="129"/>
      <c r="AB3863" s="129"/>
    </row>
    <row r="3864" hidden="1">
      <c r="A3864" s="150" t="s">
        <v>1701</v>
      </c>
      <c r="B3864" s="147">
        <v>1500.0</v>
      </c>
      <c r="C3864" s="147">
        <v>1650.0</v>
      </c>
      <c r="D3864" s="132">
        <f t="shared" si="264"/>
        <v>150</v>
      </c>
      <c r="E3864" s="139"/>
      <c r="F3864" s="139"/>
      <c r="G3864" s="129"/>
      <c r="H3864" s="129"/>
      <c r="I3864" s="129"/>
      <c r="J3864" s="129"/>
      <c r="K3864" s="129"/>
      <c r="L3864" s="129"/>
      <c r="M3864" s="129"/>
      <c r="N3864" s="129"/>
      <c r="O3864" s="129"/>
      <c r="P3864" s="129"/>
      <c r="Q3864" s="129"/>
      <c r="R3864" s="129"/>
      <c r="S3864" s="129"/>
      <c r="T3864" s="129"/>
      <c r="U3864" s="129"/>
      <c r="V3864" s="129"/>
      <c r="W3864" s="129"/>
      <c r="X3864" s="129"/>
      <c r="Y3864" s="129"/>
      <c r="Z3864" s="129"/>
      <c r="AA3864" s="129"/>
      <c r="AB3864" s="129"/>
    </row>
    <row r="3865" hidden="1">
      <c r="A3865" s="128" t="s">
        <v>1632</v>
      </c>
      <c r="B3865" s="147">
        <v>1400.0</v>
      </c>
      <c r="C3865" s="147">
        <v>1600.0</v>
      </c>
      <c r="D3865" s="132">
        <f t="shared" si="264"/>
        <v>200</v>
      </c>
      <c r="E3865" s="139"/>
      <c r="F3865" s="139"/>
      <c r="G3865" s="129"/>
      <c r="H3865" s="129"/>
      <c r="I3865" s="129"/>
      <c r="J3865" s="129"/>
      <c r="K3865" s="129"/>
      <c r="L3865" s="129"/>
      <c r="M3865" s="129"/>
      <c r="N3865" s="129"/>
      <c r="O3865" s="129"/>
      <c r="P3865" s="129"/>
      <c r="Q3865" s="129"/>
      <c r="R3865" s="129"/>
      <c r="S3865" s="129"/>
      <c r="T3865" s="129"/>
      <c r="U3865" s="129"/>
      <c r="V3865" s="129"/>
      <c r="W3865" s="129"/>
      <c r="X3865" s="129"/>
      <c r="Y3865" s="129"/>
      <c r="Z3865" s="129"/>
      <c r="AA3865" s="129"/>
      <c r="AB3865" s="129"/>
    </row>
    <row r="3866" hidden="1">
      <c r="A3866" s="123" t="s">
        <v>1702</v>
      </c>
      <c r="B3866" s="124">
        <v>1775.0</v>
      </c>
      <c r="C3866" s="124">
        <v>1975.0</v>
      </c>
      <c r="D3866" s="125">
        <f t="shared" si="264"/>
        <v>200</v>
      </c>
      <c r="E3866" s="132"/>
      <c r="F3866" s="132"/>
      <c r="G3866" s="123"/>
    </row>
    <row r="3867" hidden="1">
      <c r="A3867" s="123" t="s">
        <v>1699</v>
      </c>
      <c r="B3867" s="147">
        <v>1400.0</v>
      </c>
      <c r="C3867" s="124">
        <v>1550.0</v>
      </c>
      <c r="D3867" s="125">
        <f t="shared" si="264"/>
        <v>150</v>
      </c>
      <c r="E3867" s="124"/>
      <c r="F3867" s="124"/>
    </row>
    <row r="3868" hidden="1">
      <c r="A3868" s="150" t="s">
        <v>1209</v>
      </c>
      <c r="B3868" s="147">
        <v>1450.0</v>
      </c>
      <c r="C3868" s="132">
        <v>1600.0</v>
      </c>
      <c r="D3868" s="132">
        <f t="shared" si="264"/>
        <v>150</v>
      </c>
      <c r="E3868" s="139"/>
      <c r="F3868" s="139"/>
      <c r="G3868" s="129"/>
      <c r="H3868" s="129"/>
      <c r="I3868" s="129"/>
      <c r="J3868" s="129"/>
      <c r="K3868" s="129"/>
      <c r="L3868" s="129"/>
      <c r="M3868" s="129"/>
      <c r="N3868" s="129"/>
      <c r="O3868" s="129"/>
      <c r="P3868" s="129"/>
      <c r="Q3868" s="129"/>
      <c r="R3868" s="129"/>
      <c r="S3868" s="129"/>
      <c r="T3868" s="129"/>
      <c r="U3868" s="129"/>
      <c r="V3868" s="129"/>
      <c r="W3868" s="129"/>
      <c r="X3868" s="129"/>
      <c r="Y3868" s="129"/>
      <c r="Z3868" s="129"/>
      <c r="AA3868" s="129"/>
      <c r="AB3868" s="129"/>
    </row>
    <row r="3869" hidden="1">
      <c r="A3869" s="123" t="s">
        <v>1115</v>
      </c>
      <c r="B3869" s="124">
        <v>1000.0</v>
      </c>
      <c r="C3869" s="124">
        <v>1150.0</v>
      </c>
      <c r="D3869" s="125">
        <f t="shared" si="264"/>
        <v>150</v>
      </c>
      <c r="E3869" s="124"/>
      <c r="F3869" s="124"/>
    </row>
    <row r="3870" hidden="1">
      <c r="A3870" s="123" t="s">
        <v>1479</v>
      </c>
      <c r="B3870" s="124">
        <v>2250.0</v>
      </c>
      <c r="C3870" s="124">
        <v>2375.0</v>
      </c>
      <c r="D3870" s="125">
        <f t="shared" si="264"/>
        <v>125</v>
      </c>
      <c r="E3870" s="124"/>
      <c r="F3870" s="124"/>
    </row>
    <row r="3871" hidden="1">
      <c r="A3871" s="123" t="s">
        <v>1703</v>
      </c>
      <c r="B3871" s="124">
        <v>1375.0</v>
      </c>
      <c r="C3871" s="124">
        <v>1500.0</v>
      </c>
      <c r="D3871" s="125">
        <f t="shared" si="264"/>
        <v>125</v>
      </c>
      <c r="E3871" s="124"/>
      <c r="F3871" s="124"/>
    </row>
    <row r="3872" hidden="1">
      <c r="A3872" s="128" t="s">
        <v>1704</v>
      </c>
      <c r="B3872" s="124">
        <v>1000.0</v>
      </c>
      <c r="C3872" s="147">
        <v>1125.0</v>
      </c>
      <c r="D3872" s="132">
        <f t="shared" si="264"/>
        <v>125</v>
      </c>
      <c r="E3872" s="124"/>
      <c r="F3872" s="124"/>
      <c r="G3872" s="129"/>
      <c r="H3872" s="129"/>
      <c r="I3872" s="129"/>
      <c r="J3872" s="129"/>
      <c r="K3872" s="129"/>
      <c r="L3872" s="129"/>
      <c r="M3872" s="129"/>
      <c r="N3872" s="129"/>
      <c r="O3872" s="129"/>
      <c r="P3872" s="129"/>
      <c r="Q3872" s="129"/>
      <c r="R3872" s="129"/>
      <c r="S3872" s="129"/>
      <c r="T3872" s="129"/>
      <c r="U3872" s="129"/>
      <c r="V3872" s="129"/>
      <c r="W3872" s="129"/>
      <c r="X3872" s="129"/>
      <c r="Y3872" s="129"/>
      <c r="Z3872" s="129"/>
      <c r="AA3872" s="129"/>
      <c r="AB3872" s="129"/>
    </row>
    <row r="3873" hidden="1">
      <c r="A3873" s="123" t="s">
        <v>1705</v>
      </c>
      <c r="B3873" s="124">
        <v>5500.0</v>
      </c>
      <c r="C3873" s="124">
        <v>6500.0</v>
      </c>
      <c r="D3873" s="125">
        <f t="shared" si="264"/>
        <v>1000</v>
      </c>
      <c r="E3873" s="124"/>
      <c r="F3873" s="124"/>
    </row>
    <row r="3874" hidden="1">
      <c r="A3874" s="150" t="s">
        <v>1209</v>
      </c>
      <c r="B3874" s="147">
        <v>1450.0</v>
      </c>
      <c r="C3874" s="132">
        <v>1600.0</v>
      </c>
      <c r="D3874" s="132">
        <f t="shared" si="264"/>
        <v>150</v>
      </c>
      <c r="E3874" s="139"/>
      <c r="F3874" s="139"/>
      <c r="G3874" s="129"/>
      <c r="H3874" s="129"/>
      <c r="I3874" s="129"/>
      <c r="J3874" s="129"/>
      <c r="K3874" s="129"/>
      <c r="L3874" s="129"/>
      <c r="M3874" s="129"/>
      <c r="N3874" s="129"/>
      <c r="O3874" s="129"/>
      <c r="P3874" s="129"/>
      <c r="Q3874" s="129"/>
      <c r="R3874" s="129"/>
      <c r="S3874" s="129"/>
      <c r="T3874" s="129"/>
      <c r="U3874" s="129"/>
      <c r="V3874" s="129"/>
      <c r="W3874" s="129"/>
      <c r="X3874" s="129"/>
      <c r="Y3874" s="129"/>
      <c r="Z3874" s="129"/>
      <c r="AA3874" s="129"/>
      <c r="AB3874" s="129"/>
    </row>
    <row r="3875" hidden="1">
      <c r="A3875" s="128" t="s">
        <v>1301</v>
      </c>
      <c r="B3875" s="147">
        <v>1425.0</v>
      </c>
      <c r="C3875" s="147">
        <v>1550.0</v>
      </c>
      <c r="D3875" s="125">
        <f t="shared" si="264"/>
        <v>125</v>
      </c>
      <c r="E3875" s="147"/>
      <c r="F3875" s="132"/>
      <c r="G3875" s="129"/>
      <c r="H3875" s="129"/>
      <c r="I3875" s="129"/>
      <c r="J3875" s="129"/>
      <c r="K3875" s="129"/>
      <c r="L3875" s="129"/>
      <c r="M3875" s="129"/>
      <c r="N3875" s="129"/>
      <c r="O3875" s="129"/>
      <c r="P3875" s="129"/>
      <c r="Q3875" s="129"/>
      <c r="R3875" s="129"/>
      <c r="S3875" s="129"/>
      <c r="T3875" s="129"/>
      <c r="U3875" s="129"/>
      <c r="V3875" s="129"/>
      <c r="W3875" s="129"/>
      <c r="X3875" s="129"/>
      <c r="Y3875" s="129"/>
      <c r="Z3875" s="129"/>
      <c r="AA3875" s="129"/>
      <c r="AB3875" s="129"/>
    </row>
    <row r="3876" hidden="1">
      <c r="A3876" s="128" t="s">
        <v>1679</v>
      </c>
      <c r="B3876" s="147">
        <v>1075.0</v>
      </c>
      <c r="C3876" s="147">
        <v>1200.0</v>
      </c>
      <c r="D3876" s="132">
        <f t="shared" si="264"/>
        <v>125</v>
      </c>
      <c r="E3876" s="124"/>
      <c r="F3876" s="124"/>
      <c r="G3876" s="129"/>
      <c r="H3876" s="129"/>
      <c r="I3876" s="129"/>
      <c r="J3876" s="129"/>
      <c r="K3876" s="129"/>
      <c r="L3876" s="129"/>
      <c r="M3876" s="129"/>
      <c r="N3876" s="129"/>
      <c r="O3876" s="129"/>
      <c r="P3876" s="129"/>
      <c r="Q3876" s="129"/>
      <c r="R3876" s="129"/>
      <c r="S3876" s="129"/>
      <c r="T3876" s="129"/>
      <c r="U3876" s="129"/>
      <c r="V3876" s="129"/>
      <c r="W3876" s="129"/>
      <c r="X3876" s="129"/>
      <c r="Y3876" s="129"/>
      <c r="Z3876" s="129"/>
      <c r="AA3876" s="129"/>
      <c r="AB3876" s="129"/>
    </row>
    <row r="3877" hidden="1">
      <c r="A3877" s="128" t="s">
        <v>1706</v>
      </c>
      <c r="B3877" s="147">
        <v>10000.0</v>
      </c>
      <c r="C3877" s="147">
        <v>10750.0</v>
      </c>
      <c r="D3877" s="132">
        <f t="shared" si="264"/>
        <v>750</v>
      </c>
      <c r="E3877" s="139"/>
      <c r="F3877" s="139"/>
      <c r="G3877" s="129"/>
      <c r="H3877" s="129"/>
      <c r="I3877" s="129"/>
      <c r="J3877" s="129"/>
      <c r="K3877" s="129"/>
      <c r="L3877" s="129"/>
      <c r="M3877" s="129"/>
      <c r="N3877" s="129"/>
      <c r="O3877" s="129"/>
      <c r="P3877" s="129"/>
      <c r="Q3877" s="129"/>
      <c r="R3877" s="129"/>
      <c r="S3877" s="129"/>
      <c r="T3877" s="129"/>
      <c r="U3877" s="129"/>
      <c r="V3877" s="129"/>
      <c r="W3877" s="129"/>
      <c r="X3877" s="129"/>
      <c r="Y3877" s="129"/>
      <c r="Z3877" s="129"/>
      <c r="AA3877" s="129"/>
      <c r="AB3877" s="129"/>
    </row>
    <row r="3878" hidden="1">
      <c r="A3878" s="123" t="s">
        <v>1696</v>
      </c>
      <c r="B3878" s="124">
        <v>5500.0</v>
      </c>
      <c r="C3878" s="124">
        <v>6400.0</v>
      </c>
      <c r="D3878" s="125">
        <f t="shared" si="264"/>
        <v>900</v>
      </c>
      <c r="E3878" s="124"/>
      <c r="F3878" s="124"/>
    </row>
    <row r="3879" hidden="1">
      <c r="A3879" s="128" t="s">
        <v>1674</v>
      </c>
      <c r="B3879" s="147">
        <v>1500.0</v>
      </c>
      <c r="C3879" s="147">
        <v>1650.0</v>
      </c>
      <c r="D3879" s="132">
        <f t="shared" si="264"/>
        <v>150</v>
      </c>
      <c r="E3879" s="139"/>
      <c r="F3879" s="139"/>
      <c r="G3879" s="129"/>
      <c r="H3879" s="129"/>
      <c r="I3879" s="129"/>
      <c r="J3879" s="129"/>
      <c r="K3879" s="129"/>
      <c r="L3879" s="129"/>
      <c r="M3879" s="129"/>
      <c r="N3879" s="129"/>
      <c r="O3879" s="129"/>
      <c r="P3879" s="129"/>
      <c r="Q3879" s="129"/>
      <c r="R3879" s="129"/>
      <c r="S3879" s="129"/>
      <c r="T3879" s="129"/>
      <c r="U3879" s="129"/>
      <c r="V3879" s="129"/>
      <c r="W3879" s="129"/>
      <c r="X3879" s="129"/>
      <c r="Y3879" s="129"/>
      <c r="Z3879" s="129"/>
      <c r="AA3879" s="129"/>
      <c r="AB3879" s="129"/>
    </row>
    <row r="3880" hidden="1">
      <c r="A3880" s="128" t="s">
        <v>1707</v>
      </c>
      <c r="B3880" s="147">
        <v>1400.0</v>
      </c>
      <c r="C3880" s="147">
        <v>1550.0</v>
      </c>
      <c r="D3880" s="132">
        <f t="shared" si="264"/>
        <v>150</v>
      </c>
      <c r="E3880" s="139"/>
      <c r="F3880" s="139"/>
      <c r="G3880" s="129"/>
      <c r="H3880" s="129"/>
      <c r="I3880" s="129"/>
      <c r="J3880" s="129"/>
      <c r="K3880" s="129"/>
      <c r="L3880" s="129"/>
      <c r="M3880" s="129"/>
      <c r="N3880" s="129"/>
      <c r="O3880" s="129"/>
      <c r="P3880" s="129"/>
      <c r="Q3880" s="129"/>
      <c r="R3880" s="129"/>
      <c r="S3880" s="129"/>
      <c r="T3880" s="129"/>
      <c r="U3880" s="129"/>
      <c r="V3880" s="129"/>
      <c r="W3880" s="129"/>
      <c r="X3880" s="129"/>
      <c r="Y3880" s="129"/>
      <c r="Z3880" s="129"/>
      <c r="AA3880" s="129"/>
      <c r="AB3880" s="129"/>
    </row>
    <row r="3881" hidden="1">
      <c r="A3881" s="128" t="s">
        <v>1209</v>
      </c>
      <c r="B3881" s="147">
        <v>1450.0</v>
      </c>
      <c r="C3881" s="147">
        <v>1600.0</v>
      </c>
      <c r="D3881" s="132">
        <f t="shared" si="264"/>
        <v>150</v>
      </c>
      <c r="E3881" s="139"/>
      <c r="F3881" s="139"/>
      <c r="G3881" s="129"/>
      <c r="H3881" s="129"/>
      <c r="I3881" s="129"/>
      <c r="J3881" s="129"/>
      <c r="K3881" s="129"/>
      <c r="L3881" s="129"/>
      <c r="M3881" s="129"/>
      <c r="N3881" s="129"/>
      <c r="O3881" s="129"/>
      <c r="P3881" s="129"/>
      <c r="Q3881" s="129"/>
      <c r="R3881" s="129"/>
      <c r="S3881" s="129"/>
      <c r="T3881" s="129"/>
      <c r="U3881" s="129"/>
      <c r="V3881" s="129"/>
      <c r="W3881" s="129"/>
      <c r="X3881" s="129"/>
      <c r="Y3881" s="129"/>
      <c r="Z3881" s="129"/>
      <c r="AA3881" s="129"/>
      <c r="AB3881" s="129"/>
    </row>
    <row r="3882" hidden="1">
      <c r="A3882" s="123" t="s">
        <v>403</v>
      </c>
      <c r="B3882" s="124">
        <v>1550.0</v>
      </c>
      <c r="C3882" s="124">
        <v>1750.0</v>
      </c>
      <c r="D3882" s="313">
        <f t="shared" si="264"/>
        <v>200</v>
      </c>
      <c r="E3882" s="147"/>
      <c r="F3882" s="124"/>
    </row>
    <row r="3883" hidden="1">
      <c r="A3883" s="159" t="s">
        <v>1300</v>
      </c>
      <c r="B3883" s="124">
        <v>1400.0</v>
      </c>
      <c r="C3883" s="147">
        <v>1550.0</v>
      </c>
      <c r="D3883" s="132">
        <f t="shared" si="264"/>
        <v>150</v>
      </c>
      <c r="E3883" s="124"/>
      <c r="F3883" s="124"/>
      <c r="G3883" s="129"/>
      <c r="H3883" s="129"/>
      <c r="I3883" s="129"/>
      <c r="J3883" s="129"/>
      <c r="K3883" s="129"/>
      <c r="L3883" s="129"/>
      <c r="M3883" s="129"/>
      <c r="N3883" s="129"/>
      <c r="O3883" s="129"/>
      <c r="P3883" s="129"/>
      <c r="Q3883" s="129"/>
      <c r="R3883" s="129"/>
      <c r="S3883" s="129"/>
      <c r="T3883" s="129"/>
      <c r="U3883" s="129"/>
      <c r="V3883" s="129"/>
      <c r="W3883" s="129"/>
      <c r="X3883" s="129"/>
      <c r="Y3883" s="129"/>
      <c r="Z3883" s="129"/>
      <c r="AA3883" s="129"/>
      <c r="AB3883" s="129"/>
    </row>
    <row r="3884" hidden="1">
      <c r="A3884" s="123" t="s">
        <v>1115</v>
      </c>
      <c r="B3884" s="124">
        <v>1000.0</v>
      </c>
      <c r="C3884" s="124">
        <v>1150.0</v>
      </c>
      <c r="D3884" s="125">
        <f t="shared" si="264"/>
        <v>150</v>
      </c>
      <c r="E3884" s="124"/>
      <c r="F3884" s="124"/>
    </row>
    <row r="3885" hidden="1">
      <c r="A3885" s="128" t="s">
        <v>1301</v>
      </c>
      <c r="B3885" s="147">
        <v>1450.0</v>
      </c>
      <c r="C3885" s="147">
        <v>1600.0</v>
      </c>
      <c r="D3885" s="132">
        <f t="shared" si="264"/>
        <v>150</v>
      </c>
      <c r="E3885" s="147"/>
      <c r="F3885" s="132"/>
      <c r="G3885" s="129"/>
      <c r="H3885" s="129"/>
      <c r="I3885" s="129"/>
      <c r="J3885" s="129"/>
      <c r="K3885" s="129"/>
      <c r="L3885" s="129"/>
      <c r="M3885" s="129"/>
      <c r="N3885" s="129"/>
      <c r="O3885" s="129"/>
      <c r="P3885" s="129"/>
      <c r="Q3885" s="129"/>
      <c r="R3885" s="129"/>
      <c r="S3885" s="129"/>
      <c r="T3885" s="129"/>
      <c r="U3885" s="129"/>
      <c r="V3885" s="129"/>
      <c r="W3885" s="129"/>
      <c r="X3885" s="129"/>
      <c r="Y3885" s="129"/>
      <c r="Z3885" s="129"/>
      <c r="AA3885" s="129"/>
      <c r="AB3885" s="129"/>
    </row>
    <row r="3886" hidden="1">
      <c r="A3886" s="123" t="s">
        <v>1708</v>
      </c>
      <c r="B3886" s="124">
        <v>550.0</v>
      </c>
      <c r="C3886" s="124">
        <v>700.0</v>
      </c>
      <c r="D3886" s="125">
        <f t="shared" si="264"/>
        <v>150</v>
      </c>
      <c r="E3886" s="124"/>
      <c r="F3886" s="124"/>
    </row>
    <row r="3887" hidden="1">
      <c r="A3887" s="123" t="s">
        <v>1709</v>
      </c>
      <c r="B3887" s="124">
        <v>7000.0</v>
      </c>
      <c r="C3887" s="124">
        <v>7500.0</v>
      </c>
      <c r="D3887" s="125">
        <f t="shared" si="264"/>
        <v>500</v>
      </c>
    </row>
    <row r="3888" hidden="1">
      <c r="A3888" s="123" t="s">
        <v>192</v>
      </c>
      <c r="B3888" s="124">
        <v>3250.0</v>
      </c>
      <c r="C3888" s="124">
        <v>3750.0</v>
      </c>
      <c r="D3888" s="125">
        <f t="shared" si="264"/>
        <v>500</v>
      </c>
    </row>
    <row r="3889" hidden="1">
      <c r="A3889" s="123" t="s">
        <v>1710</v>
      </c>
      <c r="B3889" s="124">
        <v>1250.0</v>
      </c>
      <c r="C3889" s="124">
        <v>1400.0</v>
      </c>
      <c r="D3889" s="125">
        <f t="shared" si="264"/>
        <v>150</v>
      </c>
      <c r="E3889" s="124"/>
      <c r="F3889" s="124"/>
    </row>
    <row r="3890" hidden="1">
      <c r="A3890" s="142" t="s">
        <v>1300</v>
      </c>
      <c r="B3890" s="147">
        <v>1375.0</v>
      </c>
      <c r="C3890" s="132">
        <v>1525.0</v>
      </c>
      <c r="D3890" s="132">
        <f t="shared" si="264"/>
        <v>150</v>
      </c>
      <c r="E3890" s="139"/>
      <c r="F3890" s="139"/>
      <c r="G3890" s="129"/>
      <c r="H3890" s="129"/>
      <c r="I3890" s="129"/>
      <c r="J3890" s="129"/>
      <c r="K3890" s="129"/>
      <c r="L3890" s="129"/>
      <c r="M3890" s="129"/>
      <c r="N3890" s="129"/>
      <c r="O3890" s="129"/>
      <c r="P3890" s="129"/>
      <c r="Q3890" s="129"/>
      <c r="R3890" s="129"/>
      <c r="S3890" s="129"/>
      <c r="T3890" s="129"/>
      <c r="U3890" s="129"/>
      <c r="V3890" s="129"/>
      <c r="W3890" s="129"/>
      <c r="X3890" s="129"/>
      <c r="Y3890" s="129"/>
      <c r="Z3890" s="129"/>
      <c r="AA3890" s="129"/>
      <c r="AB3890" s="129"/>
    </row>
    <row r="3891" hidden="1">
      <c r="A3891" s="150" t="s">
        <v>1701</v>
      </c>
      <c r="B3891" s="147">
        <v>1500.0</v>
      </c>
      <c r="C3891" s="147">
        <v>1650.0</v>
      </c>
      <c r="D3891" s="132">
        <f t="shared" si="264"/>
        <v>150</v>
      </c>
      <c r="E3891" s="139"/>
      <c r="F3891" s="139"/>
      <c r="G3891" s="129"/>
      <c r="H3891" s="129"/>
      <c r="I3891" s="129"/>
      <c r="J3891" s="129"/>
      <c r="K3891" s="129"/>
      <c r="L3891" s="129"/>
      <c r="M3891" s="129"/>
      <c r="N3891" s="129"/>
      <c r="O3891" s="129"/>
      <c r="P3891" s="129"/>
      <c r="Q3891" s="129"/>
      <c r="R3891" s="129"/>
      <c r="S3891" s="129"/>
      <c r="T3891" s="129"/>
      <c r="U3891" s="129"/>
      <c r="V3891" s="129"/>
      <c r="W3891" s="129"/>
      <c r="X3891" s="129"/>
      <c r="Y3891" s="129"/>
      <c r="Z3891" s="129"/>
      <c r="AA3891" s="129"/>
      <c r="AB3891" s="129"/>
    </row>
    <row r="3892" hidden="1">
      <c r="A3892" s="123" t="s">
        <v>1711</v>
      </c>
      <c r="B3892" s="124">
        <v>900.0</v>
      </c>
      <c r="C3892" s="124">
        <v>1050.0</v>
      </c>
      <c r="D3892" s="125">
        <f t="shared" si="264"/>
        <v>150</v>
      </c>
      <c r="E3892" s="124"/>
      <c r="F3892" s="124"/>
    </row>
    <row r="3893" hidden="1">
      <c r="A3893" s="150" t="s">
        <v>1701</v>
      </c>
      <c r="B3893" s="147">
        <v>1500.0</v>
      </c>
      <c r="C3893" s="147">
        <v>1650.0</v>
      </c>
      <c r="D3893" s="132">
        <f t="shared" si="264"/>
        <v>150</v>
      </c>
      <c r="E3893" s="139"/>
      <c r="F3893" s="139"/>
      <c r="G3893" s="129"/>
      <c r="H3893" s="129"/>
      <c r="I3893" s="129"/>
      <c r="J3893" s="129"/>
      <c r="K3893" s="129"/>
      <c r="L3893" s="129"/>
      <c r="M3893" s="129"/>
      <c r="N3893" s="129"/>
      <c r="O3893" s="129"/>
      <c r="P3893" s="129"/>
      <c r="Q3893" s="129"/>
      <c r="R3893" s="129"/>
      <c r="S3893" s="129"/>
      <c r="T3893" s="129"/>
      <c r="U3893" s="129"/>
      <c r="V3893" s="129"/>
      <c r="W3893" s="129"/>
      <c r="X3893" s="129"/>
      <c r="Y3893" s="129"/>
      <c r="Z3893" s="129"/>
      <c r="AA3893" s="129"/>
      <c r="AB3893" s="129"/>
    </row>
    <row r="3894" hidden="1">
      <c r="A3894" s="128" t="s">
        <v>1209</v>
      </c>
      <c r="B3894" s="147">
        <v>1450.0</v>
      </c>
      <c r="C3894" s="147">
        <v>1600.0</v>
      </c>
      <c r="D3894" s="132">
        <f t="shared" si="264"/>
        <v>150</v>
      </c>
      <c r="E3894" s="139"/>
      <c r="F3894" s="139"/>
      <c r="G3894" s="129"/>
      <c r="H3894" s="129"/>
      <c r="I3894" s="129"/>
      <c r="J3894" s="129"/>
      <c r="K3894" s="129"/>
      <c r="L3894" s="129"/>
      <c r="M3894" s="129"/>
      <c r="N3894" s="129"/>
      <c r="O3894" s="129"/>
      <c r="P3894" s="129"/>
      <c r="Q3894" s="129"/>
      <c r="R3894" s="129"/>
      <c r="S3894" s="129"/>
      <c r="T3894" s="129"/>
      <c r="U3894" s="129"/>
      <c r="V3894" s="129"/>
      <c r="W3894" s="129"/>
      <c r="X3894" s="129"/>
      <c r="Y3894" s="129"/>
      <c r="Z3894" s="129"/>
      <c r="AA3894" s="129"/>
      <c r="AB3894" s="129"/>
    </row>
    <row r="3895" hidden="1">
      <c r="A3895" s="123" t="s">
        <v>1712</v>
      </c>
      <c r="B3895" s="124">
        <v>1675.0</v>
      </c>
      <c r="C3895" s="124">
        <v>1875.0</v>
      </c>
      <c r="D3895" s="125">
        <f t="shared" si="264"/>
        <v>200</v>
      </c>
      <c r="E3895" s="132"/>
      <c r="F3895" s="124"/>
    </row>
    <row r="3896" hidden="1">
      <c r="A3896" s="123" t="s">
        <v>1713</v>
      </c>
      <c r="B3896" s="124">
        <v>1675.0</v>
      </c>
      <c r="C3896" s="124">
        <v>1875.0</v>
      </c>
      <c r="D3896" s="125">
        <f t="shared" si="264"/>
        <v>200</v>
      </c>
      <c r="E3896" s="132"/>
      <c r="F3896" s="124"/>
    </row>
    <row r="3897" hidden="1">
      <c r="A3897" s="123" t="s">
        <v>1714</v>
      </c>
      <c r="B3897" s="124">
        <v>6250.0</v>
      </c>
      <c r="C3897" s="124">
        <v>6500.0</v>
      </c>
      <c r="D3897" s="125">
        <f t="shared" si="264"/>
        <v>250</v>
      </c>
      <c r="E3897" s="124"/>
      <c r="F3897" s="124"/>
    </row>
    <row r="3898" hidden="1">
      <c r="A3898" s="128" t="s">
        <v>1665</v>
      </c>
      <c r="B3898" s="147">
        <v>1150.0</v>
      </c>
      <c r="C3898" s="147">
        <v>1275.0</v>
      </c>
      <c r="D3898" s="132">
        <f t="shared" si="264"/>
        <v>125</v>
      </c>
      <c r="E3898" s="132"/>
      <c r="F3898" s="132"/>
      <c r="G3898" s="129"/>
      <c r="H3898" s="129"/>
      <c r="I3898" s="129"/>
      <c r="J3898" s="129"/>
      <c r="K3898" s="129"/>
      <c r="L3898" s="129"/>
      <c r="M3898" s="129"/>
      <c r="N3898" s="129"/>
      <c r="O3898" s="129"/>
      <c r="P3898" s="129"/>
      <c r="Q3898" s="129"/>
      <c r="R3898" s="129"/>
      <c r="S3898" s="129"/>
      <c r="T3898" s="129"/>
      <c r="U3898" s="129"/>
      <c r="V3898" s="129"/>
      <c r="W3898" s="129"/>
      <c r="X3898" s="129"/>
      <c r="Y3898" s="129"/>
      <c r="Z3898" s="129"/>
      <c r="AA3898" s="129"/>
      <c r="AB3898" s="129"/>
    </row>
    <row r="3899" hidden="1">
      <c r="A3899" s="123" t="s">
        <v>1712</v>
      </c>
      <c r="B3899" s="124">
        <v>1775.0</v>
      </c>
      <c r="C3899" s="124">
        <v>1975.0</v>
      </c>
      <c r="D3899" s="125">
        <f t="shared" si="264"/>
        <v>200</v>
      </c>
      <c r="E3899" s="147"/>
      <c r="F3899" s="124"/>
    </row>
    <row r="3900" hidden="1">
      <c r="A3900" s="123" t="s">
        <v>1713</v>
      </c>
      <c r="B3900" s="124">
        <v>1775.0</v>
      </c>
      <c r="C3900" s="124">
        <v>1975.0</v>
      </c>
      <c r="D3900" s="125">
        <f t="shared" si="264"/>
        <v>200</v>
      </c>
      <c r="E3900" s="147"/>
      <c r="F3900" s="124"/>
    </row>
    <row r="3901" hidden="1">
      <c r="A3901" s="123" t="s">
        <v>1702</v>
      </c>
      <c r="B3901" s="124">
        <v>1775.0</v>
      </c>
      <c r="C3901" s="124">
        <v>1975.0</v>
      </c>
      <c r="D3901" s="125">
        <f t="shared" si="264"/>
        <v>200</v>
      </c>
      <c r="E3901" s="132"/>
      <c r="F3901" s="132"/>
      <c r="G3901" s="123"/>
    </row>
    <row r="3902" hidden="1">
      <c r="A3902" s="128" t="s">
        <v>1327</v>
      </c>
      <c r="B3902" s="147">
        <v>1100.0</v>
      </c>
      <c r="C3902" s="147">
        <v>1250.0</v>
      </c>
      <c r="D3902" s="132">
        <f t="shared" si="264"/>
        <v>150</v>
      </c>
      <c r="E3902" s="147"/>
      <c r="F3902" s="132"/>
      <c r="G3902" s="129"/>
      <c r="H3902" s="129"/>
      <c r="I3902" s="129"/>
      <c r="J3902" s="129"/>
      <c r="K3902" s="129"/>
      <c r="L3902" s="129"/>
      <c r="M3902" s="129"/>
      <c r="N3902" s="129"/>
      <c r="O3902" s="129"/>
      <c r="P3902" s="129"/>
      <c r="Q3902" s="129"/>
      <c r="R3902" s="129"/>
      <c r="S3902" s="129"/>
      <c r="T3902" s="129"/>
      <c r="U3902" s="129"/>
      <c r="V3902" s="129"/>
      <c r="W3902" s="129"/>
      <c r="X3902" s="129"/>
      <c r="Y3902" s="129"/>
      <c r="Z3902" s="129"/>
      <c r="AA3902" s="129"/>
      <c r="AB3902" s="129"/>
    </row>
    <row r="3903" hidden="1">
      <c r="A3903" s="123" t="s">
        <v>1715</v>
      </c>
      <c r="B3903" s="124">
        <v>1725.0</v>
      </c>
      <c r="C3903" s="124">
        <v>1850.0</v>
      </c>
      <c r="D3903" s="125">
        <f t="shared" si="264"/>
        <v>125</v>
      </c>
      <c r="E3903" s="124"/>
      <c r="F3903" s="124"/>
    </row>
    <row r="3904" hidden="1">
      <c r="A3904" s="123" t="s">
        <v>1716</v>
      </c>
      <c r="B3904" s="124">
        <v>1325.0</v>
      </c>
      <c r="C3904" s="124">
        <v>1575.0</v>
      </c>
      <c r="D3904" s="125">
        <f t="shared" si="264"/>
        <v>250</v>
      </c>
      <c r="E3904" s="124"/>
      <c r="F3904" s="124"/>
    </row>
    <row r="3905" hidden="1">
      <c r="A3905" s="128" t="s">
        <v>1717</v>
      </c>
      <c r="B3905" s="207">
        <v>725.0</v>
      </c>
      <c r="C3905" s="207">
        <v>975.0</v>
      </c>
      <c r="D3905" s="209">
        <f t="shared" si="264"/>
        <v>250</v>
      </c>
      <c r="E3905" s="132"/>
      <c r="F3905" s="132"/>
      <c r="G3905" s="129"/>
      <c r="H3905" s="129"/>
      <c r="I3905" s="129"/>
      <c r="J3905" s="129"/>
      <c r="K3905" s="129"/>
      <c r="L3905" s="129"/>
      <c r="M3905" s="129"/>
      <c r="N3905" s="129"/>
      <c r="O3905" s="129"/>
      <c r="P3905" s="129"/>
      <c r="Q3905" s="129"/>
      <c r="R3905" s="129"/>
      <c r="S3905" s="129"/>
      <c r="T3905" s="129"/>
      <c r="U3905" s="129"/>
      <c r="V3905" s="129"/>
      <c r="W3905" s="129"/>
      <c r="X3905" s="129"/>
      <c r="Y3905" s="129"/>
      <c r="Z3905" s="129"/>
      <c r="AA3905" s="129"/>
      <c r="AB3905" s="129"/>
    </row>
    <row r="3906" hidden="1">
      <c r="A3906" s="123" t="s">
        <v>1718</v>
      </c>
      <c r="B3906" s="124">
        <v>1525.0</v>
      </c>
      <c r="C3906" s="124">
        <v>1650.0</v>
      </c>
      <c r="D3906" s="125">
        <f t="shared" si="264"/>
        <v>125</v>
      </c>
      <c r="E3906" s="124"/>
      <c r="F3906" s="124"/>
    </row>
    <row r="3907" hidden="1">
      <c r="A3907" s="142" t="s">
        <v>1300</v>
      </c>
      <c r="B3907" s="132">
        <v>1375.0</v>
      </c>
      <c r="C3907" s="132">
        <v>1525.0</v>
      </c>
      <c r="D3907" s="132">
        <f t="shared" si="264"/>
        <v>150</v>
      </c>
      <c r="E3907" s="139"/>
      <c r="F3907" s="139"/>
      <c r="G3907" s="129"/>
      <c r="H3907" s="129"/>
      <c r="I3907" s="129"/>
      <c r="J3907" s="129"/>
      <c r="K3907" s="129"/>
      <c r="L3907" s="129"/>
      <c r="M3907" s="129"/>
      <c r="N3907" s="129"/>
      <c r="O3907" s="129"/>
      <c r="P3907" s="129"/>
      <c r="Q3907" s="129"/>
      <c r="R3907" s="129"/>
      <c r="S3907" s="129"/>
      <c r="T3907" s="129"/>
      <c r="U3907" s="129"/>
      <c r="V3907" s="129"/>
      <c r="W3907" s="129"/>
      <c r="X3907" s="129"/>
      <c r="Y3907" s="129"/>
      <c r="Z3907" s="129"/>
      <c r="AA3907" s="129"/>
      <c r="AB3907" s="129"/>
    </row>
    <row r="3908" hidden="1">
      <c r="A3908" s="128" t="s">
        <v>1719</v>
      </c>
      <c r="B3908" s="147">
        <v>1300.0</v>
      </c>
      <c r="C3908" s="147">
        <v>1500.0</v>
      </c>
      <c r="D3908" s="125">
        <f t="shared" si="264"/>
        <v>200</v>
      </c>
      <c r="E3908" s="132"/>
      <c r="F3908" s="132"/>
      <c r="G3908" s="129"/>
      <c r="H3908" s="129"/>
      <c r="I3908" s="129"/>
      <c r="J3908" s="129"/>
      <c r="K3908" s="129"/>
      <c r="L3908" s="129"/>
      <c r="M3908" s="129"/>
      <c r="N3908" s="129"/>
      <c r="O3908" s="129"/>
      <c r="P3908" s="129"/>
      <c r="Q3908" s="129"/>
      <c r="R3908" s="129"/>
      <c r="S3908" s="129"/>
      <c r="T3908" s="129"/>
      <c r="U3908" s="129"/>
      <c r="V3908" s="129"/>
      <c r="W3908" s="129"/>
      <c r="X3908" s="129"/>
      <c r="Y3908" s="129"/>
      <c r="Z3908" s="129"/>
      <c r="AA3908" s="129"/>
      <c r="AB3908" s="129"/>
    </row>
    <row r="3909" hidden="1">
      <c r="A3909" s="123" t="s">
        <v>1720</v>
      </c>
      <c r="B3909" s="124">
        <v>1300.0</v>
      </c>
      <c r="C3909" s="124">
        <v>1500.0</v>
      </c>
      <c r="D3909" s="125">
        <f t="shared" si="264"/>
        <v>200</v>
      </c>
      <c r="E3909" s="124"/>
      <c r="F3909" s="124"/>
    </row>
    <row r="3910" hidden="1">
      <c r="A3910" s="123" t="s">
        <v>1721</v>
      </c>
      <c r="B3910" s="124">
        <v>1300.0</v>
      </c>
      <c r="C3910" s="124">
        <v>1500.0</v>
      </c>
      <c r="D3910" s="125">
        <f t="shared" si="264"/>
        <v>200</v>
      </c>
      <c r="E3910" s="124"/>
      <c r="F3910" s="124"/>
    </row>
    <row r="3911" hidden="1">
      <c r="A3911" s="123" t="s">
        <v>1722</v>
      </c>
      <c r="B3911" s="124">
        <v>1300.0</v>
      </c>
      <c r="C3911" s="124">
        <v>1500.0</v>
      </c>
      <c r="D3911" s="125">
        <f t="shared" si="264"/>
        <v>200</v>
      </c>
      <c r="E3911" s="124"/>
      <c r="F3911" s="124"/>
    </row>
    <row r="3912" hidden="1">
      <c r="A3912" s="123" t="s">
        <v>1723</v>
      </c>
      <c r="B3912" s="124">
        <v>950.0</v>
      </c>
      <c r="C3912" s="124">
        <v>1100.0</v>
      </c>
      <c r="D3912" s="125">
        <f t="shared" si="264"/>
        <v>150</v>
      </c>
      <c r="E3912" s="124"/>
      <c r="F3912" s="124"/>
    </row>
    <row r="3913" hidden="1">
      <c r="A3913" s="142" t="s">
        <v>1724</v>
      </c>
      <c r="B3913" s="147">
        <v>1350.0</v>
      </c>
      <c r="C3913" s="124">
        <v>1400.0</v>
      </c>
      <c r="D3913" s="125">
        <f t="shared" si="264"/>
        <v>50</v>
      </c>
      <c r="E3913" s="124"/>
      <c r="F3913" s="124"/>
      <c r="G3913" s="129"/>
      <c r="H3913" s="129"/>
      <c r="I3913" s="129"/>
      <c r="J3913" s="129"/>
      <c r="K3913" s="129"/>
      <c r="L3913" s="129"/>
      <c r="M3913" s="129"/>
      <c r="N3913" s="129"/>
      <c r="O3913" s="129"/>
      <c r="P3913" s="129"/>
      <c r="Q3913" s="129"/>
      <c r="R3913" s="129"/>
      <c r="S3913" s="129"/>
      <c r="T3913" s="129"/>
      <c r="U3913" s="129"/>
      <c r="V3913" s="129"/>
      <c r="W3913" s="129"/>
      <c r="X3913" s="129"/>
      <c r="Y3913" s="129"/>
      <c r="Z3913" s="129"/>
      <c r="AA3913" s="129"/>
      <c r="AB3913" s="129"/>
    </row>
    <row r="3914" hidden="1">
      <c r="A3914" s="123" t="s">
        <v>1725</v>
      </c>
      <c r="B3914" s="124">
        <v>1450.0</v>
      </c>
      <c r="C3914" s="124">
        <v>1575.0</v>
      </c>
      <c r="D3914" s="125">
        <f t="shared" si="264"/>
        <v>125</v>
      </c>
      <c r="E3914" s="124"/>
      <c r="F3914" s="124"/>
    </row>
    <row r="3915" hidden="1">
      <c r="A3915" s="123" t="s">
        <v>1726</v>
      </c>
      <c r="B3915" s="124">
        <v>2600.0</v>
      </c>
      <c r="C3915" s="123">
        <v>2750.0</v>
      </c>
      <c r="D3915" s="132">
        <f t="shared" si="264"/>
        <v>150</v>
      </c>
      <c r="F3915" s="313"/>
    </row>
    <row r="3916" hidden="1">
      <c r="A3916" s="123" t="s">
        <v>1727</v>
      </c>
      <c r="B3916" s="124">
        <v>11000.0</v>
      </c>
      <c r="C3916" s="124">
        <v>11250.0</v>
      </c>
      <c r="D3916" s="125">
        <f t="shared" si="264"/>
        <v>250</v>
      </c>
      <c r="E3916" s="124"/>
      <c r="F3916" s="124"/>
    </row>
    <row r="3917" hidden="1">
      <c r="A3917" s="128" t="s">
        <v>1665</v>
      </c>
      <c r="B3917" s="147">
        <v>1150.0</v>
      </c>
      <c r="C3917" s="147">
        <v>1275.0</v>
      </c>
      <c r="D3917" s="132">
        <f t="shared" si="264"/>
        <v>125</v>
      </c>
      <c r="E3917" s="132"/>
      <c r="F3917" s="132"/>
      <c r="G3917" s="129"/>
      <c r="H3917" s="129"/>
      <c r="I3917" s="129"/>
      <c r="J3917" s="129"/>
      <c r="K3917" s="129"/>
      <c r="L3917" s="129"/>
      <c r="M3917" s="129"/>
      <c r="N3917" s="129"/>
      <c r="O3917" s="129"/>
      <c r="P3917" s="129"/>
      <c r="Q3917" s="129"/>
      <c r="R3917" s="129"/>
      <c r="S3917" s="129"/>
      <c r="T3917" s="129"/>
      <c r="U3917" s="129"/>
      <c r="V3917" s="129"/>
      <c r="W3917" s="129"/>
      <c r="X3917" s="129"/>
      <c r="Y3917" s="129"/>
      <c r="Z3917" s="129"/>
      <c r="AA3917" s="129"/>
      <c r="AB3917" s="129"/>
    </row>
    <row r="3918" hidden="1">
      <c r="A3918" s="150" t="s">
        <v>1728</v>
      </c>
      <c r="B3918" s="147">
        <v>950.0</v>
      </c>
      <c r="C3918" s="147">
        <v>1075.0</v>
      </c>
      <c r="D3918" s="132">
        <f t="shared" si="264"/>
        <v>125</v>
      </c>
      <c r="E3918" s="132"/>
      <c r="F3918" s="132"/>
      <c r="G3918" s="129"/>
      <c r="H3918" s="129"/>
      <c r="I3918" s="129"/>
      <c r="J3918" s="129"/>
      <c r="K3918" s="129"/>
      <c r="L3918" s="129"/>
      <c r="M3918" s="129"/>
      <c r="N3918" s="129"/>
      <c r="O3918" s="129"/>
      <c r="P3918" s="129"/>
      <c r="Q3918" s="129"/>
      <c r="R3918" s="129"/>
      <c r="S3918" s="129"/>
      <c r="T3918" s="129"/>
      <c r="U3918" s="129"/>
      <c r="V3918" s="129"/>
      <c r="W3918" s="129"/>
      <c r="X3918" s="129"/>
      <c r="Y3918" s="129"/>
      <c r="Z3918" s="129"/>
      <c r="AA3918" s="129"/>
      <c r="AB3918" s="129"/>
    </row>
    <row r="3919" hidden="1">
      <c r="A3919" s="128" t="s">
        <v>1729</v>
      </c>
      <c r="B3919" s="147">
        <v>1375.0</v>
      </c>
      <c r="C3919" s="147">
        <v>1525.0</v>
      </c>
      <c r="D3919" s="132">
        <f t="shared" si="264"/>
        <v>150</v>
      </c>
      <c r="E3919" s="139"/>
      <c r="F3919" s="139"/>
      <c r="G3919" s="129"/>
      <c r="H3919" s="129"/>
      <c r="I3919" s="129"/>
      <c r="J3919" s="129"/>
      <c r="K3919" s="129"/>
      <c r="L3919" s="129"/>
      <c r="M3919" s="129"/>
      <c r="N3919" s="129"/>
      <c r="O3919" s="129"/>
      <c r="P3919" s="129"/>
      <c r="Q3919" s="129"/>
      <c r="R3919" s="129"/>
      <c r="S3919" s="129"/>
      <c r="T3919" s="129"/>
      <c r="U3919" s="129"/>
      <c r="V3919" s="129"/>
      <c r="W3919" s="129"/>
      <c r="X3919" s="129"/>
      <c r="Y3919" s="129"/>
      <c r="Z3919" s="129"/>
      <c r="AA3919" s="129"/>
      <c r="AB3919" s="129"/>
    </row>
    <row r="3920" hidden="1">
      <c r="A3920" s="123" t="s">
        <v>1115</v>
      </c>
      <c r="B3920" s="124">
        <v>1050.0</v>
      </c>
      <c r="C3920" s="124">
        <v>1200.0</v>
      </c>
      <c r="D3920" s="125">
        <f t="shared" si="264"/>
        <v>150</v>
      </c>
      <c r="E3920" s="124"/>
      <c r="F3920" s="124"/>
    </row>
    <row r="3921" hidden="1">
      <c r="A3921" s="123" t="s">
        <v>1291</v>
      </c>
      <c r="B3921" s="124">
        <v>1125.0</v>
      </c>
      <c r="C3921" s="124">
        <v>1250.0</v>
      </c>
      <c r="D3921" s="125">
        <f t="shared" si="264"/>
        <v>125</v>
      </c>
    </row>
    <row r="3922" hidden="1">
      <c r="A3922" s="123" t="s">
        <v>1730</v>
      </c>
      <c r="B3922" s="147">
        <v>1125.0</v>
      </c>
      <c r="C3922" s="147">
        <v>1250.0</v>
      </c>
      <c r="D3922" s="125">
        <f t="shared" si="264"/>
        <v>125</v>
      </c>
      <c r="E3922" s="124"/>
      <c r="F3922" s="124"/>
    </row>
    <row r="3923" hidden="1">
      <c r="A3923" s="123" t="s">
        <v>520</v>
      </c>
      <c r="B3923" s="124">
        <v>1550.0</v>
      </c>
      <c r="C3923" s="124">
        <v>1750.0</v>
      </c>
      <c r="D3923" s="125">
        <f t="shared" si="264"/>
        <v>200</v>
      </c>
      <c r="E3923" s="147"/>
      <c r="F3923" s="124"/>
    </row>
    <row r="3924" hidden="1">
      <c r="A3924" s="123" t="s">
        <v>405</v>
      </c>
      <c r="B3924" s="124">
        <v>775.0</v>
      </c>
      <c r="C3924" s="124">
        <v>900.0</v>
      </c>
      <c r="D3924" s="125">
        <f t="shared" si="264"/>
        <v>125</v>
      </c>
      <c r="E3924" s="132"/>
      <c r="F3924" s="124"/>
    </row>
    <row r="3925" hidden="1">
      <c r="A3925" s="123" t="s">
        <v>404</v>
      </c>
      <c r="B3925" s="123">
        <v>775.0</v>
      </c>
      <c r="C3925" s="124">
        <v>900.0</v>
      </c>
      <c r="D3925" s="125">
        <f t="shared" si="264"/>
        <v>125</v>
      </c>
      <c r="E3925" s="147"/>
      <c r="F3925" s="124"/>
    </row>
    <row r="3926" hidden="1">
      <c r="A3926" s="123" t="s">
        <v>403</v>
      </c>
      <c r="B3926" s="124">
        <v>1400.0</v>
      </c>
      <c r="C3926" s="124">
        <v>1600.0</v>
      </c>
      <c r="D3926" s="125">
        <f t="shared" si="264"/>
        <v>200</v>
      </c>
      <c r="E3926" s="147"/>
      <c r="F3926" s="124"/>
    </row>
    <row r="3927" hidden="1">
      <c r="A3927" s="123" t="s">
        <v>1633</v>
      </c>
      <c r="B3927" s="124">
        <v>1150.0</v>
      </c>
      <c r="C3927" s="124">
        <v>1300.0</v>
      </c>
      <c r="D3927" s="125">
        <f t="shared" si="264"/>
        <v>150</v>
      </c>
      <c r="E3927" s="124"/>
      <c r="F3927" s="124"/>
    </row>
    <row r="3928" hidden="1">
      <c r="A3928" s="150" t="s">
        <v>403</v>
      </c>
      <c r="B3928" s="147">
        <v>1400.0</v>
      </c>
      <c r="C3928" s="132">
        <v>1600.0</v>
      </c>
      <c r="D3928" s="270">
        <f t="shared" si="264"/>
        <v>200</v>
      </c>
      <c r="E3928" s="139"/>
      <c r="F3928" s="139"/>
      <c r="G3928" s="129"/>
      <c r="H3928" s="129"/>
      <c r="I3928" s="129"/>
      <c r="J3928" s="129"/>
      <c r="K3928" s="129"/>
      <c r="L3928" s="129"/>
      <c r="M3928" s="129"/>
      <c r="N3928" s="129"/>
      <c r="O3928" s="129"/>
      <c r="P3928" s="129"/>
      <c r="Q3928" s="129"/>
      <c r="R3928" s="129"/>
      <c r="S3928" s="129"/>
      <c r="T3928" s="129"/>
      <c r="U3928" s="129"/>
      <c r="V3928" s="129"/>
      <c r="W3928" s="129"/>
      <c r="X3928" s="129"/>
      <c r="Y3928" s="129"/>
      <c r="Z3928" s="129"/>
      <c r="AA3928" s="129"/>
      <c r="AB3928" s="129"/>
    </row>
    <row r="3929" hidden="1">
      <c r="A3929" s="128" t="s">
        <v>1209</v>
      </c>
      <c r="B3929" s="147">
        <v>1425.0</v>
      </c>
      <c r="C3929" s="147">
        <v>1600.0</v>
      </c>
      <c r="D3929" s="132">
        <f t="shared" si="264"/>
        <v>175</v>
      </c>
      <c r="E3929" s="139"/>
      <c r="F3929" s="139"/>
      <c r="G3929" s="129"/>
      <c r="H3929" s="129"/>
      <c r="I3929" s="129"/>
      <c r="J3929" s="129"/>
      <c r="K3929" s="129"/>
      <c r="L3929" s="129"/>
      <c r="M3929" s="129"/>
      <c r="N3929" s="129"/>
      <c r="O3929" s="129"/>
      <c r="P3929" s="129"/>
      <c r="Q3929" s="129"/>
      <c r="R3929" s="129"/>
      <c r="S3929" s="129"/>
      <c r="T3929" s="129"/>
      <c r="U3929" s="129"/>
      <c r="V3929" s="129"/>
      <c r="W3929" s="129"/>
      <c r="X3929" s="129"/>
      <c r="Y3929" s="129"/>
      <c r="Z3929" s="129"/>
      <c r="AA3929" s="129"/>
      <c r="AB3929" s="129"/>
    </row>
    <row r="3930" hidden="1">
      <c r="A3930" s="128" t="s">
        <v>1301</v>
      </c>
      <c r="B3930" s="147">
        <v>1375.0</v>
      </c>
      <c r="C3930" s="147">
        <v>1525.0</v>
      </c>
      <c r="D3930" s="132">
        <f t="shared" si="264"/>
        <v>150</v>
      </c>
      <c r="E3930" s="147"/>
      <c r="F3930" s="132"/>
      <c r="G3930" s="129"/>
      <c r="H3930" s="129"/>
      <c r="I3930" s="129"/>
      <c r="J3930" s="129"/>
      <c r="K3930" s="129"/>
      <c r="L3930" s="129"/>
      <c r="M3930" s="129"/>
      <c r="N3930" s="129"/>
      <c r="O3930" s="129"/>
      <c r="P3930" s="129"/>
      <c r="Q3930" s="129"/>
      <c r="R3930" s="129"/>
      <c r="S3930" s="129"/>
      <c r="T3930" s="129"/>
      <c r="U3930" s="129"/>
      <c r="V3930" s="129"/>
      <c r="W3930" s="129"/>
      <c r="X3930" s="129"/>
      <c r="Y3930" s="129"/>
      <c r="Z3930" s="129"/>
      <c r="AA3930" s="129"/>
      <c r="AB3930" s="129"/>
    </row>
    <row r="3931" hidden="1">
      <c r="A3931" s="128" t="s">
        <v>1301</v>
      </c>
      <c r="B3931" s="147">
        <v>1375.0</v>
      </c>
      <c r="C3931" s="147">
        <v>1525.0</v>
      </c>
      <c r="D3931" s="132">
        <f t="shared" si="264"/>
        <v>150</v>
      </c>
      <c r="E3931" s="147"/>
      <c r="F3931" s="132"/>
      <c r="G3931" s="129"/>
      <c r="H3931" s="129"/>
      <c r="I3931" s="129"/>
      <c r="J3931" s="129"/>
      <c r="K3931" s="129"/>
      <c r="L3931" s="129"/>
      <c r="M3931" s="129"/>
      <c r="N3931" s="129"/>
      <c r="O3931" s="129"/>
      <c r="P3931" s="129"/>
      <c r="Q3931" s="129"/>
      <c r="R3931" s="129"/>
      <c r="S3931" s="129"/>
      <c r="T3931" s="129"/>
      <c r="U3931" s="129"/>
      <c r="V3931" s="129"/>
      <c r="W3931" s="129"/>
      <c r="X3931" s="129"/>
      <c r="Y3931" s="129"/>
      <c r="Z3931" s="129"/>
      <c r="AA3931" s="129"/>
      <c r="AB3931" s="129"/>
    </row>
    <row r="3932" hidden="1">
      <c r="A3932" s="123" t="s">
        <v>1115</v>
      </c>
      <c r="B3932" s="124">
        <v>1050.0</v>
      </c>
      <c r="C3932" s="124">
        <v>1200.0</v>
      </c>
      <c r="D3932" s="125">
        <f t="shared" si="264"/>
        <v>150</v>
      </c>
      <c r="E3932" s="124"/>
      <c r="F3932" s="124"/>
    </row>
    <row r="3933" hidden="1">
      <c r="A3933" s="142" t="s">
        <v>1724</v>
      </c>
      <c r="B3933" s="147">
        <v>1350.0</v>
      </c>
      <c r="C3933" s="124">
        <v>1475.0</v>
      </c>
      <c r="D3933" s="125">
        <f t="shared" si="264"/>
        <v>125</v>
      </c>
      <c r="E3933" s="124"/>
      <c r="F3933" s="124"/>
      <c r="G3933" s="129"/>
      <c r="H3933" s="129"/>
      <c r="I3933" s="129"/>
      <c r="J3933" s="129"/>
      <c r="K3933" s="129"/>
      <c r="L3933" s="129"/>
      <c r="M3933" s="129"/>
      <c r="N3933" s="129"/>
      <c r="O3933" s="129"/>
      <c r="P3933" s="129"/>
      <c r="Q3933" s="129"/>
      <c r="R3933" s="129"/>
      <c r="S3933" s="129"/>
      <c r="T3933" s="129"/>
      <c r="U3933" s="129"/>
      <c r="V3933" s="129"/>
      <c r="W3933" s="129"/>
      <c r="X3933" s="129"/>
      <c r="Y3933" s="129"/>
      <c r="Z3933" s="129"/>
      <c r="AA3933" s="129"/>
      <c r="AB3933" s="129"/>
    </row>
    <row r="3934" hidden="1">
      <c r="A3934" s="123" t="s">
        <v>1633</v>
      </c>
      <c r="B3934" s="124">
        <v>1250.0</v>
      </c>
      <c r="C3934" s="124">
        <v>1400.0</v>
      </c>
      <c r="D3934" s="125">
        <f t="shared" si="264"/>
        <v>150</v>
      </c>
      <c r="E3934" s="124"/>
      <c r="F3934" s="124"/>
    </row>
    <row r="3935" hidden="1">
      <c r="A3935" s="123" t="s">
        <v>1115</v>
      </c>
      <c r="B3935" s="124">
        <v>1000.0</v>
      </c>
      <c r="C3935" s="124">
        <v>1200.0</v>
      </c>
      <c r="D3935" s="125">
        <f t="shared" si="264"/>
        <v>200</v>
      </c>
      <c r="E3935" s="124"/>
      <c r="F3935" s="124"/>
    </row>
    <row r="3936" hidden="1">
      <c r="A3936" s="123" t="s">
        <v>1718</v>
      </c>
      <c r="B3936" s="124">
        <v>1500.0</v>
      </c>
      <c r="C3936" s="124">
        <v>1650.0</v>
      </c>
      <c r="D3936" s="125">
        <f t="shared" si="264"/>
        <v>150</v>
      </c>
      <c r="E3936" s="124"/>
      <c r="F3936" s="124"/>
    </row>
    <row r="3937" hidden="1">
      <c r="A3937" s="123" t="s">
        <v>1633</v>
      </c>
      <c r="B3937" s="124">
        <v>1250.0</v>
      </c>
      <c r="C3937" s="124">
        <v>1400.0</v>
      </c>
      <c r="D3937" s="125">
        <f t="shared" si="264"/>
        <v>150</v>
      </c>
      <c r="E3937" s="124"/>
      <c r="F3937" s="124"/>
    </row>
    <row r="3938" hidden="1">
      <c r="A3938" s="123" t="s">
        <v>1621</v>
      </c>
      <c r="B3938" s="124">
        <v>750.0</v>
      </c>
      <c r="C3938" s="124">
        <v>900.0</v>
      </c>
      <c r="D3938" s="125">
        <f t="shared" si="264"/>
        <v>150</v>
      </c>
      <c r="E3938" s="124"/>
      <c r="F3938" s="124"/>
    </row>
    <row r="3939" hidden="1">
      <c r="A3939" s="159" t="s">
        <v>1731</v>
      </c>
      <c r="B3939" s="124">
        <v>775.0</v>
      </c>
      <c r="C3939" s="123">
        <v>900.0</v>
      </c>
      <c r="D3939" s="125">
        <f t="shared" si="264"/>
        <v>125</v>
      </c>
      <c r="F3939" s="313"/>
    </row>
    <row r="3940" hidden="1">
      <c r="A3940" s="150" t="s">
        <v>1728</v>
      </c>
      <c r="B3940" s="132">
        <v>925.0</v>
      </c>
      <c r="C3940" s="147">
        <v>1075.0</v>
      </c>
      <c r="D3940" s="132">
        <f t="shared" si="264"/>
        <v>150</v>
      </c>
      <c r="E3940" s="132"/>
      <c r="F3940" s="132"/>
      <c r="G3940" s="129"/>
      <c r="H3940" s="129"/>
      <c r="I3940" s="129"/>
      <c r="J3940" s="129"/>
      <c r="K3940" s="129"/>
      <c r="L3940" s="129"/>
      <c r="M3940" s="129"/>
      <c r="N3940" s="129"/>
      <c r="O3940" s="129"/>
      <c r="P3940" s="129"/>
      <c r="Q3940" s="129"/>
      <c r="R3940" s="129"/>
      <c r="S3940" s="129"/>
      <c r="T3940" s="129"/>
      <c r="U3940" s="129"/>
      <c r="V3940" s="129"/>
      <c r="W3940" s="129"/>
      <c r="X3940" s="129"/>
      <c r="Y3940" s="129"/>
      <c r="Z3940" s="129"/>
      <c r="AA3940" s="129"/>
      <c r="AB3940" s="129"/>
    </row>
    <row r="3941" hidden="1">
      <c r="A3941" s="128" t="s">
        <v>520</v>
      </c>
      <c r="B3941" s="147">
        <v>1550.0</v>
      </c>
      <c r="C3941" s="147">
        <v>1750.0</v>
      </c>
      <c r="D3941" s="132">
        <f t="shared" si="264"/>
        <v>200</v>
      </c>
      <c r="E3941" s="132"/>
      <c r="F3941" s="132"/>
      <c r="G3941" s="129"/>
      <c r="H3941" s="129"/>
      <c r="I3941" s="129"/>
      <c r="J3941" s="129"/>
      <c r="K3941" s="129"/>
      <c r="L3941" s="129"/>
      <c r="M3941" s="129"/>
      <c r="N3941" s="129"/>
      <c r="O3941" s="129"/>
      <c r="P3941" s="129"/>
      <c r="Q3941" s="129"/>
      <c r="R3941" s="129"/>
      <c r="S3941" s="129"/>
      <c r="T3941" s="129"/>
      <c r="U3941" s="129"/>
      <c r="V3941" s="129"/>
      <c r="W3941" s="129"/>
      <c r="X3941" s="129"/>
      <c r="Y3941" s="129"/>
      <c r="Z3941" s="129"/>
      <c r="AA3941" s="129"/>
      <c r="AB3941" s="129"/>
    </row>
    <row r="3942" hidden="1">
      <c r="A3942" s="150" t="s">
        <v>1728</v>
      </c>
      <c r="B3942" s="132">
        <v>925.0</v>
      </c>
      <c r="C3942" s="147">
        <v>1050.0</v>
      </c>
      <c r="D3942" s="132">
        <f t="shared" si="264"/>
        <v>125</v>
      </c>
      <c r="E3942" s="132"/>
      <c r="F3942" s="132"/>
      <c r="G3942" s="129"/>
      <c r="H3942" s="129"/>
      <c r="I3942" s="129"/>
      <c r="J3942" s="129"/>
      <c r="K3942" s="129"/>
      <c r="L3942" s="129"/>
      <c r="M3942" s="129"/>
      <c r="N3942" s="129"/>
      <c r="O3942" s="129"/>
      <c r="P3942" s="129"/>
      <c r="Q3942" s="129"/>
      <c r="R3942" s="129"/>
      <c r="S3942" s="129"/>
      <c r="T3942" s="129"/>
      <c r="U3942" s="129"/>
      <c r="V3942" s="129"/>
      <c r="W3942" s="129"/>
      <c r="X3942" s="129"/>
      <c r="Y3942" s="129"/>
      <c r="Z3942" s="129"/>
      <c r="AA3942" s="129"/>
      <c r="AB3942" s="129"/>
    </row>
    <row r="3943" hidden="1">
      <c r="A3943" s="123" t="s">
        <v>1732</v>
      </c>
      <c r="B3943" s="124">
        <v>1500.0</v>
      </c>
      <c r="C3943" s="124">
        <v>1625.0</v>
      </c>
      <c r="D3943" s="125">
        <f t="shared" si="264"/>
        <v>125</v>
      </c>
      <c r="E3943" s="124"/>
      <c r="F3943" s="124"/>
    </row>
    <row r="3944" hidden="1">
      <c r="A3944" s="128" t="s">
        <v>1209</v>
      </c>
      <c r="B3944" s="147">
        <v>1425.0</v>
      </c>
      <c r="C3944" s="147">
        <v>1575.0</v>
      </c>
      <c r="D3944" s="132">
        <f t="shared" si="264"/>
        <v>150</v>
      </c>
      <c r="E3944" s="139"/>
      <c r="F3944" s="139"/>
      <c r="G3944" s="129"/>
      <c r="H3944" s="129"/>
      <c r="I3944" s="129"/>
      <c r="J3944" s="129"/>
      <c r="K3944" s="129"/>
      <c r="L3944" s="129"/>
      <c r="M3944" s="129"/>
      <c r="N3944" s="129"/>
      <c r="O3944" s="129"/>
      <c r="P3944" s="129"/>
      <c r="Q3944" s="129"/>
      <c r="R3944" s="129"/>
      <c r="S3944" s="129"/>
      <c r="T3944" s="129"/>
      <c r="U3944" s="129"/>
      <c r="V3944" s="129"/>
      <c r="W3944" s="129"/>
      <c r="X3944" s="129"/>
      <c r="Y3944" s="129"/>
      <c r="Z3944" s="129"/>
      <c r="AA3944" s="129"/>
      <c r="AB3944" s="129"/>
    </row>
    <row r="3945" hidden="1">
      <c r="A3945" s="128" t="s">
        <v>1699</v>
      </c>
      <c r="B3945" s="147">
        <v>1375.0</v>
      </c>
      <c r="C3945" s="132">
        <v>1525.0</v>
      </c>
      <c r="D3945" s="132">
        <f t="shared" si="264"/>
        <v>150</v>
      </c>
      <c r="E3945" s="139"/>
      <c r="F3945" s="139"/>
      <c r="G3945" s="129"/>
      <c r="H3945" s="129"/>
      <c r="I3945" s="129"/>
      <c r="J3945" s="129"/>
      <c r="K3945" s="129"/>
      <c r="L3945" s="129"/>
      <c r="M3945" s="129"/>
      <c r="N3945" s="129"/>
      <c r="O3945" s="129"/>
      <c r="P3945" s="129"/>
      <c r="Q3945" s="129"/>
      <c r="R3945" s="129"/>
      <c r="S3945" s="129"/>
      <c r="T3945" s="129"/>
      <c r="U3945" s="129"/>
      <c r="V3945" s="129"/>
      <c r="W3945" s="129"/>
      <c r="X3945" s="129"/>
      <c r="Y3945" s="129"/>
      <c r="Z3945" s="129"/>
      <c r="AA3945" s="129"/>
      <c r="AB3945" s="129"/>
    </row>
    <row r="3946" hidden="1">
      <c r="A3946" s="128" t="s">
        <v>1729</v>
      </c>
      <c r="B3946" s="147">
        <v>1375.0</v>
      </c>
      <c r="C3946" s="147">
        <v>1525.0</v>
      </c>
      <c r="D3946" s="132">
        <f t="shared" si="264"/>
        <v>150</v>
      </c>
      <c r="E3946" s="139"/>
      <c r="F3946" s="139"/>
      <c r="G3946" s="129"/>
      <c r="H3946" s="129"/>
      <c r="I3946" s="129"/>
      <c r="J3946" s="129"/>
      <c r="K3946" s="129"/>
      <c r="L3946" s="129"/>
      <c r="M3946" s="129"/>
      <c r="N3946" s="129"/>
      <c r="O3946" s="129"/>
      <c r="P3946" s="129"/>
      <c r="Q3946" s="129"/>
      <c r="R3946" s="129"/>
      <c r="S3946" s="129"/>
      <c r="T3946" s="129"/>
      <c r="U3946" s="129"/>
      <c r="V3946" s="129"/>
      <c r="W3946" s="129"/>
      <c r="X3946" s="129"/>
      <c r="Y3946" s="129"/>
      <c r="Z3946" s="129"/>
      <c r="AA3946" s="129"/>
      <c r="AB3946" s="129"/>
    </row>
    <row r="3947" hidden="1">
      <c r="A3947" s="150" t="s">
        <v>1728</v>
      </c>
      <c r="B3947" s="132">
        <v>925.0</v>
      </c>
      <c r="C3947" s="147">
        <v>1050.0</v>
      </c>
      <c r="D3947" s="132">
        <f t="shared" si="264"/>
        <v>125</v>
      </c>
      <c r="E3947" s="132"/>
      <c r="F3947" s="132"/>
      <c r="G3947" s="129"/>
      <c r="H3947" s="129"/>
      <c r="I3947" s="129"/>
      <c r="J3947" s="129"/>
      <c r="K3947" s="129"/>
      <c r="L3947" s="129"/>
      <c r="M3947" s="129"/>
      <c r="N3947" s="129"/>
      <c r="O3947" s="129"/>
      <c r="P3947" s="129"/>
      <c r="Q3947" s="129"/>
      <c r="R3947" s="129"/>
      <c r="S3947" s="129"/>
      <c r="T3947" s="129"/>
      <c r="U3947" s="129"/>
      <c r="V3947" s="129"/>
      <c r="W3947" s="129"/>
      <c r="X3947" s="129"/>
      <c r="Y3947" s="129"/>
      <c r="Z3947" s="129"/>
      <c r="AA3947" s="129"/>
      <c r="AB3947" s="129"/>
    </row>
    <row r="3948" hidden="1">
      <c r="A3948" s="123" t="s">
        <v>1633</v>
      </c>
      <c r="B3948" s="124">
        <v>1325.0</v>
      </c>
      <c r="C3948" s="124">
        <v>1400.0</v>
      </c>
      <c r="D3948" s="125">
        <f t="shared" si="264"/>
        <v>75</v>
      </c>
      <c r="E3948" s="124"/>
      <c r="F3948" s="124"/>
    </row>
    <row r="3949" hidden="1">
      <c r="A3949" s="150" t="s">
        <v>1701</v>
      </c>
      <c r="B3949" s="147">
        <v>1450.0</v>
      </c>
      <c r="C3949" s="147">
        <v>1600.0</v>
      </c>
      <c r="D3949" s="132">
        <f t="shared" si="264"/>
        <v>150</v>
      </c>
      <c r="E3949" s="139"/>
      <c r="F3949" s="139"/>
      <c r="G3949" s="129"/>
      <c r="H3949" s="129"/>
      <c r="I3949" s="129"/>
      <c r="J3949" s="129"/>
      <c r="K3949" s="129"/>
      <c r="L3949" s="129"/>
      <c r="M3949" s="129"/>
      <c r="N3949" s="129"/>
      <c r="O3949" s="129"/>
      <c r="P3949" s="129"/>
      <c r="Q3949" s="129"/>
      <c r="R3949" s="129"/>
      <c r="S3949" s="129"/>
      <c r="T3949" s="129"/>
      <c r="U3949" s="129"/>
      <c r="V3949" s="129"/>
      <c r="W3949" s="129"/>
      <c r="X3949" s="129"/>
      <c r="Y3949" s="129"/>
      <c r="Z3949" s="129"/>
      <c r="AA3949" s="129"/>
      <c r="AB3949" s="129"/>
    </row>
    <row r="3950" hidden="1">
      <c r="A3950" s="150" t="s">
        <v>1701</v>
      </c>
      <c r="B3950" s="147">
        <v>1450.0</v>
      </c>
      <c r="C3950" s="147">
        <v>1600.0</v>
      </c>
      <c r="D3950" s="132">
        <f t="shared" si="264"/>
        <v>150</v>
      </c>
      <c r="E3950" s="139"/>
      <c r="F3950" s="139"/>
      <c r="G3950" s="129"/>
      <c r="H3950" s="129"/>
      <c r="I3950" s="129"/>
      <c r="J3950" s="129"/>
      <c r="K3950" s="129"/>
      <c r="L3950" s="129"/>
      <c r="M3950" s="129"/>
      <c r="N3950" s="129"/>
      <c r="O3950" s="129"/>
      <c r="P3950" s="129"/>
      <c r="Q3950" s="129"/>
      <c r="R3950" s="129"/>
      <c r="S3950" s="129"/>
      <c r="T3950" s="129"/>
      <c r="U3950" s="129"/>
      <c r="V3950" s="129"/>
      <c r="W3950" s="129"/>
      <c r="X3950" s="129"/>
      <c r="Y3950" s="129"/>
      <c r="Z3950" s="129"/>
      <c r="AA3950" s="129"/>
      <c r="AB3950" s="129"/>
    </row>
    <row r="3951" hidden="1">
      <c r="A3951" s="142" t="s">
        <v>1724</v>
      </c>
      <c r="B3951" s="147">
        <v>1275.0</v>
      </c>
      <c r="C3951" s="147">
        <v>1400.0</v>
      </c>
      <c r="D3951" s="132">
        <f t="shared" si="264"/>
        <v>125</v>
      </c>
      <c r="E3951" s="139"/>
      <c r="F3951" s="139"/>
      <c r="G3951" s="129"/>
      <c r="H3951" s="129"/>
      <c r="I3951" s="129"/>
      <c r="J3951" s="129"/>
      <c r="K3951" s="129"/>
      <c r="L3951" s="129"/>
      <c r="M3951" s="129"/>
      <c r="N3951" s="129"/>
      <c r="O3951" s="129"/>
      <c r="P3951" s="129"/>
      <c r="Q3951" s="129"/>
      <c r="R3951" s="129"/>
      <c r="S3951" s="129"/>
      <c r="T3951" s="129"/>
      <c r="U3951" s="129"/>
      <c r="V3951" s="129"/>
      <c r="W3951" s="129"/>
      <c r="X3951" s="129"/>
      <c r="Y3951" s="129"/>
      <c r="Z3951" s="129"/>
      <c r="AA3951" s="129"/>
      <c r="AB3951" s="129"/>
    </row>
    <row r="3952" hidden="1">
      <c r="A3952" s="128" t="s">
        <v>1209</v>
      </c>
      <c r="B3952" s="147">
        <v>1425.0</v>
      </c>
      <c r="C3952" s="147">
        <v>1575.0</v>
      </c>
      <c r="D3952" s="132">
        <f t="shared" si="264"/>
        <v>150</v>
      </c>
      <c r="E3952" s="139"/>
      <c r="F3952" s="139"/>
      <c r="G3952" s="129"/>
      <c r="H3952" s="129"/>
      <c r="I3952" s="129"/>
      <c r="J3952" s="129"/>
      <c r="K3952" s="129"/>
      <c r="L3952" s="129"/>
      <c r="M3952" s="129"/>
      <c r="N3952" s="129"/>
      <c r="O3952" s="129"/>
      <c r="P3952" s="129"/>
      <c r="Q3952" s="129"/>
      <c r="R3952" s="129"/>
      <c r="S3952" s="129"/>
      <c r="T3952" s="129"/>
      <c r="U3952" s="129"/>
      <c r="V3952" s="129"/>
      <c r="W3952" s="129"/>
      <c r="X3952" s="129"/>
      <c r="Y3952" s="129"/>
      <c r="Z3952" s="129"/>
      <c r="AA3952" s="129"/>
      <c r="AB3952" s="129"/>
    </row>
    <row r="3953" hidden="1">
      <c r="A3953" s="128" t="s">
        <v>1209</v>
      </c>
      <c r="B3953" s="147">
        <v>1425.0</v>
      </c>
      <c r="C3953" s="147">
        <v>1575.0</v>
      </c>
      <c r="D3953" s="132">
        <f t="shared" si="264"/>
        <v>150</v>
      </c>
      <c r="E3953" s="139"/>
      <c r="F3953" s="139"/>
      <c r="G3953" s="129"/>
      <c r="H3953" s="129"/>
      <c r="I3953" s="129"/>
      <c r="J3953" s="129"/>
      <c r="K3953" s="129"/>
      <c r="L3953" s="129"/>
      <c r="M3953" s="129"/>
      <c r="N3953" s="129"/>
      <c r="O3953" s="129"/>
      <c r="P3953" s="129"/>
      <c r="Q3953" s="129"/>
      <c r="R3953" s="129"/>
      <c r="S3953" s="129"/>
      <c r="T3953" s="129"/>
      <c r="U3953" s="129"/>
      <c r="V3953" s="129"/>
      <c r="W3953" s="129"/>
      <c r="X3953" s="129"/>
      <c r="Y3953" s="129"/>
      <c r="Z3953" s="129"/>
      <c r="AA3953" s="129"/>
      <c r="AB3953" s="129"/>
    </row>
    <row r="3954" hidden="1">
      <c r="A3954" s="123" t="s">
        <v>1733</v>
      </c>
      <c r="B3954" s="124">
        <v>1000.0</v>
      </c>
      <c r="C3954" s="124">
        <v>1150.0</v>
      </c>
      <c r="D3954" s="125">
        <f t="shared" si="264"/>
        <v>150</v>
      </c>
      <c r="E3954" s="124"/>
      <c r="F3954" s="124"/>
    </row>
    <row r="3955" hidden="1">
      <c r="A3955" s="128" t="s">
        <v>1665</v>
      </c>
      <c r="B3955" s="147">
        <v>1075.0</v>
      </c>
      <c r="C3955" s="147">
        <v>1200.0</v>
      </c>
      <c r="D3955" s="132">
        <f t="shared" si="264"/>
        <v>125</v>
      </c>
      <c r="E3955" s="132"/>
      <c r="F3955" s="132"/>
      <c r="G3955" s="129"/>
      <c r="H3955" s="129"/>
      <c r="I3955" s="129"/>
      <c r="J3955" s="129"/>
      <c r="K3955" s="129"/>
      <c r="L3955" s="129"/>
      <c r="M3955" s="129"/>
      <c r="N3955" s="129"/>
      <c r="O3955" s="129"/>
      <c r="P3955" s="129"/>
      <c r="Q3955" s="129"/>
      <c r="R3955" s="129"/>
      <c r="S3955" s="129"/>
      <c r="T3955" s="129"/>
      <c r="U3955" s="129"/>
      <c r="V3955" s="129"/>
      <c r="W3955" s="129"/>
      <c r="X3955" s="129"/>
      <c r="Y3955" s="129"/>
      <c r="Z3955" s="129"/>
      <c r="AA3955" s="129"/>
      <c r="AB3955" s="129"/>
    </row>
    <row r="3956" hidden="1">
      <c r="A3956" s="142" t="s">
        <v>1724</v>
      </c>
      <c r="B3956" s="147">
        <v>1275.0</v>
      </c>
      <c r="C3956" s="147">
        <v>1400.0</v>
      </c>
      <c r="D3956" s="132">
        <f t="shared" si="264"/>
        <v>125</v>
      </c>
      <c r="E3956" s="139"/>
      <c r="F3956" s="139"/>
      <c r="G3956" s="129"/>
      <c r="H3956" s="129"/>
      <c r="I3956" s="129"/>
      <c r="J3956" s="129"/>
      <c r="K3956" s="129"/>
      <c r="L3956" s="129"/>
      <c r="M3956" s="129"/>
      <c r="N3956" s="129"/>
      <c r="O3956" s="129"/>
      <c r="P3956" s="129"/>
      <c r="Q3956" s="129"/>
      <c r="R3956" s="129"/>
      <c r="S3956" s="129"/>
      <c r="T3956" s="129"/>
      <c r="U3956" s="129"/>
      <c r="V3956" s="129"/>
      <c r="W3956" s="129"/>
      <c r="X3956" s="129"/>
      <c r="Y3956" s="129"/>
      <c r="Z3956" s="129"/>
      <c r="AA3956" s="129"/>
      <c r="AB3956" s="129"/>
    </row>
    <row r="3957" hidden="1">
      <c r="A3957" s="128" t="s">
        <v>1734</v>
      </c>
      <c r="B3957" s="147">
        <v>1000.0</v>
      </c>
      <c r="C3957" s="147">
        <v>1150.0</v>
      </c>
      <c r="D3957" s="132">
        <f t="shared" si="264"/>
        <v>150</v>
      </c>
      <c r="E3957" s="139"/>
      <c r="F3957" s="139"/>
      <c r="G3957" s="129"/>
      <c r="H3957" s="129"/>
      <c r="I3957" s="129"/>
      <c r="J3957" s="129"/>
      <c r="K3957" s="129"/>
      <c r="L3957" s="129"/>
      <c r="M3957" s="129"/>
      <c r="N3957" s="129"/>
      <c r="O3957" s="129"/>
      <c r="P3957" s="129"/>
      <c r="Q3957" s="129"/>
      <c r="R3957" s="129"/>
      <c r="S3957" s="129"/>
      <c r="T3957" s="129"/>
      <c r="U3957" s="129"/>
      <c r="V3957" s="129"/>
      <c r="W3957" s="129"/>
      <c r="X3957" s="129"/>
      <c r="Y3957" s="129"/>
      <c r="Z3957" s="129"/>
      <c r="AA3957" s="129"/>
      <c r="AB3957" s="129"/>
    </row>
    <row r="3958" hidden="1">
      <c r="A3958" s="150" t="s">
        <v>1665</v>
      </c>
      <c r="B3958" s="147">
        <v>1075.0</v>
      </c>
      <c r="C3958" s="147">
        <v>1200.0</v>
      </c>
      <c r="D3958" s="132">
        <f t="shared" si="264"/>
        <v>125</v>
      </c>
      <c r="E3958" s="132"/>
      <c r="F3958" s="132"/>
      <c r="G3958" s="129"/>
      <c r="H3958" s="129"/>
      <c r="I3958" s="129"/>
      <c r="J3958" s="129"/>
      <c r="K3958" s="129"/>
      <c r="L3958" s="129"/>
      <c r="M3958" s="129"/>
      <c r="N3958" s="129"/>
      <c r="O3958" s="129"/>
      <c r="P3958" s="129"/>
      <c r="Q3958" s="129"/>
      <c r="R3958" s="129"/>
      <c r="S3958" s="129"/>
      <c r="T3958" s="129"/>
      <c r="U3958" s="129"/>
      <c r="V3958" s="129"/>
      <c r="W3958" s="129"/>
      <c r="X3958" s="129"/>
      <c r="Y3958" s="129"/>
      <c r="Z3958" s="129"/>
      <c r="AA3958" s="129"/>
      <c r="AB3958" s="129"/>
    </row>
    <row r="3959" hidden="1">
      <c r="A3959" s="123" t="s">
        <v>1735</v>
      </c>
      <c r="B3959" s="124">
        <v>950.0</v>
      </c>
      <c r="C3959" s="124">
        <v>1100.0</v>
      </c>
      <c r="D3959" s="125">
        <f t="shared" si="264"/>
        <v>150</v>
      </c>
      <c r="E3959" s="124"/>
      <c r="F3959" s="124"/>
    </row>
    <row r="3960" hidden="1">
      <c r="A3960" s="150" t="s">
        <v>1665</v>
      </c>
      <c r="B3960" s="147">
        <v>1075.0</v>
      </c>
      <c r="C3960" s="147">
        <v>1200.0</v>
      </c>
      <c r="D3960" s="132">
        <f t="shared" si="264"/>
        <v>125</v>
      </c>
      <c r="E3960" s="132"/>
      <c r="F3960" s="132"/>
      <c r="G3960" s="129"/>
      <c r="H3960" s="129"/>
      <c r="I3960" s="129"/>
      <c r="J3960" s="129"/>
      <c r="K3960" s="129"/>
      <c r="L3960" s="129"/>
      <c r="M3960" s="129"/>
      <c r="N3960" s="129"/>
      <c r="O3960" s="129"/>
      <c r="P3960" s="129"/>
      <c r="Q3960" s="129"/>
      <c r="R3960" s="129"/>
      <c r="S3960" s="129"/>
      <c r="T3960" s="129"/>
      <c r="U3960" s="129"/>
      <c r="V3960" s="129"/>
      <c r="W3960" s="129"/>
      <c r="X3960" s="129"/>
      <c r="Y3960" s="129"/>
      <c r="Z3960" s="129"/>
      <c r="AA3960" s="129"/>
      <c r="AB3960" s="129"/>
    </row>
    <row r="3961" hidden="1">
      <c r="A3961" s="123" t="s">
        <v>1736</v>
      </c>
      <c r="B3961" s="124">
        <v>1050.0</v>
      </c>
      <c r="C3961" s="124">
        <v>1200.0</v>
      </c>
      <c r="D3961" s="125">
        <f t="shared" si="264"/>
        <v>150</v>
      </c>
      <c r="E3961" s="124"/>
      <c r="F3961" s="124"/>
    </row>
    <row r="3962" hidden="1">
      <c r="A3962" s="123" t="s">
        <v>1737</v>
      </c>
      <c r="B3962" s="124">
        <v>2350.0</v>
      </c>
      <c r="C3962" s="124">
        <v>2475.0</v>
      </c>
      <c r="D3962" s="125">
        <f t="shared" si="264"/>
        <v>125</v>
      </c>
      <c r="E3962" s="124"/>
      <c r="F3962" s="124"/>
    </row>
    <row r="3963" hidden="1">
      <c r="A3963" s="150" t="s">
        <v>1701</v>
      </c>
      <c r="B3963" s="132">
        <v>1450.0</v>
      </c>
      <c r="C3963" s="132">
        <v>1600.0</v>
      </c>
      <c r="D3963" s="132">
        <f t="shared" si="264"/>
        <v>150</v>
      </c>
      <c r="E3963" s="139"/>
      <c r="F3963" s="139"/>
      <c r="G3963" s="129"/>
      <c r="H3963" s="129"/>
      <c r="I3963" s="129"/>
      <c r="J3963" s="129"/>
      <c r="K3963" s="129"/>
      <c r="L3963" s="129"/>
      <c r="M3963" s="129"/>
      <c r="N3963" s="129"/>
      <c r="O3963" s="129"/>
      <c r="P3963" s="129"/>
      <c r="Q3963" s="129"/>
      <c r="R3963" s="129"/>
      <c r="S3963" s="129"/>
      <c r="T3963" s="129"/>
      <c r="U3963" s="129"/>
      <c r="V3963" s="129"/>
      <c r="W3963" s="129"/>
      <c r="X3963" s="129"/>
      <c r="Y3963" s="129"/>
      <c r="Z3963" s="129"/>
      <c r="AA3963" s="129"/>
      <c r="AB3963" s="129"/>
    </row>
    <row r="3964" hidden="1">
      <c r="A3964" s="128" t="s">
        <v>1701</v>
      </c>
      <c r="B3964" s="147">
        <v>1450.0</v>
      </c>
      <c r="C3964" s="147">
        <v>1600.0</v>
      </c>
      <c r="D3964" s="132">
        <f t="shared" si="264"/>
        <v>150</v>
      </c>
      <c r="E3964" s="139"/>
      <c r="F3964" s="139"/>
      <c r="G3964" s="129"/>
      <c r="H3964" s="129"/>
      <c r="I3964" s="129"/>
      <c r="J3964" s="129"/>
      <c r="K3964" s="129"/>
      <c r="L3964" s="129"/>
      <c r="M3964" s="129"/>
      <c r="N3964" s="129"/>
      <c r="O3964" s="129"/>
      <c r="P3964" s="129"/>
      <c r="Q3964" s="129"/>
      <c r="R3964" s="129"/>
      <c r="S3964" s="129"/>
      <c r="T3964" s="129"/>
      <c r="U3964" s="129"/>
      <c r="V3964" s="129"/>
      <c r="W3964" s="129"/>
      <c r="X3964" s="129"/>
      <c r="Y3964" s="129"/>
      <c r="Z3964" s="129"/>
      <c r="AA3964" s="129"/>
      <c r="AB3964" s="129"/>
    </row>
    <row r="3965" hidden="1">
      <c r="A3965" s="150" t="s">
        <v>1738</v>
      </c>
      <c r="B3965" s="147">
        <v>1425.0</v>
      </c>
      <c r="C3965" s="147">
        <v>1575.0</v>
      </c>
      <c r="D3965" s="132">
        <f t="shared" si="264"/>
        <v>150</v>
      </c>
      <c r="E3965" s="139"/>
      <c r="F3965" s="139"/>
      <c r="G3965" s="129"/>
      <c r="H3965" s="129"/>
      <c r="I3965" s="129"/>
      <c r="J3965" s="129"/>
      <c r="K3965" s="129"/>
      <c r="L3965" s="129"/>
      <c r="M3965" s="129"/>
      <c r="N3965" s="129"/>
      <c r="O3965" s="129"/>
      <c r="P3965" s="129"/>
      <c r="Q3965" s="129"/>
      <c r="R3965" s="129"/>
      <c r="S3965" s="129"/>
      <c r="T3965" s="129"/>
      <c r="U3965" s="129"/>
      <c r="V3965" s="129"/>
      <c r="W3965" s="129"/>
      <c r="X3965" s="129"/>
      <c r="Y3965" s="129"/>
      <c r="Z3965" s="129"/>
      <c r="AA3965" s="129"/>
      <c r="AB3965" s="129"/>
    </row>
    <row r="3966" hidden="1">
      <c r="A3966" s="128" t="s">
        <v>1674</v>
      </c>
      <c r="B3966" s="147">
        <v>1450.0</v>
      </c>
      <c r="C3966" s="147">
        <v>1600.0</v>
      </c>
      <c r="D3966" s="132">
        <f t="shared" si="264"/>
        <v>150</v>
      </c>
      <c r="E3966" s="139"/>
      <c r="F3966" s="139"/>
      <c r="G3966" s="129"/>
      <c r="H3966" s="129"/>
      <c r="I3966" s="129"/>
      <c r="J3966" s="129"/>
      <c r="K3966" s="129"/>
      <c r="L3966" s="129"/>
      <c r="M3966" s="129"/>
      <c r="N3966" s="129"/>
      <c r="O3966" s="129"/>
      <c r="P3966" s="129"/>
      <c r="Q3966" s="129"/>
      <c r="R3966" s="129"/>
      <c r="S3966" s="129"/>
      <c r="T3966" s="129"/>
      <c r="U3966" s="129"/>
      <c r="V3966" s="129"/>
      <c r="W3966" s="129"/>
      <c r="X3966" s="129"/>
      <c r="Y3966" s="129"/>
      <c r="Z3966" s="129"/>
      <c r="AA3966" s="129"/>
      <c r="AB3966" s="129"/>
    </row>
    <row r="3967" hidden="1">
      <c r="A3967" s="128" t="s">
        <v>1707</v>
      </c>
      <c r="B3967" s="147">
        <v>1375.0</v>
      </c>
      <c r="C3967" s="147">
        <v>1525.0</v>
      </c>
      <c r="D3967" s="132">
        <f t="shared" si="264"/>
        <v>150</v>
      </c>
      <c r="E3967" s="139"/>
      <c r="F3967" s="139"/>
      <c r="G3967" s="129"/>
      <c r="H3967" s="129"/>
      <c r="I3967" s="129"/>
      <c r="J3967" s="129"/>
      <c r="K3967" s="129"/>
      <c r="L3967" s="129"/>
      <c r="M3967" s="129"/>
      <c r="N3967" s="129"/>
      <c r="O3967" s="129"/>
      <c r="P3967" s="129"/>
      <c r="Q3967" s="129"/>
      <c r="R3967" s="129"/>
      <c r="S3967" s="129"/>
      <c r="T3967" s="129"/>
      <c r="U3967" s="129"/>
      <c r="V3967" s="129"/>
      <c r="W3967" s="129"/>
      <c r="X3967" s="129"/>
      <c r="Y3967" s="129"/>
      <c r="Z3967" s="129"/>
      <c r="AA3967" s="129"/>
      <c r="AB3967" s="129"/>
    </row>
    <row r="3968" hidden="1">
      <c r="A3968" s="150" t="s">
        <v>1733</v>
      </c>
      <c r="B3968" s="132">
        <v>1000.0</v>
      </c>
      <c r="C3968" s="132">
        <v>1150.0</v>
      </c>
      <c r="D3968" s="132">
        <f t="shared" si="264"/>
        <v>150</v>
      </c>
      <c r="E3968" s="139"/>
      <c r="F3968" s="139"/>
      <c r="G3968" s="129"/>
      <c r="H3968" s="129"/>
      <c r="I3968" s="129"/>
      <c r="J3968" s="129"/>
      <c r="K3968" s="129"/>
      <c r="L3968" s="129"/>
      <c r="M3968" s="129"/>
      <c r="N3968" s="129"/>
      <c r="O3968" s="129"/>
      <c r="P3968" s="129"/>
      <c r="Q3968" s="129"/>
      <c r="R3968" s="129"/>
      <c r="S3968" s="129"/>
      <c r="T3968" s="129"/>
      <c r="U3968" s="129"/>
      <c r="V3968" s="129"/>
      <c r="W3968" s="129"/>
      <c r="X3968" s="129"/>
      <c r="Y3968" s="129"/>
      <c r="Z3968" s="129"/>
      <c r="AA3968" s="129"/>
      <c r="AB3968" s="129"/>
    </row>
    <row r="3969" hidden="1">
      <c r="A3969" s="150" t="s">
        <v>1728</v>
      </c>
      <c r="B3969" s="132">
        <v>925.0</v>
      </c>
      <c r="C3969" s="147">
        <v>1050.0</v>
      </c>
      <c r="D3969" s="132">
        <f t="shared" si="264"/>
        <v>125</v>
      </c>
      <c r="E3969" s="132"/>
      <c r="F3969" s="132"/>
      <c r="G3969" s="129"/>
      <c r="H3969" s="129"/>
      <c r="I3969" s="129"/>
      <c r="J3969" s="129"/>
      <c r="K3969" s="129"/>
      <c r="L3969" s="129"/>
      <c r="M3969" s="129"/>
      <c r="N3969" s="129"/>
      <c r="O3969" s="129"/>
      <c r="P3969" s="129"/>
      <c r="Q3969" s="129"/>
      <c r="R3969" s="129"/>
      <c r="S3969" s="129"/>
      <c r="T3969" s="129"/>
      <c r="U3969" s="129"/>
      <c r="V3969" s="129"/>
      <c r="W3969" s="129"/>
      <c r="X3969" s="129"/>
      <c r="Y3969" s="129"/>
      <c r="Z3969" s="129"/>
      <c r="AA3969" s="129"/>
      <c r="AB3969" s="129"/>
    </row>
    <row r="3970" hidden="1">
      <c r="A3970" s="123" t="s">
        <v>1734</v>
      </c>
      <c r="B3970" s="124">
        <v>1000.0</v>
      </c>
      <c r="C3970" s="124">
        <v>1150.0</v>
      </c>
      <c r="D3970" s="125">
        <f t="shared" si="264"/>
        <v>150</v>
      </c>
      <c r="E3970" s="124"/>
      <c r="F3970" s="124"/>
    </row>
    <row r="3971" hidden="1">
      <c r="A3971" s="151" t="s">
        <v>461</v>
      </c>
      <c r="B3971" s="147">
        <v>925.0</v>
      </c>
      <c r="C3971" s="147">
        <v>1075.0</v>
      </c>
      <c r="D3971" s="132">
        <f t="shared" si="264"/>
        <v>150</v>
      </c>
      <c r="E3971" s="139"/>
      <c r="F3971" s="139"/>
      <c r="G3971" s="129"/>
      <c r="H3971" s="129"/>
      <c r="I3971" s="129"/>
      <c r="J3971" s="129"/>
      <c r="K3971" s="129"/>
      <c r="L3971" s="129"/>
      <c r="M3971" s="129"/>
      <c r="N3971" s="129"/>
      <c r="O3971" s="129"/>
      <c r="P3971" s="129"/>
      <c r="Q3971" s="129"/>
      <c r="R3971" s="129"/>
      <c r="S3971" s="129"/>
      <c r="T3971" s="129"/>
      <c r="U3971" s="129"/>
      <c r="V3971" s="129"/>
      <c r="W3971" s="129"/>
      <c r="X3971" s="129"/>
      <c r="Y3971" s="129"/>
      <c r="Z3971" s="129"/>
      <c r="AA3971" s="129"/>
      <c r="AB3971" s="129"/>
    </row>
    <row r="3972" hidden="1">
      <c r="A3972" s="151" t="s">
        <v>1739</v>
      </c>
      <c r="B3972" s="147">
        <v>925.0</v>
      </c>
      <c r="C3972" s="132">
        <v>1075.0</v>
      </c>
      <c r="D3972" s="132">
        <f t="shared" si="264"/>
        <v>150</v>
      </c>
      <c r="E3972" s="139"/>
      <c r="F3972" s="139"/>
      <c r="G3972" s="129"/>
      <c r="H3972" s="129"/>
      <c r="I3972" s="129"/>
      <c r="J3972" s="129"/>
      <c r="K3972" s="129"/>
      <c r="L3972" s="129"/>
      <c r="M3972" s="129"/>
      <c r="N3972" s="129"/>
      <c r="O3972" s="129"/>
      <c r="P3972" s="129"/>
      <c r="Q3972" s="129"/>
      <c r="R3972" s="129"/>
      <c r="S3972" s="129"/>
      <c r="T3972" s="129"/>
      <c r="U3972" s="129"/>
      <c r="V3972" s="129"/>
      <c r="W3972" s="129"/>
      <c r="X3972" s="129"/>
      <c r="Y3972" s="129"/>
      <c r="Z3972" s="129"/>
      <c r="AA3972" s="129"/>
      <c r="AB3972" s="129"/>
    </row>
    <row r="3973" hidden="1">
      <c r="A3973" s="123" t="s">
        <v>1740</v>
      </c>
      <c r="B3973" s="124">
        <v>1325.0</v>
      </c>
      <c r="C3973" s="124">
        <v>1475.0</v>
      </c>
      <c r="D3973" s="125">
        <f t="shared" si="264"/>
        <v>150</v>
      </c>
      <c r="E3973" s="124"/>
      <c r="F3973" s="124"/>
    </row>
    <row r="3974" hidden="1">
      <c r="A3974" s="159" t="s">
        <v>1739</v>
      </c>
      <c r="B3974" s="124">
        <v>925.0</v>
      </c>
      <c r="C3974" s="124">
        <v>1075.0</v>
      </c>
      <c r="D3974" s="125">
        <f t="shared" si="264"/>
        <v>150</v>
      </c>
      <c r="E3974" s="124"/>
      <c r="F3974" s="124"/>
      <c r="G3974" s="129"/>
      <c r="H3974" s="129"/>
      <c r="I3974" s="129"/>
      <c r="J3974" s="129"/>
      <c r="K3974" s="129"/>
      <c r="L3974" s="129"/>
      <c r="M3974" s="129"/>
      <c r="N3974" s="129"/>
      <c r="O3974" s="129"/>
      <c r="P3974" s="129"/>
      <c r="Q3974" s="129"/>
      <c r="R3974" s="129"/>
      <c r="S3974" s="129"/>
      <c r="T3974" s="129"/>
      <c r="U3974" s="129"/>
      <c r="V3974" s="129"/>
      <c r="W3974" s="129"/>
      <c r="X3974" s="129"/>
      <c r="Y3974" s="129"/>
      <c r="Z3974" s="129"/>
      <c r="AA3974" s="129"/>
      <c r="AB3974" s="129"/>
    </row>
    <row r="3975" hidden="1">
      <c r="A3975" s="142" t="s">
        <v>1739</v>
      </c>
      <c r="B3975" s="147">
        <v>925.0</v>
      </c>
      <c r="C3975" s="147">
        <v>1075.0</v>
      </c>
      <c r="D3975" s="132">
        <f t="shared" si="264"/>
        <v>150</v>
      </c>
      <c r="E3975" s="147"/>
      <c r="F3975" s="132"/>
      <c r="G3975" s="129"/>
      <c r="H3975" s="129"/>
      <c r="I3975" s="129"/>
      <c r="J3975" s="129"/>
      <c r="K3975" s="129"/>
      <c r="L3975" s="129"/>
      <c r="M3975" s="129"/>
      <c r="N3975" s="129"/>
      <c r="O3975" s="129"/>
      <c r="P3975" s="129"/>
      <c r="Q3975" s="129"/>
      <c r="R3975" s="129"/>
      <c r="S3975" s="129"/>
      <c r="T3975" s="129"/>
      <c r="U3975" s="129"/>
      <c r="V3975" s="129"/>
      <c r="W3975" s="129"/>
      <c r="X3975" s="129"/>
      <c r="Y3975" s="129"/>
      <c r="Z3975" s="129"/>
      <c r="AA3975" s="129"/>
      <c r="AB3975" s="129"/>
    </row>
    <row r="3976" hidden="1">
      <c r="A3976" s="151" t="s">
        <v>461</v>
      </c>
      <c r="B3976" s="147">
        <v>925.0</v>
      </c>
      <c r="C3976" s="147">
        <v>1075.0</v>
      </c>
      <c r="D3976" s="132">
        <f t="shared" si="264"/>
        <v>150</v>
      </c>
      <c r="E3976" s="139"/>
      <c r="F3976" s="139"/>
      <c r="G3976" s="129"/>
      <c r="H3976" s="129"/>
      <c r="I3976" s="129"/>
      <c r="J3976" s="129"/>
      <c r="K3976" s="129"/>
      <c r="L3976" s="129"/>
      <c r="M3976" s="129"/>
      <c r="N3976" s="129"/>
      <c r="O3976" s="129"/>
      <c r="P3976" s="129"/>
      <c r="Q3976" s="129"/>
      <c r="R3976" s="129"/>
      <c r="S3976" s="129"/>
      <c r="T3976" s="129"/>
      <c r="U3976" s="129"/>
      <c r="V3976" s="129"/>
      <c r="W3976" s="129"/>
      <c r="X3976" s="129"/>
      <c r="Y3976" s="129"/>
      <c r="Z3976" s="129"/>
      <c r="AA3976" s="129"/>
      <c r="AB3976" s="129"/>
    </row>
    <row r="3977" hidden="1">
      <c r="A3977" s="150" t="s">
        <v>1728</v>
      </c>
      <c r="B3977" s="132">
        <v>925.0</v>
      </c>
      <c r="C3977" s="132">
        <v>1050.0</v>
      </c>
      <c r="D3977" s="132">
        <f t="shared" si="264"/>
        <v>125</v>
      </c>
      <c r="E3977" s="132"/>
      <c r="F3977" s="132"/>
      <c r="G3977" s="129"/>
      <c r="H3977" s="129"/>
      <c r="I3977" s="129"/>
      <c r="J3977" s="129"/>
      <c r="K3977" s="129"/>
      <c r="L3977" s="129"/>
      <c r="M3977" s="129"/>
      <c r="N3977" s="129"/>
      <c r="O3977" s="129"/>
      <c r="P3977" s="129"/>
      <c r="Q3977" s="129"/>
      <c r="R3977" s="129"/>
      <c r="S3977" s="129"/>
      <c r="T3977" s="129"/>
      <c r="U3977" s="129"/>
      <c r="V3977" s="129"/>
      <c r="W3977" s="129"/>
      <c r="X3977" s="129"/>
      <c r="Y3977" s="129"/>
      <c r="Z3977" s="129"/>
      <c r="AA3977" s="129"/>
      <c r="AB3977" s="129"/>
    </row>
    <row r="3978" hidden="1">
      <c r="A3978" s="150" t="s">
        <v>1738</v>
      </c>
      <c r="B3978" s="147">
        <v>1400.0</v>
      </c>
      <c r="C3978" s="147">
        <v>1550.0</v>
      </c>
      <c r="D3978" s="132">
        <f t="shared" si="264"/>
        <v>150</v>
      </c>
      <c r="E3978" s="139"/>
      <c r="F3978" s="139"/>
      <c r="G3978" s="129"/>
      <c r="H3978" s="129"/>
      <c r="I3978" s="129"/>
      <c r="J3978" s="129"/>
      <c r="K3978" s="129"/>
      <c r="L3978" s="129"/>
      <c r="M3978" s="129"/>
      <c r="N3978" s="129"/>
      <c r="O3978" s="129"/>
      <c r="P3978" s="129"/>
      <c r="Q3978" s="129"/>
      <c r="R3978" s="129"/>
      <c r="S3978" s="129"/>
      <c r="T3978" s="129"/>
      <c r="U3978" s="129"/>
      <c r="V3978" s="129"/>
      <c r="W3978" s="129"/>
      <c r="X3978" s="129"/>
      <c r="Y3978" s="129"/>
      <c r="Z3978" s="129"/>
      <c r="AA3978" s="129"/>
      <c r="AB3978" s="129"/>
    </row>
    <row r="3979" hidden="1">
      <c r="A3979" s="128" t="s">
        <v>1699</v>
      </c>
      <c r="B3979" s="147">
        <v>1350.0</v>
      </c>
      <c r="C3979" s="147">
        <v>1500.0</v>
      </c>
      <c r="D3979" s="132">
        <f t="shared" si="264"/>
        <v>150</v>
      </c>
      <c r="E3979" s="139"/>
      <c r="F3979" s="139"/>
      <c r="G3979" s="129"/>
      <c r="H3979" s="129"/>
      <c r="I3979" s="129"/>
      <c r="J3979" s="129"/>
      <c r="K3979" s="129"/>
      <c r="L3979" s="129"/>
      <c r="M3979" s="129"/>
      <c r="N3979" s="129"/>
      <c r="O3979" s="129"/>
      <c r="P3979" s="129"/>
      <c r="Q3979" s="129"/>
      <c r="R3979" s="129"/>
      <c r="S3979" s="129"/>
      <c r="T3979" s="129"/>
      <c r="U3979" s="129"/>
      <c r="V3979" s="129"/>
      <c r="W3979" s="129"/>
      <c r="X3979" s="129"/>
      <c r="Y3979" s="129"/>
      <c r="Z3979" s="129"/>
      <c r="AA3979" s="129"/>
      <c r="AB3979" s="129"/>
    </row>
    <row r="3980" hidden="1">
      <c r="A3980" s="128" t="s">
        <v>1741</v>
      </c>
      <c r="B3980" s="147">
        <v>1350.0</v>
      </c>
      <c r="C3980" s="147">
        <v>1500.0</v>
      </c>
      <c r="D3980" s="132">
        <f t="shared" si="264"/>
        <v>150</v>
      </c>
      <c r="E3980" s="147"/>
      <c r="F3980" s="132"/>
      <c r="G3980" s="129"/>
      <c r="H3980" s="129"/>
      <c r="I3980" s="129"/>
      <c r="J3980" s="129"/>
      <c r="K3980" s="129"/>
      <c r="L3980" s="129"/>
      <c r="M3980" s="129"/>
      <c r="N3980" s="129"/>
      <c r="O3980" s="129"/>
      <c r="P3980" s="129"/>
      <c r="Q3980" s="129"/>
      <c r="R3980" s="129"/>
      <c r="S3980" s="129"/>
      <c r="T3980" s="129"/>
      <c r="U3980" s="129"/>
      <c r="V3980" s="129"/>
      <c r="W3980" s="129"/>
      <c r="X3980" s="129"/>
      <c r="Y3980" s="129"/>
      <c r="Z3980" s="129"/>
      <c r="AA3980" s="129"/>
      <c r="AB3980" s="129"/>
    </row>
    <row r="3981" hidden="1">
      <c r="A3981" s="128" t="s">
        <v>1707</v>
      </c>
      <c r="B3981" s="147">
        <v>1350.0</v>
      </c>
      <c r="C3981" s="147">
        <v>1500.0</v>
      </c>
      <c r="D3981" s="132">
        <f t="shared" si="264"/>
        <v>150</v>
      </c>
      <c r="E3981" s="139"/>
      <c r="F3981" s="139"/>
      <c r="G3981" s="129"/>
      <c r="H3981" s="129"/>
      <c r="I3981" s="129"/>
      <c r="J3981" s="129"/>
      <c r="K3981" s="129"/>
      <c r="L3981" s="129"/>
      <c r="M3981" s="129"/>
      <c r="N3981" s="129"/>
      <c r="O3981" s="129"/>
      <c r="P3981" s="129"/>
      <c r="Q3981" s="129"/>
      <c r="R3981" s="129"/>
      <c r="S3981" s="129"/>
      <c r="T3981" s="129"/>
      <c r="U3981" s="129"/>
      <c r="V3981" s="129"/>
      <c r="W3981" s="129"/>
      <c r="X3981" s="129"/>
      <c r="Y3981" s="129"/>
      <c r="Z3981" s="129"/>
      <c r="AA3981" s="129"/>
      <c r="AB3981" s="129"/>
    </row>
    <row r="3982" hidden="1">
      <c r="A3982" s="150" t="s">
        <v>1738</v>
      </c>
      <c r="B3982" s="147">
        <v>1400.0</v>
      </c>
      <c r="C3982" s="147">
        <v>1550.0</v>
      </c>
      <c r="D3982" s="132">
        <f t="shared" si="264"/>
        <v>150</v>
      </c>
      <c r="E3982" s="139"/>
      <c r="F3982" s="139"/>
      <c r="G3982" s="129"/>
      <c r="H3982" s="129"/>
      <c r="I3982" s="129"/>
      <c r="J3982" s="129"/>
      <c r="K3982" s="129"/>
      <c r="L3982" s="129"/>
      <c r="M3982" s="129"/>
      <c r="N3982" s="129"/>
      <c r="O3982" s="129"/>
      <c r="P3982" s="129"/>
      <c r="Q3982" s="129"/>
      <c r="R3982" s="129"/>
      <c r="S3982" s="129"/>
      <c r="T3982" s="129"/>
      <c r="U3982" s="129"/>
      <c r="V3982" s="129"/>
      <c r="W3982" s="129"/>
      <c r="X3982" s="129"/>
      <c r="Y3982" s="129"/>
      <c r="Z3982" s="129"/>
      <c r="AA3982" s="129"/>
      <c r="AB3982" s="129"/>
    </row>
    <row r="3983" hidden="1">
      <c r="A3983" s="150" t="s">
        <v>1738</v>
      </c>
      <c r="B3983" s="147">
        <v>1400.0</v>
      </c>
      <c r="C3983" s="147">
        <v>1550.0</v>
      </c>
      <c r="D3983" s="132">
        <f t="shared" si="264"/>
        <v>150</v>
      </c>
      <c r="E3983" s="139"/>
      <c r="F3983" s="139"/>
      <c r="G3983" s="129"/>
      <c r="H3983" s="129"/>
      <c r="I3983" s="129"/>
      <c r="J3983" s="129"/>
      <c r="K3983" s="129"/>
      <c r="L3983" s="129"/>
      <c r="M3983" s="129"/>
      <c r="N3983" s="129"/>
      <c r="O3983" s="129"/>
      <c r="P3983" s="129"/>
      <c r="Q3983" s="129"/>
      <c r="R3983" s="129"/>
      <c r="S3983" s="129"/>
      <c r="T3983" s="129"/>
      <c r="U3983" s="129"/>
      <c r="V3983" s="129"/>
      <c r="W3983" s="129"/>
      <c r="X3983" s="129"/>
      <c r="Y3983" s="129"/>
      <c r="Z3983" s="129"/>
      <c r="AA3983" s="129"/>
      <c r="AB3983" s="129"/>
    </row>
    <row r="3984" hidden="1">
      <c r="A3984" s="159" t="s">
        <v>461</v>
      </c>
      <c r="B3984" s="124">
        <v>925.0</v>
      </c>
      <c r="C3984" s="124">
        <v>1075.0</v>
      </c>
      <c r="D3984" s="132">
        <f t="shared" si="264"/>
        <v>150</v>
      </c>
      <c r="E3984" s="124"/>
      <c r="F3984" s="124"/>
      <c r="G3984" s="129"/>
      <c r="H3984" s="129"/>
      <c r="I3984" s="129"/>
      <c r="J3984" s="129"/>
      <c r="K3984" s="129"/>
      <c r="L3984" s="129"/>
      <c r="M3984" s="129"/>
      <c r="N3984" s="129"/>
      <c r="O3984" s="129"/>
      <c r="P3984" s="129"/>
      <c r="Q3984" s="129"/>
      <c r="R3984" s="129"/>
      <c r="S3984" s="129"/>
      <c r="T3984" s="129"/>
      <c r="U3984" s="129"/>
      <c r="V3984" s="129"/>
      <c r="W3984" s="129"/>
      <c r="X3984" s="129"/>
      <c r="Y3984" s="129"/>
      <c r="Z3984" s="129"/>
      <c r="AA3984" s="129"/>
      <c r="AB3984" s="129"/>
    </row>
    <row r="3985" hidden="1">
      <c r="A3985" s="150" t="s">
        <v>1742</v>
      </c>
      <c r="B3985" s="147">
        <v>1350.0</v>
      </c>
      <c r="C3985" s="147">
        <v>1500.0</v>
      </c>
      <c r="D3985" s="132">
        <f t="shared" si="264"/>
        <v>150</v>
      </c>
      <c r="E3985" s="139"/>
      <c r="F3985" s="139"/>
      <c r="G3985" s="129"/>
      <c r="H3985" s="129"/>
      <c r="I3985" s="129"/>
      <c r="J3985" s="129"/>
      <c r="K3985" s="129"/>
      <c r="L3985" s="129"/>
      <c r="M3985" s="129"/>
      <c r="N3985" s="129"/>
      <c r="O3985" s="129"/>
      <c r="P3985" s="129"/>
      <c r="Q3985" s="129"/>
      <c r="R3985" s="129"/>
      <c r="S3985" s="129"/>
      <c r="T3985" s="129"/>
      <c r="U3985" s="129"/>
      <c r="V3985" s="129"/>
      <c r="W3985" s="129"/>
      <c r="X3985" s="129"/>
      <c r="Y3985" s="129"/>
      <c r="Z3985" s="129"/>
      <c r="AA3985" s="129"/>
      <c r="AB3985" s="129"/>
    </row>
    <row r="3986" hidden="1">
      <c r="A3986" s="150" t="s">
        <v>1738</v>
      </c>
      <c r="B3986" s="147">
        <v>1400.0</v>
      </c>
      <c r="C3986" s="147">
        <v>1550.0</v>
      </c>
      <c r="D3986" s="132">
        <f t="shared" si="264"/>
        <v>150</v>
      </c>
      <c r="E3986" s="139"/>
      <c r="F3986" s="139"/>
      <c r="G3986" s="129"/>
      <c r="H3986" s="129"/>
      <c r="I3986" s="129"/>
      <c r="J3986" s="129"/>
      <c r="K3986" s="129"/>
      <c r="L3986" s="129"/>
      <c r="M3986" s="129"/>
      <c r="N3986" s="129"/>
      <c r="O3986" s="129"/>
      <c r="P3986" s="129"/>
      <c r="Q3986" s="129"/>
      <c r="R3986" s="129"/>
      <c r="S3986" s="129"/>
      <c r="T3986" s="129"/>
      <c r="U3986" s="129"/>
      <c r="V3986" s="129"/>
      <c r="W3986" s="129"/>
      <c r="X3986" s="129"/>
      <c r="Y3986" s="129"/>
      <c r="Z3986" s="129"/>
      <c r="AA3986" s="129"/>
      <c r="AB3986" s="129"/>
    </row>
    <row r="3987" hidden="1">
      <c r="A3987" s="128" t="s">
        <v>1665</v>
      </c>
      <c r="B3987" s="147">
        <v>1125.0</v>
      </c>
      <c r="C3987" s="147">
        <v>1275.0</v>
      </c>
      <c r="D3987" s="132">
        <f t="shared" si="264"/>
        <v>150</v>
      </c>
      <c r="E3987" s="132"/>
      <c r="F3987" s="132"/>
      <c r="G3987" s="129"/>
      <c r="H3987" s="129"/>
      <c r="I3987" s="129"/>
      <c r="J3987" s="129"/>
      <c r="K3987" s="129"/>
      <c r="L3987" s="129"/>
      <c r="M3987" s="129"/>
      <c r="N3987" s="129"/>
      <c r="O3987" s="129"/>
      <c r="P3987" s="129"/>
      <c r="Q3987" s="129"/>
      <c r="R3987" s="129"/>
      <c r="S3987" s="129"/>
      <c r="T3987" s="129"/>
      <c r="U3987" s="129"/>
      <c r="V3987" s="129"/>
      <c r="W3987" s="129"/>
      <c r="X3987" s="129"/>
      <c r="Y3987" s="129"/>
      <c r="Z3987" s="129"/>
      <c r="AA3987" s="129"/>
      <c r="AB3987" s="129"/>
    </row>
    <row r="3988" hidden="1">
      <c r="A3988" s="150" t="s">
        <v>1738</v>
      </c>
      <c r="B3988" s="147">
        <v>1400.0</v>
      </c>
      <c r="C3988" s="147">
        <v>1550.0</v>
      </c>
      <c r="D3988" s="132">
        <f t="shared" si="264"/>
        <v>150</v>
      </c>
      <c r="E3988" s="139"/>
      <c r="F3988" s="139"/>
      <c r="G3988" s="129"/>
      <c r="H3988" s="129"/>
      <c r="I3988" s="129"/>
      <c r="J3988" s="129"/>
      <c r="K3988" s="129"/>
      <c r="L3988" s="129"/>
      <c r="M3988" s="129"/>
      <c r="N3988" s="129"/>
      <c r="O3988" s="129"/>
      <c r="P3988" s="129"/>
      <c r="Q3988" s="129"/>
      <c r="R3988" s="129"/>
      <c r="S3988" s="129"/>
      <c r="T3988" s="129"/>
      <c r="U3988" s="129"/>
      <c r="V3988" s="129"/>
      <c r="W3988" s="129"/>
      <c r="X3988" s="129"/>
      <c r="Y3988" s="129"/>
      <c r="Z3988" s="129"/>
      <c r="AA3988" s="129"/>
      <c r="AB3988" s="129"/>
    </row>
    <row r="3989" hidden="1">
      <c r="A3989" s="123"/>
      <c r="B3989" s="124"/>
      <c r="C3989" s="123"/>
      <c r="D3989" s="123"/>
    </row>
    <row r="3990" hidden="1">
      <c r="A3990" s="122" t="s">
        <v>57</v>
      </c>
      <c r="B3990" s="133">
        <f t="shared" ref="B3990:D3990" si="265">SUM(B3860:B3989)</f>
        <v>203500</v>
      </c>
      <c r="C3990" s="133">
        <f t="shared" si="265"/>
        <v>225850</v>
      </c>
      <c r="D3990" s="133">
        <f t="shared" si="265"/>
        <v>22350</v>
      </c>
      <c r="E3990" s="135">
        <f>D3990/(C3990/100)</f>
        <v>9.895948638</v>
      </c>
    </row>
    <row r="3991" hidden="1">
      <c r="A3991" s="154"/>
      <c r="B3991" s="124"/>
      <c r="C3991" s="124"/>
      <c r="D3991" s="124"/>
    </row>
    <row r="3992" hidden="1">
      <c r="A3992" s="154">
        <v>43862.0</v>
      </c>
      <c r="B3992" s="124"/>
      <c r="C3992" s="124"/>
      <c r="D3992" s="124"/>
    </row>
    <row r="3993" hidden="1">
      <c r="B3993" s="124"/>
      <c r="C3993" s="124"/>
      <c r="E3993" s="124"/>
      <c r="F3993" s="124"/>
    </row>
    <row r="3994" hidden="1">
      <c r="A3994" s="128" t="s">
        <v>1743</v>
      </c>
      <c r="B3994" s="147">
        <v>1125.0</v>
      </c>
      <c r="C3994" s="147">
        <v>1250.0</v>
      </c>
      <c r="D3994" s="132">
        <f t="shared" ref="D3994:D4104" si="266">C3994-B3994</f>
        <v>125</v>
      </c>
      <c r="E3994" s="132"/>
      <c r="F3994" s="132"/>
      <c r="G3994" s="129"/>
      <c r="H3994" s="129"/>
      <c r="I3994" s="129"/>
      <c r="J3994" s="129"/>
      <c r="K3994" s="129"/>
      <c r="L3994" s="129"/>
      <c r="M3994" s="129"/>
      <c r="N3994" s="129"/>
      <c r="O3994" s="129"/>
      <c r="P3994" s="129"/>
      <c r="Q3994" s="129"/>
      <c r="R3994" s="129"/>
      <c r="S3994" s="129"/>
      <c r="T3994" s="129"/>
      <c r="U3994" s="129"/>
      <c r="V3994" s="129"/>
      <c r="W3994" s="129"/>
      <c r="X3994" s="129"/>
      <c r="Y3994" s="129"/>
      <c r="Z3994" s="129"/>
      <c r="AA3994" s="129"/>
      <c r="AB3994" s="129"/>
    </row>
    <row r="3995" hidden="1">
      <c r="A3995" s="123" t="s">
        <v>1744</v>
      </c>
      <c r="B3995" s="123">
        <v>750.0</v>
      </c>
      <c r="C3995" s="123">
        <v>900.0</v>
      </c>
      <c r="D3995">
        <f t="shared" si="266"/>
        <v>150</v>
      </c>
    </row>
    <row r="3996" hidden="1">
      <c r="A3996" s="128" t="s">
        <v>1674</v>
      </c>
      <c r="B3996" s="147">
        <v>1450.0</v>
      </c>
      <c r="C3996" s="147">
        <v>1600.0</v>
      </c>
      <c r="D3996" s="132">
        <f t="shared" si="266"/>
        <v>150</v>
      </c>
      <c r="E3996" s="139"/>
      <c r="F3996" s="139"/>
      <c r="G3996" s="129"/>
      <c r="H3996" s="129"/>
      <c r="I3996" s="129"/>
      <c r="J3996" s="129"/>
      <c r="K3996" s="129"/>
      <c r="L3996" s="129"/>
      <c r="M3996" s="129"/>
      <c r="N3996" s="129"/>
      <c r="O3996" s="129"/>
      <c r="P3996" s="129"/>
      <c r="Q3996" s="129"/>
      <c r="R3996" s="129"/>
      <c r="S3996" s="129"/>
      <c r="T3996" s="129"/>
      <c r="U3996" s="129"/>
      <c r="V3996" s="129"/>
      <c r="W3996" s="129"/>
      <c r="X3996" s="129"/>
      <c r="Y3996" s="129"/>
      <c r="Z3996" s="129"/>
      <c r="AA3996" s="129"/>
      <c r="AB3996" s="129"/>
    </row>
    <row r="3997" hidden="1">
      <c r="A3997" s="123" t="s">
        <v>1742</v>
      </c>
      <c r="B3997" s="147">
        <v>1375.0</v>
      </c>
      <c r="C3997" s="124">
        <v>1500.0</v>
      </c>
      <c r="D3997" s="132">
        <f t="shared" si="266"/>
        <v>125</v>
      </c>
      <c r="E3997" s="124"/>
      <c r="F3997" s="124"/>
    </row>
    <row r="3998" hidden="1">
      <c r="A3998" s="159" t="s">
        <v>1745</v>
      </c>
      <c r="B3998" s="124">
        <v>1375.0</v>
      </c>
      <c r="C3998" s="147">
        <v>1500.0</v>
      </c>
      <c r="D3998" s="125">
        <f t="shared" si="266"/>
        <v>125</v>
      </c>
      <c r="E3998" s="124"/>
      <c r="F3998" s="124"/>
      <c r="G3998" s="129"/>
      <c r="H3998" s="129"/>
      <c r="I3998" s="129"/>
      <c r="J3998" s="129"/>
      <c r="K3998" s="129"/>
      <c r="L3998" s="129"/>
      <c r="M3998" s="129"/>
      <c r="N3998" s="129"/>
      <c r="O3998" s="129"/>
      <c r="P3998" s="129"/>
      <c r="Q3998" s="129"/>
      <c r="R3998" s="129"/>
      <c r="S3998" s="129"/>
      <c r="T3998" s="129"/>
      <c r="U3998" s="129"/>
      <c r="V3998" s="129"/>
      <c r="W3998" s="129"/>
      <c r="X3998" s="129"/>
      <c r="Y3998" s="129"/>
      <c r="Z3998" s="129"/>
      <c r="AA3998" s="129"/>
      <c r="AB3998" s="129"/>
    </row>
    <row r="3999" hidden="1">
      <c r="A3999" s="128" t="s">
        <v>1665</v>
      </c>
      <c r="B3999" s="147">
        <v>1150.0</v>
      </c>
      <c r="C3999" s="147">
        <v>1275.0</v>
      </c>
      <c r="D3999" s="132">
        <f t="shared" si="266"/>
        <v>125</v>
      </c>
      <c r="E3999" s="132"/>
      <c r="F3999" s="132"/>
      <c r="G3999" s="129"/>
      <c r="H3999" s="129"/>
      <c r="I3999" s="129"/>
      <c r="J3999" s="129"/>
      <c r="K3999" s="129"/>
      <c r="L3999" s="129"/>
      <c r="M3999" s="129"/>
      <c r="N3999" s="129"/>
      <c r="O3999" s="129"/>
      <c r="P3999" s="129"/>
      <c r="Q3999" s="129"/>
      <c r="R3999" s="129"/>
      <c r="S3999" s="129"/>
      <c r="T3999" s="129"/>
      <c r="U3999" s="129"/>
      <c r="V3999" s="129"/>
      <c r="W3999" s="129"/>
      <c r="X3999" s="129"/>
      <c r="Y3999" s="129"/>
      <c r="Z3999" s="129"/>
      <c r="AA3999" s="129"/>
      <c r="AB3999" s="129"/>
    </row>
    <row r="4000" hidden="1">
      <c r="A4000" s="128" t="s">
        <v>1730</v>
      </c>
      <c r="B4000" s="147">
        <v>1150.0</v>
      </c>
      <c r="C4000" s="147">
        <v>1275.0</v>
      </c>
      <c r="D4000" s="132">
        <f t="shared" si="266"/>
        <v>125</v>
      </c>
      <c r="E4000" s="139"/>
      <c r="F4000" s="139"/>
      <c r="G4000" s="129"/>
      <c r="H4000" s="129"/>
      <c r="I4000" s="129"/>
      <c r="J4000" s="129"/>
      <c r="K4000" s="129"/>
      <c r="L4000" s="129"/>
      <c r="M4000" s="129"/>
      <c r="N4000" s="129"/>
      <c r="O4000" s="129"/>
      <c r="P4000" s="129"/>
      <c r="Q4000" s="129"/>
      <c r="R4000" s="129"/>
      <c r="S4000" s="129"/>
      <c r="T4000" s="129"/>
      <c r="U4000" s="129"/>
      <c r="V4000" s="129"/>
      <c r="W4000" s="129"/>
      <c r="X4000" s="129"/>
      <c r="Y4000" s="129"/>
      <c r="Z4000" s="129"/>
      <c r="AA4000" s="129"/>
      <c r="AB4000" s="129"/>
    </row>
    <row r="4001" hidden="1">
      <c r="A4001" s="123" t="s">
        <v>1746</v>
      </c>
      <c r="B4001" s="123">
        <v>300.0</v>
      </c>
      <c r="C4001" s="123">
        <v>400.0</v>
      </c>
      <c r="D4001">
        <f t="shared" si="266"/>
        <v>100</v>
      </c>
      <c r="E4001" s="124"/>
      <c r="F4001" s="124"/>
    </row>
    <row r="4002" hidden="1">
      <c r="A4002" s="123" t="s">
        <v>457</v>
      </c>
      <c r="B4002" s="124">
        <v>925.0</v>
      </c>
      <c r="C4002" s="124">
        <v>1075.0</v>
      </c>
      <c r="D4002" s="313">
        <f t="shared" si="266"/>
        <v>150</v>
      </c>
      <c r="E4002" s="124"/>
      <c r="F4002" s="124"/>
    </row>
    <row r="4003" hidden="1">
      <c r="A4003" s="128" t="s">
        <v>1665</v>
      </c>
      <c r="B4003" s="147">
        <v>1150.0</v>
      </c>
      <c r="C4003" s="147">
        <v>1275.0</v>
      </c>
      <c r="D4003" s="132">
        <f t="shared" si="266"/>
        <v>125</v>
      </c>
      <c r="E4003" s="132"/>
      <c r="F4003" s="132"/>
      <c r="G4003" s="129"/>
      <c r="H4003" s="129"/>
      <c r="I4003" s="129"/>
      <c r="J4003" s="129"/>
      <c r="K4003" s="129"/>
      <c r="L4003" s="129"/>
      <c r="M4003" s="129"/>
      <c r="N4003" s="129"/>
      <c r="O4003" s="129"/>
      <c r="P4003" s="129"/>
      <c r="Q4003" s="129"/>
      <c r="R4003" s="129"/>
      <c r="S4003" s="129"/>
      <c r="T4003" s="129"/>
      <c r="U4003" s="129"/>
      <c r="V4003" s="129"/>
      <c r="W4003" s="129"/>
      <c r="X4003" s="129"/>
      <c r="Y4003" s="129"/>
      <c r="Z4003" s="129"/>
      <c r="AA4003" s="129"/>
      <c r="AB4003" s="129"/>
    </row>
    <row r="4004" hidden="1">
      <c r="A4004" s="123" t="s">
        <v>1728</v>
      </c>
      <c r="B4004" s="124">
        <v>925.0</v>
      </c>
      <c r="C4004" s="124">
        <v>1075.0</v>
      </c>
      <c r="D4004" s="132">
        <f t="shared" si="266"/>
        <v>150</v>
      </c>
      <c r="E4004" s="132"/>
      <c r="F4004" s="132"/>
    </row>
    <row r="4005" hidden="1">
      <c r="A4005" s="123" t="s">
        <v>1728</v>
      </c>
      <c r="B4005" s="124">
        <v>925.0</v>
      </c>
      <c r="C4005" s="124">
        <v>1075.0</v>
      </c>
      <c r="D4005" s="132">
        <f t="shared" si="266"/>
        <v>150</v>
      </c>
      <c r="E4005" s="132"/>
      <c r="F4005" s="132"/>
    </row>
    <row r="4006" hidden="1">
      <c r="A4006" s="123" t="s">
        <v>1747</v>
      </c>
      <c r="B4006" s="124">
        <v>700.0</v>
      </c>
      <c r="C4006" s="124">
        <v>800.0</v>
      </c>
      <c r="D4006" s="125">
        <f t="shared" si="266"/>
        <v>100</v>
      </c>
      <c r="E4006" s="132"/>
      <c r="F4006" s="124"/>
    </row>
    <row r="4007" hidden="1">
      <c r="A4007" s="123" t="s">
        <v>1728</v>
      </c>
      <c r="B4007" s="124">
        <v>925.0</v>
      </c>
      <c r="C4007" s="124">
        <v>1075.0</v>
      </c>
      <c r="D4007" s="132">
        <f t="shared" si="266"/>
        <v>150</v>
      </c>
      <c r="E4007" s="132"/>
      <c r="F4007" s="132"/>
    </row>
    <row r="4008" hidden="1">
      <c r="A4008" s="123" t="s">
        <v>1748</v>
      </c>
      <c r="B4008" s="124">
        <v>1175.0</v>
      </c>
      <c r="C4008" s="124">
        <v>1325.0</v>
      </c>
      <c r="D4008" s="125">
        <f t="shared" si="266"/>
        <v>150</v>
      </c>
      <c r="E4008" s="124"/>
      <c r="F4008" s="124"/>
    </row>
    <row r="4009" hidden="1">
      <c r="A4009" s="128" t="s">
        <v>1729</v>
      </c>
      <c r="B4009" s="147">
        <v>1375.0</v>
      </c>
      <c r="C4009" s="132">
        <v>1525.0</v>
      </c>
      <c r="D4009" s="132">
        <f t="shared" si="266"/>
        <v>150</v>
      </c>
      <c r="E4009" s="139"/>
      <c r="F4009" s="139"/>
      <c r="G4009" s="129"/>
      <c r="H4009" s="129"/>
      <c r="I4009" s="129"/>
      <c r="J4009" s="129"/>
      <c r="K4009" s="129"/>
      <c r="L4009" s="129"/>
      <c r="M4009" s="129"/>
      <c r="N4009" s="129"/>
      <c r="O4009" s="129"/>
      <c r="P4009" s="129"/>
      <c r="Q4009" s="129"/>
      <c r="R4009" s="129"/>
      <c r="S4009" s="129"/>
      <c r="T4009" s="129"/>
      <c r="U4009" s="129"/>
      <c r="V4009" s="129"/>
      <c r="W4009" s="129"/>
      <c r="X4009" s="129"/>
      <c r="Y4009" s="129"/>
      <c r="Z4009" s="129"/>
      <c r="AA4009" s="129"/>
      <c r="AB4009" s="129"/>
    </row>
    <row r="4010" hidden="1">
      <c r="A4010" s="128" t="s">
        <v>1665</v>
      </c>
      <c r="B4010" s="147">
        <v>1150.0</v>
      </c>
      <c r="C4010" s="147">
        <v>1300.0</v>
      </c>
      <c r="D4010" s="132">
        <f t="shared" si="266"/>
        <v>150</v>
      </c>
      <c r="E4010" s="132"/>
      <c r="F4010" s="132"/>
      <c r="G4010" s="129"/>
      <c r="H4010" s="129"/>
      <c r="I4010" s="129"/>
      <c r="J4010" s="129"/>
      <c r="K4010" s="129"/>
      <c r="L4010" s="129"/>
      <c r="M4010" s="129"/>
      <c r="N4010" s="129"/>
      <c r="O4010" s="129"/>
      <c r="P4010" s="129"/>
      <c r="Q4010" s="129"/>
      <c r="R4010" s="129"/>
      <c r="S4010" s="129"/>
      <c r="T4010" s="129"/>
      <c r="U4010" s="129"/>
      <c r="V4010" s="129"/>
      <c r="W4010" s="129"/>
      <c r="X4010" s="129"/>
      <c r="Y4010" s="129"/>
      <c r="Z4010" s="129"/>
      <c r="AA4010" s="129"/>
      <c r="AB4010" s="129"/>
    </row>
    <row r="4011" hidden="1">
      <c r="A4011" s="159" t="s">
        <v>466</v>
      </c>
      <c r="B4011" s="124">
        <v>1125.0</v>
      </c>
      <c r="C4011" s="147">
        <v>1275.0</v>
      </c>
      <c r="D4011" s="313">
        <f t="shared" si="266"/>
        <v>150</v>
      </c>
      <c r="E4011" s="124"/>
      <c r="F4011" s="124"/>
      <c r="G4011" s="129"/>
      <c r="H4011" s="129"/>
      <c r="I4011" s="129"/>
      <c r="J4011" s="129"/>
      <c r="K4011" s="129"/>
      <c r="L4011" s="129"/>
      <c r="M4011" s="129"/>
      <c r="N4011" s="129"/>
      <c r="O4011" s="129"/>
      <c r="P4011" s="129"/>
      <c r="Q4011" s="129"/>
      <c r="R4011" s="129"/>
      <c r="S4011" s="129"/>
      <c r="T4011" s="129"/>
      <c r="U4011" s="129"/>
      <c r="V4011" s="129"/>
      <c r="W4011" s="129"/>
      <c r="X4011" s="129"/>
      <c r="Y4011" s="129"/>
      <c r="Z4011" s="129"/>
      <c r="AA4011" s="129"/>
      <c r="AB4011" s="129"/>
    </row>
    <row r="4012" hidden="1">
      <c r="A4012" s="128" t="s">
        <v>1734</v>
      </c>
      <c r="B4012" s="148">
        <v>1000.0</v>
      </c>
      <c r="C4012" s="147">
        <v>1150.0</v>
      </c>
      <c r="D4012" s="132">
        <f t="shared" si="266"/>
        <v>150</v>
      </c>
      <c r="E4012" s="129"/>
      <c r="F4012" s="129"/>
      <c r="G4012" s="129"/>
      <c r="H4012" s="129"/>
      <c r="I4012" s="129"/>
      <c r="J4012" s="129"/>
      <c r="K4012" s="129"/>
      <c r="L4012" s="129"/>
      <c r="M4012" s="129"/>
      <c r="N4012" s="129"/>
      <c r="O4012" s="129"/>
      <c r="P4012" s="129"/>
      <c r="Q4012" s="129"/>
      <c r="R4012" s="129"/>
      <c r="S4012" s="129"/>
      <c r="T4012" s="129"/>
      <c r="U4012" s="129"/>
      <c r="V4012" s="129"/>
      <c r="W4012" s="129"/>
      <c r="X4012" s="129"/>
      <c r="Y4012" s="129"/>
      <c r="Z4012" s="129"/>
      <c r="AA4012" s="129"/>
      <c r="AB4012" s="129"/>
    </row>
    <row r="4013" hidden="1">
      <c r="A4013" s="150" t="s">
        <v>1749</v>
      </c>
      <c r="B4013" s="147">
        <v>1150.0</v>
      </c>
      <c r="C4013" s="147">
        <v>1300.0</v>
      </c>
      <c r="D4013" s="132">
        <f t="shared" si="266"/>
        <v>150</v>
      </c>
      <c r="E4013" s="139"/>
      <c r="F4013" s="139"/>
      <c r="G4013" s="129"/>
      <c r="H4013" s="129"/>
      <c r="I4013" s="129"/>
      <c r="J4013" s="129"/>
      <c r="K4013" s="129"/>
      <c r="L4013" s="129"/>
      <c r="M4013" s="129"/>
      <c r="N4013" s="129"/>
      <c r="O4013" s="129"/>
      <c r="P4013" s="129"/>
      <c r="Q4013" s="129"/>
      <c r="R4013" s="129"/>
      <c r="S4013" s="129"/>
      <c r="T4013" s="129"/>
      <c r="U4013" s="129"/>
      <c r="V4013" s="129"/>
      <c r="W4013" s="129"/>
      <c r="X4013" s="129"/>
      <c r="Y4013" s="129"/>
      <c r="Z4013" s="129"/>
      <c r="AA4013" s="129"/>
      <c r="AB4013" s="129"/>
    </row>
    <row r="4014" hidden="1">
      <c r="A4014" s="123" t="s">
        <v>1750</v>
      </c>
      <c r="B4014" s="123">
        <v>300.0</v>
      </c>
      <c r="C4014" s="123">
        <v>400.0</v>
      </c>
      <c r="D4014">
        <f t="shared" si="266"/>
        <v>100</v>
      </c>
      <c r="E4014" s="124"/>
      <c r="F4014" s="124"/>
    </row>
    <row r="4015" hidden="1">
      <c r="A4015" s="128" t="s">
        <v>1751</v>
      </c>
      <c r="B4015" s="147">
        <v>700.0</v>
      </c>
      <c r="C4015" s="147">
        <v>900.0</v>
      </c>
      <c r="D4015" s="132">
        <f t="shared" si="266"/>
        <v>200</v>
      </c>
      <c r="E4015" s="147"/>
      <c r="F4015" s="132"/>
      <c r="G4015" s="129"/>
      <c r="H4015" s="129"/>
      <c r="I4015" s="129"/>
      <c r="J4015" s="129"/>
      <c r="K4015" s="129"/>
      <c r="L4015" s="129"/>
      <c r="M4015" s="129"/>
      <c r="N4015" s="129"/>
      <c r="O4015" s="129"/>
      <c r="P4015" s="129"/>
      <c r="Q4015" s="129"/>
      <c r="R4015" s="129"/>
      <c r="S4015" s="129"/>
      <c r="T4015" s="129"/>
      <c r="U4015" s="129"/>
      <c r="V4015" s="129"/>
      <c r="W4015" s="129"/>
      <c r="X4015" s="129"/>
      <c r="Y4015" s="129"/>
      <c r="Z4015" s="129"/>
      <c r="AA4015" s="129"/>
      <c r="AB4015" s="129"/>
    </row>
    <row r="4016" hidden="1">
      <c r="A4016" s="123" t="s">
        <v>1749</v>
      </c>
      <c r="B4016" s="124">
        <v>1150.0</v>
      </c>
      <c r="C4016" s="124">
        <v>1300.0</v>
      </c>
      <c r="D4016" s="125">
        <f t="shared" si="266"/>
        <v>150</v>
      </c>
      <c r="E4016" s="124"/>
      <c r="F4016" s="124"/>
    </row>
    <row r="4017" hidden="1">
      <c r="A4017" s="123" t="s">
        <v>1752</v>
      </c>
      <c r="B4017" s="124">
        <v>1250.0</v>
      </c>
      <c r="C4017" s="124">
        <v>1400.0</v>
      </c>
      <c r="D4017" s="125">
        <f t="shared" si="266"/>
        <v>150</v>
      </c>
      <c r="E4017" s="124"/>
      <c r="F4017" s="124"/>
    </row>
    <row r="4018" hidden="1">
      <c r="A4018" s="150" t="s">
        <v>1735</v>
      </c>
      <c r="B4018" s="147">
        <v>950.0</v>
      </c>
      <c r="C4018" s="147">
        <v>1100.0</v>
      </c>
      <c r="D4018" s="132">
        <f t="shared" si="266"/>
        <v>150</v>
      </c>
      <c r="E4018" s="139"/>
      <c r="F4018" s="139"/>
      <c r="G4018" s="129"/>
      <c r="H4018" s="129"/>
      <c r="I4018" s="129"/>
      <c r="J4018" s="129"/>
      <c r="K4018" s="129"/>
      <c r="L4018" s="129"/>
      <c r="M4018" s="129"/>
      <c r="N4018" s="129"/>
      <c r="O4018" s="129"/>
      <c r="P4018" s="129"/>
      <c r="Q4018" s="129"/>
      <c r="R4018" s="129"/>
      <c r="S4018" s="129"/>
      <c r="T4018" s="129"/>
      <c r="U4018" s="129"/>
      <c r="V4018" s="129"/>
      <c r="W4018" s="129"/>
      <c r="X4018" s="129"/>
      <c r="Y4018" s="129"/>
      <c r="Z4018" s="129"/>
      <c r="AA4018" s="129"/>
      <c r="AB4018" s="129"/>
    </row>
    <row r="4019" hidden="1">
      <c r="A4019" s="123" t="s">
        <v>1753</v>
      </c>
      <c r="B4019" s="123">
        <v>450.0</v>
      </c>
      <c r="C4019" s="123">
        <v>600.0</v>
      </c>
      <c r="D4019">
        <f t="shared" si="266"/>
        <v>150</v>
      </c>
      <c r="E4019" s="124"/>
      <c r="F4019" s="124"/>
    </row>
    <row r="4020" hidden="1">
      <c r="A4020" s="123" t="s">
        <v>1754</v>
      </c>
      <c r="B4020" s="123">
        <v>450.0</v>
      </c>
      <c r="C4020" s="123">
        <v>600.0</v>
      </c>
      <c r="D4020">
        <f t="shared" si="266"/>
        <v>150</v>
      </c>
      <c r="E4020" s="124"/>
      <c r="F4020" s="124"/>
    </row>
    <row r="4021" hidden="1">
      <c r="A4021" s="150" t="s">
        <v>1723</v>
      </c>
      <c r="B4021" s="147">
        <v>1000.0</v>
      </c>
      <c r="C4021" s="132">
        <v>1150.0</v>
      </c>
      <c r="D4021" s="132">
        <f t="shared" si="266"/>
        <v>150</v>
      </c>
      <c r="E4021" s="139"/>
      <c r="F4021" s="139"/>
      <c r="G4021" s="129"/>
      <c r="H4021" s="129"/>
      <c r="I4021" s="129"/>
      <c r="J4021" s="129"/>
      <c r="K4021" s="129"/>
      <c r="L4021" s="129"/>
      <c r="M4021" s="129"/>
      <c r="N4021" s="129"/>
      <c r="O4021" s="129"/>
      <c r="P4021" s="129"/>
      <c r="Q4021" s="129"/>
      <c r="R4021" s="129"/>
      <c r="S4021" s="129"/>
      <c r="T4021" s="129"/>
      <c r="U4021" s="129"/>
      <c r="V4021" s="129"/>
      <c r="W4021" s="129"/>
      <c r="X4021" s="129"/>
      <c r="Y4021" s="129"/>
      <c r="Z4021" s="129"/>
      <c r="AA4021" s="129"/>
      <c r="AB4021" s="129"/>
    </row>
    <row r="4022" hidden="1">
      <c r="A4022" s="128" t="s">
        <v>1755</v>
      </c>
      <c r="B4022" s="147">
        <v>1125.0</v>
      </c>
      <c r="C4022" s="147">
        <v>1275.0</v>
      </c>
      <c r="D4022" s="132">
        <f t="shared" si="266"/>
        <v>150</v>
      </c>
      <c r="E4022" s="124"/>
      <c r="F4022" s="124"/>
      <c r="G4022" s="129"/>
      <c r="H4022" s="129"/>
      <c r="I4022" s="129"/>
      <c r="J4022" s="129"/>
      <c r="K4022" s="129"/>
      <c r="L4022" s="129"/>
      <c r="M4022" s="129"/>
      <c r="N4022" s="129"/>
      <c r="O4022" s="129"/>
      <c r="P4022" s="129"/>
      <c r="Q4022" s="129"/>
      <c r="R4022" s="129"/>
      <c r="S4022" s="129"/>
      <c r="T4022" s="129"/>
      <c r="U4022" s="129"/>
      <c r="V4022" s="129"/>
      <c r="W4022" s="129"/>
      <c r="X4022" s="129"/>
      <c r="Y4022" s="129"/>
      <c r="Z4022" s="129"/>
      <c r="AA4022" s="129"/>
      <c r="AB4022" s="129"/>
    </row>
    <row r="4023" hidden="1">
      <c r="A4023" s="150" t="s">
        <v>1738</v>
      </c>
      <c r="B4023" s="147">
        <v>1425.0</v>
      </c>
      <c r="C4023" s="147">
        <v>1600.0</v>
      </c>
      <c r="D4023" s="132">
        <f t="shared" si="266"/>
        <v>175</v>
      </c>
      <c r="E4023" s="139"/>
      <c r="F4023" s="139"/>
      <c r="G4023" s="129"/>
      <c r="H4023" s="129"/>
      <c r="I4023" s="129"/>
      <c r="J4023" s="129"/>
      <c r="K4023" s="129"/>
      <c r="L4023" s="129"/>
      <c r="M4023" s="129"/>
      <c r="N4023" s="129"/>
      <c r="O4023" s="129"/>
      <c r="P4023" s="129"/>
      <c r="Q4023" s="129"/>
      <c r="R4023" s="129"/>
      <c r="S4023" s="129"/>
      <c r="T4023" s="129"/>
      <c r="U4023" s="129"/>
      <c r="V4023" s="129"/>
      <c r="W4023" s="129"/>
      <c r="X4023" s="129"/>
      <c r="Y4023" s="129"/>
      <c r="Z4023" s="129"/>
      <c r="AA4023" s="129"/>
      <c r="AB4023" s="129"/>
    </row>
    <row r="4024" hidden="1">
      <c r="A4024" s="123" t="s">
        <v>1723</v>
      </c>
      <c r="B4024" s="124">
        <v>1000.0</v>
      </c>
      <c r="C4024" s="124">
        <v>1150.0</v>
      </c>
      <c r="D4024" s="125">
        <f t="shared" si="266"/>
        <v>150</v>
      </c>
      <c r="E4024" s="124"/>
      <c r="F4024" s="124"/>
    </row>
    <row r="4025" hidden="1">
      <c r="A4025" s="150" t="s">
        <v>1738</v>
      </c>
      <c r="B4025" s="147">
        <v>1425.0</v>
      </c>
      <c r="C4025" s="147">
        <v>1600.0</v>
      </c>
      <c r="D4025" s="132">
        <f t="shared" si="266"/>
        <v>175</v>
      </c>
      <c r="E4025" s="139"/>
      <c r="F4025" s="139"/>
      <c r="G4025" s="129"/>
      <c r="H4025" s="129"/>
      <c r="I4025" s="129"/>
      <c r="J4025" s="129"/>
      <c r="K4025" s="129"/>
      <c r="L4025" s="129"/>
      <c r="M4025" s="129"/>
      <c r="N4025" s="129"/>
      <c r="O4025" s="129"/>
      <c r="P4025" s="129"/>
      <c r="Q4025" s="129"/>
      <c r="R4025" s="129"/>
      <c r="S4025" s="129"/>
      <c r="T4025" s="129"/>
      <c r="U4025" s="129"/>
      <c r="V4025" s="129"/>
      <c r="W4025" s="129"/>
      <c r="X4025" s="129"/>
      <c r="Y4025" s="129"/>
      <c r="Z4025" s="129"/>
      <c r="AA4025" s="129"/>
      <c r="AB4025" s="129"/>
    </row>
    <row r="4026" hidden="1">
      <c r="A4026" s="123" t="s">
        <v>1718</v>
      </c>
      <c r="B4026" s="124">
        <v>1500.0</v>
      </c>
      <c r="C4026" s="124">
        <v>1650.0</v>
      </c>
      <c r="D4026" s="125">
        <f t="shared" si="266"/>
        <v>150</v>
      </c>
      <c r="E4026" s="124"/>
      <c r="F4026" s="124"/>
    </row>
    <row r="4027" hidden="1">
      <c r="A4027" s="123" t="s">
        <v>1749</v>
      </c>
      <c r="B4027" s="124">
        <v>1150.0</v>
      </c>
      <c r="C4027" s="124">
        <v>1300.0</v>
      </c>
      <c r="D4027" s="125">
        <f t="shared" si="266"/>
        <v>150</v>
      </c>
      <c r="E4027" s="124"/>
      <c r="F4027" s="124"/>
    </row>
    <row r="4028" hidden="1">
      <c r="A4028" s="150" t="s">
        <v>1738</v>
      </c>
      <c r="B4028" s="147">
        <v>1400.0</v>
      </c>
      <c r="C4028" s="147">
        <v>1550.0</v>
      </c>
      <c r="D4028" s="132">
        <f t="shared" si="266"/>
        <v>150</v>
      </c>
      <c r="E4028" s="139"/>
      <c r="F4028" s="139"/>
      <c r="G4028" s="129"/>
      <c r="H4028" s="129"/>
      <c r="I4028" s="129"/>
      <c r="J4028" s="129"/>
      <c r="K4028" s="129"/>
      <c r="L4028" s="129"/>
      <c r="M4028" s="129"/>
      <c r="N4028" s="129"/>
      <c r="O4028" s="129"/>
      <c r="P4028" s="129"/>
      <c r="Q4028" s="129"/>
      <c r="R4028" s="129"/>
      <c r="S4028" s="129"/>
      <c r="T4028" s="129"/>
      <c r="U4028" s="129"/>
      <c r="V4028" s="129"/>
      <c r="W4028" s="129"/>
      <c r="X4028" s="129"/>
      <c r="Y4028" s="129"/>
      <c r="Z4028" s="129"/>
      <c r="AA4028" s="129"/>
      <c r="AB4028" s="129"/>
    </row>
    <row r="4029" hidden="1">
      <c r="A4029" s="150" t="s">
        <v>1738</v>
      </c>
      <c r="B4029" s="147">
        <v>1400.0</v>
      </c>
      <c r="C4029" s="147">
        <v>1550.0</v>
      </c>
      <c r="D4029" s="132">
        <f t="shared" si="266"/>
        <v>150</v>
      </c>
      <c r="E4029" s="139"/>
      <c r="F4029" s="139"/>
      <c r="G4029" s="129"/>
      <c r="H4029" s="129"/>
      <c r="I4029" s="129"/>
      <c r="J4029" s="129"/>
      <c r="K4029" s="129"/>
      <c r="L4029" s="129"/>
      <c r="M4029" s="129"/>
      <c r="N4029" s="129"/>
      <c r="O4029" s="129"/>
      <c r="P4029" s="129"/>
      <c r="Q4029" s="129"/>
      <c r="R4029" s="129"/>
      <c r="S4029" s="129"/>
      <c r="T4029" s="129"/>
      <c r="U4029" s="129"/>
      <c r="V4029" s="129"/>
      <c r="W4029" s="129"/>
      <c r="X4029" s="129"/>
      <c r="Y4029" s="129"/>
      <c r="Z4029" s="129"/>
      <c r="AA4029" s="129"/>
      <c r="AB4029" s="129"/>
    </row>
    <row r="4030" hidden="1">
      <c r="A4030" s="150" t="s">
        <v>1735</v>
      </c>
      <c r="B4030" s="147">
        <v>1000.0</v>
      </c>
      <c r="C4030" s="124">
        <v>1150.0</v>
      </c>
      <c r="D4030" s="132">
        <f t="shared" si="266"/>
        <v>150</v>
      </c>
      <c r="E4030" s="139"/>
      <c r="F4030" s="139"/>
      <c r="G4030" s="129"/>
      <c r="H4030" s="129"/>
      <c r="I4030" s="129"/>
      <c r="J4030" s="129"/>
      <c r="K4030" s="129"/>
      <c r="L4030" s="129"/>
      <c r="M4030" s="129"/>
      <c r="N4030" s="129"/>
      <c r="O4030" s="129"/>
      <c r="P4030" s="129"/>
      <c r="Q4030" s="129"/>
      <c r="R4030" s="129"/>
      <c r="S4030" s="129"/>
      <c r="T4030" s="129"/>
      <c r="U4030" s="129"/>
      <c r="V4030" s="129"/>
      <c r="W4030" s="129"/>
      <c r="X4030" s="129"/>
      <c r="Y4030" s="129"/>
      <c r="Z4030" s="129"/>
      <c r="AA4030" s="129"/>
      <c r="AB4030" s="129"/>
    </row>
    <row r="4031" hidden="1">
      <c r="A4031" s="128" t="s">
        <v>1748</v>
      </c>
      <c r="B4031" s="147">
        <v>1175.0</v>
      </c>
      <c r="C4031" s="147">
        <v>1325.0</v>
      </c>
      <c r="D4031" s="132">
        <f t="shared" si="266"/>
        <v>150</v>
      </c>
      <c r="E4031" s="139"/>
      <c r="F4031" s="139"/>
      <c r="G4031" s="129"/>
      <c r="H4031" s="129"/>
      <c r="I4031" s="129"/>
      <c r="J4031" s="129"/>
      <c r="K4031" s="129"/>
      <c r="L4031" s="129"/>
      <c r="M4031" s="129"/>
      <c r="N4031" s="129"/>
      <c r="O4031" s="129"/>
      <c r="P4031" s="129"/>
      <c r="Q4031" s="129"/>
      <c r="R4031" s="129"/>
      <c r="S4031" s="129"/>
      <c r="T4031" s="129"/>
      <c r="U4031" s="129"/>
      <c r="V4031" s="129"/>
      <c r="W4031" s="129"/>
      <c r="X4031" s="129"/>
      <c r="Y4031" s="129"/>
      <c r="Z4031" s="129"/>
      <c r="AA4031" s="129"/>
      <c r="AB4031" s="129"/>
    </row>
    <row r="4032" hidden="1">
      <c r="A4032" s="128" t="s">
        <v>1733</v>
      </c>
      <c r="B4032" s="132">
        <v>1000.0</v>
      </c>
      <c r="C4032" s="132">
        <v>1150.0</v>
      </c>
      <c r="D4032" s="132">
        <f t="shared" si="266"/>
        <v>150</v>
      </c>
      <c r="E4032" s="139"/>
      <c r="F4032" s="139"/>
      <c r="G4032" s="129"/>
      <c r="H4032" s="129"/>
      <c r="I4032" s="129"/>
      <c r="J4032" s="129"/>
      <c r="K4032" s="129"/>
      <c r="L4032" s="129"/>
      <c r="M4032" s="129"/>
      <c r="N4032" s="129"/>
      <c r="O4032" s="129"/>
      <c r="P4032" s="129"/>
      <c r="Q4032" s="129"/>
      <c r="R4032" s="129"/>
      <c r="S4032" s="129"/>
      <c r="T4032" s="129"/>
      <c r="U4032" s="129"/>
      <c r="V4032" s="129"/>
      <c r="W4032" s="129"/>
      <c r="X4032" s="129"/>
      <c r="Y4032" s="129"/>
      <c r="Z4032" s="129"/>
      <c r="AA4032" s="129"/>
      <c r="AB4032" s="129"/>
    </row>
    <row r="4033" hidden="1">
      <c r="A4033" s="123" t="s">
        <v>1756</v>
      </c>
      <c r="B4033" s="124">
        <v>1300.0</v>
      </c>
      <c r="C4033" s="124">
        <v>1500.0</v>
      </c>
      <c r="D4033" s="125">
        <f t="shared" si="266"/>
        <v>200</v>
      </c>
      <c r="E4033" s="147"/>
      <c r="F4033" s="124"/>
    </row>
    <row r="4034" hidden="1">
      <c r="A4034" s="128" t="s">
        <v>404</v>
      </c>
      <c r="B4034" s="148">
        <v>550.0</v>
      </c>
      <c r="C4034" s="147">
        <v>750.0</v>
      </c>
      <c r="D4034" s="132">
        <f t="shared" si="266"/>
        <v>200</v>
      </c>
      <c r="E4034" s="147"/>
      <c r="F4034" s="124"/>
      <c r="G4034" s="129"/>
      <c r="H4034" s="129"/>
      <c r="I4034" s="129"/>
      <c r="J4034" s="129"/>
      <c r="K4034" s="129"/>
      <c r="L4034" s="129"/>
      <c r="M4034" s="129"/>
      <c r="N4034" s="129"/>
      <c r="O4034" s="129"/>
      <c r="P4034" s="129"/>
      <c r="Q4034" s="129"/>
      <c r="R4034" s="129"/>
      <c r="S4034" s="129"/>
      <c r="T4034" s="129"/>
      <c r="U4034" s="129"/>
      <c r="V4034" s="129"/>
      <c r="W4034" s="129"/>
      <c r="X4034" s="129"/>
      <c r="Y4034" s="129"/>
      <c r="Z4034" s="129"/>
      <c r="AA4034" s="129"/>
      <c r="AB4034" s="129"/>
    </row>
    <row r="4035" hidden="1">
      <c r="A4035" s="128" t="s">
        <v>1757</v>
      </c>
      <c r="B4035" s="147">
        <v>1600.0</v>
      </c>
      <c r="C4035" s="147">
        <v>1775.0</v>
      </c>
      <c r="D4035" s="132">
        <f t="shared" si="266"/>
        <v>175</v>
      </c>
      <c r="E4035" s="132"/>
      <c r="F4035" s="132"/>
      <c r="G4035" s="129"/>
      <c r="H4035" s="129"/>
      <c r="I4035" s="129"/>
      <c r="J4035" s="129"/>
      <c r="K4035" s="129"/>
      <c r="L4035" s="129"/>
      <c r="M4035" s="129"/>
      <c r="N4035" s="129"/>
      <c r="O4035" s="129"/>
      <c r="P4035" s="129"/>
      <c r="Q4035" s="129"/>
      <c r="R4035" s="129"/>
      <c r="S4035" s="129"/>
      <c r="T4035" s="129"/>
      <c r="U4035" s="129"/>
      <c r="V4035" s="129"/>
      <c r="W4035" s="129"/>
      <c r="X4035" s="129"/>
      <c r="Y4035" s="129"/>
      <c r="Z4035" s="129"/>
      <c r="AA4035" s="129"/>
      <c r="AB4035" s="129"/>
    </row>
    <row r="4036" hidden="1">
      <c r="A4036" s="128" t="s">
        <v>1757</v>
      </c>
      <c r="B4036" s="147">
        <v>1600.0</v>
      </c>
      <c r="C4036" s="147">
        <v>1775.0</v>
      </c>
      <c r="D4036" s="132">
        <f t="shared" si="266"/>
        <v>175</v>
      </c>
      <c r="E4036" s="132"/>
      <c r="F4036" s="132"/>
      <c r="G4036" s="129"/>
      <c r="H4036" s="129"/>
      <c r="I4036" s="129"/>
      <c r="J4036" s="129"/>
      <c r="K4036" s="129"/>
      <c r="L4036" s="129"/>
      <c r="M4036" s="129"/>
      <c r="N4036" s="129"/>
      <c r="O4036" s="129"/>
      <c r="P4036" s="129"/>
      <c r="Q4036" s="129"/>
      <c r="R4036" s="129"/>
      <c r="S4036" s="129"/>
      <c r="T4036" s="129"/>
      <c r="U4036" s="129"/>
      <c r="V4036" s="129"/>
      <c r="W4036" s="129"/>
      <c r="X4036" s="129"/>
      <c r="Y4036" s="129"/>
      <c r="Z4036" s="129"/>
      <c r="AA4036" s="129"/>
      <c r="AB4036" s="129"/>
    </row>
    <row r="4037" hidden="1">
      <c r="A4037" s="128" t="s">
        <v>1757</v>
      </c>
      <c r="B4037" s="147">
        <v>1400.0</v>
      </c>
      <c r="C4037" s="147">
        <v>1575.0</v>
      </c>
      <c r="D4037" s="132">
        <f t="shared" si="266"/>
        <v>175</v>
      </c>
      <c r="E4037" s="132"/>
      <c r="F4037" s="132"/>
      <c r="G4037" s="129"/>
      <c r="H4037" s="129"/>
      <c r="I4037" s="129"/>
      <c r="J4037" s="129"/>
      <c r="K4037" s="129"/>
      <c r="L4037" s="129"/>
      <c r="M4037" s="129"/>
      <c r="N4037" s="129"/>
      <c r="O4037" s="129"/>
      <c r="P4037" s="129"/>
      <c r="Q4037" s="129"/>
      <c r="R4037" s="129"/>
      <c r="S4037" s="129"/>
      <c r="T4037" s="129"/>
      <c r="U4037" s="129"/>
      <c r="V4037" s="129"/>
      <c r="W4037" s="129"/>
      <c r="X4037" s="129"/>
      <c r="Y4037" s="129"/>
      <c r="Z4037" s="129"/>
      <c r="AA4037" s="129"/>
      <c r="AB4037" s="129"/>
    </row>
    <row r="4038" hidden="1">
      <c r="A4038" s="123" t="s">
        <v>1758</v>
      </c>
      <c r="B4038" s="124">
        <v>1150.0</v>
      </c>
      <c r="C4038" s="124">
        <v>1300.0</v>
      </c>
      <c r="D4038" s="125">
        <f t="shared" si="266"/>
        <v>150</v>
      </c>
      <c r="E4038" s="124"/>
      <c r="F4038" s="124"/>
    </row>
    <row r="4039" hidden="1">
      <c r="A4039" s="123" t="s">
        <v>1674</v>
      </c>
      <c r="B4039" s="124">
        <v>1425.0</v>
      </c>
      <c r="C4039" s="124">
        <v>1600.0</v>
      </c>
      <c r="D4039" s="125">
        <f t="shared" si="266"/>
        <v>175</v>
      </c>
      <c r="E4039" s="124"/>
      <c r="F4039" s="124"/>
    </row>
    <row r="4040" hidden="1">
      <c r="A4040" s="150" t="s">
        <v>1738</v>
      </c>
      <c r="B4040" s="147">
        <v>1400.0</v>
      </c>
      <c r="C4040" s="147">
        <v>1550.0</v>
      </c>
      <c r="D4040" s="132">
        <f t="shared" si="266"/>
        <v>150</v>
      </c>
      <c r="E4040" s="139"/>
      <c r="F4040" s="139"/>
      <c r="G4040" s="129"/>
      <c r="H4040" s="129"/>
      <c r="I4040" s="129"/>
      <c r="J4040" s="129"/>
      <c r="K4040" s="129"/>
      <c r="L4040" s="129"/>
      <c r="M4040" s="129"/>
      <c r="N4040" s="129"/>
      <c r="O4040" s="129"/>
      <c r="P4040" s="129"/>
      <c r="Q4040" s="129"/>
      <c r="R4040" s="129"/>
      <c r="S4040" s="129"/>
      <c r="T4040" s="129"/>
      <c r="U4040" s="129"/>
      <c r="V4040" s="129"/>
      <c r="W4040" s="129"/>
      <c r="X4040" s="129"/>
      <c r="Y4040" s="129"/>
      <c r="Z4040" s="129"/>
      <c r="AA4040" s="129"/>
      <c r="AB4040" s="129"/>
    </row>
    <row r="4041" hidden="1">
      <c r="A4041" s="123" t="s">
        <v>1759</v>
      </c>
      <c r="B4041" s="124">
        <v>1150.0</v>
      </c>
      <c r="C4041" s="124">
        <v>1300.0</v>
      </c>
      <c r="D4041" s="125">
        <f t="shared" si="266"/>
        <v>150</v>
      </c>
      <c r="E4041" s="124"/>
      <c r="F4041" s="124"/>
    </row>
    <row r="4042" hidden="1">
      <c r="A4042" s="123" t="s">
        <v>1760</v>
      </c>
      <c r="B4042" s="124">
        <v>1175.0</v>
      </c>
      <c r="C4042" s="124">
        <v>1325.0</v>
      </c>
      <c r="D4042" s="125">
        <f t="shared" si="266"/>
        <v>150</v>
      </c>
      <c r="E4042" s="124"/>
      <c r="F4042" s="124"/>
    </row>
    <row r="4043" hidden="1">
      <c r="A4043" s="123" t="s">
        <v>1734</v>
      </c>
      <c r="B4043" s="124">
        <v>1000.0</v>
      </c>
      <c r="C4043" s="124">
        <v>1150.0</v>
      </c>
      <c r="D4043" s="313">
        <f t="shared" si="266"/>
        <v>150</v>
      </c>
      <c r="E4043" s="124"/>
      <c r="F4043" s="124"/>
    </row>
    <row r="4044" hidden="1">
      <c r="A4044" s="123" t="s">
        <v>1761</v>
      </c>
      <c r="B4044" s="124">
        <v>1300.0</v>
      </c>
      <c r="C4044" s="124">
        <v>1500.0</v>
      </c>
      <c r="D4044" s="313">
        <f t="shared" si="266"/>
        <v>200</v>
      </c>
      <c r="E4044" s="147"/>
      <c r="F4044" s="124"/>
    </row>
    <row r="4045" hidden="1">
      <c r="A4045" s="128" t="s">
        <v>1733</v>
      </c>
      <c r="B4045" s="147">
        <v>1000.0</v>
      </c>
      <c r="C4045" s="124">
        <v>1150.0</v>
      </c>
      <c r="D4045" s="132">
        <f t="shared" si="266"/>
        <v>150</v>
      </c>
      <c r="E4045" s="139"/>
      <c r="F4045" s="139"/>
      <c r="G4045" s="129"/>
      <c r="H4045" s="129"/>
      <c r="I4045" s="129"/>
      <c r="J4045" s="129"/>
      <c r="K4045" s="129"/>
      <c r="L4045" s="129"/>
      <c r="M4045" s="129"/>
      <c r="N4045" s="129"/>
      <c r="O4045" s="129"/>
      <c r="P4045" s="129"/>
      <c r="Q4045" s="129"/>
      <c r="R4045" s="129"/>
      <c r="S4045" s="129"/>
      <c r="T4045" s="129"/>
      <c r="U4045" s="129"/>
      <c r="V4045" s="129"/>
      <c r="W4045" s="129"/>
      <c r="X4045" s="129"/>
      <c r="Y4045" s="129"/>
      <c r="Z4045" s="129"/>
      <c r="AA4045" s="129"/>
      <c r="AB4045" s="129"/>
    </row>
    <row r="4046" hidden="1">
      <c r="A4046" s="123" t="s">
        <v>406</v>
      </c>
      <c r="B4046" s="124">
        <v>1300.0</v>
      </c>
      <c r="C4046" s="124">
        <v>1500.0</v>
      </c>
      <c r="D4046" s="313">
        <f t="shared" si="266"/>
        <v>200</v>
      </c>
      <c r="E4046" s="147"/>
      <c r="F4046" s="124"/>
    </row>
    <row r="4047" hidden="1">
      <c r="A4047" s="159" t="s">
        <v>1219</v>
      </c>
      <c r="B4047" s="147">
        <v>900.0</v>
      </c>
      <c r="C4047" s="147">
        <v>1075.0</v>
      </c>
      <c r="D4047" s="132">
        <f t="shared" si="266"/>
        <v>175</v>
      </c>
      <c r="E4047" s="129"/>
      <c r="F4047" s="129"/>
      <c r="G4047" s="129"/>
      <c r="H4047" s="129"/>
      <c r="I4047" s="129"/>
      <c r="J4047" s="129"/>
      <c r="K4047" s="129"/>
      <c r="L4047" s="129"/>
      <c r="M4047" s="129"/>
      <c r="N4047" s="129"/>
      <c r="O4047" s="129"/>
      <c r="P4047" s="129"/>
      <c r="Q4047" s="129"/>
      <c r="R4047" s="129"/>
      <c r="S4047" s="129"/>
      <c r="T4047" s="129"/>
      <c r="U4047" s="129"/>
      <c r="V4047" s="129"/>
      <c r="W4047" s="129"/>
      <c r="X4047" s="129"/>
      <c r="Y4047" s="129"/>
      <c r="Z4047" s="129"/>
      <c r="AA4047" s="129"/>
      <c r="AB4047" s="129"/>
    </row>
    <row r="4048" hidden="1">
      <c r="A4048" s="123" t="s">
        <v>1735</v>
      </c>
      <c r="B4048" s="124">
        <v>1000.0</v>
      </c>
      <c r="C4048" s="124">
        <v>1150.0</v>
      </c>
      <c r="D4048" s="125">
        <f t="shared" si="266"/>
        <v>150</v>
      </c>
      <c r="E4048" s="124"/>
      <c r="F4048" s="124"/>
    </row>
    <row r="4049" hidden="1">
      <c r="A4049" s="123" t="s">
        <v>1762</v>
      </c>
      <c r="B4049" s="124">
        <v>650.0</v>
      </c>
      <c r="C4049" s="124">
        <v>800.0</v>
      </c>
      <c r="D4049" s="125">
        <f t="shared" si="266"/>
        <v>150</v>
      </c>
      <c r="E4049" s="124"/>
      <c r="F4049" s="124"/>
    </row>
    <row r="4050" hidden="1">
      <c r="A4050" s="128" t="s">
        <v>1763</v>
      </c>
      <c r="B4050" s="124">
        <v>650.0</v>
      </c>
      <c r="C4050" s="124">
        <v>800.0</v>
      </c>
      <c r="D4050" s="125">
        <f t="shared" si="266"/>
        <v>150</v>
      </c>
      <c r="G4050" s="129"/>
      <c r="H4050" s="129"/>
      <c r="I4050" s="129"/>
      <c r="J4050" s="129"/>
      <c r="K4050" s="129"/>
      <c r="L4050" s="129"/>
      <c r="M4050" s="129"/>
      <c r="N4050" s="129"/>
      <c r="O4050" s="129"/>
      <c r="P4050" s="129"/>
      <c r="Q4050" s="129"/>
      <c r="R4050" s="129"/>
      <c r="S4050" s="129"/>
      <c r="T4050" s="129"/>
      <c r="U4050" s="129"/>
      <c r="V4050" s="129"/>
      <c r="W4050" s="129"/>
      <c r="X4050" s="129"/>
      <c r="Y4050" s="129"/>
      <c r="Z4050" s="129"/>
      <c r="AA4050" s="129"/>
      <c r="AB4050" s="129"/>
    </row>
    <row r="4051" hidden="1">
      <c r="A4051" s="123" t="s">
        <v>1764</v>
      </c>
      <c r="B4051" s="124">
        <v>650.0</v>
      </c>
      <c r="C4051" s="124">
        <v>800.0</v>
      </c>
      <c r="D4051" s="125">
        <f t="shared" si="266"/>
        <v>150</v>
      </c>
      <c r="E4051" s="124"/>
      <c r="F4051" s="124"/>
    </row>
    <row r="4052" hidden="1">
      <c r="A4052" s="128" t="s">
        <v>1708</v>
      </c>
      <c r="B4052" s="123">
        <v>550.0</v>
      </c>
      <c r="C4052" s="123">
        <v>700.0</v>
      </c>
      <c r="D4052">
        <f t="shared" si="266"/>
        <v>150</v>
      </c>
      <c r="G4052" s="129"/>
      <c r="H4052" s="129"/>
      <c r="I4052" s="129"/>
      <c r="J4052" s="129"/>
      <c r="K4052" s="129"/>
      <c r="L4052" s="129"/>
      <c r="M4052" s="129"/>
      <c r="N4052" s="129"/>
      <c r="O4052" s="129"/>
      <c r="P4052" s="129"/>
      <c r="Q4052" s="129"/>
      <c r="R4052" s="129"/>
      <c r="S4052" s="129"/>
      <c r="T4052" s="129"/>
      <c r="U4052" s="129"/>
      <c r="V4052" s="129"/>
      <c r="W4052" s="129"/>
      <c r="X4052" s="129"/>
      <c r="Y4052" s="129"/>
      <c r="Z4052" s="129"/>
      <c r="AA4052" s="129"/>
      <c r="AB4052" s="129"/>
    </row>
    <row r="4053" hidden="1">
      <c r="A4053" s="123" t="s">
        <v>1126</v>
      </c>
      <c r="B4053" s="124">
        <v>1050.0</v>
      </c>
      <c r="C4053" s="124">
        <v>1250.0</v>
      </c>
      <c r="D4053" s="125">
        <f t="shared" si="266"/>
        <v>200</v>
      </c>
      <c r="E4053" s="147"/>
      <c r="F4053" s="124"/>
    </row>
    <row r="4054" hidden="1">
      <c r="A4054" s="123" t="s">
        <v>1125</v>
      </c>
      <c r="B4054" s="124">
        <v>1050.0</v>
      </c>
      <c r="C4054" s="124">
        <v>1250.0</v>
      </c>
      <c r="D4054" s="125">
        <f t="shared" si="266"/>
        <v>200</v>
      </c>
      <c r="E4054" s="147"/>
      <c r="F4054" s="124"/>
    </row>
    <row r="4055" hidden="1">
      <c r="A4055" s="128" t="s">
        <v>1765</v>
      </c>
      <c r="B4055" s="124">
        <v>900.0</v>
      </c>
      <c r="C4055" s="147">
        <v>1075.0</v>
      </c>
      <c r="D4055" s="125">
        <f t="shared" si="266"/>
        <v>175</v>
      </c>
      <c r="G4055" s="129"/>
      <c r="H4055" s="129"/>
      <c r="I4055" s="129"/>
      <c r="J4055" s="129"/>
      <c r="K4055" s="129"/>
      <c r="L4055" s="129"/>
      <c r="M4055" s="129"/>
      <c r="N4055" s="129"/>
      <c r="O4055" s="129"/>
      <c r="P4055" s="129"/>
      <c r="Q4055" s="129"/>
      <c r="R4055" s="129"/>
      <c r="S4055" s="129"/>
      <c r="T4055" s="129"/>
      <c r="U4055" s="129"/>
      <c r="V4055" s="129"/>
      <c r="W4055" s="129"/>
      <c r="X4055" s="129"/>
      <c r="Y4055" s="129"/>
      <c r="Z4055" s="129"/>
      <c r="AA4055" s="129"/>
      <c r="AB4055" s="129"/>
    </row>
    <row r="4056" hidden="1">
      <c r="A4056" s="150" t="s">
        <v>1738</v>
      </c>
      <c r="B4056" s="147">
        <v>1400.0</v>
      </c>
      <c r="C4056" s="147">
        <v>1550.0</v>
      </c>
      <c r="D4056" s="132">
        <f t="shared" si="266"/>
        <v>150</v>
      </c>
      <c r="E4056" s="127"/>
      <c r="F4056" s="139"/>
      <c r="G4056" s="129"/>
      <c r="H4056" s="129"/>
      <c r="I4056" s="129"/>
      <c r="J4056" s="129"/>
      <c r="K4056" s="129"/>
      <c r="L4056" s="129"/>
      <c r="M4056" s="129"/>
      <c r="N4056" s="129"/>
      <c r="O4056" s="129"/>
      <c r="P4056" s="129"/>
      <c r="Q4056" s="129"/>
      <c r="R4056" s="129"/>
      <c r="S4056" s="129"/>
      <c r="T4056" s="129"/>
      <c r="U4056" s="129"/>
      <c r="V4056" s="129"/>
      <c r="W4056" s="129"/>
      <c r="X4056" s="129"/>
      <c r="Y4056" s="129"/>
      <c r="Z4056" s="129"/>
      <c r="AA4056" s="129"/>
      <c r="AB4056" s="129"/>
    </row>
    <row r="4057" hidden="1">
      <c r="A4057" s="128" t="s">
        <v>1766</v>
      </c>
      <c r="B4057" s="124">
        <v>625.0</v>
      </c>
      <c r="C4057" s="124">
        <v>800.0</v>
      </c>
      <c r="D4057" s="125">
        <f t="shared" si="266"/>
        <v>175</v>
      </c>
      <c r="G4057" s="129"/>
      <c r="H4057" s="129"/>
      <c r="I4057" s="129"/>
      <c r="J4057" s="129"/>
      <c r="K4057" s="129"/>
      <c r="L4057" s="129"/>
      <c r="M4057" s="129"/>
      <c r="N4057" s="129"/>
      <c r="O4057" s="129"/>
      <c r="P4057" s="129"/>
      <c r="Q4057" s="129"/>
      <c r="R4057" s="129"/>
      <c r="S4057" s="129"/>
      <c r="T4057" s="129"/>
      <c r="U4057" s="129"/>
      <c r="V4057" s="129"/>
      <c r="W4057" s="129"/>
      <c r="X4057" s="129"/>
      <c r="Y4057" s="129"/>
      <c r="Z4057" s="129"/>
      <c r="AA4057" s="129"/>
      <c r="AB4057" s="129"/>
    </row>
    <row r="4058" hidden="1">
      <c r="A4058" s="128" t="s">
        <v>1755</v>
      </c>
      <c r="B4058" s="147">
        <v>975.0</v>
      </c>
      <c r="C4058" s="147">
        <v>1150.0</v>
      </c>
      <c r="D4058" s="132">
        <f t="shared" si="266"/>
        <v>175</v>
      </c>
      <c r="E4058" s="124"/>
      <c r="F4058" s="124"/>
      <c r="G4058" s="129"/>
      <c r="H4058" s="129"/>
      <c r="I4058" s="129"/>
      <c r="J4058" s="129"/>
      <c r="K4058" s="129"/>
      <c r="L4058" s="129"/>
      <c r="M4058" s="129"/>
      <c r="N4058" s="129"/>
      <c r="O4058" s="129"/>
      <c r="P4058" s="129"/>
      <c r="Q4058" s="129"/>
      <c r="R4058" s="129"/>
      <c r="S4058" s="129"/>
      <c r="T4058" s="129"/>
      <c r="U4058" s="129"/>
      <c r="V4058" s="129"/>
      <c r="W4058" s="129"/>
      <c r="X4058" s="129"/>
      <c r="Y4058" s="129"/>
      <c r="Z4058" s="129"/>
      <c r="AA4058" s="129"/>
      <c r="AB4058" s="129"/>
    </row>
    <row r="4059" hidden="1">
      <c r="A4059" s="128" t="s">
        <v>1741</v>
      </c>
      <c r="B4059" s="147">
        <v>1250.0</v>
      </c>
      <c r="C4059" s="147">
        <v>1425.0</v>
      </c>
      <c r="D4059" s="132">
        <f t="shared" si="266"/>
        <v>175</v>
      </c>
      <c r="E4059" s="147"/>
      <c r="F4059" s="132"/>
      <c r="G4059" s="129"/>
      <c r="H4059" s="129"/>
      <c r="I4059" s="129"/>
      <c r="J4059" s="129"/>
      <c r="K4059" s="129"/>
      <c r="L4059" s="129"/>
      <c r="M4059" s="129"/>
      <c r="N4059" s="129"/>
      <c r="O4059" s="129"/>
      <c r="P4059" s="129"/>
      <c r="Q4059" s="129"/>
      <c r="R4059" s="129"/>
      <c r="S4059" s="129"/>
      <c r="T4059" s="129"/>
      <c r="U4059" s="129"/>
      <c r="V4059" s="129"/>
      <c r="W4059" s="129"/>
      <c r="X4059" s="129"/>
      <c r="Y4059" s="129"/>
      <c r="Z4059" s="129"/>
      <c r="AA4059" s="129"/>
      <c r="AB4059" s="129"/>
    </row>
    <row r="4060" hidden="1">
      <c r="A4060" s="123" t="s">
        <v>1749</v>
      </c>
      <c r="B4060" s="124">
        <v>1175.0</v>
      </c>
      <c r="C4060" s="124">
        <v>1350.0</v>
      </c>
      <c r="D4060" s="125">
        <f t="shared" si="266"/>
        <v>175</v>
      </c>
      <c r="E4060" s="124"/>
      <c r="F4060" s="124"/>
    </row>
    <row r="4061" hidden="1">
      <c r="A4061" s="123" t="s">
        <v>1767</v>
      </c>
      <c r="B4061" s="124">
        <v>1075.0</v>
      </c>
      <c r="C4061" s="124">
        <v>1250.0</v>
      </c>
      <c r="D4061" s="125">
        <f t="shared" si="266"/>
        <v>175</v>
      </c>
      <c r="E4061" s="124"/>
      <c r="F4061" s="124"/>
    </row>
    <row r="4062" hidden="1">
      <c r="A4062" s="150" t="s">
        <v>1751</v>
      </c>
      <c r="B4062" s="147">
        <v>725.0</v>
      </c>
      <c r="C4062" s="147">
        <v>900.0</v>
      </c>
      <c r="D4062" s="132">
        <f t="shared" si="266"/>
        <v>175</v>
      </c>
      <c r="E4062" s="132"/>
      <c r="F4062" s="132"/>
      <c r="G4062" s="129"/>
      <c r="H4062" s="129"/>
      <c r="I4062" s="129"/>
      <c r="J4062" s="129"/>
      <c r="K4062" s="129"/>
      <c r="L4062" s="129"/>
      <c r="M4062" s="129"/>
      <c r="N4062" s="129"/>
      <c r="O4062" s="129"/>
      <c r="P4062" s="129"/>
      <c r="Q4062" s="129"/>
      <c r="R4062" s="129"/>
      <c r="S4062" s="129"/>
      <c r="T4062" s="129"/>
      <c r="U4062" s="129"/>
      <c r="V4062" s="129"/>
      <c r="W4062" s="129"/>
      <c r="X4062" s="129"/>
      <c r="Y4062" s="129"/>
      <c r="Z4062" s="129"/>
      <c r="AA4062" s="129"/>
      <c r="AB4062" s="129"/>
    </row>
    <row r="4063" hidden="1">
      <c r="A4063" s="128" t="s">
        <v>423</v>
      </c>
      <c r="B4063" s="124">
        <v>825.0</v>
      </c>
      <c r="C4063" s="147">
        <v>1000.0</v>
      </c>
      <c r="D4063" s="132">
        <f t="shared" si="266"/>
        <v>175</v>
      </c>
      <c r="E4063" s="132"/>
      <c r="F4063" s="132"/>
      <c r="G4063" s="129"/>
      <c r="H4063" s="129"/>
      <c r="I4063" s="129"/>
      <c r="J4063" s="129"/>
      <c r="K4063" s="129"/>
      <c r="L4063" s="129"/>
      <c r="M4063" s="129"/>
      <c r="N4063" s="129"/>
      <c r="O4063" s="129"/>
      <c r="P4063" s="129"/>
      <c r="Q4063" s="129"/>
      <c r="R4063" s="129"/>
      <c r="S4063" s="129"/>
      <c r="T4063" s="129"/>
      <c r="U4063" s="129"/>
      <c r="V4063" s="129"/>
      <c r="W4063" s="129"/>
      <c r="X4063" s="129"/>
      <c r="Y4063" s="129"/>
      <c r="Z4063" s="129"/>
      <c r="AA4063" s="129"/>
      <c r="AB4063" s="129"/>
    </row>
    <row r="4064" hidden="1">
      <c r="A4064" s="123" t="s">
        <v>1738</v>
      </c>
      <c r="B4064" s="124">
        <v>1350.0</v>
      </c>
      <c r="C4064" s="124">
        <v>1525.0</v>
      </c>
      <c r="D4064" s="132">
        <f t="shared" si="266"/>
        <v>175</v>
      </c>
      <c r="E4064" s="124"/>
      <c r="F4064" s="124"/>
    </row>
    <row r="4065" hidden="1">
      <c r="A4065" s="128" t="s">
        <v>1768</v>
      </c>
      <c r="B4065" s="124">
        <v>350.0</v>
      </c>
      <c r="C4065" s="147">
        <v>500.0</v>
      </c>
      <c r="D4065" s="132">
        <f t="shared" si="266"/>
        <v>150</v>
      </c>
      <c r="E4065" s="124"/>
      <c r="F4065" s="124"/>
      <c r="G4065" s="129"/>
      <c r="H4065" s="129"/>
      <c r="I4065" s="129"/>
      <c r="J4065" s="129"/>
      <c r="K4065" s="129"/>
      <c r="L4065" s="129"/>
      <c r="M4065" s="129"/>
      <c r="N4065" s="129"/>
      <c r="O4065" s="129"/>
      <c r="P4065" s="129"/>
      <c r="Q4065" s="129"/>
      <c r="R4065" s="129"/>
      <c r="S4065" s="129"/>
      <c r="T4065" s="129"/>
      <c r="U4065" s="129"/>
      <c r="V4065" s="129"/>
      <c r="W4065" s="129"/>
      <c r="X4065" s="129"/>
      <c r="Y4065" s="129"/>
      <c r="Z4065" s="129"/>
      <c r="AA4065" s="129"/>
      <c r="AB4065" s="129"/>
    </row>
    <row r="4066" hidden="1">
      <c r="A4066" s="123" t="s">
        <v>1767</v>
      </c>
      <c r="B4066" s="124">
        <v>1100.0</v>
      </c>
      <c r="C4066" s="124">
        <v>1250.0</v>
      </c>
      <c r="D4066" s="125">
        <f t="shared" si="266"/>
        <v>150</v>
      </c>
      <c r="E4066" s="124"/>
      <c r="F4066" s="124"/>
    </row>
    <row r="4067" hidden="1">
      <c r="A4067" s="128" t="s">
        <v>1741</v>
      </c>
      <c r="B4067" s="147">
        <v>1375.0</v>
      </c>
      <c r="C4067" s="147">
        <v>1525.0</v>
      </c>
      <c r="D4067" s="132">
        <f t="shared" si="266"/>
        <v>150</v>
      </c>
      <c r="E4067" s="147"/>
      <c r="F4067" s="132"/>
      <c r="G4067" s="129"/>
      <c r="H4067" s="129"/>
      <c r="I4067" s="129"/>
      <c r="J4067" s="129"/>
      <c r="K4067" s="129"/>
      <c r="L4067" s="129"/>
      <c r="M4067" s="129"/>
      <c r="N4067" s="129"/>
      <c r="O4067" s="129"/>
      <c r="P4067" s="129"/>
      <c r="Q4067" s="129"/>
      <c r="R4067" s="129"/>
      <c r="S4067" s="129"/>
      <c r="T4067" s="129"/>
      <c r="U4067" s="129"/>
      <c r="V4067" s="129"/>
      <c r="W4067" s="129"/>
      <c r="X4067" s="129"/>
      <c r="Y4067" s="129"/>
      <c r="Z4067" s="129"/>
      <c r="AA4067" s="129"/>
      <c r="AB4067" s="129"/>
    </row>
    <row r="4068" hidden="1">
      <c r="A4068" s="123" t="s">
        <v>1742</v>
      </c>
      <c r="B4068" s="124">
        <v>1375.0</v>
      </c>
      <c r="C4068" s="124">
        <v>1525.0</v>
      </c>
      <c r="D4068" s="132">
        <f t="shared" si="266"/>
        <v>150</v>
      </c>
      <c r="E4068" s="124"/>
      <c r="F4068" s="124"/>
    </row>
    <row r="4069" hidden="1">
      <c r="A4069" s="123" t="s">
        <v>1769</v>
      </c>
      <c r="B4069" s="124">
        <v>1100.0</v>
      </c>
      <c r="C4069" s="124">
        <v>1250.0</v>
      </c>
      <c r="D4069" s="125">
        <f t="shared" si="266"/>
        <v>150</v>
      </c>
      <c r="E4069" s="124"/>
      <c r="F4069" s="124"/>
    </row>
    <row r="4070" hidden="1">
      <c r="A4070" s="128" t="s">
        <v>1770</v>
      </c>
      <c r="B4070" s="124">
        <v>750.0</v>
      </c>
      <c r="C4070" s="147">
        <v>900.0</v>
      </c>
      <c r="D4070" s="132">
        <f t="shared" si="266"/>
        <v>150</v>
      </c>
      <c r="E4070" s="124"/>
      <c r="F4070" s="124"/>
      <c r="G4070" s="129"/>
      <c r="H4070" s="129"/>
      <c r="I4070" s="129"/>
      <c r="J4070" s="129"/>
      <c r="K4070" s="129"/>
      <c r="L4070" s="129"/>
      <c r="M4070" s="129"/>
      <c r="N4070" s="129"/>
      <c r="O4070" s="129"/>
      <c r="P4070" s="129"/>
      <c r="Q4070" s="129"/>
      <c r="R4070" s="129"/>
      <c r="S4070" s="129"/>
      <c r="T4070" s="129"/>
      <c r="U4070" s="129"/>
      <c r="V4070" s="129"/>
      <c r="W4070" s="129"/>
      <c r="X4070" s="129"/>
      <c r="Y4070" s="129"/>
      <c r="Z4070" s="129"/>
      <c r="AA4070" s="129"/>
      <c r="AB4070" s="129"/>
    </row>
    <row r="4071" hidden="1">
      <c r="A4071" s="123" t="s">
        <v>1422</v>
      </c>
      <c r="B4071" s="124">
        <v>950.0</v>
      </c>
      <c r="C4071" s="124">
        <v>1100.0</v>
      </c>
      <c r="D4071" s="313">
        <f t="shared" si="266"/>
        <v>150</v>
      </c>
      <c r="E4071" s="124"/>
      <c r="F4071" s="124"/>
    </row>
    <row r="4072" hidden="1">
      <c r="A4072" s="128" t="s">
        <v>1655</v>
      </c>
      <c r="B4072" s="123">
        <v>800.0</v>
      </c>
      <c r="C4072" s="124">
        <v>950.0</v>
      </c>
      <c r="D4072" s="125">
        <f t="shared" si="266"/>
        <v>150</v>
      </c>
      <c r="G4072" s="129"/>
      <c r="H4072" s="129"/>
      <c r="I4072" s="129"/>
      <c r="J4072" s="129"/>
      <c r="K4072" s="129"/>
      <c r="L4072" s="129"/>
      <c r="M4072" s="129"/>
      <c r="N4072" s="129"/>
      <c r="O4072" s="129"/>
      <c r="P4072" s="129"/>
      <c r="Q4072" s="129"/>
      <c r="R4072" s="129"/>
      <c r="S4072" s="129"/>
      <c r="T4072" s="129"/>
      <c r="U4072" s="129"/>
      <c r="V4072" s="129"/>
      <c r="W4072" s="129"/>
      <c r="X4072" s="129"/>
      <c r="Y4072" s="129"/>
      <c r="Z4072" s="129"/>
      <c r="AA4072" s="129"/>
      <c r="AB4072" s="129"/>
    </row>
    <row r="4073" hidden="1">
      <c r="A4073" s="123" t="s">
        <v>1738</v>
      </c>
      <c r="B4073" s="124">
        <v>1350.0</v>
      </c>
      <c r="C4073" s="124">
        <v>1500.0</v>
      </c>
      <c r="D4073" s="132">
        <f t="shared" si="266"/>
        <v>150</v>
      </c>
      <c r="E4073" s="124"/>
      <c r="F4073" s="124"/>
    </row>
    <row r="4074" hidden="1">
      <c r="A4074" s="123" t="s">
        <v>1771</v>
      </c>
      <c r="B4074" s="124">
        <v>900.0</v>
      </c>
      <c r="C4074" s="124">
        <v>1050.0</v>
      </c>
      <c r="D4074" s="125">
        <f t="shared" si="266"/>
        <v>150</v>
      </c>
      <c r="E4074" s="124"/>
      <c r="F4074" s="124"/>
    </row>
    <row r="4075" hidden="1">
      <c r="A4075" s="123" t="s">
        <v>1772</v>
      </c>
      <c r="B4075" s="124">
        <v>1000.0</v>
      </c>
      <c r="C4075" s="124">
        <v>1150.0</v>
      </c>
      <c r="D4075" s="125">
        <f t="shared" si="266"/>
        <v>150</v>
      </c>
      <c r="E4075" s="124"/>
      <c r="F4075" s="124"/>
    </row>
    <row r="4076" hidden="1">
      <c r="A4076" s="123" t="s">
        <v>1120</v>
      </c>
      <c r="B4076" s="124">
        <v>750.0</v>
      </c>
      <c r="C4076" s="124">
        <v>900.0</v>
      </c>
      <c r="D4076" s="125">
        <f t="shared" si="266"/>
        <v>150</v>
      </c>
      <c r="E4076" s="124"/>
      <c r="F4076" s="124"/>
    </row>
    <row r="4077" hidden="1">
      <c r="A4077" s="159" t="s">
        <v>1773</v>
      </c>
      <c r="B4077" s="124">
        <v>600.0</v>
      </c>
      <c r="C4077" s="147">
        <v>750.0</v>
      </c>
      <c r="D4077" s="125">
        <f t="shared" si="266"/>
        <v>150</v>
      </c>
      <c r="E4077" s="124"/>
      <c r="F4077" s="124"/>
      <c r="G4077" s="129"/>
      <c r="H4077" s="129"/>
      <c r="I4077" s="129"/>
      <c r="J4077" s="129"/>
      <c r="K4077" s="129"/>
      <c r="L4077" s="129"/>
      <c r="M4077" s="129"/>
      <c r="N4077" s="129"/>
      <c r="O4077" s="129"/>
      <c r="P4077" s="129"/>
      <c r="Q4077" s="129"/>
      <c r="R4077" s="129"/>
      <c r="S4077" s="129"/>
      <c r="T4077" s="129"/>
      <c r="U4077" s="129"/>
      <c r="V4077" s="129"/>
      <c r="W4077" s="129"/>
      <c r="X4077" s="129"/>
      <c r="Y4077" s="129"/>
      <c r="Z4077" s="129"/>
      <c r="AA4077" s="129"/>
      <c r="AB4077" s="129"/>
    </row>
    <row r="4078" hidden="1">
      <c r="A4078" s="123" t="s">
        <v>1444</v>
      </c>
      <c r="B4078" s="124">
        <v>850.0</v>
      </c>
      <c r="C4078" s="124">
        <v>1000.0</v>
      </c>
      <c r="D4078" s="313">
        <f t="shared" si="266"/>
        <v>150</v>
      </c>
      <c r="E4078" s="147"/>
      <c r="F4078" s="124"/>
    </row>
    <row r="4079" hidden="1">
      <c r="A4079" s="123" t="s">
        <v>1735</v>
      </c>
      <c r="B4079" s="124">
        <v>1000.0</v>
      </c>
      <c r="C4079" s="124">
        <v>1150.0</v>
      </c>
      <c r="D4079" s="125">
        <f t="shared" si="266"/>
        <v>150</v>
      </c>
      <c r="E4079" s="124"/>
      <c r="F4079" s="124"/>
    </row>
    <row r="4080" hidden="1">
      <c r="A4080" s="123" t="s">
        <v>1125</v>
      </c>
      <c r="B4080" s="124">
        <v>1000.0</v>
      </c>
      <c r="C4080" s="124">
        <v>1250.0</v>
      </c>
      <c r="D4080" s="125">
        <f t="shared" si="266"/>
        <v>250</v>
      </c>
      <c r="E4080" s="147"/>
      <c r="F4080" s="124"/>
    </row>
    <row r="4081" hidden="1">
      <c r="A4081" s="123" t="s">
        <v>1291</v>
      </c>
      <c r="B4081" s="124">
        <v>950.0</v>
      </c>
      <c r="C4081" s="124">
        <v>1100.0</v>
      </c>
      <c r="D4081" s="125">
        <f t="shared" si="266"/>
        <v>150</v>
      </c>
    </row>
    <row r="4082" hidden="1">
      <c r="A4082" s="150" t="s">
        <v>1738</v>
      </c>
      <c r="B4082" s="147">
        <v>1350.0</v>
      </c>
      <c r="C4082" s="132">
        <v>1500.0</v>
      </c>
      <c r="D4082" s="132">
        <f t="shared" si="266"/>
        <v>150</v>
      </c>
      <c r="E4082" s="139"/>
      <c r="F4082" s="139"/>
      <c r="G4082" s="129"/>
      <c r="H4082" s="129"/>
      <c r="I4082" s="129"/>
      <c r="J4082" s="129"/>
      <c r="K4082" s="129"/>
      <c r="L4082" s="129"/>
      <c r="M4082" s="129"/>
      <c r="N4082" s="129"/>
      <c r="O4082" s="129"/>
      <c r="P4082" s="129"/>
      <c r="Q4082" s="129"/>
      <c r="R4082" s="129"/>
      <c r="S4082" s="129"/>
      <c r="T4082" s="129"/>
      <c r="U4082" s="129"/>
      <c r="V4082" s="129"/>
      <c r="W4082" s="129"/>
      <c r="X4082" s="129"/>
      <c r="Y4082" s="129"/>
      <c r="Z4082" s="129"/>
      <c r="AA4082" s="129"/>
      <c r="AB4082" s="129"/>
    </row>
    <row r="4083" hidden="1">
      <c r="A4083" s="123" t="s">
        <v>1774</v>
      </c>
      <c r="B4083" s="124">
        <v>1100.0</v>
      </c>
      <c r="C4083" s="124">
        <v>1250.0</v>
      </c>
      <c r="D4083" s="125">
        <f t="shared" si="266"/>
        <v>150</v>
      </c>
      <c r="E4083" s="124"/>
      <c r="F4083" s="124"/>
    </row>
    <row r="4084" hidden="1">
      <c r="A4084" s="159" t="s">
        <v>1775</v>
      </c>
      <c r="B4084" s="124">
        <v>850.0</v>
      </c>
      <c r="C4084" s="147">
        <v>1000.0</v>
      </c>
      <c r="D4084" s="125">
        <f t="shared" si="266"/>
        <v>150</v>
      </c>
      <c r="E4084" s="124"/>
      <c r="F4084" s="124"/>
      <c r="G4084" s="129"/>
      <c r="H4084" s="129"/>
      <c r="I4084" s="129"/>
      <c r="J4084" s="129"/>
      <c r="K4084" s="129"/>
      <c r="L4084" s="129"/>
      <c r="M4084" s="129"/>
      <c r="N4084" s="129"/>
      <c r="O4084" s="129"/>
      <c r="P4084" s="129"/>
      <c r="Q4084" s="129"/>
      <c r="R4084" s="129"/>
      <c r="S4084" s="129"/>
      <c r="T4084" s="129"/>
      <c r="U4084" s="129"/>
      <c r="V4084" s="129"/>
      <c r="W4084" s="129"/>
      <c r="X4084" s="129"/>
      <c r="Y4084" s="129"/>
      <c r="Z4084" s="129"/>
      <c r="AA4084" s="129"/>
      <c r="AB4084" s="129"/>
    </row>
    <row r="4085" hidden="1">
      <c r="A4085" s="123" t="s">
        <v>1742</v>
      </c>
      <c r="B4085" s="124">
        <v>1350.0</v>
      </c>
      <c r="C4085" s="124">
        <v>1500.0</v>
      </c>
      <c r="D4085" s="132">
        <f t="shared" si="266"/>
        <v>150</v>
      </c>
      <c r="E4085" s="124"/>
      <c r="F4085" s="124"/>
    </row>
    <row r="4086" hidden="1">
      <c r="A4086" s="123" t="s">
        <v>1738</v>
      </c>
      <c r="B4086" s="124">
        <v>1350.0</v>
      </c>
      <c r="C4086" s="124">
        <v>1500.0</v>
      </c>
      <c r="D4086" s="132">
        <f t="shared" si="266"/>
        <v>150</v>
      </c>
      <c r="E4086" s="124"/>
      <c r="F4086" s="124"/>
    </row>
    <row r="4087" hidden="1">
      <c r="A4087" s="123" t="s">
        <v>1621</v>
      </c>
      <c r="B4087" s="124">
        <v>750.0</v>
      </c>
      <c r="C4087" s="124">
        <v>900.0</v>
      </c>
      <c r="D4087" s="125">
        <f t="shared" si="266"/>
        <v>150</v>
      </c>
      <c r="E4087" s="124"/>
      <c r="F4087" s="124"/>
    </row>
    <row r="4088" hidden="1">
      <c r="A4088" s="123" t="s">
        <v>1718</v>
      </c>
      <c r="B4088" s="124">
        <v>1450.0</v>
      </c>
      <c r="C4088" s="124">
        <v>1600.0</v>
      </c>
      <c r="D4088" s="125">
        <f t="shared" si="266"/>
        <v>150</v>
      </c>
      <c r="E4088" s="124"/>
      <c r="F4088" s="124"/>
    </row>
    <row r="4089" hidden="1">
      <c r="A4089" s="123" t="s">
        <v>1738</v>
      </c>
      <c r="B4089" s="124">
        <v>1350.0</v>
      </c>
      <c r="C4089" s="124">
        <v>1500.0</v>
      </c>
      <c r="D4089" s="132">
        <f t="shared" si="266"/>
        <v>150</v>
      </c>
      <c r="E4089" s="124"/>
      <c r="F4089" s="124"/>
    </row>
    <row r="4090" hidden="1">
      <c r="A4090" s="123" t="s">
        <v>1733</v>
      </c>
      <c r="B4090" s="124">
        <v>1000.0</v>
      </c>
      <c r="C4090" s="124">
        <v>1150.0</v>
      </c>
      <c r="D4090" s="125">
        <f t="shared" si="266"/>
        <v>150</v>
      </c>
      <c r="E4090" s="124"/>
      <c r="F4090" s="124"/>
    </row>
    <row r="4091" hidden="1">
      <c r="A4091" s="123" t="s">
        <v>1776</v>
      </c>
      <c r="B4091" s="124">
        <v>1200.0</v>
      </c>
      <c r="C4091" s="124">
        <v>1350.0</v>
      </c>
      <c r="D4091" s="125">
        <f t="shared" si="266"/>
        <v>150</v>
      </c>
      <c r="E4091" s="124"/>
      <c r="F4091" s="124"/>
    </row>
    <row r="4092" hidden="1">
      <c r="A4092" s="123" t="s">
        <v>1219</v>
      </c>
      <c r="B4092" s="124">
        <v>950.0</v>
      </c>
      <c r="C4092" s="124">
        <v>1100.0</v>
      </c>
      <c r="D4092" s="125">
        <f t="shared" si="266"/>
        <v>150</v>
      </c>
      <c r="E4092" s="124"/>
      <c r="F4092" s="124"/>
    </row>
    <row r="4093" hidden="1">
      <c r="A4093" s="142" t="s">
        <v>1687</v>
      </c>
      <c r="B4093" s="124">
        <v>1450.0</v>
      </c>
      <c r="C4093" s="124">
        <v>1600.0</v>
      </c>
      <c r="D4093" s="125">
        <f t="shared" si="266"/>
        <v>150</v>
      </c>
      <c r="E4093" s="124"/>
      <c r="F4093" s="124"/>
      <c r="G4093" s="129"/>
      <c r="H4093" s="129"/>
      <c r="I4093" s="129"/>
      <c r="J4093" s="129"/>
      <c r="K4093" s="129"/>
      <c r="L4093" s="129"/>
      <c r="M4093" s="129"/>
      <c r="N4093" s="129"/>
      <c r="O4093" s="129"/>
      <c r="P4093" s="129"/>
      <c r="Q4093" s="129"/>
      <c r="R4093" s="129"/>
      <c r="S4093" s="129"/>
      <c r="T4093" s="129"/>
      <c r="U4093" s="129"/>
      <c r="V4093" s="129"/>
      <c r="W4093" s="129"/>
      <c r="X4093" s="129"/>
      <c r="Y4093" s="129"/>
      <c r="Z4093" s="129"/>
      <c r="AA4093" s="129"/>
      <c r="AB4093" s="129"/>
    </row>
    <row r="4094" hidden="1">
      <c r="A4094" s="123" t="s">
        <v>1097</v>
      </c>
      <c r="B4094" s="124">
        <v>550.0</v>
      </c>
      <c r="C4094" s="124">
        <v>700.0</v>
      </c>
      <c r="D4094" s="313">
        <f t="shared" si="266"/>
        <v>150</v>
      </c>
      <c r="E4094" s="124"/>
      <c r="F4094" s="124"/>
    </row>
    <row r="4095" hidden="1">
      <c r="A4095" s="123" t="s">
        <v>1431</v>
      </c>
      <c r="B4095" s="124">
        <v>1025.0</v>
      </c>
      <c r="C4095" s="124">
        <v>1075.0</v>
      </c>
      <c r="D4095" s="313">
        <f t="shared" si="266"/>
        <v>50</v>
      </c>
      <c r="E4095" s="124"/>
      <c r="F4095" s="124"/>
    </row>
    <row r="4096" hidden="1">
      <c r="A4096" s="123" t="s">
        <v>1718</v>
      </c>
      <c r="B4096" s="124">
        <v>1450.0</v>
      </c>
      <c r="C4096" s="124">
        <v>1500.0</v>
      </c>
      <c r="D4096" s="125">
        <f t="shared" si="266"/>
        <v>50</v>
      </c>
      <c r="E4096" s="124"/>
      <c r="F4096" s="124"/>
    </row>
    <row r="4097" hidden="1">
      <c r="A4097" s="123" t="s">
        <v>1479</v>
      </c>
      <c r="B4097" s="124">
        <v>2500.0</v>
      </c>
      <c r="C4097" s="124">
        <v>2550.0</v>
      </c>
      <c r="D4097" s="313">
        <f t="shared" si="266"/>
        <v>50</v>
      </c>
      <c r="E4097" s="124"/>
      <c r="F4097" s="124"/>
    </row>
    <row r="4098" hidden="1">
      <c r="A4098" s="159" t="s">
        <v>461</v>
      </c>
      <c r="B4098" s="124">
        <v>1125.0</v>
      </c>
      <c r="C4098" s="124">
        <v>1175.0</v>
      </c>
      <c r="D4098" s="125">
        <f t="shared" si="266"/>
        <v>50</v>
      </c>
      <c r="E4098" s="124"/>
      <c r="F4098" s="124"/>
      <c r="G4098" s="129"/>
      <c r="H4098" s="129"/>
      <c r="I4098" s="129"/>
      <c r="J4098" s="129"/>
      <c r="K4098" s="129"/>
      <c r="L4098" s="129"/>
      <c r="M4098" s="129"/>
      <c r="N4098" s="129"/>
      <c r="O4098" s="129"/>
      <c r="P4098" s="129"/>
      <c r="Q4098" s="129"/>
      <c r="R4098" s="129"/>
      <c r="S4098" s="129"/>
      <c r="T4098" s="129"/>
      <c r="U4098" s="129"/>
      <c r="V4098" s="129"/>
      <c r="W4098" s="129"/>
      <c r="X4098" s="129"/>
      <c r="Y4098" s="129"/>
      <c r="Z4098" s="129"/>
      <c r="AA4098" s="129"/>
      <c r="AB4098" s="129"/>
    </row>
    <row r="4099" hidden="1">
      <c r="A4099" s="123" t="s">
        <v>1701</v>
      </c>
      <c r="B4099" s="124">
        <v>1450.0</v>
      </c>
      <c r="C4099" s="124">
        <v>1500.0</v>
      </c>
      <c r="D4099" s="313">
        <f t="shared" si="266"/>
        <v>50</v>
      </c>
      <c r="E4099" s="124"/>
      <c r="F4099" s="124"/>
    </row>
    <row r="4100" hidden="1">
      <c r="A4100" s="123" t="s">
        <v>1742</v>
      </c>
      <c r="B4100" s="124">
        <v>1325.0</v>
      </c>
      <c r="C4100" s="124">
        <v>1375.0</v>
      </c>
      <c r="D4100" s="313">
        <f t="shared" si="266"/>
        <v>50</v>
      </c>
      <c r="E4100" s="124"/>
      <c r="F4100" s="124"/>
    </row>
    <row r="4101" hidden="1">
      <c r="A4101" s="123" t="s">
        <v>435</v>
      </c>
      <c r="B4101" s="124">
        <v>1325.0</v>
      </c>
      <c r="C4101" s="124">
        <v>1375.0</v>
      </c>
      <c r="D4101" s="313">
        <f t="shared" si="266"/>
        <v>50</v>
      </c>
      <c r="E4101" s="124"/>
      <c r="F4101" s="124"/>
    </row>
    <row r="4102" hidden="1">
      <c r="A4102" s="142" t="s">
        <v>1687</v>
      </c>
      <c r="B4102" s="124">
        <v>1450.0</v>
      </c>
      <c r="C4102" s="124">
        <v>1500.0</v>
      </c>
      <c r="D4102" s="313">
        <f t="shared" si="266"/>
        <v>50</v>
      </c>
      <c r="E4102" s="124"/>
      <c r="F4102" s="124"/>
      <c r="G4102" s="129"/>
      <c r="H4102" s="129"/>
      <c r="I4102" s="129"/>
      <c r="J4102" s="129"/>
      <c r="K4102" s="129"/>
      <c r="L4102" s="129"/>
      <c r="M4102" s="129"/>
      <c r="N4102" s="129"/>
      <c r="O4102" s="129"/>
      <c r="P4102" s="129"/>
      <c r="Q4102" s="129"/>
      <c r="R4102" s="129"/>
      <c r="S4102" s="129"/>
      <c r="T4102" s="129"/>
      <c r="U4102" s="129"/>
      <c r="V4102" s="129"/>
      <c r="W4102" s="129"/>
      <c r="X4102" s="129"/>
      <c r="Y4102" s="129"/>
      <c r="Z4102" s="129"/>
      <c r="AA4102" s="129"/>
      <c r="AB4102" s="129"/>
    </row>
    <row r="4103" hidden="1">
      <c r="A4103" s="123" t="s">
        <v>1479</v>
      </c>
      <c r="B4103" s="124">
        <v>2450.0</v>
      </c>
      <c r="C4103" s="124">
        <v>2500.0</v>
      </c>
      <c r="D4103" s="313">
        <f t="shared" si="266"/>
        <v>50</v>
      </c>
      <c r="E4103" s="124"/>
      <c r="F4103" s="124"/>
    </row>
    <row r="4104" hidden="1">
      <c r="A4104" s="128" t="s">
        <v>1777</v>
      </c>
      <c r="B4104" s="147">
        <v>1050.0</v>
      </c>
      <c r="C4104" s="147">
        <v>1200.0</v>
      </c>
      <c r="D4104" s="132">
        <f t="shared" si="266"/>
        <v>150</v>
      </c>
      <c r="E4104" s="147"/>
      <c r="F4104" s="132"/>
      <c r="G4104" s="129"/>
      <c r="H4104" s="129"/>
      <c r="I4104" s="129"/>
      <c r="J4104" s="129"/>
      <c r="K4104" s="129"/>
      <c r="L4104" s="129"/>
      <c r="M4104" s="129"/>
      <c r="N4104" s="129"/>
      <c r="O4104" s="129"/>
      <c r="P4104" s="129"/>
      <c r="Q4104" s="129"/>
      <c r="R4104" s="129"/>
      <c r="S4104" s="129"/>
      <c r="T4104" s="129"/>
      <c r="U4104" s="129"/>
      <c r="V4104" s="129"/>
      <c r="W4104" s="129"/>
      <c r="X4104" s="129"/>
      <c r="Y4104" s="129"/>
      <c r="Z4104" s="129"/>
      <c r="AA4104" s="129"/>
      <c r="AB4104" s="129"/>
    </row>
    <row r="4105" hidden="1">
      <c r="A4105" s="123"/>
      <c r="B4105" s="124"/>
      <c r="C4105" s="123"/>
      <c r="D4105" s="123"/>
    </row>
    <row r="4106" hidden="1">
      <c r="A4106" s="122" t="s">
        <v>57</v>
      </c>
      <c r="B4106" s="133">
        <f t="shared" ref="B4106:D4106" si="267">SUM(B3992:B4105)</f>
        <v>121250</v>
      </c>
      <c r="C4106" s="133">
        <f t="shared" si="267"/>
        <v>137550</v>
      </c>
      <c r="D4106" s="133">
        <f t="shared" si="267"/>
        <v>16300</v>
      </c>
      <c r="E4106" s="135">
        <f>D4106/(C4106/100)</f>
        <v>11.85023628</v>
      </c>
    </row>
    <row r="4107" hidden="1">
      <c r="A4107" s="154"/>
      <c r="B4107" s="124"/>
      <c r="C4107" s="124"/>
      <c r="D4107" s="124"/>
    </row>
    <row r="4108" hidden="1">
      <c r="A4108" s="154">
        <v>43831.0</v>
      </c>
      <c r="B4108" s="124"/>
      <c r="C4108" s="124"/>
      <c r="D4108" s="124"/>
    </row>
    <row r="4109" hidden="1">
      <c r="A4109" s="123"/>
      <c r="B4109" s="124"/>
      <c r="D4109" s="123"/>
    </row>
    <row r="4110" hidden="1">
      <c r="A4110" s="123" t="s">
        <v>1733</v>
      </c>
      <c r="B4110" s="124">
        <v>1000.0</v>
      </c>
      <c r="C4110" s="124">
        <v>1150.0</v>
      </c>
      <c r="D4110" s="125">
        <f t="shared" ref="D4110:D4168" si="268">C4110-B4110</f>
        <v>150</v>
      </c>
      <c r="E4110" s="124"/>
      <c r="F4110" s="124"/>
    </row>
    <row r="4111" hidden="1">
      <c r="A4111" s="123" t="s">
        <v>1760</v>
      </c>
      <c r="B4111" s="124">
        <v>1150.0</v>
      </c>
      <c r="C4111" s="124">
        <v>1300.0</v>
      </c>
      <c r="D4111" s="125">
        <f t="shared" si="268"/>
        <v>150</v>
      </c>
      <c r="E4111" s="124"/>
      <c r="F4111" s="124"/>
    </row>
    <row r="4112" hidden="1">
      <c r="A4112" s="128" t="s">
        <v>1778</v>
      </c>
      <c r="B4112" s="147">
        <v>1100.0</v>
      </c>
      <c r="C4112" s="147">
        <v>1250.0</v>
      </c>
      <c r="D4112" s="132">
        <f t="shared" si="268"/>
        <v>150</v>
      </c>
      <c r="E4112" s="132"/>
      <c r="F4112" s="132"/>
      <c r="G4112" s="129"/>
      <c r="H4112" s="129"/>
      <c r="I4112" s="129"/>
      <c r="J4112" s="129"/>
      <c r="K4112" s="129"/>
      <c r="L4112" s="129"/>
      <c r="M4112" s="129"/>
      <c r="N4112" s="129"/>
      <c r="O4112" s="129"/>
      <c r="P4112" s="129"/>
      <c r="Q4112" s="129"/>
      <c r="R4112" s="129"/>
      <c r="S4112" s="129"/>
      <c r="T4112" s="129"/>
      <c r="U4112" s="129"/>
      <c r="V4112" s="129"/>
      <c r="W4112" s="129"/>
      <c r="X4112" s="129"/>
      <c r="Y4112" s="129"/>
      <c r="Z4112" s="129"/>
      <c r="AA4112" s="129"/>
      <c r="AB4112" s="129"/>
    </row>
    <row r="4113" hidden="1">
      <c r="A4113" s="159" t="s">
        <v>1749</v>
      </c>
      <c r="B4113" s="124">
        <v>1300.0</v>
      </c>
      <c r="C4113" s="124">
        <v>1450.0</v>
      </c>
      <c r="D4113" s="125">
        <f t="shared" si="268"/>
        <v>150</v>
      </c>
      <c r="E4113" s="124"/>
      <c r="F4113" s="124"/>
      <c r="G4113" s="129"/>
      <c r="H4113" s="129"/>
      <c r="I4113" s="129"/>
      <c r="J4113" s="129"/>
      <c r="K4113" s="129"/>
      <c r="L4113" s="129"/>
      <c r="M4113" s="129"/>
      <c r="N4113" s="129"/>
      <c r="O4113" s="129"/>
      <c r="P4113" s="129"/>
      <c r="Q4113" s="129"/>
      <c r="R4113" s="129"/>
      <c r="S4113" s="129"/>
      <c r="T4113" s="129"/>
      <c r="U4113" s="129"/>
      <c r="V4113" s="129"/>
      <c r="W4113" s="129"/>
      <c r="X4113" s="129"/>
      <c r="Y4113" s="129"/>
      <c r="Z4113" s="129"/>
      <c r="AA4113" s="129"/>
      <c r="AB4113" s="129"/>
    </row>
    <row r="4114" hidden="1">
      <c r="A4114" s="123" t="s">
        <v>1779</v>
      </c>
      <c r="B4114" s="124">
        <v>1250.0</v>
      </c>
      <c r="C4114" s="124">
        <v>1500.0</v>
      </c>
      <c r="D4114" s="313">
        <f t="shared" si="268"/>
        <v>250</v>
      </c>
      <c r="E4114" s="132"/>
      <c r="F4114" s="124"/>
    </row>
    <row r="4115" hidden="1">
      <c r="A4115" s="123" t="s">
        <v>1780</v>
      </c>
      <c r="B4115" s="124">
        <v>1250.0</v>
      </c>
      <c r="C4115" s="124">
        <v>1500.0</v>
      </c>
      <c r="D4115" s="313">
        <f t="shared" si="268"/>
        <v>250</v>
      </c>
      <c r="E4115" s="132"/>
      <c r="F4115" s="124"/>
    </row>
    <row r="4116" hidden="1">
      <c r="A4116" s="123" t="s">
        <v>1781</v>
      </c>
      <c r="B4116" s="124">
        <v>1550.0</v>
      </c>
      <c r="C4116" s="124">
        <v>1700.0</v>
      </c>
      <c r="D4116" s="125">
        <f t="shared" si="268"/>
        <v>150</v>
      </c>
      <c r="E4116" s="124"/>
      <c r="F4116" s="124"/>
    </row>
    <row r="4117" hidden="1">
      <c r="A4117" s="123" t="s">
        <v>1782</v>
      </c>
      <c r="B4117" s="124">
        <v>1350.0</v>
      </c>
      <c r="C4117" s="124">
        <v>1500.0</v>
      </c>
      <c r="D4117" s="313">
        <f t="shared" si="268"/>
        <v>150</v>
      </c>
      <c r="E4117" s="124"/>
      <c r="F4117" s="124"/>
    </row>
    <row r="4118" hidden="1">
      <c r="A4118" s="123" t="s">
        <v>1783</v>
      </c>
      <c r="B4118" s="124">
        <v>1050.0</v>
      </c>
      <c r="C4118" s="124">
        <v>1200.0</v>
      </c>
      <c r="D4118" s="125">
        <f t="shared" si="268"/>
        <v>150</v>
      </c>
      <c r="E4118" s="124"/>
      <c r="F4118" s="124"/>
    </row>
    <row r="4119" hidden="1">
      <c r="A4119" s="123" t="s">
        <v>1734</v>
      </c>
      <c r="B4119" s="124">
        <v>950.0</v>
      </c>
      <c r="C4119" s="124">
        <v>1100.0</v>
      </c>
      <c r="D4119" s="125">
        <f t="shared" si="268"/>
        <v>150</v>
      </c>
      <c r="E4119" s="124"/>
      <c r="F4119" s="124"/>
    </row>
    <row r="4120" hidden="1">
      <c r="A4120" s="123" t="s">
        <v>1784</v>
      </c>
      <c r="B4120" s="124">
        <v>1150.0</v>
      </c>
      <c r="C4120" s="124">
        <v>1300.0</v>
      </c>
      <c r="D4120" s="125">
        <f t="shared" si="268"/>
        <v>150</v>
      </c>
      <c r="E4120" s="124"/>
      <c r="F4120" s="124"/>
    </row>
    <row r="4121" hidden="1">
      <c r="A4121" s="123" t="s">
        <v>1748</v>
      </c>
      <c r="B4121" s="124">
        <v>1150.0</v>
      </c>
      <c r="C4121" s="124">
        <v>1300.0</v>
      </c>
      <c r="D4121" s="125">
        <f t="shared" si="268"/>
        <v>150</v>
      </c>
      <c r="E4121" s="124"/>
      <c r="F4121" s="124"/>
    </row>
    <row r="4122" hidden="1">
      <c r="A4122" s="123" t="s">
        <v>1748</v>
      </c>
      <c r="B4122" s="124">
        <v>1150.0</v>
      </c>
      <c r="C4122" s="124">
        <v>1300.0</v>
      </c>
      <c r="D4122" s="125">
        <f t="shared" si="268"/>
        <v>150</v>
      </c>
      <c r="E4122" s="124"/>
      <c r="F4122" s="124"/>
    </row>
    <row r="4123" hidden="1">
      <c r="A4123" s="123" t="s">
        <v>1760</v>
      </c>
      <c r="B4123" s="124">
        <v>1150.0</v>
      </c>
      <c r="C4123" s="124">
        <v>1300.0</v>
      </c>
      <c r="D4123" s="125">
        <f t="shared" si="268"/>
        <v>150</v>
      </c>
      <c r="E4123" s="124"/>
      <c r="F4123" s="124"/>
    </row>
    <row r="4124" hidden="1">
      <c r="A4124" s="142" t="s">
        <v>1785</v>
      </c>
      <c r="B4124" s="147">
        <v>1450.0</v>
      </c>
      <c r="C4124" s="147">
        <v>1600.0</v>
      </c>
      <c r="D4124" s="125">
        <f t="shared" si="268"/>
        <v>150</v>
      </c>
      <c r="E4124" s="124"/>
      <c r="F4124" s="124"/>
      <c r="G4124" s="129"/>
      <c r="H4124" s="129"/>
      <c r="I4124" s="129"/>
      <c r="J4124" s="129"/>
      <c r="K4124" s="129"/>
      <c r="L4124" s="129"/>
      <c r="M4124" s="129"/>
      <c r="N4124" s="129"/>
      <c r="O4124" s="129"/>
      <c r="P4124" s="129"/>
      <c r="Q4124" s="129"/>
      <c r="R4124" s="129"/>
      <c r="S4124" s="129"/>
      <c r="T4124" s="129"/>
      <c r="U4124" s="129"/>
      <c r="V4124" s="129"/>
      <c r="W4124" s="129"/>
      <c r="X4124" s="129"/>
      <c r="Y4124" s="129"/>
      <c r="Z4124" s="129"/>
      <c r="AA4124" s="129"/>
      <c r="AB4124" s="129"/>
    </row>
    <row r="4125" hidden="1">
      <c r="A4125" s="128" t="s">
        <v>1786</v>
      </c>
      <c r="B4125" s="147">
        <v>1250.0</v>
      </c>
      <c r="C4125" s="147">
        <v>1500.0</v>
      </c>
      <c r="D4125" s="270">
        <f t="shared" si="268"/>
        <v>250</v>
      </c>
      <c r="E4125" s="132"/>
      <c r="F4125" s="132"/>
      <c r="G4125" s="129"/>
      <c r="H4125" s="129"/>
      <c r="I4125" s="129"/>
      <c r="J4125" s="129"/>
      <c r="K4125" s="129"/>
      <c r="L4125" s="129"/>
      <c r="M4125" s="129"/>
      <c r="N4125" s="129"/>
      <c r="O4125" s="129"/>
      <c r="P4125" s="129"/>
      <c r="Q4125" s="129"/>
      <c r="R4125" s="129"/>
      <c r="S4125" s="129"/>
      <c r="T4125" s="129"/>
      <c r="U4125" s="129"/>
      <c r="V4125" s="129"/>
      <c r="W4125" s="129"/>
      <c r="X4125" s="129"/>
      <c r="Y4125" s="129"/>
      <c r="Z4125" s="129"/>
      <c r="AA4125" s="129"/>
      <c r="AB4125" s="129"/>
    </row>
    <row r="4126" hidden="1">
      <c r="A4126" s="123" t="s">
        <v>1787</v>
      </c>
      <c r="B4126" s="124">
        <v>1250.0</v>
      </c>
      <c r="C4126" s="124">
        <v>1500.0</v>
      </c>
      <c r="D4126" s="313">
        <f t="shared" si="268"/>
        <v>250</v>
      </c>
      <c r="E4126" s="132"/>
      <c r="F4126" s="124"/>
    </row>
    <row r="4127" hidden="1">
      <c r="A4127" s="123" t="s">
        <v>1788</v>
      </c>
      <c r="B4127" s="124">
        <v>1250.0</v>
      </c>
      <c r="C4127" s="124">
        <v>1500.0</v>
      </c>
      <c r="D4127" s="125">
        <f t="shared" si="268"/>
        <v>250</v>
      </c>
      <c r="E4127" s="132"/>
      <c r="F4127" s="124"/>
    </row>
    <row r="4128" hidden="1">
      <c r="A4128" s="150" t="s">
        <v>1789</v>
      </c>
      <c r="B4128" s="147">
        <v>1250.0</v>
      </c>
      <c r="C4128" s="147">
        <v>1500.0</v>
      </c>
      <c r="D4128" s="132">
        <f t="shared" si="268"/>
        <v>250</v>
      </c>
      <c r="E4128" s="132"/>
      <c r="F4128" s="132"/>
      <c r="G4128" s="129"/>
      <c r="H4128" s="129"/>
      <c r="I4128" s="129"/>
      <c r="J4128" s="129"/>
      <c r="K4128" s="129"/>
      <c r="L4128" s="129"/>
      <c r="M4128" s="129"/>
      <c r="N4128" s="129"/>
      <c r="O4128" s="129"/>
      <c r="P4128" s="129"/>
      <c r="Q4128" s="129"/>
      <c r="R4128" s="129"/>
      <c r="S4128" s="129"/>
      <c r="T4128" s="129"/>
      <c r="U4128" s="129"/>
      <c r="V4128" s="129"/>
      <c r="W4128" s="129"/>
      <c r="X4128" s="129"/>
      <c r="Y4128" s="129"/>
      <c r="Z4128" s="129"/>
      <c r="AA4128" s="129"/>
      <c r="AB4128" s="129"/>
    </row>
    <row r="4129" hidden="1">
      <c r="A4129" s="123" t="s">
        <v>1758</v>
      </c>
      <c r="B4129" s="124">
        <v>1150.0</v>
      </c>
      <c r="C4129" s="124">
        <v>1300.0</v>
      </c>
      <c r="D4129" s="125">
        <f t="shared" si="268"/>
        <v>150</v>
      </c>
      <c r="E4129" s="124"/>
      <c r="F4129" s="124"/>
    </row>
    <row r="4130" hidden="1">
      <c r="A4130" s="128" t="s">
        <v>1790</v>
      </c>
      <c r="B4130" s="147">
        <v>1500.0</v>
      </c>
      <c r="C4130" s="147">
        <v>1750.0</v>
      </c>
      <c r="D4130" s="132">
        <f t="shared" si="268"/>
        <v>250</v>
      </c>
      <c r="E4130" s="132"/>
      <c r="F4130" s="132"/>
      <c r="G4130" s="129"/>
      <c r="H4130" s="129"/>
      <c r="I4130" s="129"/>
      <c r="J4130" s="129"/>
      <c r="K4130" s="129"/>
      <c r="L4130" s="129"/>
      <c r="M4130" s="129"/>
      <c r="N4130" s="129"/>
      <c r="O4130" s="129"/>
      <c r="P4130" s="129"/>
      <c r="Q4130" s="129"/>
      <c r="R4130" s="129"/>
      <c r="S4130" s="129"/>
      <c r="T4130" s="129"/>
      <c r="U4130" s="129"/>
      <c r="V4130" s="129"/>
      <c r="W4130" s="129"/>
      <c r="X4130" s="129"/>
      <c r="Y4130" s="129"/>
      <c r="Z4130" s="129"/>
      <c r="AA4130" s="129"/>
      <c r="AB4130" s="129"/>
    </row>
    <row r="4131" hidden="1">
      <c r="A4131" s="128" t="s">
        <v>1791</v>
      </c>
      <c r="B4131" s="147">
        <v>1500.0</v>
      </c>
      <c r="C4131" s="147">
        <v>1750.0</v>
      </c>
      <c r="D4131" s="132">
        <f t="shared" si="268"/>
        <v>250</v>
      </c>
      <c r="E4131" s="132"/>
      <c r="F4131" s="132"/>
      <c r="G4131" s="129"/>
      <c r="H4131" s="129"/>
      <c r="I4131" s="129"/>
      <c r="J4131" s="129"/>
      <c r="K4131" s="129"/>
      <c r="L4131" s="129"/>
      <c r="M4131" s="129"/>
      <c r="N4131" s="129"/>
      <c r="O4131" s="129"/>
      <c r="P4131" s="129"/>
      <c r="Q4131" s="129"/>
      <c r="R4131" s="129"/>
      <c r="S4131" s="129"/>
      <c r="T4131" s="129"/>
      <c r="U4131" s="129"/>
      <c r="V4131" s="129"/>
      <c r="W4131" s="129"/>
      <c r="X4131" s="129"/>
      <c r="Y4131" s="129"/>
      <c r="Z4131" s="129"/>
      <c r="AA4131" s="129"/>
      <c r="AB4131" s="129"/>
    </row>
    <row r="4132" hidden="1">
      <c r="A4132" s="159" t="s">
        <v>1792</v>
      </c>
      <c r="B4132" s="124">
        <v>1450.0</v>
      </c>
      <c r="C4132" s="124">
        <v>1600.0</v>
      </c>
      <c r="D4132" s="313">
        <f t="shared" si="268"/>
        <v>150</v>
      </c>
      <c r="E4132" s="124"/>
      <c r="F4132" s="124"/>
      <c r="G4132" s="129"/>
      <c r="H4132" s="129"/>
      <c r="I4132" s="129"/>
      <c r="J4132" s="129"/>
      <c r="K4132" s="129"/>
      <c r="L4132" s="129"/>
      <c r="M4132" s="129"/>
      <c r="N4132" s="129"/>
      <c r="O4132" s="129"/>
      <c r="P4132" s="129"/>
      <c r="Q4132" s="129"/>
      <c r="R4132" s="129"/>
      <c r="S4132" s="129"/>
      <c r="T4132" s="129"/>
      <c r="U4132" s="129"/>
      <c r="V4132" s="129"/>
      <c r="W4132" s="129"/>
      <c r="X4132" s="129"/>
      <c r="Y4132" s="129"/>
      <c r="Z4132" s="129"/>
      <c r="AA4132" s="129"/>
      <c r="AB4132" s="129"/>
    </row>
    <row r="4133" hidden="1">
      <c r="A4133" s="128" t="s">
        <v>1691</v>
      </c>
      <c r="B4133" s="147">
        <v>1150.0</v>
      </c>
      <c r="C4133" s="147">
        <v>1300.0</v>
      </c>
      <c r="D4133" s="132">
        <f t="shared" si="268"/>
        <v>150</v>
      </c>
      <c r="E4133" s="147"/>
      <c r="F4133" s="132"/>
      <c r="G4133" s="129"/>
      <c r="H4133" s="129"/>
      <c r="I4133" s="129"/>
      <c r="J4133" s="129"/>
      <c r="K4133" s="129"/>
      <c r="L4133" s="129"/>
      <c r="M4133" s="129"/>
      <c r="N4133" s="129"/>
      <c r="O4133" s="129"/>
      <c r="P4133" s="129"/>
      <c r="Q4133" s="129"/>
      <c r="R4133" s="129"/>
      <c r="S4133" s="129"/>
      <c r="T4133" s="129"/>
      <c r="U4133" s="129"/>
      <c r="V4133" s="129"/>
      <c r="W4133" s="129"/>
      <c r="X4133" s="129"/>
      <c r="Y4133" s="129"/>
      <c r="Z4133" s="129"/>
      <c r="AA4133" s="129"/>
      <c r="AB4133" s="129"/>
    </row>
    <row r="4134" hidden="1">
      <c r="A4134" s="123" t="s">
        <v>1793</v>
      </c>
      <c r="B4134" s="124">
        <v>1050.0</v>
      </c>
      <c r="C4134" s="124">
        <v>1200.0</v>
      </c>
      <c r="D4134" s="125">
        <f t="shared" si="268"/>
        <v>150</v>
      </c>
      <c r="E4134" s="124"/>
      <c r="F4134" s="124"/>
    </row>
    <row r="4135" hidden="1">
      <c r="A4135" s="123" t="s">
        <v>1760</v>
      </c>
      <c r="B4135" s="124">
        <v>1150.0</v>
      </c>
      <c r="C4135" s="124">
        <v>1300.0</v>
      </c>
      <c r="D4135" s="125">
        <f t="shared" si="268"/>
        <v>150</v>
      </c>
      <c r="E4135" s="124"/>
      <c r="F4135" s="124"/>
    </row>
    <row r="4136" hidden="1">
      <c r="A4136" s="123" t="s">
        <v>1794</v>
      </c>
      <c r="B4136" s="124">
        <v>1150.0</v>
      </c>
      <c r="C4136" s="124">
        <v>1300.0</v>
      </c>
      <c r="D4136" s="125">
        <f t="shared" si="268"/>
        <v>150</v>
      </c>
      <c r="E4136" s="124"/>
      <c r="F4136" s="124"/>
    </row>
    <row r="4137" hidden="1">
      <c r="A4137" s="123" t="s">
        <v>1794</v>
      </c>
      <c r="B4137" s="124">
        <v>1150.0</v>
      </c>
      <c r="C4137" s="124">
        <v>1300.0</v>
      </c>
      <c r="D4137" s="125">
        <f t="shared" si="268"/>
        <v>150</v>
      </c>
      <c r="E4137" s="124"/>
      <c r="F4137" s="124"/>
    </row>
    <row r="4138" hidden="1">
      <c r="A4138" s="123" t="s">
        <v>1795</v>
      </c>
      <c r="B4138" s="124">
        <v>1150.0</v>
      </c>
      <c r="C4138" s="124">
        <v>1300.0</v>
      </c>
      <c r="D4138" s="125">
        <f t="shared" si="268"/>
        <v>150</v>
      </c>
      <c r="E4138" s="124"/>
      <c r="F4138" s="124"/>
    </row>
    <row r="4139" hidden="1">
      <c r="A4139" s="123" t="s">
        <v>1795</v>
      </c>
      <c r="B4139" s="124">
        <v>1150.0</v>
      </c>
      <c r="C4139" s="124">
        <v>1300.0</v>
      </c>
      <c r="D4139" s="125">
        <f t="shared" si="268"/>
        <v>150</v>
      </c>
      <c r="E4139" s="124"/>
      <c r="F4139" s="124"/>
    </row>
    <row r="4140" hidden="1">
      <c r="A4140" s="123" t="s">
        <v>1795</v>
      </c>
      <c r="B4140" s="124">
        <v>1150.0</v>
      </c>
      <c r="C4140" s="124">
        <v>1300.0</v>
      </c>
      <c r="D4140" s="125">
        <f t="shared" si="268"/>
        <v>150</v>
      </c>
      <c r="E4140" s="124"/>
      <c r="F4140" s="124"/>
    </row>
    <row r="4141" hidden="1">
      <c r="A4141" s="123" t="s">
        <v>1796</v>
      </c>
      <c r="B4141" s="124">
        <v>1150.0</v>
      </c>
      <c r="C4141" s="124">
        <v>1400.0</v>
      </c>
      <c r="D4141" s="313">
        <f t="shared" si="268"/>
        <v>250</v>
      </c>
      <c r="E4141" s="124"/>
      <c r="F4141" s="124"/>
    </row>
    <row r="4142" hidden="1">
      <c r="A4142" s="123" t="s">
        <v>1782</v>
      </c>
      <c r="B4142" s="124">
        <v>1350.0</v>
      </c>
      <c r="C4142" s="124">
        <v>1500.0</v>
      </c>
      <c r="D4142" s="313">
        <f t="shared" si="268"/>
        <v>150</v>
      </c>
      <c r="E4142" s="124"/>
      <c r="F4142" s="124"/>
    </row>
    <row r="4143" hidden="1">
      <c r="A4143" s="159" t="s">
        <v>1797</v>
      </c>
      <c r="B4143" s="124">
        <v>1150.0</v>
      </c>
      <c r="C4143" s="147">
        <v>1300.0</v>
      </c>
      <c r="D4143" s="125">
        <f t="shared" si="268"/>
        <v>150</v>
      </c>
      <c r="E4143" s="124"/>
      <c r="F4143" s="124"/>
      <c r="G4143" s="129"/>
      <c r="H4143" s="129"/>
      <c r="I4143" s="129"/>
      <c r="J4143" s="129"/>
      <c r="K4143" s="129"/>
      <c r="L4143" s="129"/>
      <c r="M4143" s="129"/>
      <c r="N4143" s="129"/>
      <c r="O4143" s="129"/>
      <c r="P4143" s="129"/>
      <c r="Q4143" s="129"/>
      <c r="R4143" s="129"/>
      <c r="S4143" s="129"/>
      <c r="T4143" s="129"/>
      <c r="U4143" s="129"/>
      <c r="V4143" s="129"/>
      <c r="W4143" s="129"/>
      <c r="X4143" s="129"/>
      <c r="Y4143" s="129"/>
      <c r="Z4143" s="129"/>
      <c r="AA4143" s="129"/>
      <c r="AB4143" s="129"/>
    </row>
    <row r="4144" hidden="1">
      <c r="A4144" s="123" t="s">
        <v>1798</v>
      </c>
      <c r="B4144" s="124">
        <v>1150.0</v>
      </c>
      <c r="C4144" s="124">
        <v>1300.0</v>
      </c>
      <c r="D4144" s="313">
        <f t="shared" si="268"/>
        <v>150</v>
      </c>
      <c r="E4144" s="124"/>
      <c r="F4144" s="124"/>
    </row>
    <row r="4145" hidden="1">
      <c r="A4145" s="159" t="s">
        <v>1775</v>
      </c>
      <c r="B4145" s="124">
        <v>850.0</v>
      </c>
      <c r="C4145" s="147">
        <v>1000.0</v>
      </c>
      <c r="D4145" s="313">
        <f t="shared" si="268"/>
        <v>150</v>
      </c>
      <c r="E4145" s="124"/>
      <c r="F4145" s="124"/>
      <c r="G4145" s="129"/>
      <c r="H4145" s="129"/>
      <c r="I4145" s="129"/>
      <c r="J4145" s="129"/>
      <c r="K4145" s="129"/>
      <c r="L4145" s="129"/>
      <c r="M4145" s="129"/>
      <c r="N4145" s="129"/>
      <c r="O4145" s="129"/>
      <c r="P4145" s="129"/>
      <c r="Q4145" s="129"/>
      <c r="R4145" s="129"/>
      <c r="S4145" s="129"/>
      <c r="T4145" s="129"/>
      <c r="U4145" s="129"/>
      <c r="V4145" s="129"/>
      <c r="W4145" s="129"/>
      <c r="X4145" s="129"/>
      <c r="Y4145" s="129"/>
      <c r="Z4145" s="129"/>
      <c r="AA4145" s="129"/>
      <c r="AB4145" s="129"/>
    </row>
    <row r="4146" hidden="1">
      <c r="A4146" s="128" t="s">
        <v>1777</v>
      </c>
      <c r="B4146" s="147">
        <v>1050.0</v>
      </c>
      <c r="C4146" s="147">
        <v>1200.0</v>
      </c>
      <c r="D4146" s="132">
        <f t="shared" si="268"/>
        <v>150</v>
      </c>
      <c r="E4146" s="132"/>
      <c r="F4146" s="132"/>
      <c r="G4146" s="129"/>
      <c r="H4146" s="129"/>
      <c r="I4146" s="129"/>
      <c r="J4146" s="129"/>
      <c r="K4146" s="129"/>
      <c r="L4146" s="129"/>
      <c r="M4146" s="129"/>
      <c r="N4146" s="129"/>
      <c r="O4146" s="129"/>
      <c r="P4146" s="129"/>
      <c r="Q4146" s="129"/>
      <c r="R4146" s="129"/>
      <c r="S4146" s="129"/>
      <c r="T4146" s="129"/>
      <c r="U4146" s="129"/>
      <c r="V4146" s="129"/>
      <c r="W4146" s="129"/>
      <c r="X4146" s="129"/>
      <c r="Y4146" s="129"/>
      <c r="Z4146" s="129"/>
      <c r="AA4146" s="129"/>
      <c r="AB4146" s="129"/>
    </row>
    <row r="4147" hidden="1">
      <c r="A4147" s="123" t="s">
        <v>1782</v>
      </c>
      <c r="B4147" s="124">
        <v>1350.0</v>
      </c>
      <c r="C4147" s="124">
        <v>1500.0</v>
      </c>
      <c r="D4147" s="125">
        <f t="shared" si="268"/>
        <v>150</v>
      </c>
      <c r="E4147" s="124"/>
      <c r="F4147" s="124"/>
    </row>
    <row r="4148" hidden="1">
      <c r="A4148" s="128" t="s">
        <v>1799</v>
      </c>
      <c r="B4148" s="147">
        <v>570.0</v>
      </c>
      <c r="C4148" s="147">
        <v>720.0</v>
      </c>
      <c r="D4148" s="125">
        <f t="shared" si="268"/>
        <v>150</v>
      </c>
      <c r="E4148" s="124"/>
      <c r="F4148" s="132"/>
      <c r="G4148" s="129"/>
      <c r="H4148" s="129"/>
      <c r="I4148" s="129"/>
      <c r="J4148" s="129"/>
      <c r="K4148" s="129"/>
      <c r="L4148" s="129"/>
      <c r="M4148" s="129"/>
      <c r="N4148" s="129"/>
      <c r="O4148" s="129"/>
      <c r="P4148" s="129"/>
      <c r="Q4148" s="129"/>
      <c r="R4148" s="129"/>
      <c r="S4148" s="129"/>
      <c r="T4148" s="129"/>
      <c r="U4148" s="129"/>
      <c r="V4148" s="129"/>
      <c r="W4148" s="129"/>
      <c r="X4148" s="129"/>
      <c r="Y4148" s="129"/>
      <c r="Z4148" s="129"/>
      <c r="AA4148" s="129"/>
      <c r="AB4148" s="129"/>
    </row>
    <row r="4149" hidden="1">
      <c r="A4149" s="123" t="s">
        <v>1771</v>
      </c>
      <c r="B4149" s="124">
        <v>840.0</v>
      </c>
      <c r="C4149" s="124">
        <v>990.0</v>
      </c>
      <c r="D4149" s="125">
        <f t="shared" si="268"/>
        <v>150</v>
      </c>
      <c r="E4149" s="124"/>
      <c r="F4149" s="124"/>
    </row>
    <row r="4150" hidden="1">
      <c r="A4150" s="123" t="s">
        <v>1800</v>
      </c>
      <c r="B4150" s="124">
        <v>1150.0</v>
      </c>
      <c r="C4150" s="124">
        <v>1300.0</v>
      </c>
      <c r="D4150" s="125">
        <f t="shared" si="268"/>
        <v>150</v>
      </c>
      <c r="E4150" s="124"/>
      <c r="F4150" s="124"/>
    </row>
    <row r="4151" hidden="1">
      <c r="A4151" s="123" t="s">
        <v>1801</v>
      </c>
      <c r="B4151" s="124">
        <v>850.0</v>
      </c>
      <c r="C4151" s="124">
        <v>1000.0</v>
      </c>
      <c r="D4151" s="313">
        <f t="shared" si="268"/>
        <v>150</v>
      </c>
      <c r="E4151" s="124"/>
      <c r="F4151" s="124"/>
    </row>
    <row r="4152" hidden="1">
      <c r="A4152" s="128" t="s">
        <v>1802</v>
      </c>
      <c r="B4152" s="124">
        <v>850.0</v>
      </c>
      <c r="C4152" s="147">
        <v>1000.0</v>
      </c>
      <c r="D4152" s="125">
        <f t="shared" si="268"/>
        <v>150</v>
      </c>
      <c r="E4152" s="124"/>
      <c r="F4152" s="124"/>
      <c r="G4152" s="129"/>
      <c r="H4152" s="129"/>
      <c r="I4152" s="129"/>
      <c r="J4152" s="129"/>
      <c r="K4152" s="129"/>
      <c r="L4152" s="129"/>
      <c r="M4152" s="129"/>
      <c r="N4152" s="129"/>
      <c r="O4152" s="129"/>
      <c r="P4152" s="129"/>
      <c r="Q4152" s="129"/>
      <c r="R4152" s="129"/>
      <c r="S4152" s="129"/>
      <c r="T4152" s="129"/>
      <c r="U4152" s="129"/>
      <c r="V4152" s="129"/>
      <c r="W4152" s="129"/>
      <c r="X4152" s="129"/>
      <c r="Y4152" s="129"/>
      <c r="Z4152" s="129"/>
      <c r="AA4152" s="129"/>
      <c r="AB4152" s="129"/>
    </row>
    <row r="4153" hidden="1">
      <c r="A4153" s="123" t="s">
        <v>1803</v>
      </c>
      <c r="B4153" s="124">
        <v>1350.0</v>
      </c>
      <c r="C4153" s="124">
        <v>1500.0</v>
      </c>
      <c r="D4153" s="313">
        <f t="shared" si="268"/>
        <v>150</v>
      </c>
      <c r="E4153" s="124"/>
      <c r="F4153" s="124"/>
    </row>
    <row r="4154" hidden="1">
      <c r="A4154" s="123" t="s">
        <v>1758</v>
      </c>
      <c r="B4154" s="124">
        <v>1150.0</v>
      </c>
      <c r="C4154" s="124">
        <v>1300.0</v>
      </c>
      <c r="D4154" s="125">
        <f t="shared" si="268"/>
        <v>150</v>
      </c>
      <c r="E4154" s="124"/>
      <c r="F4154" s="124"/>
    </row>
    <row r="4155" hidden="1">
      <c r="A4155" s="123" t="s">
        <v>1795</v>
      </c>
      <c r="B4155" s="124">
        <v>1150.0</v>
      </c>
      <c r="C4155" s="124">
        <v>1300.0</v>
      </c>
      <c r="D4155" s="125">
        <f t="shared" si="268"/>
        <v>150</v>
      </c>
      <c r="E4155" s="124"/>
      <c r="F4155" s="124"/>
    </row>
    <row r="4156" hidden="1">
      <c r="A4156" s="159" t="s">
        <v>1804</v>
      </c>
      <c r="B4156" s="124">
        <v>1150.0</v>
      </c>
      <c r="C4156" s="147">
        <v>1300.0</v>
      </c>
      <c r="D4156" s="313">
        <f t="shared" si="268"/>
        <v>150</v>
      </c>
      <c r="E4156" s="124"/>
      <c r="F4156" s="124"/>
      <c r="G4156" s="129"/>
      <c r="H4156" s="129"/>
      <c r="I4156" s="129"/>
      <c r="J4156" s="129"/>
      <c r="K4156" s="129"/>
      <c r="L4156" s="129"/>
      <c r="M4156" s="129"/>
      <c r="N4156" s="129"/>
      <c r="O4156" s="129"/>
      <c r="P4156" s="129"/>
      <c r="Q4156" s="129"/>
      <c r="R4156" s="129"/>
      <c r="S4156" s="129"/>
      <c r="T4156" s="129"/>
      <c r="U4156" s="129"/>
      <c r="V4156" s="129"/>
      <c r="W4156" s="129"/>
      <c r="X4156" s="129"/>
      <c r="Y4156" s="129"/>
      <c r="Z4156" s="129"/>
      <c r="AA4156" s="129"/>
      <c r="AB4156" s="129"/>
    </row>
    <row r="4157" hidden="1">
      <c r="A4157" s="123" t="s">
        <v>1734</v>
      </c>
      <c r="B4157" s="124">
        <v>1050.0</v>
      </c>
      <c r="C4157" s="124">
        <v>1200.0</v>
      </c>
      <c r="D4157" s="313">
        <f t="shared" si="268"/>
        <v>150</v>
      </c>
      <c r="E4157" s="124"/>
      <c r="F4157" s="124"/>
    </row>
    <row r="4158" hidden="1">
      <c r="A4158" s="123" t="s">
        <v>1759</v>
      </c>
      <c r="B4158" s="124">
        <v>1100.0</v>
      </c>
      <c r="C4158" s="124">
        <v>1250.0</v>
      </c>
      <c r="D4158" s="313">
        <f t="shared" si="268"/>
        <v>150</v>
      </c>
      <c r="E4158" s="124"/>
      <c r="F4158" s="124"/>
    </row>
    <row r="4159" hidden="1">
      <c r="A4159" s="128" t="s">
        <v>1639</v>
      </c>
      <c r="B4159" s="124">
        <v>750.0</v>
      </c>
      <c r="C4159" s="147">
        <v>900.0</v>
      </c>
      <c r="D4159" s="132">
        <f t="shared" si="268"/>
        <v>150</v>
      </c>
      <c r="E4159" s="124"/>
      <c r="F4159" s="124"/>
      <c r="G4159" s="129"/>
      <c r="H4159" s="129"/>
      <c r="I4159" s="129"/>
      <c r="J4159" s="129"/>
      <c r="K4159" s="129"/>
      <c r="L4159" s="129"/>
      <c r="M4159" s="129"/>
      <c r="N4159" s="129"/>
      <c r="O4159" s="129"/>
      <c r="P4159" s="129"/>
      <c r="Q4159" s="129"/>
      <c r="R4159" s="129"/>
      <c r="S4159" s="129"/>
      <c r="T4159" s="129"/>
      <c r="U4159" s="129"/>
      <c r="V4159" s="129"/>
      <c r="W4159" s="129"/>
      <c r="X4159" s="129"/>
      <c r="Y4159" s="129"/>
      <c r="Z4159" s="129"/>
      <c r="AA4159" s="129"/>
      <c r="AB4159" s="129"/>
    </row>
    <row r="4160" hidden="1">
      <c r="A4160" s="123" t="s">
        <v>1794</v>
      </c>
      <c r="B4160" s="124">
        <v>1150.0</v>
      </c>
      <c r="C4160" s="124">
        <v>1300.0</v>
      </c>
      <c r="D4160" s="125">
        <f t="shared" si="268"/>
        <v>150</v>
      </c>
      <c r="E4160" s="124"/>
      <c r="F4160" s="124"/>
    </row>
    <row r="4161" hidden="1">
      <c r="A4161" s="128" t="s">
        <v>1008</v>
      </c>
      <c r="B4161" s="147">
        <v>950.0</v>
      </c>
      <c r="C4161" s="147">
        <v>1100.0</v>
      </c>
      <c r="D4161" s="132">
        <f t="shared" si="268"/>
        <v>150</v>
      </c>
      <c r="E4161" s="124"/>
      <c r="F4161" s="124"/>
      <c r="G4161" s="129"/>
      <c r="H4161" s="129"/>
      <c r="I4161" s="129"/>
      <c r="J4161" s="129"/>
      <c r="K4161" s="129"/>
      <c r="L4161" s="129"/>
      <c r="M4161" s="129"/>
      <c r="N4161" s="129"/>
      <c r="O4161" s="129"/>
      <c r="P4161" s="129"/>
      <c r="Q4161" s="129"/>
      <c r="R4161" s="129"/>
      <c r="S4161" s="129"/>
      <c r="T4161" s="129"/>
      <c r="U4161" s="129"/>
      <c r="V4161" s="129"/>
      <c r="W4161" s="129"/>
      <c r="X4161" s="129"/>
      <c r="Y4161" s="129"/>
      <c r="Z4161" s="129"/>
      <c r="AA4161" s="129"/>
      <c r="AB4161" s="129"/>
    </row>
    <row r="4162" hidden="1">
      <c r="A4162" s="123" t="s">
        <v>1805</v>
      </c>
      <c r="B4162" s="124">
        <v>1000.0</v>
      </c>
      <c r="C4162" s="124">
        <v>1150.0</v>
      </c>
      <c r="D4162" s="313">
        <f t="shared" si="268"/>
        <v>150</v>
      </c>
      <c r="E4162" s="124"/>
      <c r="F4162" s="124"/>
    </row>
    <row r="4163" hidden="1">
      <c r="A4163" s="123" t="s">
        <v>1584</v>
      </c>
      <c r="B4163" s="124">
        <v>850.0</v>
      </c>
      <c r="C4163" s="124">
        <v>1000.0</v>
      </c>
      <c r="D4163" s="313">
        <f t="shared" si="268"/>
        <v>150</v>
      </c>
      <c r="E4163" s="124"/>
      <c r="F4163" s="124"/>
    </row>
    <row r="4164" hidden="1">
      <c r="A4164" s="123" t="s">
        <v>1806</v>
      </c>
      <c r="B4164" s="123">
        <v>650.0</v>
      </c>
      <c r="C4164" s="123">
        <v>800.0</v>
      </c>
      <c r="D4164" s="313">
        <f t="shared" si="268"/>
        <v>150</v>
      </c>
      <c r="E4164" s="124"/>
      <c r="F4164" s="313"/>
    </row>
    <row r="4165" hidden="1">
      <c r="A4165" s="123" t="s">
        <v>1734</v>
      </c>
      <c r="B4165" s="124">
        <v>1050.0</v>
      </c>
      <c r="C4165" s="124">
        <v>1200.0</v>
      </c>
      <c r="D4165" s="313">
        <f t="shared" si="268"/>
        <v>150</v>
      </c>
      <c r="E4165" s="124"/>
      <c r="F4165" s="313"/>
    </row>
    <row r="4166" hidden="1">
      <c r="A4166" s="123" t="s">
        <v>1584</v>
      </c>
      <c r="B4166" s="124">
        <v>850.0</v>
      </c>
      <c r="C4166" s="124">
        <v>1000.0</v>
      </c>
      <c r="D4166" s="313">
        <f t="shared" si="268"/>
        <v>150</v>
      </c>
      <c r="E4166" s="124"/>
      <c r="F4166" s="313"/>
    </row>
    <row r="4167" hidden="1">
      <c r="A4167" s="123" t="s">
        <v>1807</v>
      </c>
      <c r="B4167" s="124">
        <v>1050.0</v>
      </c>
      <c r="C4167" s="124">
        <v>1200.0</v>
      </c>
      <c r="D4167" s="313">
        <f t="shared" si="268"/>
        <v>150</v>
      </c>
      <c r="E4167" s="124"/>
      <c r="F4167" s="313"/>
    </row>
    <row r="4168" hidden="1">
      <c r="A4168" s="123" t="s">
        <v>1798</v>
      </c>
      <c r="B4168" s="124">
        <v>1250.0</v>
      </c>
      <c r="C4168" s="124">
        <v>1400.0</v>
      </c>
      <c r="D4168" s="313">
        <f t="shared" si="268"/>
        <v>150</v>
      </c>
      <c r="E4168" s="124"/>
      <c r="F4168" s="313"/>
    </row>
    <row r="4169" hidden="1">
      <c r="A4169" s="123"/>
      <c r="B4169" s="124"/>
      <c r="C4169" s="123"/>
      <c r="D4169" s="123"/>
    </row>
    <row r="4170" hidden="1">
      <c r="A4170" s="122" t="s">
        <v>57</v>
      </c>
      <c r="B4170" s="133">
        <f t="shared" ref="B4170:D4170" si="269">SUM(B4108:B4169)</f>
        <v>66510</v>
      </c>
      <c r="C4170" s="133">
        <f t="shared" si="269"/>
        <v>76260</v>
      </c>
      <c r="D4170" s="133">
        <f t="shared" si="269"/>
        <v>9750</v>
      </c>
      <c r="E4170" s="135">
        <f>D4170/(C4170/100)</f>
        <v>12.7852085</v>
      </c>
    </row>
    <row r="4171" hidden="1">
      <c r="A4171" s="154"/>
      <c r="B4171" s="124"/>
      <c r="C4171" s="124"/>
      <c r="D4171" s="124"/>
    </row>
    <row r="4172" hidden="1">
      <c r="A4172" s="154">
        <v>43800.0</v>
      </c>
      <c r="B4172" s="124"/>
      <c r="C4172" s="124"/>
      <c r="D4172" s="124"/>
    </row>
    <row r="4173" hidden="1">
      <c r="A4173" s="123"/>
      <c r="B4173" s="124"/>
      <c r="D4173" s="123"/>
    </row>
    <row r="4174" hidden="1">
      <c r="A4174" s="123" t="s">
        <v>1808</v>
      </c>
      <c r="B4174" s="124">
        <v>2000.0</v>
      </c>
      <c r="C4174" s="124">
        <v>2250.0</v>
      </c>
      <c r="D4174" s="125">
        <f t="shared" ref="D4174:D4198" si="270">C4174-B4174</f>
        <v>250</v>
      </c>
    </row>
    <row r="4175" hidden="1">
      <c r="A4175" s="123" t="s">
        <v>1809</v>
      </c>
      <c r="B4175" s="124">
        <v>1250.0</v>
      </c>
      <c r="C4175" s="124">
        <v>1750.0</v>
      </c>
      <c r="D4175" s="125">
        <f t="shared" si="270"/>
        <v>500</v>
      </c>
    </row>
    <row r="4176" hidden="1">
      <c r="A4176" s="128" t="s">
        <v>1779</v>
      </c>
      <c r="B4176" s="147">
        <v>1220.0</v>
      </c>
      <c r="C4176" s="132">
        <v>1400.0</v>
      </c>
      <c r="D4176" s="132">
        <f t="shared" si="270"/>
        <v>180</v>
      </c>
      <c r="G4176" s="129"/>
      <c r="H4176" s="129"/>
      <c r="I4176" s="129"/>
      <c r="J4176" s="129"/>
      <c r="K4176" s="129"/>
      <c r="L4176" s="129"/>
      <c r="M4176" s="129"/>
      <c r="N4176" s="129"/>
      <c r="O4176" s="129"/>
      <c r="P4176" s="129"/>
      <c r="Q4176" s="129"/>
      <c r="R4176" s="129"/>
      <c r="S4176" s="129"/>
      <c r="T4176" s="129"/>
      <c r="U4176" s="129"/>
      <c r="V4176" s="129"/>
      <c r="W4176" s="129"/>
      <c r="X4176" s="129"/>
      <c r="Y4176" s="129"/>
      <c r="Z4176" s="129"/>
      <c r="AA4176" s="129"/>
      <c r="AB4176" s="129"/>
    </row>
    <row r="4177" hidden="1">
      <c r="A4177" s="123" t="s">
        <v>1810</v>
      </c>
      <c r="B4177" s="124">
        <v>1250.0</v>
      </c>
      <c r="C4177" s="124">
        <v>1750.0</v>
      </c>
      <c r="D4177" s="125">
        <f t="shared" si="270"/>
        <v>500</v>
      </c>
    </row>
    <row r="4178" hidden="1">
      <c r="A4178" s="123" t="s">
        <v>1811</v>
      </c>
      <c r="B4178" s="124">
        <v>1250.0</v>
      </c>
      <c r="C4178" s="124">
        <v>1750.0</v>
      </c>
      <c r="D4178" s="125">
        <f t="shared" si="270"/>
        <v>500</v>
      </c>
    </row>
    <row r="4179" hidden="1">
      <c r="A4179" s="128" t="s">
        <v>1778</v>
      </c>
      <c r="B4179" s="124">
        <v>1000.0</v>
      </c>
      <c r="C4179" s="124">
        <v>1200.0</v>
      </c>
      <c r="D4179" s="132">
        <f t="shared" si="270"/>
        <v>200</v>
      </c>
      <c r="E4179" s="129"/>
      <c r="F4179" s="129"/>
      <c r="G4179" s="129"/>
      <c r="H4179" s="129"/>
      <c r="I4179" s="129"/>
      <c r="J4179" s="129"/>
      <c r="K4179" s="129"/>
      <c r="L4179" s="129"/>
      <c r="M4179" s="129"/>
      <c r="N4179" s="129"/>
      <c r="O4179" s="129"/>
      <c r="P4179" s="129"/>
      <c r="Q4179" s="129"/>
      <c r="R4179" s="129"/>
      <c r="S4179" s="129"/>
      <c r="T4179" s="129"/>
      <c r="U4179" s="129"/>
      <c r="V4179" s="129"/>
      <c r="W4179" s="129"/>
      <c r="X4179" s="129"/>
      <c r="Y4179" s="129"/>
      <c r="Z4179" s="129"/>
      <c r="AA4179" s="129"/>
      <c r="AB4179" s="129"/>
    </row>
    <row r="4180" hidden="1">
      <c r="A4180" s="123" t="s">
        <v>1812</v>
      </c>
      <c r="B4180" s="123">
        <v>900.0</v>
      </c>
      <c r="C4180" s="124">
        <v>1000.0</v>
      </c>
      <c r="D4180" s="125">
        <f t="shared" si="270"/>
        <v>100</v>
      </c>
    </row>
    <row r="4181" hidden="1">
      <c r="A4181" s="123" t="s">
        <v>1800</v>
      </c>
      <c r="B4181" s="124">
        <v>1200.0</v>
      </c>
      <c r="C4181" s="124">
        <v>1300.0</v>
      </c>
      <c r="D4181" s="125">
        <f t="shared" si="270"/>
        <v>100</v>
      </c>
    </row>
    <row r="4182" hidden="1">
      <c r="A4182" s="123" t="s">
        <v>1813</v>
      </c>
      <c r="B4182" s="123">
        <v>500.0</v>
      </c>
      <c r="C4182" s="123">
        <v>500.0</v>
      </c>
      <c r="D4182">
        <f t="shared" si="270"/>
        <v>0</v>
      </c>
    </row>
    <row r="4183" hidden="1">
      <c r="A4183" s="123" t="s">
        <v>1814</v>
      </c>
      <c r="B4183" s="124">
        <v>1125.0</v>
      </c>
      <c r="C4183" s="124">
        <v>1200.0</v>
      </c>
      <c r="D4183" s="125">
        <f t="shared" si="270"/>
        <v>75</v>
      </c>
    </row>
    <row r="4184" hidden="1">
      <c r="A4184" s="123" t="s">
        <v>1815</v>
      </c>
      <c r="B4184" s="124">
        <v>500.0</v>
      </c>
      <c r="C4184" s="124">
        <v>750.0</v>
      </c>
      <c r="D4184" s="125">
        <f t="shared" si="270"/>
        <v>250</v>
      </c>
    </row>
    <row r="4185" hidden="1">
      <c r="A4185" s="123" t="s">
        <v>1816</v>
      </c>
      <c r="B4185" s="124">
        <v>1500.0</v>
      </c>
      <c r="C4185" s="124">
        <v>1540.0</v>
      </c>
      <c r="D4185" s="125">
        <f t="shared" si="270"/>
        <v>40</v>
      </c>
    </row>
    <row r="4186" hidden="1">
      <c r="A4186" s="123" t="s">
        <v>1780</v>
      </c>
      <c r="B4186" s="124">
        <v>1000.0</v>
      </c>
      <c r="C4186" s="124">
        <v>1232.0</v>
      </c>
      <c r="D4186" s="125">
        <f t="shared" si="270"/>
        <v>232</v>
      </c>
    </row>
    <row r="4187" hidden="1">
      <c r="A4187" s="123" t="s">
        <v>1817</v>
      </c>
      <c r="B4187" s="123">
        <v>625.0</v>
      </c>
      <c r="C4187" s="123">
        <v>792.0</v>
      </c>
      <c r="D4187">
        <f t="shared" si="270"/>
        <v>167</v>
      </c>
    </row>
    <row r="4188" hidden="1">
      <c r="A4188" s="123" t="s">
        <v>1789</v>
      </c>
      <c r="B4188" s="124">
        <v>1335.0</v>
      </c>
      <c r="C4188" s="124">
        <v>1320.0</v>
      </c>
      <c r="D4188" s="125">
        <f t="shared" si="270"/>
        <v>-15</v>
      </c>
    </row>
    <row r="4189" hidden="1">
      <c r="A4189" s="123" t="s">
        <v>1127</v>
      </c>
      <c r="B4189" s="123">
        <v>500.0</v>
      </c>
      <c r="C4189" s="123">
        <v>660.0</v>
      </c>
      <c r="D4189">
        <f t="shared" si="270"/>
        <v>160</v>
      </c>
    </row>
    <row r="4190" hidden="1">
      <c r="A4190" s="128" t="s">
        <v>1818</v>
      </c>
      <c r="B4190" s="147">
        <v>700.0</v>
      </c>
      <c r="C4190" s="147">
        <v>990.0</v>
      </c>
      <c r="D4190" s="132">
        <f t="shared" si="270"/>
        <v>290</v>
      </c>
      <c r="G4190" s="129"/>
      <c r="H4190" s="129"/>
      <c r="I4190" s="129"/>
      <c r="J4190" s="129"/>
      <c r="K4190" s="129"/>
      <c r="L4190" s="129"/>
      <c r="M4190" s="129"/>
      <c r="N4190" s="129"/>
      <c r="O4190" s="129"/>
      <c r="P4190" s="129"/>
      <c r="Q4190" s="129"/>
      <c r="R4190" s="129"/>
      <c r="S4190" s="129"/>
      <c r="T4190" s="129"/>
      <c r="U4190" s="129"/>
      <c r="V4190" s="129"/>
      <c r="W4190" s="129"/>
      <c r="X4190" s="129"/>
      <c r="Y4190" s="129"/>
      <c r="Z4190" s="129"/>
      <c r="AA4190" s="129"/>
      <c r="AB4190" s="129"/>
    </row>
    <row r="4191" hidden="1">
      <c r="A4191" s="123" t="s">
        <v>1819</v>
      </c>
      <c r="B4191" s="123">
        <v>750.0</v>
      </c>
      <c r="C4191" s="124">
        <v>900.0</v>
      </c>
      <c r="D4191" s="125">
        <f t="shared" si="270"/>
        <v>150</v>
      </c>
    </row>
    <row r="4192" hidden="1">
      <c r="A4192" s="123" t="s">
        <v>1820</v>
      </c>
      <c r="B4192" s="124">
        <v>1000.0</v>
      </c>
      <c r="C4192" s="124">
        <v>900.0</v>
      </c>
      <c r="D4192" s="125">
        <f t="shared" si="270"/>
        <v>-100</v>
      </c>
    </row>
    <row r="4193" hidden="1">
      <c r="A4193" s="123" t="s">
        <v>1821</v>
      </c>
      <c r="B4193" s="123">
        <v>850.0</v>
      </c>
      <c r="C4193" s="124">
        <v>1125.0</v>
      </c>
      <c r="D4193" s="125">
        <f t="shared" si="270"/>
        <v>275</v>
      </c>
    </row>
    <row r="4194" hidden="1">
      <c r="A4194" s="128" t="s">
        <v>1822</v>
      </c>
      <c r="B4194" s="148">
        <v>750.0</v>
      </c>
      <c r="C4194" s="148">
        <v>900.0</v>
      </c>
      <c r="D4194" s="149">
        <f t="shared" si="270"/>
        <v>150</v>
      </c>
      <c r="E4194" s="129"/>
      <c r="F4194" s="129"/>
      <c r="G4194" s="129"/>
      <c r="H4194" s="129"/>
      <c r="I4194" s="129"/>
      <c r="J4194" s="129"/>
      <c r="K4194" s="129"/>
      <c r="L4194" s="129"/>
      <c r="M4194" s="129"/>
      <c r="N4194" s="129"/>
      <c r="O4194" s="129"/>
      <c r="P4194" s="129"/>
      <c r="Q4194" s="129"/>
      <c r="R4194" s="129"/>
      <c r="S4194" s="129"/>
      <c r="T4194" s="129"/>
      <c r="U4194" s="129"/>
      <c r="V4194" s="129"/>
      <c r="W4194" s="129"/>
      <c r="X4194" s="129"/>
      <c r="Y4194" s="129"/>
      <c r="Z4194" s="129"/>
      <c r="AA4194" s="129"/>
      <c r="AB4194" s="129"/>
    </row>
    <row r="4195" hidden="1">
      <c r="A4195" s="123" t="s">
        <v>1823</v>
      </c>
      <c r="B4195" s="124">
        <v>1250.0</v>
      </c>
      <c r="C4195" s="124">
        <v>1350.0</v>
      </c>
      <c r="D4195" s="125">
        <f t="shared" si="270"/>
        <v>100</v>
      </c>
    </row>
    <row r="4196" hidden="1">
      <c r="A4196" s="150" t="s">
        <v>1824</v>
      </c>
      <c r="B4196" s="147">
        <v>640.0</v>
      </c>
      <c r="C4196" s="147">
        <v>850.0</v>
      </c>
      <c r="D4196" s="132">
        <f t="shared" si="270"/>
        <v>210</v>
      </c>
      <c r="E4196" s="129"/>
      <c r="F4196" s="129"/>
      <c r="G4196" s="129"/>
      <c r="H4196" s="129"/>
      <c r="I4196" s="129"/>
      <c r="J4196" s="129"/>
      <c r="K4196" s="129"/>
      <c r="L4196" s="129"/>
      <c r="M4196" s="129"/>
      <c r="N4196" s="129"/>
      <c r="O4196" s="129"/>
      <c r="P4196" s="129"/>
      <c r="Q4196" s="129"/>
      <c r="R4196" s="129"/>
      <c r="S4196" s="129"/>
      <c r="T4196" s="129"/>
      <c r="U4196" s="129"/>
      <c r="V4196" s="129"/>
      <c r="W4196" s="129"/>
      <c r="X4196" s="129"/>
      <c r="Y4196" s="129"/>
      <c r="Z4196" s="129"/>
      <c r="AA4196" s="129"/>
      <c r="AB4196" s="129"/>
    </row>
    <row r="4197" hidden="1">
      <c r="A4197" s="123" t="s">
        <v>1825</v>
      </c>
      <c r="B4197" s="124">
        <v>1490.0</v>
      </c>
      <c r="C4197" s="124">
        <v>1600.0</v>
      </c>
      <c r="D4197" s="125">
        <f t="shared" si="270"/>
        <v>110</v>
      </c>
    </row>
    <row r="4198" hidden="1">
      <c r="A4198" s="123" t="s">
        <v>1826</v>
      </c>
      <c r="B4198" s="123">
        <v>750.0</v>
      </c>
      <c r="C4198" s="123">
        <v>925.0</v>
      </c>
      <c r="D4198">
        <f t="shared" si="270"/>
        <v>175</v>
      </c>
    </row>
    <row r="4199" hidden="1">
      <c r="A4199" s="123"/>
      <c r="B4199" s="124"/>
      <c r="C4199" s="123"/>
      <c r="D4199" s="123"/>
    </row>
    <row r="4200" hidden="1">
      <c r="A4200" s="122" t="s">
        <v>57</v>
      </c>
      <c r="B4200" s="133">
        <f t="shared" ref="B4200:D4200" si="271">SUM(B4172:B4199)</f>
        <v>25335</v>
      </c>
      <c r="C4200" s="133">
        <f t="shared" si="271"/>
        <v>29934</v>
      </c>
      <c r="D4200" s="133">
        <f t="shared" si="271"/>
        <v>4599</v>
      </c>
      <c r="E4200" s="135">
        <f>D4200/(C4200/100)</f>
        <v>15.36380036</v>
      </c>
    </row>
    <row r="4201" hidden="1">
      <c r="A4201" s="123"/>
      <c r="B4201" s="124"/>
      <c r="C4201" s="123"/>
      <c r="D4201" s="123"/>
    </row>
    <row r="4202" hidden="1">
      <c r="A4202" s="154">
        <v>43770.0</v>
      </c>
      <c r="B4202" s="124"/>
      <c r="C4202" s="124"/>
      <c r="D4202" s="124"/>
    </row>
    <row r="4203" hidden="1">
      <c r="A4203" s="123"/>
      <c r="B4203" s="124"/>
      <c r="C4203" s="124"/>
      <c r="D4203" s="124"/>
    </row>
    <row r="4204" hidden="1">
      <c r="A4204" s="123" t="s">
        <v>1392</v>
      </c>
      <c r="B4204" s="123">
        <v>750.0</v>
      </c>
      <c r="C4204" s="123">
        <v>900.0</v>
      </c>
      <c r="D4204">
        <f t="shared" ref="D4204:D4229" si="272">C4204-B4204</f>
        <v>150</v>
      </c>
    </row>
    <row r="4205" hidden="1">
      <c r="A4205" s="123" t="s">
        <v>1751</v>
      </c>
      <c r="B4205" s="124">
        <v>1000.0</v>
      </c>
      <c r="C4205" s="124">
        <v>1125.0</v>
      </c>
      <c r="D4205" s="125">
        <f t="shared" si="272"/>
        <v>125</v>
      </c>
    </row>
    <row r="4206" hidden="1">
      <c r="A4206" s="123" t="s">
        <v>1827</v>
      </c>
      <c r="B4206" s="124">
        <v>2750.0</v>
      </c>
      <c r="C4206" s="124">
        <v>2925.0</v>
      </c>
      <c r="D4206" s="125">
        <f t="shared" si="272"/>
        <v>175</v>
      </c>
    </row>
    <row r="4207" hidden="1">
      <c r="A4207" s="123" t="s">
        <v>1828</v>
      </c>
      <c r="B4207" s="124">
        <v>1000.0</v>
      </c>
      <c r="C4207" s="124">
        <v>1100.0</v>
      </c>
      <c r="D4207" s="125">
        <f t="shared" si="272"/>
        <v>100</v>
      </c>
    </row>
    <row r="4208" hidden="1">
      <c r="A4208" s="123" t="s">
        <v>1829</v>
      </c>
      <c r="B4208" s="124">
        <v>600.0</v>
      </c>
      <c r="C4208" s="124">
        <v>760.0</v>
      </c>
      <c r="D4208" s="125">
        <f t="shared" si="272"/>
        <v>160</v>
      </c>
    </row>
    <row r="4209" hidden="1">
      <c r="A4209" s="123" t="s">
        <v>1829</v>
      </c>
      <c r="B4209" s="124">
        <v>600.0</v>
      </c>
      <c r="C4209" s="124">
        <v>800.0</v>
      </c>
      <c r="D4209" s="125">
        <f t="shared" si="272"/>
        <v>200</v>
      </c>
    </row>
    <row r="4210" hidden="1">
      <c r="A4210" s="123" t="s">
        <v>1825</v>
      </c>
      <c r="B4210" s="124">
        <v>1625.0</v>
      </c>
      <c r="C4210" s="124">
        <v>1625.0</v>
      </c>
      <c r="D4210" s="125">
        <f t="shared" si="272"/>
        <v>0</v>
      </c>
    </row>
    <row r="4211" hidden="1">
      <c r="A4211" s="123" t="s">
        <v>1830</v>
      </c>
      <c r="B4211" s="124">
        <v>1250.0</v>
      </c>
      <c r="C4211" s="124">
        <v>1250.0</v>
      </c>
      <c r="D4211" s="125">
        <f t="shared" si="272"/>
        <v>0</v>
      </c>
    </row>
    <row r="4212" hidden="1">
      <c r="A4212" s="123" t="s">
        <v>1831</v>
      </c>
      <c r="B4212" s="124">
        <v>1250.0</v>
      </c>
      <c r="C4212" s="124">
        <v>1250.0</v>
      </c>
      <c r="D4212" s="125">
        <f t="shared" si="272"/>
        <v>0</v>
      </c>
    </row>
    <row r="4213" hidden="1">
      <c r="A4213" s="123" t="s">
        <v>1832</v>
      </c>
      <c r="B4213" s="123">
        <v>500.0</v>
      </c>
      <c r="C4213" s="123">
        <v>400.0</v>
      </c>
      <c r="D4213">
        <f t="shared" si="272"/>
        <v>-100</v>
      </c>
    </row>
    <row r="4214" hidden="1">
      <c r="A4214" s="123" t="s">
        <v>1833</v>
      </c>
      <c r="B4214" s="124">
        <v>1250.0</v>
      </c>
      <c r="C4214" s="124">
        <v>1250.0</v>
      </c>
      <c r="D4214" s="125">
        <f t="shared" si="272"/>
        <v>0</v>
      </c>
    </row>
    <row r="4215" hidden="1">
      <c r="A4215" s="123" t="s">
        <v>1834</v>
      </c>
      <c r="B4215" s="123">
        <v>0.0</v>
      </c>
      <c r="C4215" s="123">
        <v>450.0</v>
      </c>
      <c r="D4215">
        <f t="shared" si="272"/>
        <v>450</v>
      </c>
    </row>
    <row r="4216" hidden="1">
      <c r="A4216" s="123" t="s">
        <v>1835</v>
      </c>
      <c r="B4216" s="123">
        <v>0.0</v>
      </c>
      <c r="C4216" s="123">
        <v>450.0</v>
      </c>
      <c r="D4216">
        <f t="shared" si="272"/>
        <v>450</v>
      </c>
    </row>
    <row r="4217" hidden="1">
      <c r="A4217" s="123" t="s">
        <v>1836</v>
      </c>
      <c r="B4217" s="123">
        <v>0.0</v>
      </c>
      <c r="C4217" s="123">
        <v>200.0</v>
      </c>
      <c r="D4217">
        <f t="shared" si="272"/>
        <v>200</v>
      </c>
    </row>
    <row r="4218" hidden="1">
      <c r="A4218" s="123" t="s">
        <v>1837</v>
      </c>
      <c r="B4218" s="123">
        <v>500.0</v>
      </c>
      <c r="C4218" s="123">
        <v>400.0</v>
      </c>
      <c r="D4218">
        <f t="shared" si="272"/>
        <v>-100</v>
      </c>
    </row>
    <row r="4219" hidden="1">
      <c r="A4219" s="123" t="s">
        <v>1818</v>
      </c>
      <c r="B4219" s="124">
        <v>1000.0</v>
      </c>
      <c r="C4219" s="124">
        <v>1206.0</v>
      </c>
      <c r="D4219" s="125">
        <f t="shared" si="272"/>
        <v>206</v>
      </c>
    </row>
    <row r="4220" hidden="1">
      <c r="A4220" s="123" t="s">
        <v>1392</v>
      </c>
      <c r="B4220" s="123">
        <v>500.0</v>
      </c>
      <c r="C4220" s="124">
        <v>1000.0</v>
      </c>
      <c r="D4220" s="125">
        <f t="shared" si="272"/>
        <v>500</v>
      </c>
    </row>
    <row r="4221" hidden="1">
      <c r="A4221" s="123" t="s">
        <v>423</v>
      </c>
      <c r="B4221" s="123">
        <v>750.0</v>
      </c>
      <c r="C4221" s="124">
        <v>1125.0</v>
      </c>
      <c r="D4221" s="125">
        <f t="shared" si="272"/>
        <v>375</v>
      </c>
    </row>
    <row r="4222" hidden="1">
      <c r="A4222" s="123" t="s">
        <v>1568</v>
      </c>
      <c r="B4222" s="123">
        <v>750.0</v>
      </c>
      <c r="C4222" s="124">
        <v>1125.0</v>
      </c>
      <c r="D4222" s="125">
        <f t="shared" si="272"/>
        <v>375</v>
      </c>
    </row>
    <row r="4223" hidden="1">
      <c r="A4223" s="123" t="s">
        <v>1838</v>
      </c>
      <c r="B4223" s="124">
        <v>750.0</v>
      </c>
      <c r="C4223" s="124">
        <v>890.0</v>
      </c>
      <c r="D4223" s="125">
        <f t="shared" si="272"/>
        <v>140</v>
      </c>
    </row>
    <row r="4224" hidden="1">
      <c r="A4224" s="123" t="s">
        <v>1839</v>
      </c>
      <c r="B4224" s="123">
        <v>500.0</v>
      </c>
      <c r="C4224" s="123">
        <v>750.0</v>
      </c>
      <c r="D4224">
        <f t="shared" si="272"/>
        <v>250</v>
      </c>
    </row>
    <row r="4225" hidden="1">
      <c r="A4225" s="123" t="s">
        <v>1840</v>
      </c>
      <c r="B4225" s="124">
        <v>500.0</v>
      </c>
      <c r="C4225" s="124">
        <v>785.0</v>
      </c>
      <c r="D4225" s="125">
        <f t="shared" si="272"/>
        <v>285</v>
      </c>
    </row>
    <row r="4226" hidden="1">
      <c r="A4226" s="123" t="s">
        <v>1841</v>
      </c>
      <c r="B4226" s="124">
        <v>500.0</v>
      </c>
      <c r="C4226" s="123">
        <v>740.0</v>
      </c>
      <c r="D4226" s="125">
        <f t="shared" si="272"/>
        <v>240</v>
      </c>
    </row>
    <row r="4227" hidden="1">
      <c r="A4227" s="123" t="s">
        <v>1842</v>
      </c>
      <c r="B4227" s="124">
        <v>500.0</v>
      </c>
      <c r="C4227" s="124">
        <v>2449.0</v>
      </c>
      <c r="D4227" s="125">
        <f t="shared" si="272"/>
        <v>1949</v>
      </c>
    </row>
    <row r="4228" hidden="1">
      <c r="A4228" s="123" t="s">
        <v>1843</v>
      </c>
      <c r="B4228" s="123">
        <v>500.0</v>
      </c>
      <c r="C4228" s="123">
        <v>400.0</v>
      </c>
      <c r="D4228">
        <f t="shared" si="272"/>
        <v>-100</v>
      </c>
    </row>
    <row r="4229" hidden="1">
      <c r="A4229" s="123" t="s">
        <v>1844</v>
      </c>
      <c r="B4229" s="123">
        <v>500.0</v>
      </c>
      <c r="C4229" s="124">
        <v>1430.0</v>
      </c>
      <c r="D4229" s="125">
        <f t="shared" si="272"/>
        <v>930</v>
      </c>
    </row>
    <row r="4230" hidden="1"/>
    <row r="4231" hidden="1">
      <c r="A4231" s="122" t="s">
        <v>57</v>
      </c>
      <c r="B4231" s="133">
        <f t="shared" ref="B4231:D4231" si="273">SUM(B4203:B4230)</f>
        <v>19825</v>
      </c>
      <c r="C4231" s="133">
        <f t="shared" si="273"/>
        <v>26785</v>
      </c>
      <c r="D4231" s="133">
        <f t="shared" si="273"/>
        <v>6960</v>
      </c>
      <c r="E4231" s="135">
        <f>D4231/(C4231/100)</f>
        <v>25.98469293</v>
      </c>
    </row>
    <row r="4232" hidden="1"/>
    <row r="4233">
      <c r="A4233" s="119" t="s">
        <v>1845</v>
      </c>
      <c r="B4233" s="173">
        <f t="shared" ref="B4233:D4233" si="274">SUM(B2775,B2896,B3006,B3169,B3331,B3468,B3599,B3746,B3858,B3990,B4106,B4170,B4200,B4231)</f>
        <v>2754768</v>
      </c>
      <c r="C4233" s="173">
        <f t="shared" si="274"/>
        <v>3079239</v>
      </c>
      <c r="D4233" s="173">
        <f t="shared" si="274"/>
        <v>324471</v>
      </c>
      <c r="E4233" s="120">
        <f>D4233/(C4233/100)</f>
        <v>10.53737628</v>
      </c>
      <c r="F4233" s="121"/>
      <c r="G4233" s="121"/>
      <c r="H4233" s="121"/>
      <c r="I4233" s="121"/>
      <c r="J4233" s="121"/>
      <c r="K4233" s="121"/>
      <c r="L4233" s="121"/>
      <c r="M4233" s="121"/>
      <c r="N4233" s="121"/>
      <c r="O4233" s="121"/>
      <c r="P4233" s="121"/>
      <c r="Q4233" s="121"/>
      <c r="R4233" s="121"/>
      <c r="S4233" s="121"/>
      <c r="T4233" s="121"/>
      <c r="U4233" s="121"/>
      <c r="V4233" s="121"/>
      <c r="W4233" s="121"/>
      <c r="X4233" s="121"/>
      <c r="Y4233" s="121"/>
      <c r="Z4233" s="121"/>
      <c r="AA4233" s="121"/>
      <c r="AB4233" s="121"/>
    </row>
    <row r="4234">
      <c r="A4234" s="122"/>
    </row>
    <row r="4235">
      <c r="A4235" s="176" t="s">
        <v>727</v>
      </c>
      <c r="B4235" s="177" t="s">
        <v>156</v>
      </c>
      <c r="C4235" s="177" t="s">
        <v>145</v>
      </c>
      <c r="D4235" s="177" t="s">
        <v>146</v>
      </c>
      <c r="E4235" s="177" t="s">
        <v>147</v>
      </c>
      <c r="F4235" s="177" t="s">
        <v>148</v>
      </c>
      <c r="G4235" s="178" t="s">
        <v>149</v>
      </c>
      <c r="H4235" s="178" t="s">
        <v>150</v>
      </c>
      <c r="I4235" s="178" t="s">
        <v>151</v>
      </c>
      <c r="J4235" s="178" t="s">
        <v>152</v>
      </c>
      <c r="K4235" s="178" t="s">
        <v>153</v>
      </c>
      <c r="L4235" s="178" t="s">
        <v>154</v>
      </c>
      <c r="M4235" s="178" t="s">
        <v>155</v>
      </c>
      <c r="N4235" s="178" t="s">
        <v>156</v>
      </c>
      <c r="O4235" s="178" t="s">
        <v>1846</v>
      </c>
      <c r="P4235" s="178" t="s">
        <v>146</v>
      </c>
      <c r="Q4235" s="412"/>
      <c r="R4235" s="412"/>
      <c r="S4235" s="412"/>
      <c r="T4235" s="412"/>
      <c r="U4235" s="412"/>
      <c r="V4235" s="412"/>
      <c r="W4235" s="412"/>
      <c r="X4235" s="412"/>
      <c r="Y4235" s="412"/>
      <c r="Z4235" s="412"/>
      <c r="AA4235" s="412"/>
      <c r="AB4235" s="412"/>
    </row>
    <row r="4236">
      <c r="A4236" s="179" t="s">
        <v>157</v>
      </c>
      <c r="B4236" s="180">
        <v>267680.0</v>
      </c>
      <c r="C4236" s="180">
        <v>327509.0</v>
      </c>
      <c r="D4236" s="180">
        <v>350000.0</v>
      </c>
      <c r="E4236" s="180">
        <v>687348.0</v>
      </c>
      <c r="F4236" s="180">
        <v>763490.0</v>
      </c>
      <c r="G4236" s="181">
        <f t="shared" ref="G4236:P4236" si="275">F4236</f>
        <v>763490</v>
      </c>
      <c r="H4236" s="181">
        <f t="shared" si="275"/>
        <v>763490</v>
      </c>
      <c r="I4236" s="181">
        <f t="shared" si="275"/>
        <v>763490</v>
      </c>
      <c r="J4236" s="181">
        <f t="shared" si="275"/>
        <v>763490</v>
      </c>
      <c r="K4236" s="181">
        <f t="shared" si="275"/>
        <v>763490</v>
      </c>
      <c r="L4236" s="181">
        <f t="shared" si="275"/>
        <v>763490</v>
      </c>
      <c r="M4236" s="181">
        <f t="shared" si="275"/>
        <v>763490</v>
      </c>
      <c r="N4236" s="181">
        <f t="shared" si="275"/>
        <v>763490</v>
      </c>
      <c r="O4236" s="181">
        <f t="shared" si="275"/>
        <v>763490</v>
      </c>
      <c r="P4236" s="181">
        <f t="shared" si="275"/>
        <v>763490</v>
      </c>
      <c r="Q4236" s="121"/>
      <c r="R4236" s="121"/>
      <c r="S4236" s="121"/>
      <c r="T4236" s="121"/>
      <c r="U4236" s="121"/>
      <c r="V4236" s="121"/>
      <c r="W4236" s="121"/>
      <c r="X4236" s="121"/>
      <c r="Y4236" s="121"/>
      <c r="Z4236" s="121"/>
      <c r="AA4236" s="121"/>
      <c r="AB4236" s="121"/>
    </row>
    <row r="4237">
      <c r="A4237" s="413" t="s">
        <v>158</v>
      </c>
      <c r="B4237" s="180">
        <v>90728.0</v>
      </c>
      <c r="C4237" s="180">
        <v>77031.0</v>
      </c>
      <c r="D4237" s="180">
        <v>162283.0</v>
      </c>
      <c r="E4237" s="180">
        <v>325997.0</v>
      </c>
      <c r="F4237" s="180">
        <v>427151.0</v>
      </c>
      <c r="G4237" s="181">
        <f t="shared" ref="G4237:P4237" si="276">F4237*1.1</f>
        <v>469866.1</v>
      </c>
      <c r="H4237" s="181">
        <f t="shared" si="276"/>
        <v>516852.71</v>
      </c>
      <c r="I4237" s="181">
        <f t="shared" si="276"/>
        <v>568537.981</v>
      </c>
      <c r="J4237" s="181">
        <f t="shared" si="276"/>
        <v>625391.7791</v>
      </c>
      <c r="K4237" s="181">
        <f t="shared" si="276"/>
        <v>687930.957</v>
      </c>
      <c r="L4237" s="181">
        <f t="shared" si="276"/>
        <v>756724.0527</v>
      </c>
      <c r="M4237" s="181">
        <f t="shared" si="276"/>
        <v>832396.458</v>
      </c>
      <c r="N4237" s="181">
        <f t="shared" si="276"/>
        <v>915636.1038</v>
      </c>
      <c r="O4237" s="181">
        <f t="shared" si="276"/>
        <v>1007199.714</v>
      </c>
      <c r="P4237" s="181">
        <f t="shared" si="276"/>
        <v>1107919.686</v>
      </c>
      <c r="Q4237" s="414"/>
      <c r="R4237" s="414"/>
      <c r="S4237" s="414"/>
      <c r="T4237" s="414"/>
      <c r="U4237" s="414"/>
      <c r="V4237" s="414"/>
      <c r="W4237" s="414"/>
      <c r="X4237" s="414"/>
      <c r="Y4237" s="414"/>
      <c r="Z4237" s="414"/>
      <c r="AA4237" s="414"/>
      <c r="AB4237" s="414"/>
    </row>
    <row r="4238">
      <c r="A4238" s="415" t="s">
        <v>159</v>
      </c>
      <c r="B4238" s="197">
        <v>85047.0</v>
      </c>
      <c r="C4238" s="197">
        <v>67540.0</v>
      </c>
      <c r="D4238" s="197">
        <v>134472.0</v>
      </c>
      <c r="E4238" s="197">
        <v>255607.0</v>
      </c>
      <c r="F4238" s="180">
        <v>305430.0</v>
      </c>
      <c r="G4238" s="181">
        <f t="shared" ref="G4238:P4238" si="277">G4237*0.75</f>
        <v>352399.575</v>
      </c>
      <c r="H4238" s="181">
        <f t="shared" si="277"/>
        <v>387639.5325</v>
      </c>
      <c r="I4238" s="181">
        <f t="shared" si="277"/>
        <v>426403.4858</v>
      </c>
      <c r="J4238" s="181">
        <f t="shared" si="277"/>
        <v>469043.8343</v>
      </c>
      <c r="K4238" s="181">
        <f t="shared" si="277"/>
        <v>515948.2178</v>
      </c>
      <c r="L4238" s="181">
        <f t="shared" si="277"/>
        <v>567543.0395</v>
      </c>
      <c r="M4238" s="181">
        <f t="shared" si="277"/>
        <v>624297.3435</v>
      </c>
      <c r="N4238" s="181">
        <f t="shared" si="277"/>
        <v>686727.0778</v>
      </c>
      <c r="O4238" s="181">
        <f t="shared" si="277"/>
        <v>755399.7856</v>
      </c>
      <c r="P4238" s="181">
        <f t="shared" si="277"/>
        <v>830939.7642</v>
      </c>
      <c r="Q4238" s="416"/>
      <c r="R4238" s="416"/>
      <c r="S4238" s="416"/>
      <c r="T4238" s="416"/>
      <c r="U4238" s="416"/>
      <c r="V4238" s="416"/>
      <c r="W4238" s="416"/>
      <c r="X4238" s="416"/>
      <c r="Y4238" s="416"/>
      <c r="Z4238" s="416"/>
      <c r="AA4238" s="416"/>
      <c r="AB4238" s="416"/>
    </row>
    <row r="4239">
      <c r="A4239" s="186" t="s">
        <v>160</v>
      </c>
      <c r="B4239" s="187">
        <f t="shared" ref="B4239:P4239" si="278">(B4237)-(B4238)</f>
        <v>5681</v>
      </c>
      <c r="C4239" s="187">
        <f t="shared" si="278"/>
        <v>9491</v>
      </c>
      <c r="D4239" s="187">
        <f t="shared" si="278"/>
        <v>27811</v>
      </c>
      <c r="E4239" s="187">
        <f t="shared" si="278"/>
        <v>70390</v>
      </c>
      <c r="F4239" s="187">
        <f t="shared" si="278"/>
        <v>121721</v>
      </c>
      <c r="G4239" s="417">
        <f t="shared" si="278"/>
        <v>117466.525</v>
      </c>
      <c r="H4239" s="417">
        <f t="shared" si="278"/>
        <v>129213.1775</v>
      </c>
      <c r="I4239" s="417">
        <f t="shared" si="278"/>
        <v>142134.4953</v>
      </c>
      <c r="J4239" s="417">
        <f t="shared" si="278"/>
        <v>156347.9448</v>
      </c>
      <c r="K4239" s="417">
        <f t="shared" si="278"/>
        <v>171982.7393</v>
      </c>
      <c r="L4239" s="417">
        <f t="shared" si="278"/>
        <v>189181.0132</v>
      </c>
      <c r="M4239" s="417">
        <f t="shared" si="278"/>
        <v>208099.1145</v>
      </c>
      <c r="N4239" s="417">
        <f t="shared" si="278"/>
        <v>228909.0259</v>
      </c>
      <c r="O4239" s="417">
        <f t="shared" si="278"/>
        <v>251799.9285</v>
      </c>
      <c r="P4239" s="417">
        <f t="shared" si="278"/>
        <v>276979.9214</v>
      </c>
      <c r="Q4239" s="416"/>
      <c r="R4239" s="416"/>
      <c r="S4239" s="416"/>
      <c r="T4239" s="416"/>
      <c r="U4239" s="416"/>
      <c r="V4239" s="416"/>
      <c r="W4239" s="416"/>
      <c r="X4239" s="416"/>
      <c r="Y4239" s="416"/>
      <c r="Z4239" s="416"/>
      <c r="AA4239" s="416"/>
      <c r="AB4239" s="416"/>
    </row>
    <row r="4240">
      <c r="A4240" s="194" t="s">
        <v>162</v>
      </c>
      <c r="B4240" s="195">
        <v>42.0</v>
      </c>
      <c r="C4240" s="195">
        <v>32.0</v>
      </c>
      <c r="D4240" s="195">
        <v>70.0</v>
      </c>
      <c r="E4240" s="180">
        <v>118.0</v>
      </c>
      <c r="F4240" s="180">
        <v>120.0</v>
      </c>
      <c r="G4240" s="181">
        <f t="shared" ref="G4240:P4240" si="279">G4237/G4242</f>
        <v>120.509387</v>
      </c>
      <c r="H4240" s="181">
        <f t="shared" si="279"/>
        <v>132.5603257</v>
      </c>
      <c r="I4240" s="181">
        <f t="shared" si="279"/>
        <v>145.8163583</v>
      </c>
      <c r="J4240" s="181">
        <f t="shared" si="279"/>
        <v>160.3979941</v>
      </c>
      <c r="K4240" s="181">
        <f t="shared" si="279"/>
        <v>176.4377935</v>
      </c>
      <c r="L4240" s="181">
        <f t="shared" si="279"/>
        <v>194.0815729</v>
      </c>
      <c r="M4240" s="181">
        <f t="shared" si="279"/>
        <v>213.4897302</v>
      </c>
      <c r="N4240" s="181">
        <f t="shared" si="279"/>
        <v>234.8387032</v>
      </c>
      <c r="O4240" s="181">
        <f t="shared" si="279"/>
        <v>258.3225735</v>
      </c>
      <c r="P4240" s="181">
        <f t="shared" si="279"/>
        <v>443.1678742</v>
      </c>
      <c r="Q4240" s="416"/>
      <c r="R4240" s="416"/>
      <c r="S4240" s="416"/>
      <c r="T4240" s="416"/>
      <c r="U4240" s="416"/>
      <c r="V4240" s="416"/>
      <c r="W4240" s="416"/>
      <c r="X4240" s="416"/>
      <c r="Y4240" s="416"/>
      <c r="Z4240" s="416"/>
      <c r="AA4240" s="416"/>
      <c r="AB4240" s="416"/>
    </row>
    <row r="4241" ht="12.0" customHeight="1">
      <c r="A4241" s="418" t="s">
        <v>163</v>
      </c>
      <c r="B4241" s="197">
        <v>0.93</v>
      </c>
      <c r="C4241" s="197">
        <v>0.69</v>
      </c>
      <c r="D4241" s="197">
        <v>0.88</v>
      </c>
      <c r="E4241" s="180">
        <v>0.88</v>
      </c>
      <c r="F4241" s="180">
        <v>0.65</v>
      </c>
      <c r="G4241" s="181">
        <f t="shared" ref="G4241:O4241" si="280">F4241</f>
        <v>0.65</v>
      </c>
      <c r="H4241" s="181">
        <f t="shared" si="280"/>
        <v>0.65</v>
      </c>
      <c r="I4241" s="181">
        <f t="shared" si="280"/>
        <v>0.65</v>
      </c>
      <c r="J4241" s="181">
        <f t="shared" si="280"/>
        <v>0.65</v>
      </c>
      <c r="K4241" s="181">
        <f t="shared" si="280"/>
        <v>0.65</v>
      </c>
      <c r="L4241" s="181">
        <f t="shared" si="280"/>
        <v>0.65</v>
      </c>
      <c r="M4241" s="181">
        <f t="shared" si="280"/>
        <v>0.65</v>
      </c>
      <c r="N4241" s="181">
        <f t="shared" si="280"/>
        <v>0.65</v>
      </c>
      <c r="O4241" s="181">
        <f t="shared" si="280"/>
        <v>0.65</v>
      </c>
      <c r="P4241" s="181">
        <v>0.75</v>
      </c>
      <c r="Q4241" s="414"/>
      <c r="R4241" s="414"/>
      <c r="S4241" s="414"/>
      <c r="T4241" s="414"/>
      <c r="U4241" s="414"/>
      <c r="V4241" s="414"/>
      <c r="W4241" s="414"/>
      <c r="X4241" s="414"/>
      <c r="Y4241" s="414"/>
      <c r="Z4241" s="414"/>
      <c r="AA4241" s="414"/>
      <c r="AB4241" s="414"/>
    </row>
    <row r="4242" ht="12.0" customHeight="1">
      <c r="A4242" s="418" t="s">
        <v>164</v>
      </c>
      <c r="B4242" s="197">
        <v>2605.0</v>
      </c>
      <c r="C4242" s="197">
        <v>2717.0</v>
      </c>
      <c r="D4242" s="197">
        <v>2428.0</v>
      </c>
      <c r="E4242" s="180">
        <v>3146.0</v>
      </c>
      <c r="F4242" s="180">
        <v>3899.0</v>
      </c>
      <c r="G4242" s="181">
        <f t="shared" ref="G4242:O4242" si="281">F4242</f>
        <v>3899</v>
      </c>
      <c r="H4242" s="181">
        <f t="shared" si="281"/>
        <v>3899</v>
      </c>
      <c r="I4242" s="181">
        <f t="shared" si="281"/>
        <v>3899</v>
      </c>
      <c r="J4242" s="181">
        <f t="shared" si="281"/>
        <v>3899</v>
      </c>
      <c r="K4242" s="181">
        <f t="shared" si="281"/>
        <v>3899</v>
      </c>
      <c r="L4242" s="181">
        <f t="shared" si="281"/>
        <v>3899</v>
      </c>
      <c r="M4242" s="181">
        <f t="shared" si="281"/>
        <v>3899</v>
      </c>
      <c r="N4242" s="181">
        <f t="shared" si="281"/>
        <v>3899</v>
      </c>
      <c r="O4242" s="181">
        <f t="shared" si="281"/>
        <v>3899</v>
      </c>
      <c r="P4242" s="181">
        <v>2500.0</v>
      </c>
      <c r="Q4242" s="414"/>
      <c r="R4242" s="414"/>
      <c r="S4242" s="414"/>
      <c r="T4242" s="414"/>
      <c r="U4242" s="414"/>
      <c r="V4242" s="414"/>
      <c r="W4242" s="414"/>
      <c r="X4242" s="414"/>
      <c r="Y4242" s="414"/>
      <c r="Z4242" s="414"/>
      <c r="AA4242" s="414"/>
      <c r="AB4242" s="414"/>
    </row>
    <row r="4243">
      <c r="A4243" s="190" t="s">
        <v>165</v>
      </c>
      <c r="B4243" s="197">
        <f>B4244/31</f>
        <v>57.58064516</v>
      </c>
      <c r="C4243" s="197">
        <f>C4244/30</f>
        <v>56.36666667</v>
      </c>
      <c r="D4243" s="197">
        <f t="shared" ref="D4243:E4243" si="282">D4244/31</f>
        <v>96.12903226</v>
      </c>
      <c r="E4243" s="197">
        <f t="shared" si="282"/>
        <v>193.1290323</v>
      </c>
      <c r="F4243" s="197">
        <f>F4244/28</f>
        <v>231.4642857</v>
      </c>
      <c r="G4243" s="181"/>
      <c r="H4243" s="181"/>
      <c r="I4243" s="181"/>
      <c r="J4243" s="181"/>
      <c r="K4243" s="181"/>
      <c r="L4243" s="181"/>
      <c r="M4243" s="181"/>
      <c r="N4243" s="181"/>
      <c r="O4243" s="181"/>
      <c r="P4243" s="181"/>
      <c r="Q4243" s="416"/>
      <c r="R4243" s="416"/>
      <c r="S4243" s="416"/>
      <c r="T4243" s="416"/>
      <c r="U4243" s="416"/>
      <c r="V4243" s="416"/>
      <c r="W4243" s="416"/>
      <c r="X4243" s="416"/>
      <c r="Y4243" s="416"/>
      <c r="Z4243" s="416"/>
      <c r="AA4243" s="416"/>
      <c r="AB4243" s="416"/>
    </row>
    <row r="4244">
      <c r="A4244" s="194" t="s">
        <v>166</v>
      </c>
      <c r="B4244" s="197">
        <v>1785.0</v>
      </c>
      <c r="C4244" s="197">
        <v>1691.0</v>
      </c>
      <c r="D4244" s="197">
        <v>2980.0</v>
      </c>
      <c r="E4244" s="180">
        <v>5987.0</v>
      </c>
      <c r="F4244" s="180">
        <v>6481.0</v>
      </c>
      <c r="G4244" s="181"/>
      <c r="H4244" s="181"/>
      <c r="I4244" s="181"/>
      <c r="J4244" s="181"/>
      <c r="K4244" s="181"/>
      <c r="L4244" s="181"/>
      <c r="M4244" s="181"/>
      <c r="N4244" s="181"/>
      <c r="O4244" s="181"/>
      <c r="P4244" s="181"/>
      <c r="Q4244" s="416"/>
      <c r="R4244" s="416"/>
      <c r="S4244" s="416"/>
      <c r="T4244" s="416"/>
      <c r="U4244" s="416"/>
      <c r="V4244" s="416"/>
      <c r="W4244" s="416"/>
      <c r="X4244" s="416"/>
      <c r="Y4244" s="416"/>
      <c r="Z4244" s="416"/>
      <c r="AA4244" s="416"/>
      <c r="AB4244" s="416"/>
    </row>
    <row r="4245">
      <c r="A4245" s="182" t="s">
        <v>168</v>
      </c>
      <c r="B4245" s="183">
        <v>700.0</v>
      </c>
      <c r="C4245" s="183">
        <v>700.0</v>
      </c>
      <c r="D4245" s="183">
        <v>1500.0</v>
      </c>
      <c r="E4245" s="183">
        <v>8955.0</v>
      </c>
      <c r="F4245" s="180"/>
      <c r="G4245" s="181"/>
      <c r="H4245" s="181"/>
      <c r="I4245" s="181"/>
      <c r="J4245" s="181"/>
      <c r="K4245" s="181"/>
      <c r="L4245" s="181"/>
      <c r="M4245" s="181"/>
      <c r="N4245" s="181"/>
      <c r="O4245" s="181"/>
      <c r="P4245" s="181"/>
      <c r="Q4245" s="416"/>
      <c r="R4245" s="416"/>
      <c r="S4245" s="416"/>
      <c r="T4245" s="416"/>
      <c r="U4245" s="416"/>
      <c r="V4245" s="416"/>
      <c r="W4245" s="416"/>
      <c r="X4245" s="416"/>
      <c r="Y4245" s="416"/>
      <c r="Z4245" s="416"/>
      <c r="AA4245" s="416"/>
      <c r="AB4245" s="416"/>
    </row>
    <row r="4246">
      <c r="A4246" s="419" t="s">
        <v>1847</v>
      </c>
      <c r="B4246" s="198">
        <f>(B4239)-(B4245)</f>
        <v>4981</v>
      </c>
      <c r="C4246" s="198">
        <f t="shared" ref="C4246:P4246" si="283">(B4246)+((C4239)-(C4245))</f>
        <v>13772</v>
      </c>
      <c r="D4246" s="198">
        <f t="shared" si="283"/>
        <v>40083</v>
      </c>
      <c r="E4246" s="198">
        <f t="shared" si="283"/>
        <v>101518</v>
      </c>
      <c r="F4246" s="198">
        <f t="shared" si="283"/>
        <v>223239</v>
      </c>
      <c r="G4246" s="420">
        <f t="shared" si="283"/>
        <v>340705.525</v>
      </c>
      <c r="H4246" s="420">
        <f t="shared" si="283"/>
        <v>469918.7025</v>
      </c>
      <c r="I4246" s="420">
        <f t="shared" si="283"/>
        <v>612053.1978</v>
      </c>
      <c r="J4246" s="420">
        <f t="shared" si="283"/>
        <v>768401.1425</v>
      </c>
      <c r="K4246" s="420">
        <f t="shared" si="283"/>
        <v>940383.8818</v>
      </c>
      <c r="L4246" s="420">
        <f t="shared" si="283"/>
        <v>1129564.895</v>
      </c>
      <c r="M4246" s="420">
        <f t="shared" si="283"/>
        <v>1337664.009</v>
      </c>
      <c r="N4246" s="420">
        <f t="shared" si="283"/>
        <v>1566573.035</v>
      </c>
      <c r="O4246" s="420">
        <f t="shared" si="283"/>
        <v>1818372.964</v>
      </c>
      <c r="P4246" s="420">
        <f t="shared" si="283"/>
        <v>2095352.885</v>
      </c>
      <c r="Q4246" s="414"/>
      <c r="R4246" s="414"/>
      <c r="S4246" s="414"/>
      <c r="T4246" s="414"/>
      <c r="U4246" s="414"/>
      <c r="V4246" s="414"/>
      <c r="W4246" s="414"/>
      <c r="X4246" s="414"/>
      <c r="Y4246" s="414"/>
      <c r="Z4246" s="414"/>
      <c r="AA4246" s="414"/>
      <c r="AB4246" s="414"/>
    </row>
    <row r="4248">
      <c r="A4248" s="176" t="s">
        <v>1222</v>
      </c>
      <c r="B4248" s="177" t="s">
        <v>147</v>
      </c>
      <c r="C4248" s="177" t="s">
        <v>148</v>
      </c>
      <c r="D4248" s="177" t="s">
        <v>149</v>
      </c>
      <c r="E4248" s="177" t="s">
        <v>150</v>
      </c>
      <c r="F4248" s="177" t="s">
        <v>151</v>
      </c>
      <c r="G4248" s="177" t="s">
        <v>152</v>
      </c>
      <c r="H4248" s="130"/>
      <c r="I4248" s="130"/>
      <c r="J4248" s="130"/>
      <c r="K4248" s="130"/>
      <c r="L4248" s="130"/>
      <c r="M4248" s="130"/>
      <c r="N4248" s="130"/>
      <c r="O4248" s="130"/>
    </row>
    <row r="4249">
      <c r="A4249" s="179" t="s">
        <v>157</v>
      </c>
      <c r="B4249" s="180">
        <f>B4250*1.25</f>
        <v>179976.25</v>
      </c>
      <c r="C4249" s="180">
        <v>200000.0</v>
      </c>
      <c r="D4249" s="180">
        <v>162770.0</v>
      </c>
      <c r="E4249" s="180">
        <v>150000.0</v>
      </c>
      <c r="F4249" s="180">
        <v>125000.0</v>
      </c>
      <c r="G4249" s="180">
        <v>100000.0</v>
      </c>
      <c r="H4249" s="140"/>
      <c r="I4249" s="140"/>
      <c r="J4249" s="140"/>
      <c r="K4249" s="140"/>
      <c r="L4249" s="140"/>
      <c r="M4249" s="140"/>
      <c r="N4249" s="140"/>
      <c r="O4249" s="140"/>
    </row>
    <row r="4250">
      <c r="A4250" s="123" t="s">
        <v>158</v>
      </c>
      <c r="B4250" s="180">
        <v>143981.0</v>
      </c>
      <c r="C4250" s="180">
        <v>107763.0</v>
      </c>
      <c r="D4250" s="180">
        <v>198033.0</v>
      </c>
      <c r="E4250" s="180">
        <v>125585.0</v>
      </c>
      <c r="F4250" s="180">
        <v>104287.0</v>
      </c>
      <c r="G4250" s="180">
        <v>57279.0</v>
      </c>
      <c r="H4250" s="140"/>
      <c r="I4250" s="140"/>
      <c r="J4250" s="140"/>
      <c r="K4250" s="140"/>
      <c r="L4250" s="140"/>
      <c r="M4250" s="140"/>
      <c r="N4250" s="140"/>
      <c r="O4250" s="140"/>
    </row>
    <row r="4251">
      <c r="A4251" s="182" t="s">
        <v>159</v>
      </c>
      <c r="B4251" s="183">
        <v>117310.0</v>
      </c>
      <c r="C4251" s="183">
        <v>82725.0</v>
      </c>
      <c r="D4251" s="183">
        <v>163530.0</v>
      </c>
      <c r="E4251" s="183">
        <v>103090.0</v>
      </c>
      <c r="F4251" s="183">
        <v>80480.0</v>
      </c>
      <c r="G4251" s="183">
        <v>46822.0</v>
      </c>
      <c r="H4251" s="185"/>
      <c r="I4251" s="185"/>
      <c r="J4251" s="185"/>
      <c r="K4251" s="185"/>
      <c r="L4251" s="185"/>
      <c r="M4251" s="185"/>
      <c r="N4251" s="185"/>
      <c r="O4251" s="185"/>
    </row>
    <row r="4252">
      <c r="A4252" s="186" t="s">
        <v>160</v>
      </c>
      <c r="B4252" s="187">
        <f t="shared" ref="B4252:G4252" si="284">(B4250)-(B4251)</f>
        <v>26671</v>
      </c>
      <c r="C4252" s="187">
        <f t="shared" si="284"/>
        <v>25038</v>
      </c>
      <c r="D4252" s="187">
        <f t="shared" si="284"/>
        <v>34503</v>
      </c>
      <c r="E4252" s="187">
        <f t="shared" si="284"/>
        <v>22495</v>
      </c>
      <c r="F4252" s="187">
        <f t="shared" si="284"/>
        <v>23807</v>
      </c>
      <c r="G4252" s="187">
        <f t="shared" si="284"/>
        <v>10457</v>
      </c>
      <c r="H4252" s="189"/>
      <c r="I4252" s="189"/>
      <c r="J4252" s="189"/>
      <c r="K4252" s="189"/>
      <c r="L4252" s="189"/>
      <c r="M4252" s="189"/>
      <c r="N4252" s="189"/>
      <c r="O4252" s="189"/>
    </row>
    <row r="4253">
      <c r="A4253" s="190" t="s">
        <v>161</v>
      </c>
      <c r="B4253" s="191">
        <f t="shared" ref="B4253:G4253" si="285">B4254/30</f>
        <v>2.266666667</v>
      </c>
      <c r="C4253" s="191">
        <f t="shared" si="285"/>
        <v>1.633333333</v>
      </c>
      <c r="D4253" s="191">
        <f t="shared" si="285"/>
        <v>1.933333333</v>
      </c>
      <c r="E4253" s="191">
        <f t="shared" si="285"/>
        <v>1.733333333</v>
      </c>
      <c r="F4253" s="191">
        <f t="shared" si="285"/>
        <v>1.333333333</v>
      </c>
      <c r="G4253" s="191">
        <f t="shared" si="285"/>
        <v>0.8333333333</v>
      </c>
      <c r="H4253" s="386"/>
      <c r="I4253" s="386"/>
      <c r="J4253" s="386"/>
      <c r="K4253" s="386"/>
      <c r="L4253" s="386"/>
      <c r="M4253" s="386"/>
      <c r="N4253" s="386"/>
      <c r="O4253" s="386"/>
    </row>
    <row r="4254">
      <c r="A4254" s="194" t="s">
        <v>162</v>
      </c>
      <c r="B4254" s="195">
        <v>68.0</v>
      </c>
      <c r="C4254" s="195">
        <v>49.0</v>
      </c>
      <c r="D4254" s="195">
        <v>58.0</v>
      </c>
      <c r="E4254" s="195">
        <v>52.0</v>
      </c>
      <c r="F4254" s="195">
        <v>40.0</v>
      </c>
      <c r="G4254" s="195">
        <v>25.0</v>
      </c>
      <c r="H4254" s="421"/>
      <c r="I4254" s="421"/>
      <c r="J4254" s="421"/>
      <c r="K4254" s="421"/>
      <c r="L4254" s="421"/>
      <c r="M4254" s="421"/>
      <c r="N4254" s="421"/>
      <c r="O4254" s="421"/>
    </row>
    <row r="4255" ht="12.0" customHeight="1">
      <c r="A4255" s="160" t="s">
        <v>163</v>
      </c>
      <c r="B4255" s="197">
        <v>1.78</v>
      </c>
      <c r="C4255" s="197">
        <v>1.52</v>
      </c>
      <c r="D4255" s="197">
        <v>1.61</v>
      </c>
      <c r="E4255" s="197">
        <v>1.31</v>
      </c>
      <c r="F4255" s="197">
        <v>1.35</v>
      </c>
      <c r="G4255" s="197">
        <v>1.13</v>
      </c>
      <c r="H4255" s="196"/>
      <c r="I4255" s="196"/>
      <c r="J4255" s="196"/>
      <c r="K4255" s="196"/>
      <c r="L4255" s="196"/>
      <c r="M4255" s="196"/>
      <c r="N4255" s="196"/>
      <c r="O4255" s="196"/>
    </row>
    <row r="4256" ht="12.0" customHeight="1">
      <c r="A4256" s="160" t="s">
        <v>164</v>
      </c>
      <c r="B4256" s="197">
        <v>1516.0</v>
      </c>
      <c r="C4256" s="197">
        <v>2234.0</v>
      </c>
      <c r="D4256" s="197">
        <v>2092.0</v>
      </c>
      <c r="E4256" s="197">
        <v>2877.0</v>
      </c>
      <c r="F4256" s="197">
        <v>1686.0</v>
      </c>
      <c r="G4256" s="197">
        <v>1419.0</v>
      </c>
      <c r="H4256" s="196"/>
      <c r="I4256" s="196"/>
      <c r="J4256" s="196"/>
      <c r="K4256" s="196"/>
      <c r="L4256" s="196"/>
      <c r="M4256" s="196"/>
      <c r="N4256" s="196"/>
      <c r="O4256" s="196"/>
    </row>
    <row r="4257">
      <c r="A4257" s="190" t="s">
        <v>165</v>
      </c>
      <c r="B4257" s="195">
        <f t="shared" ref="B4257:G4257" si="286">B4258/30</f>
        <v>125.7</v>
      </c>
      <c r="C4257" s="195">
        <f t="shared" si="286"/>
        <v>100.9</v>
      </c>
      <c r="D4257" s="195">
        <f t="shared" si="286"/>
        <v>113.5666667</v>
      </c>
      <c r="E4257" s="195">
        <f t="shared" si="286"/>
        <v>119.1666667</v>
      </c>
      <c r="F4257" s="195">
        <f t="shared" si="286"/>
        <v>94.16666667</v>
      </c>
      <c r="G4257" s="195">
        <f t="shared" si="286"/>
        <v>71</v>
      </c>
      <c r="H4257" s="421"/>
      <c r="I4257" s="421"/>
      <c r="J4257" s="421"/>
      <c r="K4257" s="421"/>
      <c r="L4257" s="421"/>
      <c r="M4257" s="421"/>
      <c r="N4257" s="421"/>
      <c r="O4257" s="421"/>
    </row>
    <row r="4258">
      <c r="A4258" s="194" t="s">
        <v>166</v>
      </c>
      <c r="B4258" s="195">
        <v>3771.0</v>
      </c>
      <c r="C4258" s="195">
        <v>3027.0</v>
      </c>
      <c r="D4258" s="195">
        <v>3407.0</v>
      </c>
      <c r="E4258" s="195">
        <v>3575.0</v>
      </c>
      <c r="F4258" s="195">
        <v>2825.0</v>
      </c>
      <c r="G4258" s="195">
        <v>2130.0</v>
      </c>
      <c r="H4258" s="421"/>
      <c r="I4258" s="421"/>
      <c r="J4258" s="421"/>
      <c r="K4258" s="421"/>
      <c r="L4258" s="421"/>
      <c r="M4258" s="421"/>
      <c r="N4258" s="421"/>
      <c r="O4258" s="421"/>
    </row>
    <row r="4259">
      <c r="A4259" s="194" t="s">
        <v>167</v>
      </c>
      <c r="B4259" s="195">
        <v>6250.0</v>
      </c>
      <c r="C4259" s="195">
        <v>6400.0</v>
      </c>
      <c r="D4259" s="195">
        <v>6428.0</v>
      </c>
      <c r="E4259" s="195">
        <v>6555.0</v>
      </c>
      <c r="F4259" s="195">
        <v>6666.0</v>
      </c>
      <c r="G4259" s="195">
        <v>6777.0</v>
      </c>
      <c r="H4259" s="421"/>
      <c r="I4259" s="421"/>
      <c r="J4259" s="421"/>
      <c r="K4259" s="421"/>
      <c r="L4259" s="421"/>
      <c r="M4259" s="421"/>
      <c r="N4259" s="421"/>
      <c r="O4259" s="421"/>
    </row>
    <row r="4260">
      <c r="A4260" s="182" t="s">
        <v>168</v>
      </c>
      <c r="B4260" s="183">
        <v>8802.0</v>
      </c>
      <c r="C4260" s="183">
        <v>10346.0</v>
      </c>
      <c r="D4260" s="183">
        <v>4995.0</v>
      </c>
      <c r="E4260" s="183">
        <v>8086.0</v>
      </c>
      <c r="F4260" s="183">
        <v>3377.0</v>
      </c>
      <c r="G4260" s="183">
        <v>11537.0</v>
      </c>
      <c r="H4260" s="185"/>
      <c r="I4260" s="185"/>
      <c r="J4260" s="185"/>
      <c r="K4260" s="185"/>
      <c r="L4260" s="185"/>
      <c r="M4260" s="185"/>
      <c r="N4260" s="185"/>
      <c r="O4260" s="185"/>
    </row>
    <row r="4261">
      <c r="A4261" s="122" t="s">
        <v>1847</v>
      </c>
      <c r="B4261" s="198">
        <f>(B4252)-(B4260)</f>
        <v>17869</v>
      </c>
      <c r="C4261" s="198">
        <f t="shared" ref="C4261:G4261" si="287">(B4261)+((C4252)-(C4260))</f>
        <v>32561</v>
      </c>
      <c r="D4261" s="198">
        <f t="shared" si="287"/>
        <v>62069</v>
      </c>
      <c r="E4261" s="198">
        <f t="shared" si="287"/>
        <v>76478</v>
      </c>
      <c r="F4261" s="198">
        <f t="shared" si="287"/>
        <v>96908</v>
      </c>
      <c r="G4261" s="198">
        <f t="shared" si="287"/>
        <v>95828</v>
      </c>
      <c r="H4261" s="199"/>
      <c r="I4261" s="199"/>
      <c r="J4261" s="199"/>
      <c r="K4261" s="199"/>
      <c r="L4261" s="199"/>
      <c r="M4261" s="199"/>
      <c r="N4261" s="199"/>
      <c r="O4261" s="199"/>
    </row>
    <row r="4263">
      <c r="A4263" s="176" t="s">
        <v>1414</v>
      </c>
      <c r="B4263" s="177" t="s">
        <v>145</v>
      </c>
      <c r="C4263" s="177" t="s">
        <v>146</v>
      </c>
      <c r="D4263" s="177" t="s">
        <v>147</v>
      </c>
      <c r="E4263" s="177" t="s">
        <v>148</v>
      </c>
      <c r="F4263" s="177" t="s">
        <v>149</v>
      </c>
      <c r="G4263" s="177" t="s">
        <v>150</v>
      </c>
      <c r="H4263" s="177" t="s">
        <v>151</v>
      </c>
      <c r="I4263" s="177" t="s">
        <v>152</v>
      </c>
      <c r="J4263" s="177" t="s">
        <v>153</v>
      </c>
      <c r="K4263" s="177" t="s">
        <v>154</v>
      </c>
      <c r="L4263" s="177" t="s">
        <v>155</v>
      </c>
      <c r="M4263" s="177" t="s">
        <v>156</v>
      </c>
      <c r="N4263" s="177" t="s">
        <v>1846</v>
      </c>
      <c r="O4263" s="177" t="s">
        <v>146</v>
      </c>
      <c r="P4263" s="130"/>
      <c r="Q4263" s="130"/>
      <c r="R4263" s="130"/>
      <c r="S4263" s="130"/>
      <c r="T4263" s="130"/>
      <c r="U4263" s="130"/>
      <c r="V4263" s="130"/>
      <c r="W4263" s="130"/>
      <c r="X4263" s="130"/>
      <c r="Y4263" s="130"/>
      <c r="Z4263" s="130"/>
      <c r="AA4263" s="130"/>
      <c r="AB4263" s="130"/>
    </row>
    <row r="4264">
      <c r="A4264" s="179" t="s">
        <v>157</v>
      </c>
      <c r="B4264" s="180">
        <f t="shared" ref="B4264:E4264" si="288">B4265*1.5</f>
        <v>40177.5</v>
      </c>
      <c r="C4264" s="180">
        <f t="shared" si="288"/>
        <v>44901</v>
      </c>
      <c r="D4264" s="180">
        <f t="shared" si="288"/>
        <v>114390</v>
      </c>
      <c r="E4264" s="180">
        <f t="shared" si="288"/>
        <v>206325</v>
      </c>
      <c r="F4264" s="180">
        <v>249875.0</v>
      </c>
      <c r="G4264" s="180">
        <v>431250.0</v>
      </c>
      <c r="H4264" s="180">
        <v>444470.0</v>
      </c>
      <c r="I4264" s="180">
        <v>319474.0</v>
      </c>
      <c r="J4264" s="180">
        <f>J4265*1.5</f>
        <v>410730</v>
      </c>
      <c r="K4264" s="180">
        <v>347550.0</v>
      </c>
      <c r="L4264" s="180">
        <v>227750.0</v>
      </c>
      <c r="M4264" s="180">
        <f>M4265*2</f>
        <v>423074</v>
      </c>
      <c r="N4264" s="180">
        <v>276330.0</v>
      </c>
      <c r="O4264" s="180">
        <v>235850.0</v>
      </c>
      <c r="P4264" s="140"/>
      <c r="Q4264" s="140"/>
      <c r="R4264" s="140"/>
      <c r="S4264" s="140"/>
      <c r="T4264" s="140"/>
      <c r="U4264" s="140"/>
      <c r="V4264" s="140"/>
      <c r="W4264" s="140"/>
      <c r="X4264" s="140"/>
      <c r="Y4264" s="140"/>
      <c r="Z4264" s="140"/>
      <c r="AA4264" s="140"/>
      <c r="AB4264" s="140"/>
    </row>
    <row r="4265">
      <c r="A4265" s="123" t="s">
        <v>158</v>
      </c>
      <c r="B4265" s="180">
        <v>26785.0</v>
      </c>
      <c r="C4265" s="180">
        <v>29934.0</v>
      </c>
      <c r="D4265" s="180">
        <v>76260.0</v>
      </c>
      <c r="E4265" s="180">
        <v>137550.0</v>
      </c>
      <c r="F4265" s="180">
        <v>225850.0</v>
      </c>
      <c r="G4265" s="180">
        <v>412660.0</v>
      </c>
      <c r="H4265" s="180">
        <v>278075.0</v>
      </c>
      <c r="I4265" s="180">
        <v>272427.0</v>
      </c>
      <c r="J4265" s="180">
        <v>273820.0</v>
      </c>
      <c r="K4265" s="180">
        <v>419909.0</v>
      </c>
      <c r="L4265" s="180">
        <v>360662.0</v>
      </c>
      <c r="M4265" s="180">
        <v>211537.0</v>
      </c>
      <c r="N4265" s="180">
        <v>191434.0</v>
      </c>
      <c r="O4265" s="180">
        <v>164667.0</v>
      </c>
      <c r="P4265" s="140"/>
      <c r="Q4265" s="140"/>
      <c r="R4265" s="140"/>
      <c r="S4265" s="140"/>
      <c r="T4265" s="140"/>
      <c r="U4265" s="140"/>
      <c r="V4265" s="140"/>
      <c r="W4265" s="140"/>
      <c r="X4265" s="140"/>
      <c r="Y4265" s="140"/>
      <c r="Z4265" s="140"/>
      <c r="AA4265" s="140"/>
      <c r="AB4265" s="140"/>
    </row>
    <row r="4266">
      <c r="A4266" s="182" t="s">
        <v>159</v>
      </c>
      <c r="B4266" s="183">
        <v>19825.0</v>
      </c>
      <c r="C4266" s="183">
        <v>25335.0</v>
      </c>
      <c r="D4266" s="183">
        <v>66510.0</v>
      </c>
      <c r="E4266" s="183">
        <v>121250.0</v>
      </c>
      <c r="F4266" s="183">
        <v>203500.0</v>
      </c>
      <c r="G4266" s="183">
        <v>376210.0</v>
      </c>
      <c r="H4266" s="183">
        <v>247725.0</v>
      </c>
      <c r="I4266" s="183">
        <v>248020.0</v>
      </c>
      <c r="J4266" s="183">
        <v>244980.0</v>
      </c>
      <c r="K4266" s="183">
        <v>375940.0</v>
      </c>
      <c r="L4266" s="183">
        <v>324503.0</v>
      </c>
      <c r="M4266" s="183">
        <v>185380.0</v>
      </c>
      <c r="N4266" s="183">
        <v>167550.0</v>
      </c>
      <c r="O4266" s="183">
        <v>149440.0</v>
      </c>
      <c r="P4266" s="185"/>
      <c r="Q4266" s="185"/>
      <c r="R4266" s="185"/>
      <c r="S4266" s="185"/>
      <c r="T4266" s="185"/>
      <c r="U4266" s="185"/>
      <c r="V4266" s="185"/>
      <c r="W4266" s="185"/>
      <c r="X4266" s="185"/>
      <c r="Y4266" s="185"/>
      <c r="Z4266" s="185"/>
      <c r="AA4266" s="185"/>
      <c r="AB4266" s="185"/>
    </row>
    <row r="4267">
      <c r="A4267" s="186" t="s">
        <v>160</v>
      </c>
      <c r="B4267" s="187">
        <f t="shared" ref="B4267:O4267" si="289">(B4265)-(B4266)</f>
        <v>6960</v>
      </c>
      <c r="C4267" s="187">
        <f t="shared" si="289"/>
        <v>4599</v>
      </c>
      <c r="D4267" s="187">
        <f t="shared" si="289"/>
        <v>9750</v>
      </c>
      <c r="E4267" s="187">
        <f t="shared" si="289"/>
        <v>16300</v>
      </c>
      <c r="F4267" s="187">
        <f t="shared" si="289"/>
        <v>22350</v>
      </c>
      <c r="G4267" s="187">
        <f t="shared" si="289"/>
        <v>36450</v>
      </c>
      <c r="H4267" s="187">
        <f t="shared" si="289"/>
        <v>30350</v>
      </c>
      <c r="I4267" s="187">
        <f t="shared" si="289"/>
        <v>24407</v>
      </c>
      <c r="J4267" s="187">
        <f t="shared" si="289"/>
        <v>28840</v>
      </c>
      <c r="K4267" s="187">
        <f t="shared" si="289"/>
        <v>43969</v>
      </c>
      <c r="L4267" s="187">
        <f t="shared" si="289"/>
        <v>36159</v>
      </c>
      <c r="M4267" s="187">
        <f t="shared" si="289"/>
        <v>26157</v>
      </c>
      <c r="N4267" s="187">
        <f t="shared" si="289"/>
        <v>23884</v>
      </c>
      <c r="O4267" s="187">
        <f t="shared" si="289"/>
        <v>15227</v>
      </c>
      <c r="P4267" s="189"/>
      <c r="Q4267" s="189"/>
      <c r="R4267" s="189"/>
      <c r="S4267" s="189"/>
      <c r="T4267" s="189"/>
      <c r="U4267" s="189"/>
      <c r="V4267" s="189"/>
      <c r="W4267" s="189"/>
      <c r="X4267" s="189"/>
      <c r="Y4267" s="189"/>
      <c r="Z4267" s="189"/>
      <c r="AA4267" s="189"/>
      <c r="AB4267" s="189"/>
    </row>
    <row r="4268">
      <c r="A4268" s="190" t="s">
        <v>161</v>
      </c>
      <c r="B4268" s="191">
        <f t="shared" ref="B4268:O4268" si="290">B4269/30</f>
        <v>0.6</v>
      </c>
      <c r="C4268" s="191">
        <f t="shared" si="290"/>
        <v>0.6</v>
      </c>
      <c r="D4268" s="191">
        <f t="shared" si="290"/>
        <v>1.833333333</v>
      </c>
      <c r="E4268" s="191">
        <f t="shared" si="290"/>
        <v>3.066666667</v>
      </c>
      <c r="F4268" s="191">
        <f t="shared" si="290"/>
        <v>3.333333333</v>
      </c>
      <c r="G4268" s="191">
        <f t="shared" si="290"/>
        <v>3.3</v>
      </c>
      <c r="H4268" s="191">
        <f t="shared" si="290"/>
        <v>3.966666667</v>
      </c>
      <c r="I4268" s="191">
        <f t="shared" si="290"/>
        <v>3.2</v>
      </c>
      <c r="J4268" s="191">
        <f t="shared" si="290"/>
        <v>3.333333333</v>
      </c>
      <c r="K4268" s="191">
        <f t="shared" si="290"/>
        <v>4.1</v>
      </c>
      <c r="L4268" s="191">
        <f t="shared" si="290"/>
        <v>4.033333333</v>
      </c>
      <c r="M4268" s="191">
        <f t="shared" si="290"/>
        <v>2.5</v>
      </c>
      <c r="N4268" s="191">
        <f t="shared" si="290"/>
        <v>3.2</v>
      </c>
      <c r="O4268" s="191">
        <f t="shared" si="290"/>
        <v>3</v>
      </c>
      <c r="P4268" s="386"/>
      <c r="Q4268" s="386"/>
      <c r="R4268" s="386"/>
      <c r="S4268" s="386"/>
      <c r="T4268" s="386"/>
      <c r="U4268" s="386"/>
      <c r="V4268" s="386"/>
      <c r="W4268" s="386"/>
      <c r="X4268" s="386"/>
      <c r="Y4268" s="386"/>
      <c r="Z4268" s="386"/>
      <c r="AA4268" s="386"/>
      <c r="AB4268" s="386"/>
    </row>
    <row r="4269">
      <c r="A4269" s="194" t="s">
        <v>162</v>
      </c>
      <c r="B4269" s="191">
        <v>18.0</v>
      </c>
      <c r="C4269" s="191">
        <v>18.0</v>
      </c>
      <c r="D4269" s="191">
        <v>55.0</v>
      </c>
      <c r="E4269" s="195">
        <v>92.0</v>
      </c>
      <c r="F4269" s="195">
        <v>100.0</v>
      </c>
      <c r="G4269" s="195">
        <v>99.0</v>
      </c>
      <c r="H4269" s="195">
        <v>119.0</v>
      </c>
      <c r="I4269" s="195">
        <v>96.0</v>
      </c>
      <c r="J4269" s="195">
        <v>100.0</v>
      </c>
      <c r="K4269" s="195">
        <v>123.0</v>
      </c>
      <c r="L4269" s="195">
        <v>121.0</v>
      </c>
      <c r="M4269" s="195">
        <v>75.0</v>
      </c>
      <c r="N4269" s="195">
        <v>96.0</v>
      </c>
      <c r="O4269" s="195">
        <v>90.0</v>
      </c>
      <c r="P4269" s="421"/>
      <c r="Q4269" s="421"/>
      <c r="R4269" s="421"/>
      <c r="S4269" s="421"/>
      <c r="T4269" s="421"/>
      <c r="U4269" s="421"/>
      <c r="V4269" s="421"/>
      <c r="W4269" s="421"/>
      <c r="X4269" s="421"/>
      <c r="Y4269" s="421"/>
      <c r="Z4269" s="421"/>
      <c r="AA4269" s="421"/>
      <c r="AB4269" s="421"/>
    </row>
    <row r="4270" ht="12.0" customHeight="1">
      <c r="A4270" s="160" t="s">
        <v>163</v>
      </c>
      <c r="B4270" s="197">
        <v>3.93</v>
      </c>
      <c r="C4270" s="197">
        <v>5.92</v>
      </c>
      <c r="D4270" s="197">
        <v>5.12</v>
      </c>
      <c r="E4270" s="197">
        <v>5.54</v>
      </c>
      <c r="F4270" s="197">
        <v>4.67</v>
      </c>
      <c r="G4270" s="197">
        <v>2.81</v>
      </c>
      <c r="H4270" s="197">
        <v>3.59</v>
      </c>
      <c r="I4270" s="197">
        <v>2.1</v>
      </c>
      <c r="J4270" s="197">
        <v>2.7</v>
      </c>
      <c r="K4270" s="197">
        <v>1.86</v>
      </c>
      <c r="L4270" s="197">
        <v>3.47</v>
      </c>
      <c r="M4270" s="197">
        <v>1.68</v>
      </c>
      <c r="N4270" s="197">
        <v>1.95</v>
      </c>
      <c r="O4270" s="197">
        <v>1.15</v>
      </c>
      <c r="P4270" s="196"/>
      <c r="Q4270" s="196"/>
      <c r="R4270" s="196"/>
      <c r="S4270" s="196"/>
      <c r="T4270" s="196"/>
      <c r="U4270" s="196"/>
      <c r="V4270" s="196"/>
      <c r="W4270" s="196"/>
      <c r="X4270" s="196"/>
      <c r="Y4270" s="196"/>
      <c r="Z4270" s="196"/>
      <c r="AA4270" s="196"/>
      <c r="AB4270" s="196"/>
    </row>
    <row r="4271" ht="12.0" customHeight="1">
      <c r="A4271" s="160" t="s">
        <v>164</v>
      </c>
      <c r="B4271" s="197">
        <v>1096.0</v>
      </c>
      <c r="C4271" s="197">
        <v>1140.0</v>
      </c>
      <c r="D4271" s="197">
        <v>1430.0</v>
      </c>
      <c r="E4271" s="197">
        <v>1383.0</v>
      </c>
      <c r="F4271" s="197">
        <v>1696.0</v>
      </c>
      <c r="G4271" s="197">
        <v>3772.0</v>
      </c>
      <c r="H4271" s="197">
        <v>1902.0</v>
      </c>
      <c r="I4271" s="197">
        <v>2752.0</v>
      </c>
      <c r="J4271" s="197">
        <v>2437.0</v>
      </c>
      <c r="K4271" s="197">
        <v>2913.0</v>
      </c>
      <c r="L4271" s="197">
        <v>2694.0</v>
      </c>
      <c r="M4271" s="197">
        <v>2205.0</v>
      </c>
      <c r="N4271" s="197">
        <v>2031.0</v>
      </c>
      <c r="O4271" s="197">
        <v>2296.0</v>
      </c>
      <c r="P4271" s="196"/>
      <c r="Q4271" s="196"/>
      <c r="R4271" s="196"/>
      <c r="S4271" s="196"/>
      <c r="T4271" s="196"/>
      <c r="U4271" s="196"/>
      <c r="V4271" s="196"/>
      <c r="W4271" s="196"/>
      <c r="X4271" s="196"/>
      <c r="Y4271" s="196"/>
      <c r="Z4271" s="196"/>
      <c r="AA4271" s="196"/>
      <c r="AB4271" s="196"/>
    </row>
    <row r="4272">
      <c r="A4272" s="190" t="s">
        <v>165</v>
      </c>
      <c r="B4272" s="195">
        <f t="shared" ref="B4272:E4272" si="291">B4273/30</f>
        <v>11.03333333</v>
      </c>
      <c r="C4272" s="195">
        <f t="shared" si="291"/>
        <v>10.13333333</v>
      </c>
      <c r="D4272" s="195">
        <f t="shared" si="291"/>
        <v>32.56666667</v>
      </c>
      <c r="E4272" s="195">
        <f t="shared" si="291"/>
        <v>46.96666667</v>
      </c>
      <c r="F4272" s="195">
        <f>F4268*20</f>
        <v>66.66666667</v>
      </c>
      <c r="G4272" s="195">
        <f t="shared" ref="G4272:O4272" si="292">G4273/30</f>
        <v>103.3333333</v>
      </c>
      <c r="H4272" s="195">
        <f t="shared" si="292"/>
        <v>107.8</v>
      </c>
      <c r="I4272" s="195">
        <f t="shared" si="292"/>
        <v>143.1333333</v>
      </c>
      <c r="J4272" s="195">
        <f t="shared" si="292"/>
        <v>123.4666667</v>
      </c>
      <c r="K4272" s="195">
        <f t="shared" si="292"/>
        <v>211.3333333</v>
      </c>
      <c r="L4272" s="195">
        <f t="shared" si="292"/>
        <v>106.6333333</v>
      </c>
      <c r="M4272" s="195">
        <f t="shared" si="292"/>
        <v>141.0666667</v>
      </c>
      <c r="N4272" s="195">
        <f t="shared" si="292"/>
        <v>146.9</v>
      </c>
      <c r="O4272" s="195">
        <f t="shared" si="292"/>
        <v>234.5</v>
      </c>
      <c r="P4272" s="421"/>
      <c r="Q4272" s="421"/>
      <c r="R4272" s="421"/>
      <c r="S4272" s="421"/>
      <c r="T4272" s="421"/>
      <c r="U4272" s="421"/>
      <c r="V4272" s="421"/>
      <c r="W4272" s="421"/>
      <c r="X4272" s="421"/>
      <c r="Y4272" s="421"/>
      <c r="Z4272" s="421"/>
      <c r="AA4272" s="421"/>
      <c r="AB4272" s="421"/>
    </row>
    <row r="4273">
      <c r="A4273" s="194" t="s">
        <v>166</v>
      </c>
      <c r="B4273" s="195">
        <v>331.0</v>
      </c>
      <c r="C4273" s="195">
        <v>304.0</v>
      </c>
      <c r="D4273" s="195">
        <v>977.0</v>
      </c>
      <c r="E4273" s="195">
        <v>1409.0</v>
      </c>
      <c r="F4273" s="195">
        <v>1992.0</v>
      </c>
      <c r="G4273" s="195">
        <v>3100.0</v>
      </c>
      <c r="H4273" s="195">
        <v>3234.0</v>
      </c>
      <c r="I4273" s="195">
        <v>4294.0</v>
      </c>
      <c r="J4273" s="195">
        <v>3704.0</v>
      </c>
      <c r="K4273" s="195">
        <v>6340.0</v>
      </c>
      <c r="L4273" s="195">
        <v>3199.0</v>
      </c>
      <c r="M4273" s="195">
        <v>4232.0</v>
      </c>
      <c r="N4273" s="195">
        <v>4407.0</v>
      </c>
      <c r="O4273" s="195">
        <v>7035.0</v>
      </c>
      <c r="P4273" s="421"/>
      <c r="Q4273" s="421"/>
      <c r="R4273" s="421"/>
      <c r="S4273" s="421"/>
      <c r="T4273" s="421"/>
      <c r="U4273" s="421"/>
      <c r="V4273" s="421"/>
      <c r="W4273" s="421"/>
      <c r="X4273" s="421"/>
      <c r="Y4273" s="421"/>
      <c r="Z4273" s="421"/>
      <c r="AA4273" s="421"/>
      <c r="AB4273" s="421"/>
    </row>
    <row r="4274">
      <c r="A4274" s="194" t="s">
        <v>167</v>
      </c>
      <c r="B4274" s="195">
        <v>0.0</v>
      </c>
      <c r="C4274" s="195">
        <v>0.0</v>
      </c>
      <c r="D4274" s="195"/>
      <c r="E4274" s="195">
        <v>1375.0</v>
      </c>
      <c r="F4274" s="195">
        <v>2215.0</v>
      </c>
      <c r="G4274" s="195">
        <v>3387.0</v>
      </c>
      <c r="H4274" s="195">
        <v>3611.0</v>
      </c>
      <c r="I4274" s="195">
        <v>3741.0</v>
      </c>
      <c r="J4274" s="195">
        <v>4000.0</v>
      </c>
      <c r="K4274" s="195">
        <v>4500.0</v>
      </c>
      <c r="L4274" s="195">
        <v>4900.0</v>
      </c>
      <c r="M4274" s="195">
        <v>5200.0</v>
      </c>
      <c r="N4274" s="195">
        <v>5500.0</v>
      </c>
      <c r="O4274" s="195">
        <v>5750.0</v>
      </c>
      <c r="P4274" s="421"/>
      <c r="Q4274" s="421"/>
      <c r="R4274" s="421"/>
      <c r="S4274" s="421"/>
      <c r="T4274" s="421"/>
      <c r="U4274" s="421"/>
      <c r="V4274" s="421"/>
      <c r="W4274" s="421"/>
      <c r="X4274" s="421"/>
      <c r="Y4274" s="421"/>
      <c r="Z4274" s="421"/>
      <c r="AA4274" s="421"/>
      <c r="AB4274" s="421"/>
    </row>
    <row r="4275">
      <c r="A4275" s="182" t="s">
        <v>168</v>
      </c>
      <c r="B4275" s="183">
        <v>0.0</v>
      </c>
      <c r="C4275" s="183">
        <v>0.0</v>
      </c>
      <c r="D4275" s="183">
        <v>1259.0</v>
      </c>
      <c r="E4275" s="183">
        <v>3042.0</v>
      </c>
      <c r="F4275" s="183">
        <v>8273.0</v>
      </c>
      <c r="G4275" s="183">
        <v>5225.0</v>
      </c>
      <c r="H4275" s="183">
        <v>2702.0</v>
      </c>
      <c r="I4275" s="183">
        <v>1947.0</v>
      </c>
      <c r="J4275" s="183">
        <v>2986.0</v>
      </c>
      <c r="K4275" s="183">
        <v>6669.0</v>
      </c>
      <c r="L4275" s="183">
        <v>6046.0</v>
      </c>
      <c r="M4275" s="183">
        <v>8821.0</v>
      </c>
      <c r="N4275" s="183">
        <v>8680.0</v>
      </c>
      <c r="O4275" s="183">
        <v>6207.0</v>
      </c>
      <c r="P4275" s="185"/>
      <c r="Q4275" s="185"/>
      <c r="R4275" s="185"/>
      <c r="S4275" s="185"/>
      <c r="T4275" s="185"/>
      <c r="U4275" s="185"/>
      <c r="V4275" s="185"/>
      <c r="W4275" s="185"/>
      <c r="X4275" s="185"/>
      <c r="Y4275" s="185"/>
      <c r="Z4275" s="185"/>
      <c r="AA4275" s="185"/>
      <c r="AB4275" s="185"/>
    </row>
    <row r="4276">
      <c r="A4276" s="122" t="s">
        <v>1847</v>
      </c>
      <c r="B4276" s="198">
        <f>(B4267)-(B4275)</f>
        <v>6960</v>
      </c>
      <c r="C4276" s="198">
        <f t="shared" ref="C4276:O4276" si="293">(B4276)+((C4267)-(C4275))</f>
        <v>11559</v>
      </c>
      <c r="D4276" s="198">
        <f t="shared" si="293"/>
        <v>20050</v>
      </c>
      <c r="E4276" s="198">
        <f t="shared" si="293"/>
        <v>33308</v>
      </c>
      <c r="F4276" s="198">
        <f t="shared" si="293"/>
        <v>47385</v>
      </c>
      <c r="G4276" s="198">
        <f t="shared" si="293"/>
        <v>78610</v>
      </c>
      <c r="H4276" s="198">
        <f t="shared" si="293"/>
        <v>106258</v>
      </c>
      <c r="I4276" s="198">
        <f t="shared" si="293"/>
        <v>128718</v>
      </c>
      <c r="J4276" s="198">
        <f t="shared" si="293"/>
        <v>154572</v>
      </c>
      <c r="K4276" s="198">
        <f t="shared" si="293"/>
        <v>191872</v>
      </c>
      <c r="L4276" s="198">
        <f t="shared" si="293"/>
        <v>221985</v>
      </c>
      <c r="M4276" s="198">
        <f t="shared" si="293"/>
        <v>239321</v>
      </c>
      <c r="N4276" s="198">
        <f t="shared" si="293"/>
        <v>254525</v>
      </c>
      <c r="O4276" s="198">
        <f t="shared" si="293"/>
        <v>263545</v>
      </c>
      <c r="P4276" s="199"/>
      <c r="Q4276" s="199"/>
      <c r="R4276" s="199"/>
      <c r="S4276" s="199"/>
      <c r="T4276" s="199"/>
      <c r="U4276" s="199"/>
      <c r="V4276" s="199"/>
      <c r="W4276" s="199"/>
      <c r="X4276" s="199"/>
      <c r="Y4276" s="199"/>
      <c r="Z4276" s="199"/>
      <c r="AA4276" s="199"/>
      <c r="AB4276" s="199"/>
    </row>
    <row r="4278">
      <c r="A4278" s="200" t="s">
        <v>170</v>
      </c>
    </row>
  </sheetData>
  <hyperlinks>
    <hyperlink r:id="rId1" ref="A8"/>
    <hyperlink r:id="rId2" ref="A9"/>
    <hyperlink r:id="rId3" ref="A10"/>
    <hyperlink r:id="rId4" location="gid=580546752" ref="A11"/>
    <hyperlink r:id="rId5" ref="A4278"/>
  </hyperlinks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2" max="3" width="25.38"/>
    <col customWidth="1" min="4" max="5" width="25.25"/>
    <col customWidth="1" min="6" max="6" width="25.38"/>
  </cols>
  <sheetData>
    <row r="1">
      <c r="A1" s="422" t="s">
        <v>1848</v>
      </c>
      <c r="B1" s="422" t="s">
        <v>1849</v>
      </c>
      <c r="C1" s="422" t="s">
        <v>1850</v>
      </c>
      <c r="D1" s="422" t="s">
        <v>1851</v>
      </c>
      <c r="E1" s="422" t="s">
        <v>1852</v>
      </c>
      <c r="F1" s="422" t="s">
        <v>1853</v>
      </c>
    </row>
    <row r="2">
      <c r="A2" s="118">
        <v>1.0</v>
      </c>
      <c r="B2" s="118" t="s">
        <v>1854</v>
      </c>
      <c r="C2" s="118" t="s">
        <v>1855</v>
      </c>
      <c r="D2" s="118" t="s">
        <v>1856</v>
      </c>
      <c r="E2" s="118">
        <v>9750.0</v>
      </c>
      <c r="F2" s="118" t="s">
        <v>1857</v>
      </c>
    </row>
    <row r="3">
      <c r="A3" s="118">
        <v>2.0</v>
      </c>
      <c r="B3" s="118" t="s">
        <v>1858</v>
      </c>
      <c r="C3" s="118" t="s">
        <v>1859</v>
      </c>
      <c r="D3" s="118" t="s">
        <v>1860</v>
      </c>
      <c r="E3" s="118">
        <v>250.0</v>
      </c>
      <c r="F3" s="118" t="s">
        <v>1861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hidden="1" min="1" max="1" width="25.63"/>
    <col hidden="1" min="2" max="2" width="12.63"/>
    <col customWidth="1" hidden="1" min="3" max="3" width="6.38"/>
    <col customWidth="1" hidden="1" min="4" max="4" width="25.63"/>
    <col hidden="1" min="5" max="5" width="12.63"/>
    <col customWidth="1" hidden="1" min="6" max="6" width="6.38"/>
    <col customWidth="1" hidden="1" min="7" max="7" width="25.63"/>
    <col hidden="1" min="8" max="8" width="12.63"/>
    <col customWidth="1" hidden="1" min="9" max="9" width="6.38"/>
    <col customWidth="1" hidden="1" min="10" max="10" width="25.63"/>
    <col hidden="1" min="11" max="11" width="12.63"/>
    <col customWidth="1" hidden="1" min="12" max="12" width="6.38"/>
    <col customWidth="1" hidden="1" min="13" max="13" width="25.63"/>
    <col customWidth="1" hidden="1" min="14" max="14" width="12.63"/>
    <col customWidth="1" hidden="1" min="15" max="15" width="6.38"/>
    <col customWidth="1" hidden="1" min="16" max="16" width="25.63"/>
    <col hidden="1" min="17" max="17" width="12.63"/>
    <col customWidth="1" hidden="1" min="18" max="18" width="6.38"/>
    <col customWidth="1" hidden="1" min="19" max="19" width="25.63"/>
    <col hidden="1" min="20" max="20" width="12.63"/>
    <col customWidth="1" hidden="1" min="21" max="21" width="6.38"/>
    <col customWidth="1" hidden="1" min="22" max="22" width="25.63"/>
    <col hidden="1" min="23" max="23" width="12.63"/>
    <col customWidth="1" hidden="1" min="24" max="25" width="6.38"/>
    <col customWidth="1" min="26" max="26" width="6.38"/>
    <col customWidth="1" min="27" max="27" width="25.63"/>
    <col customWidth="1" min="29" max="31" width="6.38"/>
    <col customWidth="1" min="32" max="32" width="25.63"/>
    <col customWidth="1" min="34" max="36" width="6.38"/>
    <col customWidth="1" min="37" max="37" width="25.63"/>
    <col customWidth="1" min="38" max="38" width="13.13"/>
    <col customWidth="1" min="39" max="39" width="6.38"/>
    <col customWidth="1" min="40" max="40" width="25.63"/>
    <col customWidth="1" min="41" max="41" width="13.13"/>
    <col customWidth="1" min="42" max="45" width="6.38"/>
    <col customWidth="1" min="46" max="46" width="39.13"/>
    <col customWidth="1" min="47" max="47" width="13.13"/>
    <col customWidth="1" min="48" max="49" width="6.38"/>
    <col customWidth="1" min="50" max="50" width="75.13"/>
  </cols>
  <sheetData>
    <row r="1">
      <c r="A1" s="422" t="s">
        <v>1862</v>
      </c>
      <c r="D1" s="422" t="s">
        <v>1863</v>
      </c>
      <c r="G1" s="422" t="s">
        <v>1864</v>
      </c>
      <c r="I1" s="124"/>
      <c r="J1" s="422" t="s">
        <v>1865</v>
      </c>
      <c r="L1" s="124"/>
      <c r="M1" s="423" t="s">
        <v>1866</v>
      </c>
      <c r="O1" s="424"/>
      <c r="P1" s="425" t="s">
        <v>1867</v>
      </c>
      <c r="R1" s="424"/>
      <c r="S1" s="425" t="s">
        <v>1868</v>
      </c>
      <c r="U1" s="426"/>
      <c r="V1" s="425" t="s">
        <v>1869</v>
      </c>
      <c r="X1" s="206"/>
      <c r="Y1" s="426"/>
      <c r="Z1" s="426"/>
      <c r="AA1" s="425" t="s">
        <v>1870</v>
      </c>
      <c r="AC1" s="206"/>
      <c r="AD1" s="426"/>
      <c r="AE1" s="426"/>
      <c r="AF1" s="425">
        <v>2026.0</v>
      </c>
      <c r="AH1" s="206"/>
      <c r="AI1" s="426"/>
      <c r="AJ1" s="426"/>
      <c r="AK1" s="425" t="s">
        <v>1871</v>
      </c>
      <c r="AM1" s="426"/>
      <c r="AN1" s="427" t="s">
        <v>1872</v>
      </c>
      <c r="AO1" s="428" t="s">
        <v>1873</v>
      </c>
      <c r="AP1" s="428" t="s">
        <v>1874</v>
      </c>
      <c r="AQ1" s="426"/>
      <c r="AR1" s="426"/>
      <c r="AS1" s="426"/>
      <c r="AT1" s="427" t="s">
        <v>1875</v>
      </c>
      <c r="AU1" s="429"/>
      <c r="AV1" s="430"/>
      <c r="AW1" s="430"/>
      <c r="AX1" s="427" t="s">
        <v>1876</v>
      </c>
    </row>
    <row r="2">
      <c r="A2" s="422" t="s">
        <v>1877</v>
      </c>
      <c r="B2" s="431" t="s">
        <v>1878</v>
      </c>
      <c r="D2" s="422" t="s">
        <v>1877</v>
      </c>
      <c r="E2" s="431" t="s">
        <v>1878</v>
      </c>
      <c r="G2" s="422" t="s">
        <v>1877</v>
      </c>
      <c r="H2" s="431" t="s">
        <v>1878</v>
      </c>
      <c r="I2" s="124"/>
      <c r="J2" s="422" t="s">
        <v>1877</v>
      </c>
      <c r="K2" s="431" t="s">
        <v>1878</v>
      </c>
      <c r="L2" s="124"/>
      <c r="M2" s="432" t="s">
        <v>1877</v>
      </c>
      <c r="N2" s="433" t="s">
        <v>1878</v>
      </c>
      <c r="O2" s="424"/>
      <c r="P2" s="425" t="s">
        <v>1877</v>
      </c>
      <c r="Q2" s="434" t="s">
        <v>1878</v>
      </c>
      <c r="R2" s="424"/>
      <c r="S2" s="425" t="s">
        <v>1877</v>
      </c>
      <c r="T2" s="434" t="s">
        <v>1878</v>
      </c>
      <c r="U2" s="426"/>
      <c r="V2" s="425" t="s">
        <v>1877</v>
      </c>
      <c r="W2" s="434" t="s">
        <v>1878</v>
      </c>
      <c r="X2" s="206"/>
      <c r="Y2" s="426"/>
      <c r="Z2" s="426"/>
      <c r="AA2" s="425" t="s">
        <v>1877</v>
      </c>
      <c r="AB2" s="434" t="s">
        <v>1878</v>
      </c>
      <c r="AC2" s="206"/>
      <c r="AD2" s="426"/>
      <c r="AE2" s="426"/>
      <c r="AF2" s="425" t="s">
        <v>1877</v>
      </c>
      <c r="AG2" s="434" t="s">
        <v>1878</v>
      </c>
      <c r="AH2" s="206"/>
      <c r="AI2" s="426"/>
      <c r="AJ2" s="426"/>
      <c r="AK2" s="425" t="s">
        <v>1879</v>
      </c>
      <c r="AL2" s="434" t="s">
        <v>1878</v>
      </c>
      <c r="AM2" s="426"/>
      <c r="AN2" s="428" t="s">
        <v>1880</v>
      </c>
      <c r="AO2" s="435">
        <v>280000.0</v>
      </c>
      <c r="AP2" s="426">
        <v>92984.0</v>
      </c>
      <c r="AQ2" s="426">
        <v>16.0</v>
      </c>
      <c r="AR2" s="426">
        <v>16.0</v>
      </c>
      <c r="AS2" s="426"/>
      <c r="AT2" s="430"/>
      <c r="AU2" s="430"/>
      <c r="AV2" s="430"/>
      <c r="AW2" s="430"/>
      <c r="AX2" s="426" t="s">
        <v>1881</v>
      </c>
    </row>
    <row r="3">
      <c r="A3" s="123"/>
      <c r="B3" s="140"/>
      <c r="D3" s="123"/>
      <c r="E3" s="140"/>
      <c r="G3" s="123"/>
      <c r="H3" s="140"/>
      <c r="I3" s="123"/>
      <c r="J3" s="123"/>
      <c r="K3" s="140"/>
      <c r="L3" s="123"/>
      <c r="M3" s="436"/>
      <c r="N3" s="424"/>
      <c r="O3" s="424"/>
      <c r="P3" s="428"/>
      <c r="Q3" s="206"/>
      <c r="R3" s="424"/>
      <c r="S3" s="428"/>
      <c r="T3" s="206"/>
      <c r="U3" s="428"/>
      <c r="V3" s="428"/>
      <c r="W3" s="206"/>
      <c r="X3" s="206"/>
      <c r="Y3" s="428"/>
      <c r="Z3" s="428"/>
      <c r="AA3" s="428"/>
      <c r="AB3" s="206"/>
      <c r="AC3" s="206"/>
      <c r="AD3" s="428"/>
      <c r="AE3" s="428"/>
      <c r="AF3" s="428"/>
      <c r="AG3" s="206"/>
      <c r="AH3" s="206"/>
      <c r="AI3" s="428"/>
      <c r="AJ3" s="428"/>
      <c r="AK3" s="428"/>
      <c r="AL3" s="426"/>
      <c r="AM3" s="428"/>
      <c r="AN3" s="428" t="s">
        <v>1882</v>
      </c>
      <c r="AO3" s="435">
        <v>478000.0</v>
      </c>
      <c r="AP3" s="426">
        <v>143266.0</v>
      </c>
      <c r="AQ3" s="430">
        <f>(16+3)</f>
        <v>19</v>
      </c>
      <c r="AR3" s="426">
        <v>18.0</v>
      </c>
      <c r="AS3" s="426"/>
      <c r="AT3" s="428" t="s">
        <v>1883</v>
      </c>
      <c r="AU3" s="426">
        <v>10600.0</v>
      </c>
      <c r="AV3" s="426">
        <v>10600.0</v>
      </c>
      <c r="AW3" s="426"/>
      <c r="AX3" s="426" t="s">
        <v>1884</v>
      </c>
    </row>
    <row r="4">
      <c r="A4" s="437" t="s">
        <v>1885</v>
      </c>
      <c r="B4" s="180">
        <v>292000.0</v>
      </c>
      <c r="D4" s="437" t="s">
        <v>1885</v>
      </c>
      <c r="E4" s="180">
        <v>305000.0</v>
      </c>
      <c r="G4" s="437" t="s">
        <v>1885</v>
      </c>
      <c r="H4" s="180">
        <v>305000.0</v>
      </c>
      <c r="I4" s="124"/>
      <c r="J4" s="437" t="s">
        <v>1885</v>
      </c>
      <c r="K4" s="180">
        <v>305000.0</v>
      </c>
      <c r="L4" s="124"/>
      <c r="M4" s="438" t="s">
        <v>1885</v>
      </c>
      <c r="N4" s="439">
        <v>305000.0</v>
      </c>
      <c r="O4" s="424"/>
      <c r="P4" s="440" t="s">
        <v>1885</v>
      </c>
      <c r="Q4" s="441">
        <v>305000.0</v>
      </c>
      <c r="R4" s="424"/>
      <c r="S4" s="440" t="s">
        <v>1886</v>
      </c>
      <c r="T4" s="442">
        <f>SUM(T5:T10)</f>
        <v>2903653.67</v>
      </c>
      <c r="U4" s="426"/>
      <c r="V4" s="440" t="s">
        <v>1886</v>
      </c>
      <c r="W4" s="442">
        <f>SUM(W5:W10)</f>
        <v>3108712</v>
      </c>
      <c r="X4" s="206">
        <f>W4/(W22/100)</f>
        <v>75.12669966</v>
      </c>
      <c r="Y4" s="426">
        <v>65.0</v>
      </c>
      <c r="Z4" s="426"/>
      <c r="AA4" s="440" t="s">
        <v>1886</v>
      </c>
      <c r="AB4" s="442">
        <f>SUM(AB5:AB10)</f>
        <v>3469298.6</v>
      </c>
      <c r="AC4" s="206">
        <f>AB4/(AB23/100)</f>
        <v>78.80612415</v>
      </c>
      <c r="AD4" s="443">
        <v>80.0</v>
      </c>
      <c r="AE4" s="426"/>
      <c r="AF4" s="428" t="s">
        <v>1886</v>
      </c>
      <c r="AG4" s="444">
        <f>SUM(AG5:AG10)</f>
        <v>3570498.33</v>
      </c>
      <c r="AH4" s="206">
        <f>AG4/(AG23/100)</f>
        <v>75.06332852</v>
      </c>
      <c r="AI4" s="443">
        <v>72.5</v>
      </c>
      <c r="AJ4" s="426"/>
      <c r="AK4" s="428" t="s">
        <v>1887</v>
      </c>
      <c r="AL4" s="426">
        <v>11500.0</v>
      </c>
      <c r="AM4" s="426"/>
      <c r="AN4" s="428" t="s">
        <v>1888</v>
      </c>
      <c r="AO4" s="435">
        <v>270000.0</v>
      </c>
      <c r="AP4" s="426">
        <v>0.0</v>
      </c>
      <c r="AQ4" s="426">
        <v>15.5</v>
      </c>
      <c r="AR4" s="435">
        <v>16.0</v>
      </c>
      <c r="AS4" s="435"/>
      <c r="AT4" s="428" t="s">
        <v>1887</v>
      </c>
      <c r="AU4" s="426">
        <v>11500.0</v>
      </c>
      <c r="AV4" s="426">
        <v>11500.0</v>
      </c>
      <c r="AW4" s="426"/>
      <c r="AX4" s="428" t="s">
        <v>1889</v>
      </c>
    </row>
    <row r="5">
      <c r="A5" s="437" t="s">
        <v>1890</v>
      </c>
      <c r="B5" s="180">
        <v>567603.0</v>
      </c>
      <c r="D5" s="437" t="s">
        <v>1890</v>
      </c>
      <c r="E5" s="180">
        <v>682358.0</v>
      </c>
      <c r="G5" s="437" t="s">
        <v>1890</v>
      </c>
      <c r="H5" s="180">
        <v>800137.0</v>
      </c>
      <c r="I5" s="124"/>
      <c r="J5" s="437" t="s">
        <v>1890</v>
      </c>
      <c r="K5" s="180">
        <f>2808000-K24</f>
        <v>938153.55</v>
      </c>
      <c r="L5" s="124"/>
      <c r="M5" s="438" t="s">
        <v>1890</v>
      </c>
      <c r="N5" s="439">
        <f>2808000-N24</f>
        <v>1098461.43</v>
      </c>
      <c r="O5" s="424"/>
      <c r="P5" s="440" t="s">
        <v>1891</v>
      </c>
      <c r="Q5" s="441">
        <v>1186287.0</v>
      </c>
      <c r="R5" s="424"/>
      <c r="S5" s="445" t="s">
        <v>1885</v>
      </c>
      <c r="T5" s="446">
        <v>305000.0</v>
      </c>
      <c r="U5" s="426"/>
      <c r="V5" s="445" t="s">
        <v>1885</v>
      </c>
      <c r="W5" s="446">
        <v>305000.0</v>
      </c>
      <c r="X5" s="206"/>
      <c r="Y5" s="426"/>
      <c r="Z5" s="426"/>
      <c r="AA5" s="445" t="s">
        <v>1885</v>
      </c>
      <c r="AB5" s="446">
        <v>305000.0</v>
      </c>
      <c r="AC5" s="206"/>
      <c r="AD5" s="426"/>
      <c r="AE5" s="426"/>
      <c r="AF5" s="445" t="s">
        <v>1885</v>
      </c>
      <c r="AG5" s="446">
        <v>305000.0</v>
      </c>
      <c r="AH5" s="206"/>
      <c r="AI5" s="426"/>
      <c r="AJ5" s="426"/>
      <c r="AK5" s="428" t="s">
        <v>1883</v>
      </c>
      <c r="AL5" s="426">
        <v>10600.0</v>
      </c>
      <c r="AM5" s="426"/>
      <c r="AN5" s="428" t="s">
        <v>1892</v>
      </c>
      <c r="AO5" s="435">
        <v>70000.0</v>
      </c>
      <c r="AP5" s="426">
        <v>70000.0</v>
      </c>
      <c r="AQ5" s="430">
        <f>(16+3)</f>
        <v>19</v>
      </c>
      <c r="AR5" s="428">
        <v>18.0</v>
      </c>
      <c r="AS5" s="428"/>
      <c r="AT5" s="428" t="s">
        <v>23</v>
      </c>
      <c r="AU5" s="426">
        <v>17300.0</v>
      </c>
      <c r="AV5" s="426">
        <v>17300.0</v>
      </c>
      <c r="AW5" s="426"/>
      <c r="AX5" s="426" t="s">
        <v>1893</v>
      </c>
    </row>
    <row r="6">
      <c r="A6" s="437" t="s">
        <v>1894</v>
      </c>
      <c r="B6" s="180">
        <v>110000.0</v>
      </c>
      <c r="D6" s="437" t="s">
        <v>1894</v>
      </c>
      <c r="E6" s="180">
        <v>140000.0</v>
      </c>
      <c r="G6" s="437" t="s">
        <v>1894</v>
      </c>
      <c r="H6" s="180">
        <v>140000.0</v>
      </c>
      <c r="I6" s="123"/>
      <c r="J6" s="437" t="s">
        <v>1894</v>
      </c>
      <c r="K6" s="180">
        <v>610712.0</v>
      </c>
      <c r="L6" s="123"/>
      <c r="M6" s="438" t="s">
        <v>1894</v>
      </c>
      <c r="N6" s="439">
        <v>610712.0</v>
      </c>
      <c r="O6" s="424"/>
      <c r="P6" s="440" t="s">
        <v>1883</v>
      </c>
      <c r="Q6" s="442">
        <f>1621713-Q24</f>
        <v>21200</v>
      </c>
      <c r="R6" s="430"/>
      <c r="S6" s="445" t="s">
        <v>1891</v>
      </c>
      <c r="T6" s="446">
        <v>1186287.0</v>
      </c>
      <c r="U6" s="428"/>
      <c r="V6" s="445" t="s">
        <v>1891</v>
      </c>
      <c r="W6" s="446">
        <v>1186287.0</v>
      </c>
      <c r="X6" s="206"/>
      <c r="Y6" s="428"/>
      <c r="Z6" s="428"/>
      <c r="AA6" s="445" t="s">
        <v>1891</v>
      </c>
      <c r="AB6" s="446">
        <v>1186287.0</v>
      </c>
      <c r="AC6" s="206"/>
      <c r="AD6" s="428"/>
      <c r="AE6" s="428"/>
      <c r="AF6" s="445" t="s">
        <v>1891</v>
      </c>
      <c r="AG6" s="446">
        <v>1186287.0</v>
      </c>
      <c r="AH6" s="206"/>
      <c r="AI6" s="428"/>
      <c r="AJ6" s="428"/>
      <c r="AK6" s="436" t="s">
        <v>23</v>
      </c>
      <c r="AL6" s="447">
        <v>17300.0</v>
      </c>
      <c r="AM6" s="428"/>
      <c r="AN6" s="428" t="s">
        <v>1895</v>
      </c>
      <c r="AO6" s="435">
        <v>60000.0</v>
      </c>
      <c r="AP6" s="426">
        <v>60000.0</v>
      </c>
      <c r="AQ6" s="428">
        <v>0.0</v>
      </c>
      <c r="AR6" s="428">
        <v>18.0</v>
      </c>
      <c r="AS6" s="428"/>
      <c r="AT6" s="123" t="s">
        <v>1896</v>
      </c>
      <c r="AU6" s="124">
        <v>10560.0</v>
      </c>
      <c r="AV6" s="124">
        <v>10560.0</v>
      </c>
      <c r="AW6" s="426"/>
      <c r="AX6" s="426" t="s">
        <v>1897</v>
      </c>
    </row>
    <row r="7">
      <c r="A7" s="437" t="s">
        <v>1898</v>
      </c>
      <c r="B7" s="180">
        <v>20367.0</v>
      </c>
      <c r="D7" s="437" t="s">
        <v>1898</v>
      </c>
      <c r="E7" s="180">
        <v>103902.0</v>
      </c>
      <c r="G7" s="437" t="s">
        <v>1898</v>
      </c>
      <c r="H7" s="180">
        <v>193342.0</v>
      </c>
      <c r="I7" s="124"/>
      <c r="J7" s="437" t="s">
        <v>1898</v>
      </c>
      <c r="K7" s="180">
        <f>3160000-K25</f>
        <v>309858.25</v>
      </c>
      <c r="L7" s="124"/>
      <c r="M7" s="438" t="s">
        <v>1898</v>
      </c>
      <c r="N7" s="439">
        <f>3160000-N25</f>
        <v>438335.91</v>
      </c>
      <c r="O7" s="424"/>
      <c r="P7" s="440" t="s">
        <v>1894</v>
      </c>
      <c r="Q7" s="441">
        <v>610712.0</v>
      </c>
      <c r="R7" s="424"/>
      <c r="S7" s="445" t="s">
        <v>1883</v>
      </c>
      <c r="T7" s="448">
        <f>1621713-T26</f>
        <v>121713</v>
      </c>
      <c r="U7" s="426"/>
      <c r="V7" s="445" t="s">
        <v>1883</v>
      </c>
      <c r="W7" s="446">
        <v>221713.0</v>
      </c>
      <c r="X7" s="206"/>
      <c r="Y7" s="426"/>
      <c r="Z7" s="426"/>
      <c r="AA7" s="445" t="s">
        <v>1883</v>
      </c>
      <c r="AB7" s="445">
        <v>221713.0</v>
      </c>
      <c r="AC7" s="206"/>
      <c r="AD7" s="426"/>
      <c r="AE7" s="426"/>
      <c r="AF7" s="449" t="s">
        <v>1883</v>
      </c>
      <c r="AG7" s="450">
        <f>1621713-AG27</f>
        <v>221713</v>
      </c>
      <c r="AH7" s="206"/>
      <c r="AI7" s="426"/>
      <c r="AJ7" s="426"/>
      <c r="AK7" s="123" t="s">
        <v>24</v>
      </c>
      <c r="AL7" s="451">
        <v>20000.0</v>
      </c>
      <c r="AM7" s="426"/>
      <c r="AN7" s="427" t="s">
        <v>1899</v>
      </c>
      <c r="AO7" s="452">
        <f t="shared" ref="AO7:AP7" si="1">SUM(AO2:AO6)</f>
        <v>1158000</v>
      </c>
      <c r="AP7" s="452">
        <f t="shared" si="1"/>
        <v>366250</v>
      </c>
      <c r="AQ7" s="453"/>
      <c r="AR7" s="453"/>
      <c r="AS7" s="453"/>
      <c r="AT7" s="123" t="s">
        <v>1900</v>
      </c>
      <c r="AU7" s="124">
        <v>21480.0</v>
      </c>
      <c r="AV7" s="124">
        <v>21480.0</v>
      </c>
      <c r="AW7" s="426"/>
      <c r="AX7" s="428" t="s">
        <v>1901</v>
      </c>
    </row>
    <row r="8">
      <c r="D8" s="437" t="s">
        <v>1902</v>
      </c>
      <c r="E8" s="180">
        <v>55000.0</v>
      </c>
      <c r="G8" s="437" t="s">
        <v>1902</v>
      </c>
      <c r="H8" s="180">
        <v>55000.0</v>
      </c>
      <c r="I8" s="124"/>
      <c r="J8" s="437" t="s">
        <v>20</v>
      </c>
      <c r="K8" s="180">
        <v>201076.0</v>
      </c>
      <c r="L8" s="124"/>
      <c r="M8" s="438" t="s">
        <v>20</v>
      </c>
      <c r="N8" s="439">
        <v>332152.0</v>
      </c>
      <c r="O8" s="424"/>
      <c r="P8" s="440" t="s">
        <v>1898</v>
      </c>
      <c r="Q8" s="441">
        <f>3160000-Q26</f>
        <v>569404.91</v>
      </c>
      <c r="R8" s="424"/>
      <c r="S8" s="445" t="s">
        <v>1894</v>
      </c>
      <c r="T8" s="446">
        <v>610712.0</v>
      </c>
      <c r="U8" s="426"/>
      <c r="V8" s="445" t="s">
        <v>1894</v>
      </c>
      <c r="W8" s="446">
        <v>610712.0</v>
      </c>
      <c r="X8" s="206"/>
      <c r="Y8" s="426"/>
      <c r="Z8" s="426"/>
      <c r="AA8" s="445" t="s">
        <v>1894</v>
      </c>
      <c r="AB8" s="446">
        <v>610712.0</v>
      </c>
      <c r="AC8" s="206"/>
      <c r="AD8" s="426"/>
      <c r="AE8" s="426"/>
      <c r="AF8" s="445" t="s">
        <v>1894</v>
      </c>
      <c r="AG8" s="446">
        <v>610712.0</v>
      </c>
      <c r="AH8" s="206"/>
      <c r="AI8" s="426"/>
      <c r="AJ8" s="426"/>
      <c r="AK8" s="428" t="s">
        <v>1903</v>
      </c>
      <c r="AL8" s="451">
        <v>30000.0</v>
      </c>
      <c r="AM8" s="426"/>
      <c r="AN8" s="430"/>
      <c r="AO8" s="453"/>
      <c r="AP8" s="453"/>
      <c r="AQ8" s="426"/>
      <c r="AR8" s="426"/>
      <c r="AS8" s="426"/>
      <c r="AT8" s="428" t="s">
        <v>1888</v>
      </c>
      <c r="AU8" s="426">
        <v>0.0</v>
      </c>
      <c r="AV8" s="426">
        <f t="shared" ref="AV8:AV13" si="2">AU8*8%</f>
        <v>0</v>
      </c>
      <c r="AW8" s="426"/>
      <c r="AX8" s="426"/>
    </row>
    <row r="9">
      <c r="A9" s="123"/>
      <c r="B9" s="140"/>
      <c r="D9" s="437" t="s">
        <v>1904</v>
      </c>
      <c r="E9" s="180">
        <v>373712.0</v>
      </c>
      <c r="G9" s="437" t="s">
        <v>1904</v>
      </c>
      <c r="H9" s="180">
        <v>373712.0</v>
      </c>
      <c r="I9" s="124"/>
      <c r="L9" s="124"/>
      <c r="M9" s="454"/>
      <c r="N9" s="454"/>
      <c r="O9" s="424"/>
      <c r="P9" s="440" t="s">
        <v>20</v>
      </c>
      <c r="Q9" s="441">
        <v>550459.0</v>
      </c>
      <c r="R9" s="424"/>
      <c r="S9" s="445" t="s">
        <v>1898</v>
      </c>
      <c r="T9" s="446">
        <f>3160000-T28</f>
        <v>679941.67</v>
      </c>
      <c r="U9" s="426"/>
      <c r="V9" s="445" t="s">
        <v>1898</v>
      </c>
      <c r="W9" s="446">
        <v>785000.0</v>
      </c>
      <c r="X9" s="206"/>
      <c r="Y9" s="426"/>
      <c r="Z9" s="426"/>
      <c r="AA9" s="445" t="s">
        <v>1898</v>
      </c>
      <c r="AB9" s="446">
        <v>905586.6</v>
      </c>
      <c r="AC9" s="206"/>
      <c r="AD9" s="426"/>
      <c r="AE9" s="426"/>
      <c r="AF9" s="449" t="s">
        <v>1898</v>
      </c>
      <c r="AG9" s="455">
        <f>3160000-AG29</f>
        <v>936786.33</v>
      </c>
      <c r="AH9" s="206"/>
      <c r="AI9" s="426"/>
      <c r="AJ9" s="426"/>
      <c r="AK9" s="456"/>
      <c r="AL9" s="451"/>
      <c r="AM9" s="427"/>
      <c r="AN9" s="427" t="s">
        <v>1905</v>
      </c>
      <c r="AO9" s="435"/>
      <c r="AP9" s="457"/>
      <c r="AQ9" s="426"/>
      <c r="AR9" s="426"/>
      <c r="AS9" s="426"/>
      <c r="AT9" s="428" t="s">
        <v>1906</v>
      </c>
      <c r="AU9" s="426">
        <v>0.0</v>
      </c>
      <c r="AV9" s="426">
        <f t="shared" si="2"/>
        <v>0</v>
      </c>
      <c r="AW9" s="426"/>
      <c r="AX9" s="427"/>
    </row>
    <row r="10" ht="1.5" customHeight="1">
      <c r="D10" s="437" t="s">
        <v>1907</v>
      </c>
      <c r="E10" s="458">
        <v>42000.0</v>
      </c>
      <c r="G10" s="437" t="s">
        <v>1907</v>
      </c>
      <c r="H10" s="458">
        <v>42000.0</v>
      </c>
      <c r="I10" s="124"/>
      <c r="J10" s="437" t="s">
        <v>1908</v>
      </c>
      <c r="K10" s="180">
        <v>464940.0</v>
      </c>
      <c r="L10" s="124"/>
      <c r="M10" s="438" t="s">
        <v>1908</v>
      </c>
      <c r="N10" s="459">
        <v>492625.0</v>
      </c>
      <c r="O10" s="424"/>
      <c r="P10" s="430"/>
      <c r="Q10" s="430"/>
      <c r="R10" s="424"/>
      <c r="S10" s="460"/>
      <c r="T10" s="461"/>
      <c r="U10" s="426"/>
      <c r="V10" s="460"/>
      <c r="W10" s="461"/>
      <c r="X10" s="206"/>
      <c r="Y10" s="426"/>
      <c r="Z10" s="426"/>
      <c r="AA10" s="445" t="s">
        <v>24</v>
      </c>
      <c r="AB10" s="446">
        <v>240000.0</v>
      </c>
      <c r="AC10" s="206"/>
      <c r="AD10" s="426"/>
      <c r="AE10" s="426"/>
      <c r="AF10" s="449" t="s">
        <v>24</v>
      </c>
      <c r="AG10" s="455">
        <f>2932000-AG30</f>
        <v>310000</v>
      </c>
      <c r="AH10" s="206"/>
      <c r="AI10" s="426"/>
      <c r="AJ10" s="426"/>
      <c r="AK10" s="123" t="s">
        <v>1909</v>
      </c>
      <c r="AL10" s="124">
        <v>13241.9</v>
      </c>
      <c r="AM10" s="462"/>
      <c r="AN10" s="428" t="s">
        <v>1910</v>
      </c>
      <c r="AO10" s="435">
        <v>280000.0</v>
      </c>
      <c r="AP10" s="426">
        <v>0.0</v>
      </c>
      <c r="AQ10" s="428">
        <v>21.0</v>
      </c>
      <c r="AR10" s="428">
        <v>25.0</v>
      </c>
      <c r="AS10" s="428"/>
      <c r="AT10" s="428" t="s">
        <v>1882</v>
      </c>
      <c r="AU10" s="426">
        <v>0.0</v>
      </c>
      <c r="AV10" s="426">
        <f t="shared" si="2"/>
        <v>0</v>
      </c>
      <c r="AW10" s="426"/>
      <c r="AX10" s="462"/>
    </row>
    <row r="11">
      <c r="J11" s="437" t="s">
        <v>19</v>
      </c>
      <c r="K11" s="463">
        <f>SUM(K13:K17)</f>
        <v>371910</v>
      </c>
      <c r="M11" s="438" t="s">
        <v>19</v>
      </c>
      <c r="N11" s="439">
        <f>SUM(N12:N17)</f>
        <v>1270000</v>
      </c>
      <c r="O11" s="424"/>
      <c r="P11" s="440" t="s">
        <v>1908</v>
      </c>
      <c r="Q11" s="441">
        <v>730000.0</v>
      </c>
      <c r="R11" s="424"/>
      <c r="S11" s="440" t="s">
        <v>1908</v>
      </c>
      <c r="T11" s="441">
        <v>891410.0</v>
      </c>
      <c r="U11" s="430"/>
      <c r="V11" s="440" t="s">
        <v>1908</v>
      </c>
      <c r="W11" s="442">
        <f>IFERROR(__xludf.DUMMYFUNCTION("IMPORTRANGE(""https://docs.google.com/spreadsheets/d/1zU5eOdaH_7rO9eLngzy67eBz2J7GwA5lXQh_ru8EIwc"",""Others!C2"")"),340240.0)</f>
        <v>340240</v>
      </c>
      <c r="X11" s="206">
        <f>W11/(W22/100)</f>
        <v>8.222411176</v>
      </c>
      <c r="Y11" s="428">
        <v>15.0</v>
      </c>
      <c r="Z11" s="430"/>
      <c r="AE11" s="430"/>
      <c r="AJ11" s="430"/>
      <c r="AL11" s="124"/>
      <c r="AM11" s="464"/>
      <c r="AN11" s="428" t="s">
        <v>1906</v>
      </c>
      <c r="AO11" s="435">
        <v>182000.0</v>
      </c>
      <c r="AP11" s="426">
        <v>0.0</v>
      </c>
      <c r="AQ11" s="435">
        <v>22.5</v>
      </c>
      <c r="AR11" s="435">
        <v>25.0</v>
      </c>
      <c r="AS11" s="435"/>
      <c r="AT11" s="428" t="s">
        <v>1910</v>
      </c>
      <c r="AU11" s="426">
        <v>168000.0</v>
      </c>
      <c r="AV11" s="426">
        <f t="shared" si="2"/>
        <v>13440</v>
      </c>
      <c r="AW11" s="426"/>
      <c r="AX11" s="464"/>
    </row>
    <row r="12">
      <c r="A12" s="437"/>
      <c r="B12" s="180"/>
      <c r="D12" s="437"/>
      <c r="E12" s="180"/>
      <c r="G12" s="437"/>
      <c r="H12" s="180"/>
      <c r="I12" s="123"/>
      <c r="J12" s="465"/>
      <c r="K12" s="466"/>
      <c r="L12" s="123"/>
      <c r="M12" s="467" t="s">
        <v>1911</v>
      </c>
      <c r="N12" s="468">
        <v>928000.0</v>
      </c>
      <c r="O12" s="424"/>
      <c r="P12" s="440" t="s">
        <v>19</v>
      </c>
      <c r="Q12" s="459">
        <f>900000-Q18</f>
        <v>734058.45</v>
      </c>
      <c r="R12" s="424"/>
      <c r="S12" s="440" t="s">
        <v>19</v>
      </c>
      <c r="T12" s="442">
        <f>SUM(T13:T19)</f>
        <v>1087400.79</v>
      </c>
      <c r="U12" s="428"/>
      <c r="V12" s="440" t="s">
        <v>19</v>
      </c>
      <c r="W12" s="442">
        <f>SUM(W13:W20)</f>
        <v>780506.96</v>
      </c>
      <c r="X12" s="206">
        <f>W12/(W22/100)</f>
        <v>18.86212424</v>
      </c>
      <c r="Y12" s="428">
        <v>20.0</v>
      </c>
      <c r="Z12" s="428"/>
      <c r="AA12" s="440" t="s">
        <v>1908</v>
      </c>
      <c r="AB12" s="442">
        <f>IFERROR(__xludf.DUMMYFUNCTION("IMPORTRANGE(""https://docs.google.com/spreadsheets/d/1zU5eOdaH_7rO9eLngzy67eBz2J7GwA5lXQh_ru8EIwc"",""Others!C2"")"),340240.0)</f>
        <v>340240</v>
      </c>
      <c r="AC12" s="206">
        <f>AB12/(AB23/100)</f>
        <v>7.728650304</v>
      </c>
      <c r="AD12" s="428">
        <v>7.5</v>
      </c>
      <c r="AE12" s="428"/>
      <c r="AF12" s="428" t="s">
        <v>1908</v>
      </c>
      <c r="AG12" s="444">
        <f>IFERROR(__xludf.DUMMYFUNCTION("IMPORTRANGE(""https://docs.google.com/spreadsheets/d/1zU5eOdaH_7rO9eLngzy67eBz2J7GwA5lXQh_ru8EIwc"",""Others!C2"")"),340240.0)</f>
        <v>340240</v>
      </c>
      <c r="AH12" s="206">
        <f>AG12/(AG23/100)</f>
        <v>7.152936239</v>
      </c>
      <c r="AI12" s="428">
        <v>7.5</v>
      </c>
      <c r="AJ12" s="428"/>
      <c r="AL12" s="124"/>
      <c r="AM12" s="464"/>
      <c r="AN12" s="428" t="s">
        <v>1912</v>
      </c>
      <c r="AO12" s="435">
        <v>30000.0</v>
      </c>
      <c r="AP12" s="426">
        <v>30000.0</v>
      </c>
      <c r="AQ12" s="435">
        <v>25.0</v>
      </c>
      <c r="AR12" s="428">
        <v>0.0</v>
      </c>
      <c r="AS12" s="428"/>
      <c r="AT12" s="428" t="s">
        <v>1913</v>
      </c>
      <c r="AU12" s="426">
        <v>0.0</v>
      </c>
      <c r="AV12" s="426">
        <f t="shared" si="2"/>
        <v>0</v>
      </c>
      <c r="AW12" s="426"/>
      <c r="AX12" s="464"/>
    </row>
    <row r="13">
      <c r="A13" s="437" t="s">
        <v>1914</v>
      </c>
      <c r="B13" s="180">
        <v>86985.0</v>
      </c>
      <c r="D13" s="437" t="s">
        <v>1914</v>
      </c>
      <c r="E13" s="180">
        <v>21000.0</v>
      </c>
      <c r="G13" s="437" t="s">
        <v>1915</v>
      </c>
      <c r="H13" s="180">
        <v>45500.0</v>
      </c>
      <c r="I13" s="123"/>
      <c r="J13" s="465" t="s">
        <v>1916</v>
      </c>
      <c r="K13" s="466">
        <v>235850.0</v>
      </c>
      <c r="L13" s="123"/>
      <c r="M13" s="467" t="s">
        <v>26</v>
      </c>
      <c r="N13" s="468">
        <v>97136.0</v>
      </c>
      <c r="O13" s="424"/>
      <c r="P13" s="445"/>
      <c r="Q13" s="446"/>
      <c r="R13" s="424"/>
      <c r="S13" s="445" t="s">
        <v>1911</v>
      </c>
      <c r="T13" s="446">
        <v>213500.0</v>
      </c>
      <c r="U13" s="428"/>
      <c r="V13" s="445" t="s">
        <v>1911</v>
      </c>
      <c r="W13" s="446">
        <v>106687.0</v>
      </c>
      <c r="X13" s="206"/>
      <c r="Y13" s="428"/>
      <c r="Z13" s="428"/>
      <c r="AA13" s="440" t="s">
        <v>19</v>
      </c>
      <c r="AB13" s="442">
        <f>SUM(AB14:AB21)</f>
        <v>1145282.46</v>
      </c>
      <c r="AC13" s="206">
        <f>AB13/(AB23/100)</f>
        <v>26.01542333</v>
      </c>
      <c r="AD13" s="428">
        <v>25.0</v>
      </c>
      <c r="AE13" s="428"/>
      <c r="AF13" s="428" t="s">
        <v>19</v>
      </c>
      <c r="AG13" s="444">
        <f>SUM(AG14:AG21)</f>
        <v>1570909.69</v>
      </c>
      <c r="AH13" s="206">
        <f>AG13/(AG23/100)</f>
        <v>33.02556093</v>
      </c>
      <c r="AI13" s="428">
        <v>30.0</v>
      </c>
      <c r="AJ13" s="428"/>
      <c r="AM13" s="464"/>
      <c r="AN13" s="428" t="s">
        <v>1917</v>
      </c>
      <c r="AO13" s="435">
        <v>5000.0</v>
      </c>
      <c r="AP13" s="426">
        <v>5000.0</v>
      </c>
      <c r="AQ13" s="435">
        <v>25.0</v>
      </c>
      <c r="AR13" s="428">
        <v>0.0</v>
      </c>
      <c r="AS13" s="428"/>
      <c r="AT13" s="428" t="s">
        <v>1892</v>
      </c>
      <c r="AU13" s="426">
        <v>0.0</v>
      </c>
      <c r="AV13" s="426">
        <f t="shared" si="2"/>
        <v>0</v>
      </c>
      <c r="AW13" s="426"/>
      <c r="AX13" s="464"/>
    </row>
    <row r="14">
      <c r="A14" s="437" t="s">
        <v>1918</v>
      </c>
      <c r="B14" s="180">
        <v>0.0</v>
      </c>
      <c r="D14" s="437" t="s">
        <v>1918</v>
      </c>
      <c r="E14" s="180">
        <v>0.0</v>
      </c>
      <c r="J14" s="465" t="s">
        <v>1919</v>
      </c>
      <c r="K14" s="466">
        <v>48460.0</v>
      </c>
      <c r="M14" s="467" t="s">
        <v>25</v>
      </c>
      <c r="N14" s="468">
        <v>0.0</v>
      </c>
      <c r="O14" s="424"/>
      <c r="P14" s="445"/>
      <c r="Q14" s="446"/>
      <c r="R14" s="424"/>
      <c r="S14" s="445" t="s">
        <v>26</v>
      </c>
      <c r="T14" s="446">
        <v>180720.0</v>
      </c>
      <c r="U14" s="430"/>
      <c r="V14" s="445" t="s">
        <v>26</v>
      </c>
      <c r="W14" s="446">
        <v>409360.0</v>
      </c>
      <c r="X14" s="206"/>
      <c r="Y14" s="430"/>
      <c r="Z14" s="430"/>
      <c r="AA14" s="445" t="s">
        <v>1911</v>
      </c>
      <c r="AB14" s="446">
        <v>106687.5</v>
      </c>
      <c r="AC14" s="206"/>
      <c r="AD14" s="428"/>
      <c r="AE14" s="430"/>
      <c r="AF14" s="449" t="s">
        <v>1911</v>
      </c>
      <c r="AG14" s="450">
        <f>IFERROR(__xludf.DUMMYFUNCTION("IMPORTRANGE(""https://docs.google.com/spreadsheets/d/1zU5eOdaH_7rO9eLngzy67eBz2J7GwA5lXQh_ru8EIwc"",""Crypto Mining!C2"")/2"),106687.5)</f>
        <v>106687.5</v>
      </c>
      <c r="AH14" s="206"/>
      <c r="AI14" s="428"/>
      <c r="AJ14" s="430"/>
      <c r="AM14" s="462"/>
      <c r="AN14" s="427" t="s">
        <v>1920</v>
      </c>
      <c r="AO14" s="452">
        <f t="shared" ref="AO14:AP14" si="3">SUM(AO10:AO13)</f>
        <v>497000</v>
      </c>
      <c r="AP14" s="452">
        <f t="shared" si="3"/>
        <v>35000</v>
      </c>
      <c r="AQ14" s="452"/>
      <c r="AR14" s="452"/>
      <c r="AS14" s="452"/>
      <c r="AT14" s="430"/>
      <c r="AU14" s="426"/>
      <c r="AV14" s="426"/>
      <c r="AW14" s="469"/>
      <c r="AX14" s="462"/>
    </row>
    <row r="15">
      <c r="A15" s="437" t="s">
        <v>1921</v>
      </c>
      <c r="B15" s="180">
        <v>0.0</v>
      </c>
      <c r="D15" s="437" t="s">
        <v>1921</v>
      </c>
      <c r="E15" s="180">
        <v>0.0</v>
      </c>
      <c r="I15" s="123"/>
      <c r="J15" s="465" t="s">
        <v>1922</v>
      </c>
      <c r="K15" s="466">
        <v>47500.0</v>
      </c>
      <c r="L15" s="123"/>
      <c r="M15" s="467" t="s">
        <v>1923</v>
      </c>
      <c r="N15" s="468">
        <v>10000.0</v>
      </c>
      <c r="O15" s="424"/>
      <c r="P15" s="445"/>
      <c r="Q15" s="446"/>
      <c r="R15" s="424"/>
      <c r="S15" s="445" t="s">
        <v>28</v>
      </c>
      <c r="T15" s="446">
        <v>1575.0</v>
      </c>
      <c r="U15" s="428"/>
      <c r="V15" s="445" t="s">
        <v>28</v>
      </c>
      <c r="W15" s="446">
        <v>0.0</v>
      </c>
      <c r="X15" s="206"/>
      <c r="Y15" s="428"/>
      <c r="Z15" s="428"/>
      <c r="AA15" s="445" t="s">
        <v>26</v>
      </c>
      <c r="AB15" s="446">
        <v>668110.0</v>
      </c>
      <c r="AC15" s="206"/>
      <c r="AD15" s="430"/>
      <c r="AE15" s="428"/>
      <c r="AF15" s="449" t="s">
        <v>26</v>
      </c>
      <c r="AG15" s="455">
        <f>IFERROR(__xludf.DUMMYFUNCTION("IMPORTRANGE(""https://docs.google.com/spreadsheets/d/1zU5eOdaH_7rO9eLngzy67eBz2J7GwA5lXQh_ru8EIwc"",""JRPG Collector!C2"")"),1029940.0)</f>
        <v>1029940</v>
      </c>
      <c r="AH15" s="206"/>
      <c r="AI15" s="430"/>
      <c r="AJ15" s="428"/>
      <c r="AK15" s="428" t="s">
        <v>1924</v>
      </c>
      <c r="AL15" s="426">
        <v>70000.0</v>
      </c>
      <c r="AM15" s="462"/>
      <c r="AN15" s="430"/>
      <c r="AO15" s="430"/>
      <c r="AP15" s="430"/>
      <c r="AQ15" s="430"/>
      <c r="AR15" s="430"/>
      <c r="AS15" s="430"/>
      <c r="AT15" s="427" t="s">
        <v>57</v>
      </c>
      <c r="AU15" s="469">
        <f t="shared" ref="AU15:AV15" si="4">SUM(AU3:AU14)</f>
        <v>239440</v>
      </c>
      <c r="AV15" s="469">
        <f t="shared" si="4"/>
        <v>84880</v>
      </c>
      <c r="AW15" s="430"/>
      <c r="AX15" s="462"/>
    </row>
    <row r="16">
      <c r="A16" s="437" t="s">
        <v>1925</v>
      </c>
      <c r="B16" s="180">
        <v>138831.0</v>
      </c>
      <c r="D16" s="437" t="s">
        <v>1925</v>
      </c>
      <c r="E16" s="180">
        <v>310815.0</v>
      </c>
      <c r="G16" s="437" t="s">
        <v>1925</v>
      </c>
      <c r="H16" s="180">
        <v>460500.0</v>
      </c>
      <c r="I16" s="124"/>
      <c r="J16" s="465" t="s">
        <v>1926</v>
      </c>
      <c r="K16" s="466">
        <v>100.0</v>
      </c>
      <c r="L16" s="124"/>
      <c r="M16" s="467" t="s">
        <v>28</v>
      </c>
      <c r="N16" s="468">
        <v>184864.0</v>
      </c>
      <c r="O16" s="424"/>
      <c r="P16" s="445"/>
      <c r="Q16" s="446"/>
      <c r="R16" s="424"/>
      <c r="S16" s="445" t="s">
        <v>1927</v>
      </c>
      <c r="T16" s="446">
        <v>55000.0</v>
      </c>
      <c r="U16" s="426"/>
      <c r="V16" s="445" t="s">
        <v>1927</v>
      </c>
      <c r="W16" s="446">
        <v>67500.0</v>
      </c>
      <c r="X16" s="206"/>
      <c r="Y16" s="426"/>
      <c r="Z16" s="426"/>
      <c r="AA16" s="445" t="s">
        <v>28</v>
      </c>
      <c r="AB16" s="446">
        <f>SUM(AB39:AB45)</f>
        <v>0</v>
      </c>
      <c r="AC16" s="206"/>
      <c r="AD16" s="428"/>
      <c r="AE16" s="426"/>
      <c r="AF16" s="449" t="s">
        <v>1928</v>
      </c>
      <c r="AG16" s="455">
        <f>SUM(AG39:AG45)</f>
        <v>0</v>
      </c>
      <c r="AH16" s="206"/>
      <c r="AI16" s="428"/>
      <c r="AJ16" s="426"/>
      <c r="AK16" s="427" t="s">
        <v>1929</v>
      </c>
      <c r="AL16" s="470">
        <f>SUM(AL4:AL15)</f>
        <v>172641.9</v>
      </c>
      <c r="AM16" s="430"/>
      <c r="AN16" s="427" t="s">
        <v>1930</v>
      </c>
      <c r="AO16" s="452">
        <f t="shared" ref="AO16:AP16" si="5">SUM(AO7+AO14)</f>
        <v>1655000</v>
      </c>
      <c r="AP16" s="452">
        <f t="shared" si="5"/>
        <v>401250</v>
      </c>
      <c r="AQ16" s="430"/>
      <c r="AR16" s="430"/>
      <c r="AS16" s="430"/>
      <c r="AT16" s="428"/>
      <c r="AU16" s="426"/>
      <c r="AV16" s="430">
        <f>AV15/(150000/100)</f>
        <v>56.58666667</v>
      </c>
      <c r="AW16" s="430"/>
      <c r="AX16" s="462"/>
    </row>
    <row r="17">
      <c r="A17" s="437" t="s">
        <v>1931</v>
      </c>
      <c r="B17" s="180">
        <v>105973.0</v>
      </c>
      <c r="D17" s="437" t="s">
        <v>1931</v>
      </c>
      <c r="E17" s="180">
        <v>120880.0</v>
      </c>
      <c r="G17" s="437" t="s">
        <v>1932</v>
      </c>
      <c r="H17" s="180">
        <v>28000.0</v>
      </c>
      <c r="I17" s="124"/>
      <c r="J17" s="465" t="s">
        <v>1927</v>
      </c>
      <c r="K17" s="466">
        <v>40000.0</v>
      </c>
      <c r="L17" s="124"/>
      <c r="M17" s="467" t="s">
        <v>1927</v>
      </c>
      <c r="N17" s="468">
        <v>50000.0</v>
      </c>
      <c r="O17" s="424"/>
      <c r="P17" s="445"/>
      <c r="Q17" s="446"/>
      <c r="R17" s="424"/>
      <c r="S17" s="465" t="s">
        <v>1933</v>
      </c>
      <c r="T17" s="446">
        <v>10440.02</v>
      </c>
      <c r="U17" s="426"/>
      <c r="V17" s="465" t="s">
        <v>1933</v>
      </c>
      <c r="W17" s="446">
        <v>0.0</v>
      </c>
      <c r="X17" s="444"/>
      <c r="Y17" s="426"/>
      <c r="Z17" s="426"/>
      <c r="AA17" s="445" t="s">
        <v>1927</v>
      </c>
      <c r="AB17" s="446">
        <v>81500.0</v>
      </c>
      <c r="AC17" s="206"/>
      <c r="AD17" s="426"/>
      <c r="AE17" s="426"/>
      <c r="AF17" s="449" t="s">
        <v>1927</v>
      </c>
      <c r="AG17" s="455">
        <v>80000.0</v>
      </c>
      <c r="AH17" s="206"/>
      <c r="AI17" s="426"/>
      <c r="AJ17" s="426"/>
      <c r="AK17" s="430"/>
      <c r="AL17" s="430"/>
      <c r="AM17" s="430"/>
      <c r="AN17" s="430"/>
      <c r="AO17" s="430"/>
      <c r="AP17" s="430"/>
      <c r="AQ17" s="430"/>
      <c r="AR17" s="430"/>
      <c r="AS17" s="430"/>
      <c r="AW17" s="464"/>
      <c r="AX17" s="464"/>
    </row>
    <row r="18">
      <c r="B18" s="471"/>
      <c r="E18" s="471"/>
      <c r="G18" s="437" t="s">
        <v>1931</v>
      </c>
      <c r="H18" s="180">
        <v>127433.0</v>
      </c>
      <c r="J18" s="437" t="s">
        <v>1931</v>
      </c>
      <c r="K18" s="180">
        <v>147674.0</v>
      </c>
      <c r="M18" s="438" t="s">
        <v>1931</v>
      </c>
      <c r="N18" s="439">
        <v>151500.86</v>
      </c>
      <c r="O18" s="424"/>
      <c r="P18" s="472" t="s">
        <v>1931</v>
      </c>
      <c r="Q18" s="473">
        <v>165941.55</v>
      </c>
      <c r="R18" s="424"/>
      <c r="S18" s="445" t="s">
        <v>1934</v>
      </c>
      <c r="T18" s="446">
        <v>444240.0</v>
      </c>
      <c r="U18" s="430"/>
      <c r="V18" s="445" t="s">
        <v>1934</v>
      </c>
      <c r="W18" s="446">
        <v>0.0</v>
      </c>
      <c r="X18" s="206"/>
      <c r="Y18" s="430"/>
      <c r="Z18" s="430"/>
      <c r="AA18" s="465" t="s">
        <v>1933</v>
      </c>
      <c r="AB18" s="446">
        <v>0.0</v>
      </c>
      <c r="AC18" s="444"/>
      <c r="AD18" s="426"/>
      <c r="AE18" s="430"/>
      <c r="AF18" s="474" t="s">
        <v>1933</v>
      </c>
      <c r="AG18" s="455">
        <v>0.0</v>
      </c>
      <c r="AH18" s="444"/>
      <c r="AI18" s="426"/>
      <c r="AJ18" s="430"/>
      <c r="AK18" s="427" t="s">
        <v>1935</v>
      </c>
      <c r="AL18" s="470">
        <f>AL32*30</f>
        <v>231960</v>
      </c>
      <c r="AM18" s="475"/>
      <c r="AN18" s="427" t="s">
        <v>1936</v>
      </c>
      <c r="AO18" s="430"/>
      <c r="AP18" s="430"/>
      <c r="AQ18" s="435"/>
      <c r="AR18" s="435"/>
      <c r="AS18" s="435"/>
      <c r="AU18" s="430"/>
      <c r="AV18" s="464"/>
      <c r="AW18" s="464"/>
      <c r="AX18" s="464"/>
    </row>
    <row r="19">
      <c r="A19" s="437" t="s">
        <v>1937</v>
      </c>
      <c r="B19" s="180">
        <v>0.0</v>
      </c>
      <c r="D19" s="437" t="s">
        <v>1937</v>
      </c>
      <c r="E19" s="180">
        <v>0.0</v>
      </c>
      <c r="G19" s="437" t="s">
        <v>1937</v>
      </c>
      <c r="H19" s="180">
        <v>-450000.0</v>
      </c>
      <c r="I19" s="124"/>
      <c r="J19" s="437" t="s">
        <v>1937</v>
      </c>
      <c r="K19" s="180">
        <v>-844747.0</v>
      </c>
      <c r="L19" s="124"/>
      <c r="M19" s="438" t="s">
        <v>1937</v>
      </c>
      <c r="N19" s="439">
        <v>-750000.0</v>
      </c>
      <c r="O19" s="424"/>
      <c r="P19" s="440" t="s">
        <v>1937</v>
      </c>
      <c r="Q19" s="441">
        <v>-160000.0</v>
      </c>
      <c r="R19" s="430"/>
      <c r="S19" s="445" t="s">
        <v>1931</v>
      </c>
      <c r="T19" s="446">
        <v>181925.77</v>
      </c>
      <c r="U19" s="426"/>
      <c r="V19" s="445" t="s">
        <v>1931</v>
      </c>
      <c r="W19" s="446">
        <v>192693.96</v>
      </c>
      <c r="X19" s="206"/>
      <c r="Y19" s="426"/>
      <c r="Z19" s="426"/>
      <c r="AA19" s="445" t="s">
        <v>1934</v>
      </c>
      <c r="AB19" s="446">
        <v>92025.0</v>
      </c>
      <c r="AC19" s="206"/>
      <c r="AD19" s="430"/>
      <c r="AE19" s="426"/>
      <c r="AF19" s="449" t="s">
        <v>1934</v>
      </c>
      <c r="AG19" s="455">
        <f>92025+(8000*4)</f>
        <v>124025</v>
      </c>
      <c r="AH19" s="206"/>
      <c r="AI19" s="430"/>
      <c r="AJ19" s="426"/>
      <c r="AK19" s="428" t="s">
        <v>1938</v>
      </c>
      <c r="AL19" s="476">
        <f>MINUS(AL18,AL16)</f>
        <v>59318.1</v>
      </c>
      <c r="AM19" s="428"/>
      <c r="AN19" s="430"/>
      <c r="AO19" s="430"/>
      <c r="AP19" s="430"/>
      <c r="AQ19" s="426"/>
      <c r="AR19" s="426"/>
      <c r="AS19" s="426"/>
      <c r="AU19" s="430"/>
      <c r="AV19" s="430"/>
      <c r="AW19" s="430"/>
      <c r="AX19" s="430"/>
    </row>
    <row r="20">
      <c r="A20" s="437" t="s">
        <v>1939</v>
      </c>
      <c r="B20" s="463">
        <f>SUM(B4:B19)</f>
        <v>1321759</v>
      </c>
      <c r="D20" s="437" t="s">
        <v>1939</v>
      </c>
      <c r="E20" s="463">
        <f>SUM(E4:E19)</f>
        <v>2154667</v>
      </c>
      <c r="G20" s="437" t="s">
        <v>1939</v>
      </c>
      <c r="H20" s="463">
        <f>SUM(H4:H19)</f>
        <v>2120624</v>
      </c>
      <c r="I20" s="124"/>
      <c r="J20" s="437" t="s">
        <v>1939</v>
      </c>
      <c r="K20" s="463">
        <f>SUM(K4:K11,K18:K19)</f>
        <v>2504576.8</v>
      </c>
      <c r="L20" s="124"/>
      <c r="M20" s="438" t="s">
        <v>1939</v>
      </c>
      <c r="N20" s="439">
        <f>SUM(N4:N11,N18:N19)</f>
        <v>3948787.2</v>
      </c>
      <c r="O20" s="424"/>
      <c r="P20" s="440" t="s">
        <v>1939</v>
      </c>
      <c r="Q20" s="442">
        <f>SUM(Q4:Q12,Q19)</f>
        <v>4547121.36</v>
      </c>
      <c r="R20" s="424"/>
      <c r="S20" s="477"/>
      <c r="T20" s="477"/>
      <c r="U20" s="426"/>
      <c r="V20" s="445" t="s">
        <v>1908</v>
      </c>
      <c r="W20" s="446">
        <v>4266.0</v>
      </c>
      <c r="X20" s="430"/>
      <c r="Y20" s="426"/>
      <c r="Z20" s="426"/>
      <c r="AA20" s="445" t="s">
        <v>1931</v>
      </c>
      <c r="AB20" s="446">
        <v>192693.96</v>
      </c>
      <c r="AC20" s="206"/>
      <c r="AD20" s="426"/>
      <c r="AE20" s="426"/>
      <c r="AF20" s="449" t="s">
        <v>1931</v>
      </c>
      <c r="AG20" s="455">
        <v>225991.19</v>
      </c>
      <c r="AH20" s="206"/>
      <c r="AI20" s="426"/>
      <c r="AJ20" s="426"/>
      <c r="AK20" s="430"/>
      <c r="AL20" s="430"/>
      <c r="AM20" s="428"/>
      <c r="AN20" s="478" t="s">
        <v>1940</v>
      </c>
      <c r="AO20" s="479">
        <v>17300.0</v>
      </c>
      <c r="AP20" s="480">
        <v>17300.0</v>
      </c>
      <c r="AQ20" s="435"/>
      <c r="AR20" s="435"/>
      <c r="AS20" s="435"/>
      <c r="AT20" s="430"/>
      <c r="AU20" s="430"/>
      <c r="AV20" s="475"/>
      <c r="AW20" s="475"/>
      <c r="AX20" s="475"/>
    </row>
    <row r="21">
      <c r="M21" s="454"/>
      <c r="N21" s="454"/>
      <c r="O21" s="424"/>
      <c r="P21" s="430"/>
      <c r="Q21" s="430"/>
      <c r="R21" s="424"/>
      <c r="S21" s="440" t="s">
        <v>1937</v>
      </c>
      <c r="T21" s="441">
        <v>-475000.0</v>
      </c>
      <c r="U21" s="430"/>
      <c r="V21" s="440" t="s">
        <v>1937</v>
      </c>
      <c r="W21" s="441">
        <v>-91500.0</v>
      </c>
      <c r="X21" s="206">
        <f>W21/(W22/100)</f>
        <v>-2.211235077</v>
      </c>
      <c r="Y21" s="428">
        <v>0.0</v>
      </c>
      <c r="Z21" s="430"/>
      <c r="AA21" s="445" t="s">
        <v>1908</v>
      </c>
      <c r="AB21" s="446">
        <v>4266.0</v>
      </c>
      <c r="AC21" s="430"/>
      <c r="AD21" s="426"/>
      <c r="AE21" s="430"/>
      <c r="AF21" s="449" t="s">
        <v>1908</v>
      </c>
      <c r="AG21" s="455">
        <v>4266.0</v>
      </c>
      <c r="AH21" s="430"/>
      <c r="AI21" s="426"/>
      <c r="AJ21" s="430"/>
      <c r="AK21" s="427" t="s">
        <v>1941</v>
      </c>
      <c r="AL21" s="476"/>
      <c r="AM21" s="430"/>
      <c r="AN21" s="478" t="s">
        <v>1942</v>
      </c>
      <c r="AO21" s="479">
        <v>10600.0</v>
      </c>
      <c r="AP21" s="479">
        <v>10600.0</v>
      </c>
      <c r="AQ21" s="426"/>
      <c r="AR21" s="426"/>
      <c r="AS21" s="426"/>
      <c r="AT21" s="430"/>
      <c r="AU21" s="430"/>
      <c r="AV21" s="428"/>
      <c r="AW21" s="428"/>
      <c r="AX21" s="428"/>
    </row>
    <row r="22">
      <c r="A22" s="481" t="s">
        <v>1943</v>
      </c>
      <c r="B22" s="482" t="s">
        <v>1878</v>
      </c>
      <c r="D22" s="481" t="s">
        <v>1943</v>
      </c>
      <c r="E22" s="482" t="s">
        <v>1878</v>
      </c>
      <c r="G22" s="481" t="s">
        <v>1943</v>
      </c>
      <c r="H22" s="482" t="s">
        <v>1878</v>
      </c>
      <c r="I22" s="124"/>
      <c r="J22" s="481" t="s">
        <v>1943</v>
      </c>
      <c r="K22" s="482" t="s">
        <v>1878</v>
      </c>
      <c r="L22" s="124"/>
      <c r="M22" s="483" t="s">
        <v>1943</v>
      </c>
      <c r="N22" s="484" t="s">
        <v>1878</v>
      </c>
      <c r="O22" s="424"/>
      <c r="P22" s="485" t="s">
        <v>1943</v>
      </c>
      <c r="Q22" s="486" t="s">
        <v>1878</v>
      </c>
      <c r="R22" s="424"/>
      <c r="S22" s="440" t="s">
        <v>1939</v>
      </c>
      <c r="T22" s="442">
        <f>SUM(T4,T11:T12,T21)</f>
        <v>4407464.46</v>
      </c>
      <c r="U22" s="426"/>
      <c r="V22" s="440" t="s">
        <v>1939</v>
      </c>
      <c r="W22" s="442">
        <f>SUM(W4,W11:W12,W21)</f>
        <v>4137958.96</v>
      </c>
      <c r="X22" s="206">
        <f t="shared" ref="X22:Y22" si="6">SUM(X4:X21)</f>
        <v>100</v>
      </c>
      <c r="Y22" s="426">
        <f t="shared" si="6"/>
        <v>100</v>
      </c>
      <c r="Z22" s="426"/>
      <c r="AA22" s="440" t="s">
        <v>1937</v>
      </c>
      <c r="AB22" s="441">
        <v>-552500.0</v>
      </c>
      <c r="AC22" s="206">
        <f>AB22/(AB23/100)</f>
        <v>-12.55019778</v>
      </c>
      <c r="AD22" s="428">
        <v>-12.5</v>
      </c>
      <c r="AE22" s="426"/>
      <c r="AF22" s="428" t="s">
        <v>1937</v>
      </c>
      <c r="AG22" s="206">
        <v>-725000.0</v>
      </c>
      <c r="AH22" s="206">
        <f>AG22/(AG23/100)</f>
        <v>-15.24182569</v>
      </c>
      <c r="AI22" s="428">
        <v>-10.0</v>
      </c>
      <c r="AJ22" s="426"/>
      <c r="AK22" s="430"/>
      <c r="AL22" s="476"/>
      <c r="AM22" s="430"/>
      <c r="AN22" s="478" t="s">
        <v>1944</v>
      </c>
      <c r="AO22" s="479">
        <v>11500.0</v>
      </c>
      <c r="AP22" s="479">
        <v>11500.0</v>
      </c>
      <c r="AQ22" s="435"/>
      <c r="AR22" s="435"/>
      <c r="AS22" s="435"/>
      <c r="AT22" s="427"/>
      <c r="AU22" s="430"/>
      <c r="AV22" s="430"/>
      <c r="AW22" s="430"/>
      <c r="AX22" s="430"/>
    </row>
    <row r="23">
      <c r="A23" s="123"/>
      <c r="B23" s="140"/>
      <c r="I23" s="124"/>
      <c r="L23" s="124"/>
      <c r="M23" s="454"/>
      <c r="N23" s="454"/>
      <c r="O23" s="424"/>
      <c r="P23" s="430"/>
      <c r="Q23" s="430"/>
      <c r="R23" s="424"/>
      <c r="S23" s="430"/>
      <c r="T23" s="430"/>
      <c r="U23" s="426"/>
      <c r="V23" s="430"/>
      <c r="W23" s="430"/>
      <c r="X23" s="444"/>
      <c r="Y23" s="426"/>
      <c r="Z23" s="426"/>
      <c r="AA23" s="440" t="s">
        <v>1939</v>
      </c>
      <c r="AB23" s="442">
        <f>SUM(AB4,AB12:AB13,AB22)</f>
        <v>4402321.06</v>
      </c>
      <c r="AC23" s="206">
        <f t="shared" ref="AC23:AD23" si="7">SUM(AC4:AC22)</f>
        <v>100</v>
      </c>
      <c r="AD23" s="426">
        <f t="shared" si="7"/>
        <v>100</v>
      </c>
      <c r="AE23" s="426"/>
      <c r="AF23" s="428" t="s">
        <v>1939</v>
      </c>
      <c r="AG23" s="444">
        <f>SUM(AG4,AG12:AG13,AG22)</f>
        <v>4756648.02</v>
      </c>
      <c r="AH23" s="206">
        <f t="shared" ref="AH23:AI23" si="8">SUM(AH4:AH22)</f>
        <v>100</v>
      </c>
      <c r="AI23" s="426">
        <f t="shared" si="8"/>
        <v>100</v>
      </c>
      <c r="AJ23" s="426"/>
      <c r="AK23" s="428" t="s">
        <v>22</v>
      </c>
      <c r="AL23" s="426">
        <v>400.0</v>
      </c>
      <c r="AM23" s="430"/>
      <c r="AN23" s="428"/>
      <c r="AO23" s="426"/>
      <c r="AP23" s="426"/>
      <c r="AQ23" s="435"/>
      <c r="AR23" s="435"/>
      <c r="AS23" s="435"/>
      <c r="AT23" s="430"/>
      <c r="AU23" s="430"/>
      <c r="AV23" s="430"/>
      <c r="AW23" s="430"/>
      <c r="AX23" s="430"/>
    </row>
    <row r="24">
      <c r="A24" s="437" t="s">
        <v>22</v>
      </c>
      <c r="B24" s="180">
        <v>2240396.0</v>
      </c>
      <c r="D24" s="437" t="s">
        <v>22</v>
      </c>
      <c r="E24" s="180">
        <v>2125641.0</v>
      </c>
      <c r="G24" s="437" t="s">
        <v>22</v>
      </c>
      <c r="H24" s="180">
        <v>2007862.0</v>
      </c>
      <c r="J24" s="437" t="s">
        <v>22</v>
      </c>
      <c r="K24" s="180">
        <v>1869846.45</v>
      </c>
      <c r="M24" s="438" t="s">
        <v>22</v>
      </c>
      <c r="N24" s="439">
        <v>1709538.57</v>
      </c>
      <c r="O24" s="424"/>
      <c r="P24" s="440" t="s">
        <v>1883</v>
      </c>
      <c r="Q24" s="441">
        <f>1621713-(10600*2)</f>
        <v>1600513</v>
      </c>
      <c r="R24" s="424"/>
      <c r="S24" s="485" t="s">
        <v>1943</v>
      </c>
      <c r="T24" s="486" t="s">
        <v>1878</v>
      </c>
      <c r="U24" s="430"/>
      <c r="V24" s="485" t="s">
        <v>1943</v>
      </c>
      <c r="W24" s="486" t="s">
        <v>1878</v>
      </c>
      <c r="X24" s="444"/>
      <c r="Y24" s="430"/>
      <c r="Z24" s="430"/>
      <c r="AA24" s="430"/>
      <c r="AB24" s="430"/>
      <c r="AC24" s="444"/>
      <c r="AD24" s="426"/>
      <c r="AE24" s="430"/>
      <c r="AF24" s="430"/>
      <c r="AG24" s="430"/>
      <c r="AH24" s="444"/>
      <c r="AI24" s="426"/>
      <c r="AJ24" s="430"/>
      <c r="AK24" s="428" t="s">
        <v>23</v>
      </c>
      <c r="AL24" s="426">
        <v>433.0</v>
      </c>
      <c r="AM24" s="430"/>
      <c r="AN24" s="427" t="s">
        <v>57</v>
      </c>
      <c r="AO24" s="469">
        <f t="shared" ref="AO24:AP24" si="9">SUM(AO20:AO22)</f>
        <v>39400</v>
      </c>
      <c r="AP24" s="469">
        <f t="shared" si="9"/>
        <v>39400</v>
      </c>
      <c r="AQ24" s="435"/>
      <c r="AR24" s="435"/>
      <c r="AS24" s="435"/>
      <c r="AT24" s="430"/>
      <c r="AU24" s="453"/>
      <c r="AV24" s="426"/>
      <c r="AW24" s="426"/>
      <c r="AX24" s="426"/>
    </row>
    <row r="25">
      <c r="A25" s="437" t="s">
        <v>23</v>
      </c>
      <c r="B25" s="180">
        <v>3139632.0</v>
      </c>
      <c r="D25" s="437" t="s">
        <v>23</v>
      </c>
      <c r="E25" s="180">
        <v>3056097.0</v>
      </c>
      <c r="G25" s="437" t="s">
        <v>23</v>
      </c>
      <c r="H25" s="180">
        <v>2966657.0</v>
      </c>
      <c r="J25" s="437" t="s">
        <v>23</v>
      </c>
      <c r="K25" s="180">
        <v>2850141.75</v>
      </c>
      <c r="M25" s="438" t="s">
        <v>23</v>
      </c>
      <c r="N25" s="439">
        <v>2721664.09</v>
      </c>
      <c r="O25" s="424"/>
      <c r="P25" s="440" t="s">
        <v>1887</v>
      </c>
      <c r="Q25" s="441">
        <f>1378287-(11500*2)</f>
        <v>1355287</v>
      </c>
      <c r="R25" s="424"/>
      <c r="S25" s="430"/>
      <c r="T25" s="430"/>
      <c r="U25" s="430"/>
      <c r="V25" s="430"/>
      <c r="W25" s="430"/>
      <c r="X25" s="444"/>
      <c r="Y25" s="430"/>
      <c r="Z25" s="430"/>
      <c r="AA25" s="485" t="s">
        <v>1943</v>
      </c>
      <c r="AB25" s="486" t="s">
        <v>1878</v>
      </c>
      <c r="AC25" s="444"/>
      <c r="AD25" s="430"/>
      <c r="AE25" s="430"/>
      <c r="AF25" s="485" t="s">
        <v>1943</v>
      </c>
      <c r="AG25" s="486" t="s">
        <v>1878</v>
      </c>
      <c r="AH25" s="444"/>
      <c r="AI25" s="430"/>
      <c r="AJ25" s="430"/>
      <c r="AK25" s="123" t="s">
        <v>24</v>
      </c>
      <c r="AL25" s="123">
        <v>666.0</v>
      </c>
      <c r="AM25" s="430"/>
      <c r="AN25" s="430"/>
      <c r="AO25" s="430"/>
      <c r="AP25" s="435"/>
      <c r="AQ25" s="469"/>
      <c r="AR25" s="469"/>
      <c r="AS25" s="469"/>
      <c r="AT25" s="487"/>
      <c r="AU25" s="453"/>
      <c r="AV25" s="426"/>
      <c r="AW25" s="426"/>
      <c r="AX25" s="426"/>
    </row>
    <row r="26">
      <c r="A26" s="437" t="s">
        <v>1945</v>
      </c>
      <c r="B26" s="180">
        <v>440000.0</v>
      </c>
      <c r="D26" s="437" t="s">
        <v>1945</v>
      </c>
      <c r="E26" s="180">
        <v>200000.0</v>
      </c>
      <c r="G26" s="437" t="s">
        <v>1946</v>
      </c>
      <c r="H26" s="180">
        <v>589860.0</v>
      </c>
      <c r="J26" s="437" t="s">
        <v>1946</v>
      </c>
      <c r="K26" s="180">
        <v>457650.0</v>
      </c>
      <c r="M26" s="488" t="s">
        <v>1946</v>
      </c>
      <c r="N26" s="489">
        <v>345780.0</v>
      </c>
      <c r="O26" s="424"/>
      <c r="P26" s="440" t="s">
        <v>23</v>
      </c>
      <c r="Q26" s="441">
        <v>2590595.09</v>
      </c>
      <c r="R26" s="424"/>
      <c r="S26" s="440" t="s">
        <v>1883</v>
      </c>
      <c r="T26" s="441">
        <v>1500000.0</v>
      </c>
      <c r="U26" s="430"/>
      <c r="V26" s="440" t="s">
        <v>1883</v>
      </c>
      <c r="W26" s="441">
        <v>1400000.0</v>
      </c>
      <c r="X26" s="444"/>
      <c r="Y26" s="430"/>
      <c r="Z26" s="430"/>
      <c r="AA26" s="430"/>
      <c r="AB26" s="430"/>
      <c r="AC26" s="444"/>
      <c r="AD26" s="430"/>
      <c r="AE26" s="430"/>
      <c r="AF26" s="430"/>
      <c r="AG26" s="430"/>
      <c r="AH26" s="444"/>
      <c r="AI26" s="430"/>
      <c r="AJ26" s="430"/>
      <c r="AK26" s="123" t="s">
        <v>26</v>
      </c>
      <c r="AL26" s="123">
        <v>833.0</v>
      </c>
      <c r="AM26" s="430"/>
      <c r="AN26" s="427" t="s">
        <v>1947</v>
      </c>
      <c r="AO26" s="429"/>
      <c r="AP26" s="429"/>
      <c r="AQ26" s="430"/>
      <c r="AR26" s="430"/>
      <c r="AS26" s="430"/>
      <c r="AT26" s="430"/>
      <c r="AU26" s="430"/>
      <c r="AV26" s="426"/>
      <c r="AW26" s="426"/>
      <c r="AX26" s="426"/>
    </row>
    <row r="27">
      <c r="D27" s="437" t="s">
        <v>1948</v>
      </c>
      <c r="E27" s="180">
        <v>415275.0</v>
      </c>
      <c r="G27" s="437" t="s">
        <v>1910</v>
      </c>
      <c r="H27" s="180">
        <v>228320.0</v>
      </c>
      <c r="J27" s="437" t="s">
        <v>1910</v>
      </c>
      <c r="K27" s="180">
        <v>142700.0</v>
      </c>
      <c r="M27" s="488" t="s">
        <v>1910</v>
      </c>
      <c r="N27" s="489">
        <v>57080.0</v>
      </c>
      <c r="O27" s="424"/>
      <c r="P27" s="472" t="s">
        <v>1912</v>
      </c>
      <c r="Q27" s="473">
        <v>101068.0</v>
      </c>
      <c r="R27" s="424"/>
      <c r="S27" s="440" t="s">
        <v>1887</v>
      </c>
      <c r="T27" s="441">
        <v>1350000.0</v>
      </c>
      <c r="U27" s="430"/>
      <c r="V27" s="440" t="s">
        <v>1887</v>
      </c>
      <c r="W27" s="441">
        <v>1340000.0</v>
      </c>
      <c r="X27" s="444"/>
      <c r="Y27" s="430"/>
      <c r="Z27" s="430"/>
      <c r="AA27" s="440" t="s">
        <v>1883</v>
      </c>
      <c r="AB27" s="441">
        <v>1400000.0</v>
      </c>
      <c r="AC27" s="444"/>
      <c r="AD27" s="430"/>
      <c r="AE27" s="430"/>
      <c r="AF27" s="428" t="s">
        <v>1883</v>
      </c>
      <c r="AG27" s="206">
        <v>1400000.0</v>
      </c>
      <c r="AH27" s="444"/>
      <c r="AI27" s="430"/>
      <c r="AJ27" s="430"/>
      <c r="AM27" s="430"/>
      <c r="AN27" s="430"/>
      <c r="AO27" s="430"/>
      <c r="AP27" s="430"/>
      <c r="AQ27" s="430"/>
      <c r="AR27" s="430"/>
      <c r="AS27" s="430"/>
      <c r="AT27" s="430"/>
      <c r="AU27" s="453"/>
      <c r="AV27" s="426"/>
      <c r="AW27" s="426"/>
      <c r="AX27" s="426"/>
    </row>
    <row r="28">
      <c r="D28" s="437" t="s">
        <v>1949</v>
      </c>
      <c r="E28" s="180">
        <v>263200.0</v>
      </c>
      <c r="J28" s="437" t="s">
        <v>1913</v>
      </c>
      <c r="K28" s="180">
        <v>107900.0</v>
      </c>
      <c r="M28" s="488" t="s">
        <v>1950</v>
      </c>
      <c r="N28" s="489">
        <v>95795.0</v>
      </c>
      <c r="O28" s="424"/>
      <c r="P28" s="472" t="s">
        <v>1951</v>
      </c>
      <c r="Q28" s="473">
        <v>25560.0</v>
      </c>
      <c r="R28" s="424"/>
      <c r="S28" s="440" t="s">
        <v>23</v>
      </c>
      <c r="T28" s="441">
        <v>2480058.33</v>
      </c>
      <c r="U28" s="430"/>
      <c r="V28" s="440" t="s">
        <v>23</v>
      </c>
      <c r="W28" s="441">
        <v>2375000.0</v>
      </c>
      <c r="X28" s="444"/>
      <c r="Y28" s="430"/>
      <c r="Z28" s="430"/>
      <c r="AA28" s="440" t="s">
        <v>1887</v>
      </c>
      <c r="AB28" s="441">
        <v>1340000.0</v>
      </c>
      <c r="AC28" s="444"/>
      <c r="AD28" s="430"/>
      <c r="AE28" s="430"/>
      <c r="AF28" s="428" t="s">
        <v>1887</v>
      </c>
      <c r="AG28" s="206">
        <v>1340000.0</v>
      </c>
      <c r="AH28" s="444"/>
      <c r="AI28" s="430"/>
      <c r="AJ28" s="430"/>
      <c r="AK28" s="427" t="s">
        <v>1952</v>
      </c>
      <c r="AL28" s="476"/>
      <c r="AM28" s="430"/>
      <c r="AN28" s="478" t="s">
        <v>1953</v>
      </c>
      <c r="AO28" s="479">
        <v>0.0</v>
      </c>
      <c r="AP28" s="479">
        <v>0.0</v>
      </c>
      <c r="AQ28" s="430"/>
      <c r="AR28" s="430"/>
      <c r="AS28" s="430"/>
      <c r="AT28" s="430"/>
      <c r="AU28" s="453"/>
      <c r="AV28" s="435"/>
      <c r="AW28" s="435"/>
      <c r="AX28" s="435"/>
    </row>
    <row r="29">
      <c r="D29" s="437" t="s">
        <v>1954</v>
      </c>
      <c r="E29" s="458">
        <v>39024.0</v>
      </c>
      <c r="H29" s="490"/>
      <c r="J29" s="437" t="s">
        <v>1955</v>
      </c>
      <c r="K29" s="180">
        <v>4974.0</v>
      </c>
      <c r="M29" s="488" t="s">
        <v>1956</v>
      </c>
      <c r="N29" s="489">
        <v>182467.0</v>
      </c>
      <c r="O29" s="424"/>
      <c r="P29" s="472" t="s">
        <v>1955</v>
      </c>
      <c r="Q29" s="473">
        <v>250000.0</v>
      </c>
      <c r="R29" s="424"/>
      <c r="S29" s="437" t="s">
        <v>1957</v>
      </c>
      <c r="T29" s="180">
        <v>107400.0</v>
      </c>
      <c r="U29" s="430"/>
      <c r="V29" s="437" t="s">
        <v>1958</v>
      </c>
      <c r="W29" s="180">
        <f>10740*3</f>
        <v>32220</v>
      </c>
      <c r="X29" s="444"/>
      <c r="Y29" s="430"/>
      <c r="Z29" s="430"/>
      <c r="AA29" s="440" t="s">
        <v>23</v>
      </c>
      <c r="AB29" s="441">
        <v>2254413.4</v>
      </c>
      <c r="AC29" s="444"/>
      <c r="AD29" s="430"/>
      <c r="AE29" s="430"/>
      <c r="AF29" s="428" t="s">
        <v>23</v>
      </c>
      <c r="AG29" s="206">
        <v>2223213.67</v>
      </c>
      <c r="AH29" s="444"/>
      <c r="AI29" s="430"/>
      <c r="AJ29" s="430"/>
      <c r="AK29" s="430"/>
      <c r="AL29" s="476"/>
      <c r="AM29" s="430"/>
      <c r="AN29" s="478" t="s">
        <v>1959</v>
      </c>
      <c r="AO29" s="479">
        <v>0.0</v>
      </c>
      <c r="AP29" s="479">
        <v>0.0</v>
      </c>
      <c r="AQ29" s="426"/>
      <c r="AR29" s="426"/>
      <c r="AS29" s="426"/>
      <c r="AT29" s="487"/>
      <c r="AU29" s="430"/>
      <c r="AV29" s="452"/>
      <c r="AW29" s="452"/>
      <c r="AX29" s="452"/>
    </row>
    <row r="30">
      <c r="D30" s="437" t="s">
        <v>1960</v>
      </c>
      <c r="E30" s="458">
        <v>122832.0</v>
      </c>
      <c r="H30" s="490"/>
      <c r="M30" s="491" t="s">
        <v>1961</v>
      </c>
      <c r="N30" s="489">
        <v>49726.0</v>
      </c>
      <c r="O30" s="424"/>
      <c r="P30" s="440" t="s">
        <v>1962</v>
      </c>
      <c r="Q30" s="442">
        <f>SUM(Q24:Q29)</f>
        <v>5923023.09</v>
      </c>
      <c r="R30" s="424"/>
      <c r="S30" s="437" t="s">
        <v>1963</v>
      </c>
      <c r="T30" s="441">
        <v>36267.0</v>
      </c>
      <c r="U30" s="430"/>
      <c r="V30" s="437" t="s">
        <v>1896</v>
      </c>
      <c r="W30" s="180">
        <f>10560*5</f>
        <v>52800</v>
      </c>
      <c r="Z30" s="430"/>
      <c r="AA30" s="472" t="s">
        <v>24</v>
      </c>
      <c r="AB30" s="441">
        <v>2692000.0</v>
      </c>
      <c r="AC30" s="444"/>
      <c r="AD30" s="444"/>
      <c r="AE30" s="430"/>
      <c r="AF30" s="492" t="s">
        <v>24</v>
      </c>
      <c r="AG30" s="206">
        <f>2608000+(14000*1)</f>
        <v>2622000</v>
      </c>
      <c r="AH30" s="444"/>
      <c r="AI30" s="444"/>
      <c r="AJ30" s="430"/>
      <c r="AK30" s="428" t="s">
        <v>1964</v>
      </c>
      <c r="AL30" s="426">
        <v>5400.0</v>
      </c>
      <c r="AM30" s="430"/>
      <c r="AN30" s="493" t="s">
        <v>1965</v>
      </c>
      <c r="AO30" s="494">
        <v>0.0</v>
      </c>
      <c r="AP30" s="494">
        <v>0.0</v>
      </c>
      <c r="AQ30" s="426"/>
      <c r="AR30" s="426"/>
      <c r="AS30" s="426"/>
      <c r="AT30" s="430"/>
      <c r="AU30" s="430"/>
      <c r="AV30" s="453"/>
      <c r="AW30" s="453"/>
      <c r="AX30" s="453"/>
    </row>
    <row r="31">
      <c r="D31" s="437" t="s">
        <v>1966</v>
      </c>
      <c r="E31" s="458">
        <v>20040.0</v>
      </c>
      <c r="H31" s="490"/>
      <c r="K31" s="490"/>
      <c r="M31" s="491" t="s">
        <v>1967</v>
      </c>
      <c r="N31" s="489">
        <v>130042.0</v>
      </c>
      <c r="O31" s="424"/>
      <c r="P31" s="440" t="s">
        <v>1968</v>
      </c>
      <c r="Q31" s="441">
        <f>(Q20/Q30)</f>
        <v>0.7677027914</v>
      </c>
      <c r="R31" s="424"/>
      <c r="S31" s="437" t="s">
        <v>257</v>
      </c>
      <c r="T31" s="441">
        <v>22339.0</v>
      </c>
      <c r="U31" s="430"/>
      <c r="V31" s="437" t="s">
        <v>1900</v>
      </c>
      <c r="W31" s="180">
        <f>21480*10</f>
        <v>214800</v>
      </c>
      <c r="Z31" s="430"/>
      <c r="AA31" s="437" t="s">
        <v>1909</v>
      </c>
      <c r="AB31" s="180">
        <f>13241.9*15</f>
        <v>198628.5</v>
      </c>
      <c r="AE31" s="430"/>
      <c r="AF31" s="123" t="s">
        <v>1909</v>
      </c>
      <c r="AG31" s="140">
        <f>13241.9*10</f>
        <v>132419</v>
      </c>
      <c r="AJ31" s="430"/>
      <c r="AK31" s="430"/>
      <c r="AL31" s="430"/>
      <c r="AM31" s="430"/>
      <c r="AN31" s="493" t="s">
        <v>1969</v>
      </c>
      <c r="AO31" s="494">
        <v>0.0</v>
      </c>
      <c r="AP31" s="494">
        <v>0.0</v>
      </c>
      <c r="AQ31" s="426"/>
      <c r="AR31" s="426"/>
      <c r="AS31" s="426"/>
      <c r="AT31" s="430"/>
      <c r="AU31" s="430"/>
      <c r="AV31" s="453"/>
      <c r="AW31" s="453"/>
      <c r="AX31" s="453"/>
    </row>
    <row r="32">
      <c r="H32" s="140"/>
      <c r="K32" s="140"/>
      <c r="M32" s="491" t="s">
        <v>1970</v>
      </c>
      <c r="N32" s="489">
        <v>63671.0</v>
      </c>
      <c r="O32" s="424"/>
      <c r="P32" s="430"/>
      <c r="Q32" s="430"/>
      <c r="R32" s="424"/>
      <c r="S32" s="472"/>
      <c r="T32" s="441"/>
      <c r="U32" s="430"/>
      <c r="V32" s="472"/>
      <c r="W32" s="441"/>
      <c r="Z32" s="430"/>
      <c r="AA32" s="437" t="s">
        <v>1971</v>
      </c>
      <c r="AB32" s="180">
        <f>8055*7</f>
        <v>56385</v>
      </c>
      <c r="AE32" s="430"/>
      <c r="AF32" s="123" t="s">
        <v>1971</v>
      </c>
      <c r="AG32" s="140">
        <f>8055*2</f>
        <v>16110</v>
      </c>
      <c r="AJ32" s="430"/>
      <c r="AK32" s="427" t="s">
        <v>1972</v>
      </c>
      <c r="AL32" s="469">
        <f>SUM(AL23:AL31)</f>
        <v>7732</v>
      </c>
      <c r="AM32" s="430"/>
      <c r="AN32" s="493" t="s">
        <v>1973</v>
      </c>
      <c r="AO32" s="494">
        <v>0.0</v>
      </c>
      <c r="AP32" s="494">
        <v>0.0</v>
      </c>
      <c r="AQ32" s="426"/>
      <c r="AR32" s="426"/>
      <c r="AS32" s="426"/>
      <c r="AT32" s="430"/>
      <c r="AU32" s="430"/>
      <c r="AV32" s="426"/>
      <c r="AW32" s="426"/>
      <c r="AX32" s="426"/>
    </row>
    <row r="33">
      <c r="A33" s="437" t="s">
        <v>1962</v>
      </c>
      <c r="B33" s="463">
        <f>SUM(B24:B26)</f>
        <v>5820028</v>
      </c>
      <c r="D33" s="437" t="s">
        <v>1962</v>
      </c>
      <c r="E33" s="463">
        <f>SUM(E24:E31)</f>
        <v>6242109</v>
      </c>
      <c r="G33" s="437" t="s">
        <v>1962</v>
      </c>
      <c r="H33" s="463">
        <f>SUM(H24:H31)</f>
        <v>5792699</v>
      </c>
      <c r="J33" s="437" t="s">
        <v>1962</v>
      </c>
      <c r="K33" s="463">
        <f>SUM(K24:K31)</f>
        <v>5433212.2</v>
      </c>
      <c r="M33" s="488" t="s">
        <v>1974</v>
      </c>
      <c r="N33" s="489">
        <v>42600.0</v>
      </c>
      <c r="O33" s="424"/>
      <c r="R33" s="371"/>
      <c r="S33" s="440" t="s">
        <v>1962</v>
      </c>
      <c r="T33" s="442">
        <f>SUM(T26:T32)</f>
        <v>5496064.33</v>
      </c>
      <c r="U33" s="430"/>
      <c r="V33" s="440" t="s">
        <v>1962</v>
      </c>
      <c r="W33" s="442">
        <f>SUM(W26:W32)</f>
        <v>5414820</v>
      </c>
      <c r="X33" s="430"/>
      <c r="Y33" s="430"/>
      <c r="Z33" s="430"/>
      <c r="AA33" s="437" t="s">
        <v>1975</v>
      </c>
      <c r="AB33" s="180">
        <f>16110*4</f>
        <v>64440</v>
      </c>
      <c r="AE33" s="430"/>
      <c r="AF33" s="123" t="s">
        <v>1976</v>
      </c>
      <c r="AG33" s="140">
        <f>11555*1</f>
        <v>11555</v>
      </c>
      <c r="AJ33" s="430"/>
      <c r="AK33" s="428" t="s">
        <v>1977</v>
      </c>
      <c r="AL33" s="426">
        <f>AL32/24</f>
        <v>322.1666667</v>
      </c>
      <c r="AM33" s="430"/>
      <c r="AN33" s="495" t="s">
        <v>1978</v>
      </c>
      <c r="AO33" s="496">
        <v>0.0</v>
      </c>
      <c r="AP33" s="496">
        <v>0.0</v>
      </c>
      <c r="AQ33" s="426"/>
      <c r="AR33" s="426"/>
      <c r="AS33" s="426"/>
      <c r="AT33" s="430"/>
      <c r="AU33" s="430"/>
      <c r="AV33" s="426"/>
      <c r="AW33" s="426"/>
      <c r="AX33" s="426"/>
    </row>
    <row r="34">
      <c r="A34" s="437" t="s">
        <v>1968</v>
      </c>
      <c r="B34" s="180">
        <f>(B20/B33)</f>
        <v>0.2271052648</v>
      </c>
      <c r="D34" s="437" t="s">
        <v>1968</v>
      </c>
      <c r="E34" s="180">
        <f>(E20/E33)</f>
        <v>0.3451825337</v>
      </c>
      <c r="G34" s="437" t="s">
        <v>1968</v>
      </c>
      <c r="H34" s="180">
        <f>(H20/H33)</f>
        <v>0.3660856537</v>
      </c>
      <c r="J34" s="437" t="s">
        <v>1968</v>
      </c>
      <c r="K34" s="180">
        <f>(K20/K33)</f>
        <v>0.4609753324</v>
      </c>
      <c r="M34" s="488" t="s">
        <v>1979</v>
      </c>
      <c r="N34" s="489">
        <v>28642.0</v>
      </c>
      <c r="O34" s="424"/>
      <c r="R34" s="371"/>
      <c r="S34" s="440" t="s">
        <v>1968</v>
      </c>
      <c r="T34" s="441">
        <f>(T22/T33)</f>
        <v>0.8019310174</v>
      </c>
      <c r="U34" s="430"/>
      <c r="V34" s="440" t="s">
        <v>1968</v>
      </c>
      <c r="W34" s="441">
        <f>(W22/W33)</f>
        <v>0.7641914154</v>
      </c>
      <c r="X34" s="430"/>
      <c r="Y34" s="430"/>
      <c r="Z34" s="430"/>
      <c r="AA34" s="497"/>
      <c r="AB34" s="497"/>
      <c r="AE34" s="430"/>
      <c r="AJ34" s="430"/>
      <c r="AM34" s="430"/>
      <c r="AN34" s="498" t="s">
        <v>1980</v>
      </c>
      <c r="AO34" s="499">
        <v>0.0</v>
      </c>
      <c r="AP34" s="499">
        <v>0.0</v>
      </c>
      <c r="AQ34" s="426"/>
      <c r="AR34" s="426"/>
      <c r="AS34" s="426"/>
      <c r="AT34" s="430"/>
      <c r="AU34" s="430"/>
      <c r="AV34" s="430"/>
      <c r="AW34" s="430"/>
      <c r="AX34" s="453"/>
    </row>
    <row r="35">
      <c r="B35" s="471"/>
      <c r="M35" s="488" t="s">
        <v>1912</v>
      </c>
      <c r="N35" s="489">
        <v>140965.0</v>
      </c>
      <c r="O35" s="424"/>
      <c r="U35" s="430"/>
      <c r="X35" s="430"/>
      <c r="Y35" s="430"/>
      <c r="AA35" s="440" t="s">
        <v>1962</v>
      </c>
      <c r="AB35" s="442">
        <f>SUM(AB27:AB33)</f>
        <v>8005866.9</v>
      </c>
      <c r="AC35" s="430"/>
      <c r="AD35" s="430"/>
      <c r="AF35" s="428" t="s">
        <v>1962</v>
      </c>
      <c r="AG35" s="444">
        <f>SUM(AG27:AG33)</f>
        <v>7745297.67</v>
      </c>
      <c r="AH35" s="430"/>
      <c r="AI35" s="430"/>
      <c r="AK35" s="430"/>
      <c r="AL35" s="430"/>
      <c r="AM35" s="430"/>
      <c r="AN35" s="430"/>
      <c r="AO35" s="430"/>
      <c r="AP35" s="430"/>
      <c r="AQ35" s="426"/>
      <c r="AR35" s="426"/>
      <c r="AS35" s="426"/>
      <c r="AT35" s="430"/>
      <c r="AU35" s="430"/>
      <c r="AV35" s="453"/>
      <c r="AW35" s="453"/>
      <c r="AX35" s="452"/>
    </row>
    <row r="36">
      <c r="M36" s="438" t="s">
        <v>1981</v>
      </c>
      <c r="N36" s="489">
        <v>31688.0</v>
      </c>
      <c r="O36" s="424"/>
      <c r="U36" s="430"/>
      <c r="Y36" s="430"/>
      <c r="Z36" s="430"/>
      <c r="AA36" s="440" t="s">
        <v>1968</v>
      </c>
      <c r="AB36" s="441">
        <f>(AB23/AB35)</f>
        <v>0.5498868661</v>
      </c>
      <c r="AC36" s="430"/>
      <c r="AD36" s="430"/>
      <c r="AE36" s="430"/>
      <c r="AF36" s="428" t="s">
        <v>1968</v>
      </c>
      <c r="AG36" s="206">
        <f>(AG23/AG35)</f>
        <v>0.6141336618</v>
      </c>
      <c r="AH36" s="430"/>
      <c r="AI36" s="430"/>
      <c r="AJ36" s="430"/>
      <c r="AK36" s="430"/>
      <c r="AL36" s="430"/>
      <c r="AM36" s="430"/>
      <c r="AN36" s="427" t="s">
        <v>57</v>
      </c>
      <c r="AO36" s="469">
        <f t="shared" ref="AO36:AP36" si="10">SUM(AO28:AO34)</f>
        <v>0</v>
      </c>
      <c r="AP36" s="469">
        <f t="shared" si="10"/>
        <v>0</v>
      </c>
      <c r="AQ36" s="430"/>
      <c r="AR36" s="430"/>
      <c r="AS36" s="430"/>
      <c r="AT36" s="430"/>
      <c r="AU36" s="430"/>
      <c r="AV36" s="452"/>
      <c r="AW36" s="452"/>
      <c r="AX36" s="430"/>
    </row>
    <row r="37">
      <c r="M37" s="438" t="s">
        <v>1982</v>
      </c>
      <c r="N37" s="439">
        <v>13922.48</v>
      </c>
      <c r="O37" s="424"/>
      <c r="U37" s="430"/>
      <c r="V37" s="427" t="s">
        <v>1983</v>
      </c>
      <c r="W37" s="430"/>
      <c r="X37" s="371"/>
      <c r="Y37" s="371"/>
      <c r="Z37" s="430"/>
      <c r="AC37" s="430"/>
      <c r="AD37" s="430"/>
      <c r="AE37" s="430"/>
      <c r="AH37" s="430"/>
      <c r="AI37" s="430"/>
      <c r="AJ37" s="430"/>
      <c r="AK37" s="430"/>
      <c r="AL37" s="430"/>
      <c r="AM37" s="430"/>
      <c r="AQ37" s="469"/>
      <c r="AR37" s="469"/>
      <c r="AS37" s="469"/>
      <c r="AT37" s="430"/>
      <c r="AU37" s="430"/>
      <c r="AV37" s="430"/>
      <c r="AW37" s="430"/>
      <c r="AX37" s="452"/>
    </row>
    <row r="38">
      <c r="M38" s="438" t="s">
        <v>1955</v>
      </c>
      <c r="N38" s="439">
        <v>25000.0</v>
      </c>
      <c r="O38" s="424"/>
      <c r="U38" s="430"/>
      <c r="V38" s="428" t="s">
        <v>39</v>
      </c>
      <c r="W38" s="202">
        <v>3150000.0</v>
      </c>
      <c r="X38" s="429"/>
      <c r="Y38" s="429"/>
      <c r="Z38" s="430"/>
      <c r="AA38" s="427" t="s">
        <v>28</v>
      </c>
      <c r="AB38" s="206"/>
      <c r="AC38" s="371"/>
      <c r="AD38" s="371"/>
      <c r="AE38" s="430"/>
      <c r="AF38" s="427" t="s">
        <v>28</v>
      </c>
      <c r="AG38" s="206"/>
      <c r="AH38" s="371"/>
      <c r="AI38" s="371"/>
      <c r="AJ38" s="430"/>
      <c r="AK38" s="493"/>
      <c r="AL38" s="494"/>
      <c r="AM38" s="430"/>
      <c r="AN38" s="493" t="s">
        <v>1984</v>
      </c>
      <c r="AO38" s="494" t="s">
        <v>1985</v>
      </c>
      <c r="AQ38" s="430"/>
      <c r="AR38" s="430"/>
      <c r="AS38" s="430"/>
      <c r="AT38" s="427"/>
      <c r="AU38" s="452"/>
      <c r="AV38" s="452"/>
      <c r="AW38" s="452"/>
      <c r="AX38" s="430"/>
    </row>
    <row r="39">
      <c r="M39" s="438" t="s">
        <v>1945</v>
      </c>
      <c r="N39" s="439">
        <v>25000.0</v>
      </c>
      <c r="O39" s="424"/>
      <c r="U39" s="430"/>
      <c r="V39" s="428" t="s">
        <v>1986</v>
      </c>
      <c r="W39" s="206">
        <v>1500000.0</v>
      </c>
      <c r="X39" s="429"/>
      <c r="Y39" s="500"/>
      <c r="Z39" s="430"/>
      <c r="AA39" s="428" t="s">
        <v>1987</v>
      </c>
      <c r="AB39" s="206">
        <v>0.0</v>
      </c>
      <c r="AC39" s="429">
        <f>AB39/AD39</f>
        <v>0</v>
      </c>
      <c r="AD39" s="501">
        <v>35.0</v>
      </c>
      <c r="AE39" s="430"/>
      <c r="AF39" s="428" t="s">
        <v>1987</v>
      </c>
      <c r="AG39" s="206">
        <v>0.0</v>
      </c>
      <c r="AH39" s="429">
        <f>AG39/AI39</f>
        <v>0</v>
      </c>
      <c r="AI39" s="501">
        <v>35.0</v>
      </c>
      <c r="AJ39" s="430"/>
      <c r="AK39" s="493"/>
      <c r="AL39" s="494"/>
      <c r="AM39" s="430"/>
      <c r="AN39" s="493" t="s">
        <v>1988</v>
      </c>
      <c r="AO39" s="494" t="s">
        <v>1985</v>
      </c>
      <c r="AP39" s="430"/>
      <c r="AQ39" s="430"/>
      <c r="AR39" s="430"/>
      <c r="AS39" s="430"/>
      <c r="AT39" s="430"/>
      <c r="AU39" s="430"/>
      <c r="AV39" s="430"/>
      <c r="AW39" s="430"/>
      <c r="AX39" s="430"/>
    </row>
    <row r="40">
      <c r="M40" s="438" t="s">
        <v>1989</v>
      </c>
      <c r="N40" s="439">
        <v>25000.0</v>
      </c>
      <c r="O40" s="424"/>
      <c r="U40" s="428"/>
      <c r="V40" s="428" t="s">
        <v>1990</v>
      </c>
      <c r="W40" s="502">
        <f>W38*1%</f>
        <v>31500</v>
      </c>
      <c r="X40" s="429"/>
      <c r="Y40" s="429"/>
      <c r="Z40" s="430"/>
      <c r="AA40" s="428" t="s">
        <v>1991</v>
      </c>
      <c r="AB40" s="206">
        <f>AC40*AD39</f>
        <v>0</v>
      </c>
      <c r="AC40" s="429">
        <v>0.0</v>
      </c>
      <c r="AD40" s="500"/>
      <c r="AE40" s="430"/>
      <c r="AF40" s="428" t="s">
        <v>1991</v>
      </c>
      <c r="AG40" s="206">
        <f>AH40*AI39</f>
        <v>0</v>
      </c>
      <c r="AH40" s="429">
        <v>0.0</v>
      </c>
      <c r="AI40" s="500"/>
      <c r="AJ40" s="430"/>
      <c r="AK40" s="493"/>
      <c r="AL40" s="494"/>
      <c r="AM40" s="430"/>
      <c r="AN40" s="493" t="s">
        <v>1992</v>
      </c>
      <c r="AO40" s="494" t="s">
        <v>1985</v>
      </c>
      <c r="AP40" s="430"/>
      <c r="AQ40" s="430"/>
      <c r="AR40" s="430"/>
      <c r="AS40" s="430"/>
      <c r="AT40" s="427"/>
      <c r="AU40" s="430"/>
      <c r="AV40" s="430"/>
      <c r="AW40" s="430"/>
      <c r="AX40" s="430"/>
    </row>
    <row r="41">
      <c r="M41" s="438" t="s">
        <v>1993</v>
      </c>
      <c r="N41" s="439">
        <v>25000.0</v>
      </c>
      <c r="O41" s="424"/>
      <c r="U41" s="429"/>
      <c r="V41" s="428" t="s">
        <v>1994</v>
      </c>
      <c r="W41" s="502">
        <f>W38*5%</f>
        <v>157500</v>
      </c>
      <c r="X41" s="429"/>
      <c r="Y41" s="429"/>
      <c r="Z41" s="430"/>
      <c r="AA41" s="428" t="s">
        <v>1995</v>
      </c>
      <c r="AB41" s="206">
        <f>AC41*AD39</f>
        <v>0</v>
      </c>
      <c r="AC41" s="429">
        <v>0.0</v>
      </c>
      <c r="AD41" s="429"/>
      <c r="AE41" s="430"/>
      <c r="AF41" s="428" t="s">
        <v>1995</v>
      </c>
      <c r="AG41" s="206">
        <f>AH41*AI39</f>
        <v>0</v>
      </c>
      <c r="AH41" s="429">
        <v>0.0</v>
      </c>
      <c r="AI41" s="429"/>
      <c r="AJ41" s="430"/>
      <c r="AK41" s="493"/>
      <c r="AL41" s="494"/>
      <c r="AM41" s="430"/>
      <c r="AN41" s="493" t="s">
        <v>1996</v>
      </c>
      <c r="AO41" s="494" t="s">
        <v>1985</v>
      </c>
      <c r="AP41" s="430"/>
      <c r="AQ41" s="503"/>
      <c r="AR41" s="503"/>
      <c r="AS41" s="503"/>
      <c r="AT41" s="430"/>
      <c r="AU41" s="430"/>
      <c r="AV41" s="430"/>
      <c r="AW41" s="430"/>
      <c r="AX41" s="435"/>
    </row>
    <row r="42">
      <c r="M42" s="438" t="s">
        <v>1997</v>
      </c>
      <c r="N42" s="439">
        <v>100000.0</v>
      </c>
      <c r="O42" s="424"/>
      <c r="U42" s="428"/>
      <c r="V42" s="428" t="s">
        <v>1998</v>
      </c>
      <c r="W42" s="502">
        <f>W38*3%</f>
        <v>94500</v>
      </c>
      <c r="X42" s="429"/>
      <c r="Y42" s="429"/>
      <c r="Z42" s="430"/>
      <c r="AA42" s="428" t="s">
        <v>1999</v>
      </c>
      <c r="AB42" s="206">
        <f>AC42*AD39</f>
        <v>0</v>
      </c>
      <c r="AC42" s="429">
        <v>0.0</v>
      </c>
      <c r="AD42" s="429"/>
      <c r="AE42" s="430"/>
      <c r="AF42" s="428" t="s">
        <v>1999</v>
      </c>
      <c r="AG42" s="206">
        <f>AH42*AI39</f>
        <v>0</v>
      </c>
      <c r="AH42" s="429">
        <v>0.0</v>
      </c>
      <c r="AI42" s="429"/>
      <c r="AJ42" s="430"/>
      <c r="AK42" s="493"/>
      <c r="AL42" s="494"/>
      <c r="AM42" s="428"/>
      <c r="AN42" s="493"/>
      <c r="AO42" s="494"/>
      <c r="AP42" s="430"/>
      <c r="AQ42" s="430"/>
      <c r="AR42" s="430"/>
      <c r="AS42" s="430"/>
      <c r="AT42" s="430"/>
      <c r="AU42" s="426"/>
      <c r="AV42" s="435"/>
      <c r="AW42" s="435"/>
      <c r="AX42" s="426"/>
    </row>
    <row r="43">
      <c r="M43" s="438" t="s">
        <v>2000</v>
      </c>
      <c r="N43" s="439">
        <v>250000.0</v>
      </c>
      <c r="O43" s="424"/>
      <c r="U43" s="430"/>
      <c r="V43" s="430"/>
      <c r="W43" s="430"/>
      <c r="X43" s="429"/>
      <c r="Y43" s="429"/>
      <c r="Z43" s="430"/>
      <c r="AA43" s="123" t="s">
        <v>2001</v>
      </c>
      <c r="AB43" s="206">
        <f>AC43*AD39</f>
        <v>0</v>
      </c>
      <c r="AC43" s="429">
        <v>0.0</v>
      </c>
      <c r="AD43" s="429"/>
      <c r="AE43" s="430"/>
      <c r="AF43" s="123" t="s">
        <v>2001</v>
      </c>
      <c r="AG43" s="206">
        <f>AH43*AI39</f>
        <v>0</v>
      </c>
      <c r="AH43" s="429">
        <v>0.0</v>
      </c>
      <c r="AI43" s="429"/>
      <c r="AJ43" s="430"/>
      <c r="AK43" s="493"/>
      <c r="AL43" s="494"/>
      <c r="AM43" s="430"/>
      <c r="AN43" s="493"/>
      <c r="AO43" s="494"/>
      <c r="AP43" s="430"/>
      <c r="AQ43" s="430"/>
      <c r="AR43" s="430"/>
      <c r="AS43" s="430"/>
      <c r="AT43" s="430"/>
      <c r="AU43" s="426"/>
      <c r="AV43" s="426"/>
      <c r="AW43" s="426"/>
      <c r="AX43" s="435"/>
    </row>
    <row r="44">
      <c r="M44" s="438" t="s">
        <v>1962</v>
      </c>
      <c r="N44" s="439">
        <f>SUM(N24:N43)</f>
        <v>6063581.14</v>
      </c>
      <c r="O44" s="424"/>
      <c r="U44" s="430"/>
      <c r="V44" s="504" t="s">
        <v>2002</v>
      </c>
      <c r="W44" s="505">
        <f>W38-(W39+W40+W41+W42)</f>
        <v>1366500</v>
      </c>
      <c r="X44" s="206"/>
      <c r="Y44" s="429"/>
      <c r="Z44" s="430"/>
      <c r="AA44" s="428"/>
      <c r="AB44" s="206"/>
      <c r="AC44" s="429"/>
      <c r="AD44" s="429"/>
      <c r="AE44" s="430"/>
      <c r="AF44" s="428"/>
      <c r="AG44" s="206"/>
      <c r="AH44" s="429"/>
      <c r="AI44" s="429"/>
      <c r="AJ44" s="430"/>
      <c r="AK44" s="493"/>
      <c r="AL44" s="494"/>
      <c r="AM44" s="430"/>
      <c r="AN44" s="493"/>
      <c r="AO44" s="494"/>
      <c r="AP44" s="430"/>
      <c r="AQ44" s="430"/>
      <c r="AR44" s="430"/>
      <c r="AS44" s="430"/>
      <c r="AT44" s="430"/>
      <c r="AU44" s="426"/>
      <c r="AV44" s="435"/>
      <c r="AW44" s="435"/>
      <c r="AX44" s="426"/>
    </row>
    <row r="45">
      <c r="M45" s="438" t="s">
        <v>1968</v>
      </c>
      <c r="N45" s="439">
        <f>(N20/N44)</f>
        <v>0.6512302068</v>
      </c>
      <c r="O45" s="424"/>
      <c r="U45" s="506"/>
      <c r="V45" s="507" t="s">
        <v>2003</v>
      </c>
      <c r="W45" s="206">
        <v>500000.0</v>
      </c>
      <c r="X45" s="508"/>
      <c r="Y45" s="508"/>
      <c r="Z45" s="428"/>
      <c r="AA45" s="428" t="s">
        <v>120</v>
      </c>
      <c r="AB45" s="206">
        <f>AC45*AD39</f>
        <v>0</v>
      </c>
      <c r="AC45" s="206">
        <v>0.0</v>
      </c>
      <c r="AD45" s="429">
        <v>0.0</v>
      </c>
      <c r="AE45" s="428"/>
      <c r="AF45" s="428" t="s">
        <v>120</v>
      </c>
      <c r="AG45" s="206">
        <f>AH45*AI39</f>
        <v>0</v>
      </c>
      <c r="AH45" s="206">
        <v>0.0</v>
      </c>
      <c r="AI45" s="429">
        <v>0.0</v>
      </c>
      <c r="AJ45" s="428"/>
      <c r="AK45" s="428"/>
      <c r="AL45" s="426"/>
      <c r="AM45" s="430"/>
      <c r="AN45" s="430"/>
      <c r="AO45" s="430"/>
      <c r="AP45" s="430"/>
      <c r="AQ45" s="430"/>
      <c r="AR45" s="430"/>
      <c r="AS45" s="430"/>
      <c r="AT45" s="430"/>
      <c r="AU45" s="426"/>
      <c r="AV45" s="426"/>
      <c r="AW45" s="426"/>
      <c r="AX45" s="435"/>
    </row>
    <row r="46">
      <c r="M46" s="454"/>
      <c r="N46" s="454"/>
      <c r="O46" s="424"/>
      <c r="U46" s="506"/>
      <c r="V46" s="427" t="s">
        <v>2004</v>
      </c>
      <c r="W46" s="509">
        <f>W44+W45</f>
        <v>1866500</v>
      </c>
      <c r="X46" s="429"/>
      <c r="Y46" s="429"/>
      <c r="Z46" s="429"/>
      <c r="AA46" s="427" t="s">
        <v>2005</v>
      </c>
      <c r="AB46" s="508">
        <f t="shared" ref="AB46:AC46" si="11">SUM(AB39:AB45)</f>
        <v>0</v>
      </c>
      <c r="AC46" s="508">
        <f t="shared" si="11"/>
        <v>0</v>
      </c>
      <c r="AD46" s="508">
        <f>SUM(AD40:AD45)</f>
        <v>0</v>
      </c>
      <c r="AE46" s="429"/>
      <c r="AF46" s="427" t="s">
        <v>2005</v>
      </c>
      <c r="AG46" s="508">
        <f t="shared" ref="AG46:AH46" si="12">SUM(AG39:AG45)</f>
        <v>0</v>
      </c>
      <c r="AH46" s="508">
        <f t="shared" si="12"/>
        <v>0</v>
      </c>
      <c r="AI46" s="508">
        <f>SUM(AI40:AI45)</f>
        <v>0</v>
      </c>
      <c r="AJ46" s="429"/>
      <c r="AK46" s="428" t="s">
        <v>2006</v>
      </c>
      <c r="AL46" s="476">
        <f>SUM(AO38:AO44)-SUM(AL38:AL44)</f>
        <v>0</v>
      </c>
      <c r="AM46" s="430"/>
      <c r="AN46" s="430"/>
      <c r="AO46" s="430"/>
      <c r="AP46" s="430"/>
      <c r="AQ46" s="430"/>
      <c r="AR46" s="430"/>
      <c r="AS46" s="430"/>
      <c r="AT46" s="430"/>
      <c r="AU46" s="426"/>
      <c r="AV46" s="435"/>
      <c r="AW46" s="435"/>
      <c r="AX46" s="435"/>
    </row>
    <row r="47">
      <c r="O47" s="424"/>
      <c r="U47" s="428"/>
      <c r="V47" s="430"/>
      <c r="W47" s="430"/>
      <c r="X47" s="429"/>
      <c r="Y47" s="429"/>
      <c r="Z47" s="428"/>
      <c r="AE47" s="428"/>
      <c r="AJ47" s="428"/>
      <c r="AK47" s="430"/>
      <c r="AL47" s="476"/>
      <c r="AM47" s="430"/>
      <c r="AN47" s="430"/>
      <c r="AO47" s="430"/>
      <c r="AP47" s="430"/>
      <c r="AQ47" s="430"/>
      <c r="AR47" s="430"/>
      <c r="AS47" s="430"/>
      <c r="AT47" s="430"/>
      <c r="AU47" s="470"/>
      <c r="AV47" s="470"/>
      <c r="AW47" s="470"/>
      <c r="AX47" s="435"/>
    </row>
    <row r="48">
      <c r="O48" s="371"/>
      <c r="U48" s="430"/>
      <c r="V48" s="428" t="s">
        <v>21</v>
      </c>
      <c r="W48" s="206">
        <v>1300000.0</v>
      </c>
      <c r="X48" s="429"/>
      <c r="Y48" s="429"/>
      <c r="Z48" s="430"/>
      <c r="AA48" s="122" t="s">
        <v>2007</v>
      </c>
      <c r="AC48" s="429"/>
      <c r="AD48" s="429"/>
      <c r="AE48" s="430"/>
      <c r="AF48" s="122" t="s">
        <v>2007</v>
      </c>
      <c r="AH48" s="429"/>
      <c r="AI48" s="429"/>
      <c r="AJ48" s="430"/>
      <c r="AK48" s="510">
        <v>44489.0</v>
      </c>
      <c r="AL48" s="476"/>
      <c r="AM48" s="430"/>
      <c r="AN48" s="430"/>
      <c r="AO48" s="430"/>
      <c r="AP48" s="430"/>
      <c r="AQ48" s="430"/>
      <c r="AR48" s="430"/>
      <c r="AS48" s="430"/>
      <c r="AT48" s="430"/>
      <c r="AU48" s="426"/>
      <c r="AV48" s="426"/>
      <c r="AW48" s="426"/>
      <c r="AX48" s="469"/>
    </row>
    <row r="49">
      <c r="O49" s="371"/>
      <c r="U49" s="430"/>
      <c r="V49" s="428" t="s">
        <v>2008</v>
      </c>
      <c r="W49" s="502">
        <v>305000.0</v>
      </c>
      <c r="X49" s="429"/>
      <c r="Y49" s="511"/>
      <c r="Z49" s="430"/>
      <c r="AA49" s="123" t="s">
        <v>2009</v>
      </c>
      <c r="AB49" s="206">
        <v>30000.0</v>
      </c>
      <c r="AC49" s="429"/>
      <c r="AD49" s="511"/>
      <c r="AE49" s="430"/>
      <c r="AF49" s="123" t="s">
        <v>2009</v>
      </c>
      <c r="AG49" s="206">
        <v>30000.0</v>
      </c>
      <c r="AH49" s="429"/>
      <c r="AI49" s="511"/>
      <c r="AJ49" s="430"/>
      <c r="AK49" s="495" t="s">
        <v>2010</v>
      </c>
      <c r="AL49" s="496">
        <v>14000.0</v>
      </c>
      <c r="AM49" s="430"/>
      <c r="AN49" s="495" t="s">
        <v>2011</v>
      </c>
      <c r="AO49" s="496">
        <v>14000.0</v>
      </c>
      <c r="AP49" s="430"/>
      <c r="AQ49" s="430"/>
      <c r="AR49" s="430"/>
      <c r="AS49" s="430"/>
      <c r="AT49" s="430"/>
      <c r="AU49" s="512"/>
      <c r="AV49" s="512"/>
      <c r="AW49" s="512"/>
      <c r="AX49" s="430"/>
    </row>
    <row r="50">
      <c r="O50" s="371"/>
      <c r="R50" s="513"/>
      <c r="U50" s="206"/>
      <c r="V50" s="427" t="s">
        <v>2012</v>
      </c>
      <c r="W50" s="509">
        <f>W48+W49</f>
        <v>1605000</v>
      </c>
      <c r="X50" s="428"/>
      <c r="Y50" s="206"/>
      <c r="Z50" s="506"/>
      <c r="AA50" s="428" t="s">
        <v>2013</v>
      </c>
      <c r="AB50" s="206">
        <v>100000.0</v>
      </c>
      <c r="AC50" s="428"/>
      <c r="AD50" s="206"/>
      <c r="AE50" s="506"/>
      <c r="AF50" s="428" t="s">
        <v>2013</v>
      </c>
      <c r="AG50" s="206">
        <v>100000.0</v>
      </c>
      <c r="AH50" s="428"/>
      <c r="AI50" s="206"/>
      <c r="AJ50" s="506"/>
      <c r="AK50" s="495"/>
      <c r="AL50" s="496"/>
      <c r="AM50" s="430"/>
      <c r="AN50" s="495" t="s">
        <v>2014</v>
      </c>
      <c r="AO50" s="496" t="s">
        <v>1985</v>
      </c>
      <c r="AP50" s="430"/>
      <c r="AQ50" s="430"/>
      <c r="AR50" s="430"/>
      <c r="AS50" s="430"/>
      <c r="AT50" s="430"/>
      <c r="AU50" s="430"/>
      <c r="AV50" s="430"/>
      <c r="AW50" s="430"/>
      <c r="AX50" s="430"/>
    </row>
    <row r="51">
      <c r="O51" s="371"/>
      <c r="R51" s="430"/>
      <c r="U51" s="206"/>
      <c r="V51" s="430"/>
      <c r="W51" s="430"/>
      <c r="X51" s="428"/>
      <c r="Y51" s="206"/>
      <c r="Z51" s="506"/>
      <c r="AA51" s="428" t="s">
        <v>2015</v>
      </c>
      <c r="AB51" s="206">
        <f>14000*10</f>
        <v>140000</v>
      </c>
      <c r="AC51" s="428"/>
      <c r="AD51" s="206"/>
      <c r="AE51" s="506"/>
      <c r="AF51" s="428" t="s">
        <v>2015</v>
      </c>
      <c r="AG51" s="206">
        <f>14000*10</f>
        <v>140000</v>
      </c>
      <c r="AH51" s="428"/>
      <c r="AI51" s="206"/>
      <c r="AJ51" s="506"/>
      <c r="AK51" s="495"/>
      <c r="AL51" s="496"/>
      <c r="AM51" s="430"/>
      <c r="AN51" s="495"/>
      <c r="AO51" s="496"/>
      <c r="AP51" s="430"/>
      <c r="AQ51" s="430"/>
      <c r="AR51" s="430"/>
      <c r="AS51" s="430"/>
      <c r="AT51" s="430"/>
      <c r="AU51" s="430"/>
      <c r="AV51" s="430"/>
      <c r="AW51" s="430"/>
      <c r="AX51" s="430"/>
    </row>
    <row r="52">
      <c r="B52" s="471"/>
      <c r="K52" s="140"/>
      <c r="O52" s="371"/>
      <c r="R52" s="430"/>
      <c r="U52" s="206"/>
      <c r="V52" s="427" t="s">
        <v>1847</v>
      </c>
      <c r="W52" s="509">
        <f>W46-W50</f>
        <v>261500</v>
      </c>
      <c r="X52" s="430"/>
      <c r="Y52" s="206"/>
      <c r="Z52" s="428"/>
      <c r="AA52" s="123" t="s">
        <v>2016</v>
      </c>
      <c r="AB52" s="471">
        <f>AB54-(AB49+AB50+AB51)</f>
        <v>228000</v>
      </c>
      <c r="AC52" s="430"/>
      <c r="AD52" s="206"/>
      <c r="AE52" s="428"/>
      <c r="AF52" s="123" t="s">
        <v>2016</v>
      </c>
      <c r="AG52" s="471">
        <f>AG54-(AG49+AG50+AG51)</f>
        <v>228000</v>
      </c>
      <c r="AH52" s="430"/>
      <c r="AI52" s="206"/>
      <c r="AJ52" s="428"/>
      <c r="AK52" s="495"/>
      <c r="AL52" s="496"/>
      <c r="AM52" s="430"/>
      <c r="AN52" s="495"/>
      <c r="AO52" s="496"/>
      <c r="AP52" s="430"/>
      <c r="AQ52" s="503"/>
      <c r="AR52" s="503"/>
      <c r="AS52" s="503"/>
      <c r="AT52" s="430"/>
      <c r="AU52" s="430"/>
      <c r="AV52" s="430"/>
      <c r="AW52" s="430"/>
      <c r="AX52" s="426"/>
    </row>
    <row r="53">
      <c r="B53" s="471"/>
      <c r="O53" s="371"/>
      <c r="P53" s="428"/>
      <c r="Q53" s="206"/>
      <c r="R53" s="430"/>
      <c r="V53" s="454"/>
      <c r="W53" s="454"/>
      <c r="Z53" s="430"/>
      <c r="AE53" s="430"/>
      <c r="AJ53" s="430"/>
      <c r="AK53" s="495"/>
      <c r="AL53" s="496"/>
      <c r="AM53" s="430"/>
      <c r="AN53" s="514"/>
      <c r="AO53" s="514"/>
      <c r="AP53" s="430"/>
      <c r="AQ53" s="430"/>
      <c r="AR53" s="430"/>
      <c r="AS53" s="430"/>
      <c r="AT53" s="430"/>
      <c r="AU53" s="430"/>
      <c r="AV53" s="430"/>
      <c r="AW53" s="430"/>
      <c r="AX53" s="426"/>
    </row>
    <row r="54">
      <c r="B54" s="471"/>
      <c r="G54" s="122"/>
      <c r="H54" s="471"/>
      <c r="O54" s="371"/>
      <c r="P54" s="428"/>
      <c r="Q54" s="206"/>
      <c r="R54" s="430"/>
      <c r="V54" s="456" t="s">
        <v>2017</v>
      </c>
      <c r="W54" s="454"/>
      <c r="Z54" s="430"/>
      <c r="AA54" s="179" t="s">
        <v>2018</v>
      </c>
      <c r="AB54" s="202">
        <v>498000.0</v>
      </c>
      <c r="AE54" s="430"/>
      <c r="AF54" s="179" t="s">
        <v>2018</v>
      </c>
      <c r="AG54" s="202">
        <v>498000.0</v>
      </c>
      <c r="AJ54" s="430"/>
      <c r="AK54" s="495"/>
      <c r="AL54" s="496"/>
      <c r="AM54" s="430"/>
      <c r="AN54" s="514"/>
      <c r="AO54" s="514"/>
      <c r="AP54" s="430"/>
      <c r="AQ54" s="430"/>
      <c r="AR54" s="430"/>
      <c r="AS54" s="430"/>
      <c r="AT54" s="430"/>
      <c r="AU54" s="430"/>
      <c r="AV54" s="430"/>
      <c r="AW54" s="430"/>
      <c r="AX54" s="426"/>
    </row>
    <row r="55">
      <c r="B55" s="471"/>
      <c r="O55" s="371"/>
      <c r="P55" s="428"/>
      <c r="Q55" s="206"/>
      <c r="R55" s="430"/>
      <c r="Z55" s="206"/>
      <c r="AA55" s="123" t="s">
        <v>2019</v>
      </c>
      <c r="AB55" s="206">
        <f>14000*6</f>
        <v>84000</v>
      </c>
      <c r="AE55" s="206"/>
      <c r="AF55" s="123" t="s">
        <v>2019</v>
      </c>
      <c r="AG55" s="206">
        <f>14000*6</f>
        <v>84000</v>
      </c>
      <c r="AJ55" s="206"/>
      <c r="AK55" s="495"/>
      <c r="AL55" s="496"/>
      <c r="AM55" s="430"/>
      <c r="AN55" s="514"/>
      <c r="AO55" s="514"/>
      <c r="AP55" s="430"/>
      <c r="AQ55" s="430"/>
      <c r="AR55" s="430"/>
      <c r="AS55" s="430"/>
      <c r="AT55" s="430"/>
      <c r="AU55" s="430"/>
      <c r="AV55" s="430"/>
      <c r="AW55" s="430"/>
      <c r="AX55" s="426"/>
    </row>
    <row r="56">
      <c r="A56" s="122"/>
      <c r="B56" s="471"/>
      <c r="H56" s="140"/>
      <c r="O56" s="371"/>
      <c r="P56" s="430"/>
      <c r="Q56" s="430"/>
      <c r="R56" s="430"/>
      <c r="Z56" s="206"/>
      <c r="AA56" s="123" t="s">
        <v>2020</v>
      </c>
      <c r="AB56" s="206">
        <v>2608000.0</v>
      </c>
      <c r="AE56" s="206"/>
      <c r="AF56" s="123" t="s">
        <v>2020</v>
      </c>
      <c r="AG56" s="206">
        <v>2608000.0</v>
      </c>
      <c r="AJ56" s="206"/>
      <c r="AK56" s="495"/>
      <c r="AL56" s="496"/>
      <c r="AM56" s="430"/>
      <c r="AN56" s="514"/>
      <c r="AO56" s="514"/>
      <c r="AP56" s="430"/>
      <c r="AQ56" s="430"/>
      <c r="AR56" s="430"/>
      <c r="AS56" s="430"/>
      <c r="AT56" s="430"/>
      <c r="AU56" s="430"/>
      <c r="AV56" s="430"/>
      <c r="AW56" s="430"/>
      <c r="AX56" s="426"/>
    </row>
    <row r="57">
      <c r="B57" s="471"/>
      <c r="O57" s="371"/>
      <c r="P57" s="430"/>
      <c r="Q57" s="430"/>
      <c r="R57" s="430"/>
      <c r="Z57" s="206"/>
      <c r="AA57" s="430"/>
      <c r="AB57" s="206"/>
      <c r="AE57" s="206"/>
      <c r="AF57" s="430"/>
      <c r="AG57" s="206"/>
      <c r="AJ57" s="206"/>
      <c r="AK57" s="430"/>
      <c r="AL57" s="476"/>
      <c r="AM57" s="430"/>
      <c r="AN57" s="430"/>
      <c r="AO57" s="430"/>
      <c r="AP57" s="430"/>
      <c r="AQ57" s="430"/>
      <c r="AR57" s="430"/>
      <c r="AS57" s="430"/>
      <c r="AT57" s="430"/>
      <c r="AU57" s="430"/>
      <c r="AV57" s="430"/>
      <c r="AW57" s="430"/>
      <c r="AX57" s="426"/>
    </row>
    <row r="58">
      <c r="B58" s="471"/>
      <c r="O58" s="424"/>
      <c r="P58" s="430"/>
      <c r="Q58" s="206"/>
      <c r="R58" s="424"/>
      <c r="S58" s="430"/>
      <c r="T58" s="206"/>
      <c r="U58" s="430"/>
      <c r="X58" s="430"/>
      <c r="Y58" s="430"/>
      <c r="Z58" s="430"/>
      <c r="AA58" s="428" t="s">
        <v>57</v>
      </c>
      <c r="AB58" s="206">
        <f>SUM(AB54:AB57)</f>
        <v>3190000</v>
      </c>
      <c r="AC58" s="430"/>
      <c r="AD58" s="430"/>
      <c r="AE58" s="430"/>
      <c r="AF58" s="428" t="s">
        <v>57</v>
      </c>
      <c r="AG58" s="206">
        <f>SUM(AG54:AG57)</f>
        <v>3190000</v>
      </c>
      <c r="AH58" s="430"/>
      <c r="AI58" s="430"/>
      <c r="AJ58" s="430"/>
      <c r="AK58" s="428" t="s">
        <v>2006</v>
      </c>
      <c r="AL58" s="476">
        <f>SUM(AO49:AO56)-SUM(AL49:AL56)</f>
        <v>0</v>
      </c>
      <c r="AM58" s="430"/>
      <c r="AN58" s="430"/>
      <c r="AO58" s="430"/>
      <c r="AP58" s="430"/>
      <c r="AQ58" s="430"/>
      <c r="AR58" s="430"/>
      <c r="AS58" s="430"/>
      <c r="AT58" s="430"/>
      <c r="AU58" s="430"/>
      <c r="AV58" s="430"/>
      <c r="AW58" s="430"/>
      <c r="AX58" s="426"/>
    </row>
    <row r="59">
      <c r="B59" s="471"/>
      <c r="O59" s="371"/>
      <c r="P59" s="430"/>
      <c r="Q59" s="206"/>
      <c r="R59" s="424"/>
      <c r="S59" s="430"/>
      <c r="T59" s="206"/>
      <c r="U59" s="430"/>
      <c r="X59" s="430"/>
      <c r="Y59" s="430"/>
      <c r="Z59" s="430"/>
      <c r="AA59" s="430"/>
      <c r="AB59" s="206"/>
      <c r="AC59" s="430"/>
      <c r="AD59" s="430"/>
      <c r="AE59" s="430"/>
      <c r="AF59" s="430"/>
      <c r="AG59" s="206"/>
      <c r="AH59" s="430"/>
      <c r="AI59" s="430"/>
      <c r="AJ59" s="430"/>
      <c r="AK59" s="430"/>
      <c r="AL59" s="476"/>
      <c r="AM59" s="430"/>
      <c r="AN59" s="430"/>
      <c r="AO59" s="430"/>
      <c r="AP59" s="430"/>
      <c r="AQ59" s="430"/>
      <c r="AR59" s="430"/>
      <c r="AS59" s="430"/>
      <c r="AT59" s="430"/>
      <c r="AU59" s="430"/>
      <c r="AV59" s="430"/>
      <c r="AW59" s="430"/>
      <c r="AX59" s="430"/>
    </row>
    <row r="60">
      <c r="B60" s="471"/>
      <c r="O60" s="424"/>
      <c r="P60" s="430"/>
      <c r="Q60" s="430"/>
      <c r="R60" s="430"/>
      <c r="S60" s="430"/>
      <c r="T60" s="206"/>
      <c r="U60" s="430"/>
      <c r="X60" s="513"/>
      <c r="Y60" s="430"/>
      <c r="Z60" s="430"/>
      <c r="AA60" s="122" t="s">
        <v>2021</v>
      </c>
      <c r="AC60" s="513"/>
      <c r="AD60" s="430"/>
      <c r="AE60" s="430"/>
      <c r="AF60" s="122" t="s">
        <v>2021</v>
      </c>
      <c r="AH60" s="513"/>
      <c r="AI60" s="430"/>
      <c r="AJ60" s="430"/>
      <c r="AK60" s="428" t="s">
        <v>2022</v>
      </c>
      <c r="AL60" s="476"/>
      <c r="AM60" s="430"/>
      <c r="AN60" s="430"/>
      <c r="AO60" s="426"/>
      <c r="AP60" s="430"/>
      <c r="AQ60" s="430"/>
      <c r="AR60" s="430"/>
      <c r="AS60" s="430"/>
      <c r="AT60" s="430"/>
      <c r="AU60" s="430"/>
      <c r="AV60" s="430"/>
      <c r="AW60" s="430"/>
      <c r="AX60" s="469"/>
    </row>
    <row r="61">
      <c r="B61" s="471"/>
      <c r="O61" s="424"/>
      <c r="P61" s="430"/>
      <c r="Q61" s="430"/>
      <c r="R61" s="430"/>
      <c r="S61" s="430"/>
      <c r="T61" s="206"/>
      <c r="U61" s="430"/>
      <c r="X61" s="513"/>
      <c r="Y61" s="430"/>
      <c r="Z61" s="430"/>
      <c r="AA61" s="123" t="s">
        <v>153</v>
      </c>
      <c r="AB61" s="206">
        <v>22088.0</v>
      </c>
      <c r="AC61" s="513"/>
      <c r="AD61" s="430"/>
      <c r="AE61" s="430"/>
      <c r="AF61" s="123" t="s">
        <v>153</v>
      </c>
      <c r="AG61" s="206">
        <v>22088.0</v>
      </c>
      <c r="AH61" s="513"/>
      <c r="AI61" s="430"/>
      <c r="AJ61" s="430"/>
      <c r="AK61" s="498" t="s">
        <v>2023</v>
      </c>
      <c r="AL61" s="499">
        <v>13000.0</v>
      </c>
      <c r="AM61" s="430"/>
      <c r="AN61" s="498" t="s">
        <v>2024</v>
      </c>
      <c r="AO61" s="499" t="s">
        <v>1985</v>
      </c>
      <c r="AP61" s="430"/>
      <c r="AQ61" s="430"/>
      <c r="AR61" s="430"/>
      <c r="AS61" s="430"/>
      <c r="AT61" s="430"/>
      <c r="AU61" s="430"/>
      <c r="AV61" s="430"/>
      <c r="AW61" s="430"/>
      <c r="AX61" s="430"/>
    </row>
    <row r="62">
      <c r="B62" s="471"/>
      <c r="O62" s="424"/>
      <c r="P62" s="430"/>
      <c r="Q62" s="430"/>
      <c r="R62" s="430"/>
      <c r="S62" s="430"/>
      <c r="T62" s="206"/>
      <c r="U62" s="430"/>
      <c r="X62" s="513"/>
      <c r="Y62" s="430"/>
      <c r="Z62" s="430"/>
      <c r="AA62" s="428" t="s">
        <v>154</v>
      </c>
      <c r="AB62" s="206">
        <v>2111.0</v>
      </c>
      <c r="AC62" s="513"/>
      <c r="AD62" s="430"/>
      <c r="AE62" s="430"/>
      <c r="AF62" s="428" t="s">
        <v>154</v>
      </c>
      <c r="AG62" s="206">
        <v>2111.0</v>
      </c>
      <c r="AH62" s="513"/>
      <c r="AI62" s="430"/>
      <c r="AJ62" s="430"/>
      <c r="AK62" s="498" t="s">
        <v>2025</v>
      </c>
      <c r="AL62" s="499">
        <v>127715.0</v>
      </c>
      <c r="AM62" s="430"/>
      <c r="AN62" s="498" t="s">
        <v>2026</v>
      </c>
      <c r="AO62" s="499">
        <v>13000.0</v>
      </c>
      <c r="AP62" s="430"/>
      <c r="AQ62" s="430"/>
      <c r="AR62" s="430"/>
      <c r="AS62" s="430"/>
      <c r="AT62" s="430"/>
      <c r="AU62" s="430"/>
      <c r="AV62" s="430"/>
      <c r="AW62" s="430"/>
      <c r="AX62" s="430"/>
    </row>
    <row r="63">
      <c r="B63" s="471"/>
      <c r="O63" s="424"/>
      <c r="P63" s="430"/>
      <c r="Q63" s="430"/>
      <c r="R63" s="424"/>
      <c r="S63" s="427"/>
      <c r="T63" s="430"/>
      <c r="U63" s="430"/>
      <c r="X63" s="430"/>
      <c r="Y63" s="430"/>
      <c r="Z63" s="430"/>
      <c r="AA63" s="428" t="s">
        <v>155</v>
      </c>
      <c r="AB63" s="206">
        <v>8022.0</v>
      </c>
      <c r="AC63" s="430"/>
      <c r="AD63" s="430"/>
      <c r="AE63" s="430"/>
      <c r="AF63" s="428" t="s">
        <v>155</v>
      </c>
      <c r="AG63" s="206">
        <v>8022.0</v>
      </c>
      <c r="AH63" s="430"/>
      <c r="AI63" s="430"/>
      <c r="AJ63" s="430"/>
      <c r="AK63" s="498"/>
      <c r="AL63" s="499"/>
      <c r="AM63" s="430"/>
      <c r="AN63" s="498"/>
      <c r="AO63" s="499"/>
      <c r="AP63" s="430"/>
      <c r="AQ63" s="430"/>
      <c r="AR63" s="430"/>
      <c r="AS63" s="430"/>
      <c r="AT63" s="430"/>
      <c r="AU63" s="430"/>
      <c r="AV63" s="430"/>
      <c r="AW63" s="430"/>
      <c r="AX63" s="430"/>
    </row>
    <row r="64">
      <c r="B64" s="471"/>
      <c r="O64" s="424"/>
      <c r="P64" s="430"/>
      <c r="Q64" s="430"/>
      <c r="R64" s="424"/>
      <c r="S64" s="430"/>
      <c r="T64" s="206"/>
      <c r="U64" s="430"/>
      <c r="X64" s="429"/>
      <c r="Y64" s="430"/>
      <c r="Z64" s="430"/>
      <c r="AA64" s="428" t="s">
        <v>156</v>
      </c>
      <c r="AB64" s="206">
        <v>76535.0</v>
      </c>
      <c r="AC64" s="429"/>
      <c r="AD64" s="430"/>
      <c r="AE64" s="430"/>
      <c r="AF64" s="428" t="s">
        <v>156</v>
      </c>
      <c r="AG64" s="206">
        <v>76535.0</v>
      </c>
      <c r="AH64" s="429"/>
      <c r="AI64" s="430"/>
      <c r="AJ64" s="430"/>
      <c r="AK64" s="498"/>
      <c r="AL64" s="499"/>
      <c r="AM64" s="430"/>
      <c r="AN64" s="498"/>
      <c r="AO64" s="499"/>
      <c r="AP64" s="430"/>
      <c r="AQ64" s="430"/>
      <c r="AR64" s="430"/>
      <c r="AS64" s="430"/>
      <c r="AT64" s="430"/>
      <c r="AU64" s="430"/>
      <c r="AV64" s="430"/>
      <c r="AW64" s="430"/>
      <c r="AX64" s="430"/>
    </row>
    <row r="65">
      <c r="B65" s="471"/>
      <c r="E65" s="471"/>
      <c r="H65" s="471"/>
      <c r="M65" s="454"/>
      <c r="N65" s="454"/>
      <c r="O65" s="424"/>
      <c r="P65" s="430"/>
      <c r="Q65" s="430"/>
      <c r="R65" s="424"/>
      <c r="S65" s="430"/>
      <c r="T65" s="206"/>
      <c r="U65" s="430"/>
      <c r="V65" s="430"/>
      <c r="W65" s="206"/>
      <c r="X65" s="444"/>
      <c r="Y65" s="430"/>
      <c r="Z65" s="430"/>
      <c r="AA65" s="428" t="s">
        <v>145</v>
      </c>
      <c r="AB65" s="206">
        <v>76148.0</v>
      </c>
      <c r="AC65" s="444"/>
      <c r="AD65" s="430"/>
      <c r="AE65" s="430"/>
      <c r="AF65" s="428" t="s">
        <v>145</v>
      </c>
      <c r="AG65" s="206">
        <v>76148.0</v>
      </c>
      <c r="AH65" s="444"/>
      <c r="AI65" s="430"/>
      <c r="AJ65" s="430"/>
      <c r="AK65" s="498"/>
      <c r="AL65" s="499"/>
      <c r="AM65" s="430"/>
      <c r="AN65" s="498"/>
      <c r="AO65" s="499"/>
      <c r="AP65" s="430"/>
      <c r="AQ65" s="430"/>
      <c r="AR65" s="430"/>
      <c r="AS65" s="430"/>
      <c r="AT65" s="428"/>
      <c r="AU65" s="430"/>
      <c r="AV65" s="430"/>
      <c r="AW65" s="430"/>
      <c r="AX65" s="430"/>
    </row>
    <row r="66">
      <c r="B66" s="471"/>
      <c r="E66" s="471"/>
      <c r="H66" s="140"/>
      <c r="M66" s="454"/>
      <c r="N66" s="454"/>
      <c r="O66" s="424"/>
      <c r="P66" s="430"/>
      <c r="Q66" s="430"/>
      <c r="R66" s="424"/>
      <c r="S66" s="430"/>
      <c r="T66" s="206"/>
      <c r="U66" s="430"/>
      <c r="V66" s="430"/>
      <c r="W66" s="206"/>
      <c r="X66" s="429"/>
      <c r="Y66" s="430"/>
      <c r="Z66" s="430"/>
      <c r="AA66" s="428" t="s">
        <v>146</v>
      </c>
      <c r="AB66" s="206">
        <v>100000.0</v>
      </c>
      <c r="AC66" s="429"/>
      <c r="AD66" s="430"/>
      <c r="AE66" s="430"/>
      <c r="AF66" s="428" t="s">
        <v>146</v>
      </c>
      <c r="AG66" s="206">
        <v>100000.0</v>
      </c>
      <c r="AH66" s="429"/>
      <c r="AI66" s="430"/>
      <c r="AJ66" s="430"/>
      <c r="AK66" s="498"/>
      <c r="AL66" s="499"/>
      <c r="AM66" s="430"/>
      <c r="AN66" s="498"/>
      <c r="AO66" s="499"/>
      <c r="AP66" s="430"/>
      <c r="AQ66" s="430"/>
      <c r="AR66" s="430"/>
      <c r="AS66" s="430"/>
      <c r="AT66" s="430"/>
      <c r="AU66" s="430"/>
      <c r="AV66" s="430"/>
      <c r="AW66" s="430"/>
      <c r="AX66" s="430"/>
    </row>
    <row r="67">
      <c r="B67" s="471"/>
      <c r="E67" s="471"/>
      <c r="H67" s="471"/>
      <c r="M67" s="454"/>
      <c r="N67" s="454"/>
      <c r="O67" s="424"/>
      <c r="P67" s="430"/>
      <c r="Q67" s="430"/>
      <c r="R67" s="424"/>
      <c r="S67" s="430"/>
      <c r="T67" s="430"/>
      <c r="U67" s="430"/>
      <c r="V67" s="430"/>
      <c r="W67" s="430"/>
      <c r="X67" s="444"/>
      <c r="Y67" s="430"/>
      <c r="Z67" s="430"/>
      <c r="AA67" s="427"/>
      <c r="AB67" s="430"/>
      <c r="AC67" s="444"/>
      <c r="AD67" s="430"/>
      <c r="AE67" s="430"/>
      <c r="AF67" s="427"/>
      <c r="AG67" s="430"/>
      <c r="AH67" s="444"/>
      <c r="AI67" s="430"/>
      <c r="AJ67" s="430"/>
      <c r="AK67" s="498"/>
      <c r="AL67" s="499"/>
      <c r="AM67" s="430"/>
      <c r="AN67" s="498"/>
      <c r="AO67" s="499"/>
      <c r="AP67" s="430"/>
      <c r="AQ67" s="430"/>
      <c r="AR67" s="430"/>
      <c r="AS67" s="430"/>
      <c r="AT67" s="430"/>
      <c r="AU67" s="430"/>
      <c r="AV67" s="430"/>
      <c r="AW67" s="430"/>
      <c r="AX67" s="430"/>
    </row>
    <row r="68">
      <c r="B68" s="471"/>
      <c r="E68" s="471"/>
      <c r="H68" s="471"/>
      <c r="M68" s="454"/>
      <c r="N68" s="454"/>
      <c r="O68" s="424"/>
      <c r="P68" s="430"/>
      <c r="Q68" s="430"/>
      <c r="R68" s="424"/>
      <c r="S68" s="430"/>
      <c r="T68" s="430"/>
      <c r="U68" s="430"/>
      <c r="V68" s="430"/>
      <c r="W68" s="430"/>
      <c r="X68" s="430"/>
      <c r="Y68" s="430"/>
      <c r="Z68" s="430"/>
      <c r="AA68" s="428" t="s">
        <v>57</v>
      </c>
      <c r="AB68" s="206">
        <f>SUM(AB61:AB67)</f>
        <v>284904</v>
      </c>
      <c r="AC68" s="430"/>
      <c r="AD68" s="430"/>
      <c r="AE68" s="430"/>
      <c r="AF68" s="428" t="s">
        <v>57</v>
      </c>
      <c r="AG68" s="206">
        <f>SUM(AG61:AG67)</f>
        <v>284904</v>
      </c>
      <c r="AH68" s="430"/>
      <c r="AI68" s="430"/>
      <c r="AJ68" s="430"/>
      <c r="AK68" s="430"/>
      <c r="AL68" s="476"/>
      <c r="AM68" s="430"/>
      <c r="AN68" s="430"/>
      <c r="AO68" s="430"/>
      <c r="AP68" s="430"/>
      <c r="AQ68" s="430"/>
      <c r="AR68" s="430"/>
      <c r="AS68" s="430"/>
      <c r="AT68" s="430"/>
      <c r="AU68" s="430"/>
      <c r="AV68" s="430"/>
      <c r="AW68" s="430"/>
      <c r="AX68" s="430"/>
    </row>
    <row r="69">
      <c r="B69" s="471"/>
      <c r="E69" s="471"/>
      <c r="H69" s="471"/>
      <c r="M69" s="454"/>
      <c r="N69" s="454"/>
      <c r="O69" s="424"/>
      <c r="P69" s="430"/>
      <c r="Q69" s="430"/>
      <c r="R69" s="424"/>
      <c r="S69" s="430"/>
      <c r="T69" s="430"/>
      <c r="U69" s="430"/>
      <c r="V69" s="430"/>
      <c r="W69" s="430"/>
      <c r="X69" s="206"/>
      <c r="Y69" s="430"/>
      <c r="Z69" s="430"/>
      <c r="AC69" s="206"/>
      <c r="AD69" s="430"/>
      <c r="AE69" s="430"/>
      <c r="AH69" s="206"/>
      <c r="AI69" s="430"/>
      <c r="AJ69" s="430"/>
      <c r="AK69" s="428" t="s">
        <v>2006</v>
      </c>
      <c r="AL69" s="476">
        <f>SUM(AO62:AO67)-SUM(AL61:AL67)</f>
        <v>-127715</v>
      </c>
      <c r="AM69" s="430"/>
      <c r="AN69" s="430"/>
      <c r="AO69" s="430"/>
      <c r="AP69" s="430"/>
      <c r="AQ69" s="430"/>
      <c r="AR69" s="430"/>
      <c r="AS69" s="430"/>
      <c r="AT69" s="430"/>
      <c r="AU69" s="430"/>
      <c r="AV69" s="430"/>
      <c r="AW69" s="430"/>
      <c r="AX69" s="430"/>
    </row>
    <row r="70">
      <c r="B70" s="471"/>
      <c r="E70" s="471"/>
      <c r="H70" s="471"/>
      <c r="M70" s="454"/>
      <c r="N70" s="454"/>
      <c r="O70" s="424"/>
      <c r="P70" s="430"/>
      <c r="Q70" s="430"/>
      <c r="R70" s="424"/>
      <c r="S70" s="430"/>
      <c r="T70" s="430"/>
      <c r="U70" s="430"/>
      <c r="V70" s="430"/>
      <c r="W70" s="430"/>
      <c r="X70" s="206"/>
      <c r="Y70" s="430"/>
      <c r="Z70" s="430"/>
      <c r="AA70" s="430"/>
      <c r="AB70" s="430"/>
      <c r="AC70" s="206"/>
      <c r="AD70" s="430"/>
      <c r="AE70" s="430"/>
      <c r="AF70" s="430"/>
      <c r="AG70" s="430"/>
      <c r="AH70" s="206"/>
      <c r="AI70" s="430"/>
      <c r="AJ70" s="430"/>
      <c r="AK70" s="430"/>
      <c r="AL70" s="476"/>
      <c r="AM70" s="430"/>
      <c r="AN70" s="430"/>
      <c r="AO70" s="430"/>
      <c r="AP70" s="430"/>
      <c r="AQ70" s="430"/>
      <c r="AR70" s="430"/>
      <c r="AS70" s="430"/>
      <c r="AT70" s="430"/>
      <c r="AU70" s="430"/>
      <c r="AV70" s="430"/>
      <c r="AW70" s="430"/>
      <c r="AX70" s="430"/>
    </row>
    <row r="71">
      <c r="B71" s="471"/>
      <c r="E71" s="471"/>
      <c r="H71" s="471"/>
      <c r="M71" s="454"/>
      <c r="N71" s="454"/>
      <c r="O71" s="424"/>
      <c r="P71" s="430"/>
      <c r="Q71" s="515"/>
      <c r="R71" s="424"/>
      <c r="S71" s="430"/>
      <c r="T71" s="515"/>
      <c r="U71" s="515"/>
      <c r="V71" s="430"/>
      <c r="W71" s="515"/>
      <c r="X71" s="516"/>
      <c r="Y71" s="515"/>
      <c r="Z71" s="515"/>
      <c r="AA71" s="430"/>
      <c r="AB71" s="515"/>
      <c r="AC71" s="516"/>
      <c r="AD71" s="515"/>
      <c r="AE71" s="515"/>
      <c r="AF71" s="430"/>
      <c r="AG71" s="515"/>
      <c r="AH71" s="516"/>
      <c r="AI71" s="515"/>
      <c r="AJ71" s="515"/>
      <c r="AK71" s="428" t="s">
        <v>2027</v>
      </c>
      <c r="AL71" s="476"/>
      <c r="AM71" s="430"/>
      <c r="AN71" s="430"/>
      <c r="AO71" s="430"/>
      <c r="AP71" s="430"/>
      <c r="AQ71" s="430"/>
      <c r="AR71" s="430"/>
      <c r="AS71" s="430"/>
      <c r="AT71" s="430"/>
      <c r="AU71" s="426"/>
      <c r="AV71" s="430"/>
      <c r="AW71" s="430"/>
      <c r="AX71" s="430"/>
    </row>
    <row r="72">
      <c r="B72" s="471"/>
      <c r="E72" s="471"/>
      <c r="H72" s="471"/>
      <c r="M72" s="454"/>
      <c r="N72" s="454"/>
      <c r="O72" s="424"/>
      <c r="P72" s="430"/>
      <c r="Q72" s="430"/>
      <c r="R72" s="424"/>
      <c r="S72" s="430"/>
      <c r="T72" s="430"/>
      <c r="U72" s="430"/>
      <c r="V72" s="430"/>
      <c r="W72" s="430"/>
      <c r="X72" s="444"/>
      <c r="Y72" s="430"/>
      <c r="Z72" s="430"/>
      <c r="AA72" s="430"/>
      <c r="AB72" s="430"/>
      <c r="AC72" s="444"/>
      <c r="AD72" s="430"/>
      <c r="AE72" s="430"/>
      <c r="AF72" s="430"/>
      <c r="AG72" s="430"/>
      <c r="AH72" s="444"/>
      <c r="AI72" s="430"/>
      <c r="AJ72" s="430"/>
      <c r="AK72" s="478"/>
      <c r="AL72" s="479"/>
      <c r="AM72" s="430"/>
      <c r="AN72" s="478" t="s">
        <v>1940</v>
      </c>
      <c r="AO72" s="479">
        <v>17300.0</v>
      </c>
      <c r="AP72" s="430"/>
      <c r="AQ72" s="430"/>
      <c r="AR72" s="430"/>
      <c r="AS72" s="430"/>
      <c r="AT72" s="430"/>
      <c r="AU72" s="426"/>
      <c r="AV72" s="430"/>
      <c r="AW72" s="430"/>
      <c r="AX72" s="430"/>
    </row>
    <row r="73">
      <c r="B73" s="471"/>
      <c r="E73" s="471"/>
      <c r="H73" s="471"/>
      <c r="M73" s="454"/>
      <c r="N73" s="454"/>
      <c r="O73" s="424"/>
      <c r="P73" s="430"/>
      <c r="Q73" s="430"/>
      <c r="R73" s="424"/>
      <c r="S73" s="430"/>
      <c r="T73" s="430"/>
      <c r="U73" s="430"/>
      <c r="V73" s="430"/>
      <c r="W73" s="430"/>
      <c r="X73" s="444"/>
      <c r="Y73" s="430"/>
      <c r="Z73" s="430"/>
      <c r="AA73" s="430"/>
      <c r="AB73" s="430"/>
      <c r="AC73" s="444"/>
      <c r="AD73" s="430"/>
      <c r="AE73" s="430"/>
      <c r="AF73" s="430"/>
      <c r="AG73" s="430"/>
      <c r="AH73" s="444"/>
      <c r="AI73" s="430"/>
      <c r="AJ73" s="430"/>
      <c r="AK73" s="478"/>
      <c r="AL73" s="479"/>
      <c r="AM73" s="430"/>
      <c r="AN73" s="478" t="s">
        <v>1942</v>
      </c>
      <c r="AO73" s="479">
        <v>10600.0</v>
      </c>
      <c r="AP73" s="430"/>
      <c r="AQ73" s="430"/>
      <c r="AR73" s="430"/>
      <c r="AS73" s="430"/>
      <c r="AT73" s="430"/>
      <c r="AU73" s="426"/>
      <c r="AV73" s="430"/>
      <c r="AW73" s="430"/>
      <c r="AX73" s="430"/>
    </row>
    <row r="74">
      <c r="B74" s="471"/>
      <c r="E74" s="471"/>
      <c r="H74" s="471"/>
      <c r="M74" s="454"/>
      <c r="N74" s="454"/>
      <c r="O74" s="424"/>
      <c r="P74" s="430"/>
      <c r="Q74" s="430"/>
      <c r="R74" s="424"/>
      <c r="S74" s="430"/>
      <c r="T74" s="430"/>
      <c r="U74" s="430"/>
      <c r="V74" s="430"/>
      <c r="W74" s="430"/>
      <c r="X74" s="444"/>
      <c r="Y74" s="430"/>
      <c r="Z74" s="430"/>
      <c r="AA74" s="430"/>
      <c r="AB74" s="430"/>
      <c r="AC74" s="444"/>
      <c r="AD74" s="430"/>
      <c r="AE74" s="430"/>
      <c r="AF74" s="430"/>
      <c r="AG74" s="430"/>
      <c r="AH74" s="444"/>
      <c r="AI74" s="430"/>
      <c r="AJ74" s="430"/>
      <c r="AK74" s="478"/>
      <c r="AL74" s="479"/>
      <c r="AM74" s="430"/>
      <c r="AN74" s="478" t="s">
        <v>1944</v>
      </c>
      <c r="AO74" s="479">
        <v>11500.0</v>
      </c>
      <c r="AP74" s="430"/>
      <c r="AQ74" s="430"/>
      <c r="AR74" s="430"/>
      <c r="AS74" s="430"/>
      <c r="AT74" s="430"/>
      <c r="AU74" s="426"/>
      <c r="AV74" s="430"/>
      <c r="AW74" s="430"/>
      <c r="AX74" s="430"/>
    </row>
    <row r="75">
      <c r="B75" s="471"/>
      <c r="E75" s="471"/>
      <c r="H75" s="471"/>
      <c r="M75" s="454"/>
      <c r="N75" s="454"/>
      <c r="O75" s="424"/>
      <c r="P75" s="430"/>
      <c r="Q75" s="430"/>
      <c r="R75" s="424"/>
      <c r="S75" s="430"/>
      <c r="T75" s="430"/>
      <c r="U75" s="430"/>
      <c r="V75" s="430"/>
      <c r="W75" s="430"/>
      <c r="X75" s="444"/>
      <c r="Y75" s="430"/>
      <c r="Z75" s="430"/>
      <c r="AA75" s="430"/>
      <c r="AB75" s="430"/>
      <c r="AC75" s="444"/>
      <c r="AD75" s="430"/>
      <c r="AE75" s="430"/>
      <c r="AF75" s="430"/>
      <c r="AG75" s="430"/>
      <c r="AH75" s="444"/>
      <c r="AI75" s="430"/>
      <c r="AJ75" s="430"/>
      <c r="AK75" s="478"/>
      <c r="AL75" s="479"/>
      <c r="AM75" s="430"/>
      <c r="AN75" s="478"/>
      <c r="AO75" s="479"/>
      <c r="AP75" s="430"/>
      <c r="AQ75" s="503"/>
      <c r="AR75" s="503"/>
      <c r="AS75" s="503"/>
      <c r="AT75" s="430"/>
      <c r="AU75" s="426"/>
      <c r="AV75" s="430"/>
      <c r="AW75" s="430"/>
      <c r="AX75" s="430"/>
    </row>
    <row r="76">
      <c r="B76" s="471"/>
      <c r="E76" s="471"/>
      <c r="H76" s="471"/>
      <c r="M76" s="454"/>
      <c r="N76" s="454"/>
      <c r="O76" s="424"/>
      <c r="P76" s="430"/>
      <c r="Q76" s="430"/>
      <c r="R76" s="424"/>
      <c r="S76" s="430"/>
      <c r="T76" s="430"/>
      <c r="U76" s="430"/>
      <c r="V76" s="430"/>
      <c r="W76" s="430"/>
      <c r="X76" s="444"/>
      <c r="Y76" s="430"/>
      <c r="Z76" s="430"/>
      <c r="AA76" s="430"/>
      <c r="AB76" s="430"/>
      <c r="AC76" s="444"/>
      <c r="AD76" s="430"/>
      <c r="AE76" s="430"/>
      <c r="AF76" s="430"/>
      <c r="AG76" s="430"/>
      <c r="AH76" s="444"/>
      <c r="AI76" s="430"/>
      <c r="AJ76" s="430"/>
      <c r="AK76" s="478"/>
      <c r="AL76" s="479"/>
      <c r="AM76" s="430"/>
      <c r="AN76" s="478"/>
      <c r="AO76" s="479"/>
      <c r="AP76" s="430"/>
      <c r="AQ76" s="430"/>
      <c r="AR76" s="430"/>
      <c r="AS76" s="430"/>
      <c r="AT76" s="430"/>
      <c r="AU76" s="430"/>
      <c r="AV76" s="430"/>
      <c r="AW76" s="430"/>
      <c r="AX76" s="430"/>
    </row>
    <row r="77">
      <c r="B77" s="471"/>
      <c r="E77" s="471"/>
      <c r="H77" s="471"/>
      <c r="M77" s="454"/>
      <c r="N77" s="454"/>
      <c r="O77" s="424"/>
      <c r="P77" s="430"/>
      <c r="Q77" s="430"/>
      <c r="R77" s="424"/>
      <c r="S77" s="430"/>
      <c r="T77" s="430"/>
      <c r="U77" s="430"/>
      <c r="V77" s="430"/>
      <c r="W77" s="430"/>
      <c r="X77" s="444"/>
      <c r="Y77" s="430"/>
      <c r="Z77" s="430"/>
      <c r="AA77" s="430"/>
      <c r="AB77" s="430"/>
      <c r="AC77" s="444"/>
      <c r="AD77" s="430"/>
      <c r="AE77" s="430"/>
      <c r="AF77" s="430"/>
      <c r="AG77" s="430"/>
      <c r="AH77" s="444"/>
      <c r="AI77" s="430"/>
      <c r="AJ77" s="430"/>
      <c r="AK77" s="478"/>
      <c r="AL77" s="479"/>
      <c r="AM77" s="430"/>
      <c r="AN77" s="478"/>
      <c r="AO77" s="479"/>
      <c r="AP77" s="430"/>
      <c r="AQ77" s="430"/>
      <c r="AR77" s="430"/>
      <c r="AS77" s="430"/>
      <c r="AT77" s="430"/>
      <c r="AU77" s="426"/>
      <c r="AV77" s="430"/>
      <c r="AW77" s="430"/>
      <c r="AX77" s="430"/>
    </row>
    <row r="78">
      <c r="B78" s="471"/>
      <c r="E78" s="471"/>
      <c r="H78" s="471"/>
      <c r="M78" s="454"/>
      <c r="N78" s="454"/>
      <c r="O78" s="424"/>
      <c r="P78" s="430"/>
      <c r="Q78" s="430"/>
      <c r="R78" s="424"/>
      <c r="S78" s="430"/>
      <c r="T78" s="430"/>
      <c r="U78" s="430"/>
      <c r="V78" s="430"/>
      <c r="W78" s="430"/>
      <c r="X78" s="444"/>
      <c r="Y78" s="430"/>
      <c r="Z78" s="430"/>
      <c r="AA78" s="430"/>
      <c r="AB78" s="430"/>
      <c r="AC78" s="444"/>
      <c r="AD78" s="430"/>
      <c r="AE78" s="430"/>
      <c r="AF78" s="430"/>
      <c r="AG78" s="430"/>
      <c r="AH78" s="444"/>
      <c r="AI78" s="430"/>
      <c r="AJ78" s="430"/>
      <c r="AK78" s="478"/>
      <c r="AL78" s="479"/>
      <c r="AM78" s="430"/>
      <c r="AN78" s="478"/>
      <c r="AO78" s="479"/>
      <c r="AP78" s="430"/>
      <c r="AQ78" s="430"/>
      <c r="AR78" s="430"/>
      <c r="AS78" s="430"/>
      <c r="AT78" s="430"/>
      <c r="AU78" s="426"/>
      <c r="AV78" s="430"/>
      <c r="AW78" s="430"/>
      <c r="AX78" s="430"/>
    </row>
    <row r="79">
      <c r="B79" s="471"/>
      <c r="E79" s="471"/>
      <c r="H79" s="471"/>
      <c r="M79" s="454"/>
      <c r="N79" s="454"/>
      <c r="O79" s="424"/>
      <c r="P79" s="430"/>
      <c r="Q79" s="430"/>
      <c r="R79" s="424"/>
      <c r="S79" s="430"/>
      <c r="T79" s="430"/>
      <c r="U79" s="430"/>
      <c r="V79" s="430"/>
      <c r="W79" s="430"/>
      <c r="X79" s="444"/>
      <c r="Y79" s="430"/>
      <c r="Z79" s="430"/>
      <c r="AA79" s="430"/>
      <c r="AB79" s="430"/>
      <c r="AC79" s="444"/>
      <c r="AD79" s="430"/>
      <c r="AE79" s="430"/>
      <c r="AF79" s="430"/>
      <c r="AG79" s="430"/>
      <c r="AH79" s="444"/>
      <c r="AI79" s="430"/>
      <c r="AJ79" s="430"/>
      <c r="AK79" s="430"/>
      <c r="AL79" s="476"/>
      <c r="AM79" s="430"/>
      <c r="AN79" s="430"/>
      <c r="AO79" s="430"/>
      <c r="AP79" s="430"/>
      <c r="AQ79" s="430"/>
      <c r="AR79" s="430"/>
      <c r="AS79" s="430"/>
      <c r="AT79" s="430"/>
      <c r="AU79" s="430"/>
      <c r="AV79" s="430"/>
      <c r="AW79" s="430"/>
      <c r="AX79" s="430"/>
    </row>
    <row r="80">
      <c r="B80" s="471"/>
      <c r="E80" s="471"/>
      <c r="H80" s="471"/>
      <c r="M80" s="454"/>
      <c r="N80" s="454"/>
      <c r="O80" s="424"/>
      <c r="P80" s="430"/>
      <c r="Q80" s="430"/>
      <c r="R80" s="424"/>
      <c r="S80" s="430"/>
      <c r="T80" s="430"/>
      <c r="U80" s="430"/>
      <c r="V80" s="430"/>
      <c r="W80" s="430"/>
      <c r="X80" s="444"/>
      <c r="Y80" s="430"/>
      <c r="Z80" s="430"/>
      <c r="AA80" s="430"/>
      <c r="AB80" s="430"/>
      <c r="AC80" s="444"/>
      <c r="AD80" s="430"/>
      <c r="AE80" s="430"/>
      <c r="AF80" s="430"/>
      <c r="AG80" s="430"/>
      <c r="AH80" s="444"/>
      <c r="AI80" s="430"/>
      <c r="AJ80" s="430"/>
      <c r="AK80" s="428" t="s">
        <v>2006</v>
      </c>
      <c r="AL80" s="476">
        <f>SUM(AO72:AO78)-SUM(AL72:AL78)</f>
        <v>39400</v>
      </c>
      <c r="AM80" s="430"/>
      <c r="AN80" s="430"/>
      <c r="AO80" s="430"/>
      <c r="AP80" s="430"/>
      <c r="AQ80" s="430"/>
      <c r="AR80" s="430"/>
      <c r="AS80" s="430"/>
      <c r="AT80" s="430"/>
      <c r="AU80" s="430"/>
      <c r="AV80" s="430"/>
      <c r="AW80" s="430"/>
      <c r="AX80" s="430"/>
    </row>
    <row r="81">
      <c r="B81" s="471"/>
      <c r="E81" s="471"/>
      <c r="H81" s="471"/>
      <c r="M81" s="454"/>
      <c r="N81" s="454"/>
      <c r="O81" s="424"/>
      <c r="P81" s="430"/>
      <c r="Q81" s="430"/>
      <c r="R81" s="424"/>
      <c r="S81" s="430"/>
      <c r="T81" s="430"/>
      <c r="U81" s="430"/>
      <c r="V81" s="430"/>
      <c r="W81" s="430"/>
      <c r="X81" s="444"/>
      <c r="Y81" s="430"/>
      <c r="Z81" s="430"/>
      <c r="AA81" s="430"/>
      <c r="AB81" s="430"/>
      <c r="AC81" s="444"/>
      <c r="AD81" s="430"/>
      <c r="AE81" s="430"/>
      <c r="AF81" s="430"/>
      <c r="AG81" s="430"/>
      <c r="AH81" s="444"/>
      <c r="AI81" s="430"/>
      <c r="AJ81" s="430"/>
      <c r="AK81" s="430"/>
      <c r="AL81" s="476"/>
      <c r="AM81" s="430"/>
      <c r="AN81" s="430"/>
      <c r="AO81" s="430"/>
      <c r="AP81" s="430"/>
      <c r="AQ81" s="430"/>
      <c r="AR81" s="430"/>
      <c r="AS81" s="430"/>
      <c r="AT81" s="430"/>
      <c r="AU81" s="426"/>
      <c r="AV81" s="430"/>
      <c r="AW81" s="430"/>
      <c r="AX81" s="430"/>
    </row>
    <row r="82">
      <c r="B82" s="471"/>
      <c r="E82" s="471"/>
      <c r="H82" s="471"/>
      <c r="M82" s="454"/>
      <c r="N82" s="454"/>
      <c r="O82" s="424"/>
      <c r="P82" s="430"/>
      <c r="Q82" s="430"/>
      <c r="R82" s="424"/>
      <c r="S82" s="430"/>
      <c r="T82" s="430"/>
      <c r="U82" s="430"/>
      <c r="V82" s="430"/>
      <c r="W82" s="430"/>
      <c r="X82" s="444"/>
      <c r="Y82" s="430"/>
      <c r="Z82" s="430"/>
      <c r="AA82" s="430"/>
      <c r="AB82" s="430"/>
      <c r="AC82" s="444"/>
      <c r="AD82" s="430"/>
      <c r="AE82" s="430"/>
      <c r="AF82" s="430"/>
      <c r="AG82" s="430"/>
      <c r="AH82" s="444"/>
      <c r="AI82" s="430"/>
      <c r="AJ82" s="430"/>
      <c r="AK82" s="428" t="s">
        <v>2028</v>
      </c>
      <c r="AL82" s="476"/>
      <c r="AM82" s="430"/>
      <c r="AN82" s="430"/>
      <c r="AO82" s="430"/>
      <c r="AP82" s="430"/>
      <c r="AQ82" s="430"/>
      <c r="AR82" s="430"/>
      <c r="AS82" s="430"/>
      <c r="AT82" s="430"/>
      <c r="AU82" s="430"/>
      <c r="AV82" s="430"/>
      <c r="AW82" s="430"/>
      <c r="AX82" s="430"/>
    </row>
    <row r="83">
      <c r="B83" s="471"/>
      <c r="E83" s="471"/>
      <c r="H83" s="471"/>
      <c r="M83" s="454"/>
      <c r="N83" s="454"/>
      <c r="O83" s="424"/>
      <c r="P83" s="430"/>
      <c r="Q83" s="430"/>
      <c r="R83" s="424"/>
      <c r="S83" s="430"/>
      <c r="T83" s="430"/>
      <c r="U83" s="430"/>
      <c r="V83" s="430"/>
      <c r="W83" s="430"/>
      <c r="X83" s="444"/>
      <c r="Y83" s="430"/>
      <c r="Z83" s="430"/>
      <c r="AA83" s="430"/>
      <c r="AB83" s="430"/>
      <c r="AC83" s="444"/>
      <c r="AD83" s="430"/>
      <c r="AE83" s="430"/>
      <c r="AF83" s="430"/>
      <c r="AG83" s="430"/>
      <c r="AH83" s="444"/>
      <c r="AI83" s="430"/>
      <c r="AJ83" s="430"/>
      <c r="AK83" s="430"/>
      <c r="AL83" s="426"/>
      <c r="AM83" s="430"/>
      <c r="AP83" s="430"/>
      <c r="AQ83" s="430"/>
      <c r="AR83" s="430"/>
      <c r="AS83" s="430"/>
      <c r="AT83" s="430"/>
      <c r="AU83" s="430"/>
      <c r="AV83" s="430"/>
      <c r="AW83" s="430"/>
      <c r="AX83" s="430"/>
    </row>
    <row r="84">
      <c r="B84" s="471"/>
      <c r="E84" s="471"/>
      <c r="H84" s="471"/>
      <c r="M84" s="454"/>
      <c r="N84" s="454"/>
      <c r="O84" s="424"/>
      <c r="P84" s="430"/>
      <c r="Q84" s="430"/>
      <c r="R84" s="424"/>
      <c r="S84" s="430"/>
      <c r="T84" s="430"/>
      <c r="U84" s="430"/>
      <c r="V84" s="430"/>
      <c r="W84" s="430"/>
      <c r="X84" s="444"/>
      <c r="Y84" s="430"/>
      <c r="Z84" s="430"/>
      <c r="AA84" s="430"/>
      <c r="AB84" s="430"/>
      <c r="AC84" s="444"/>
      <c r="AD84" s="430"/>
      <c r="AE84" s="430"/>
      <c r="AF84" s="430"/>
      <c r="AG84" s="430"/>
      <c r="AH84" s="444"/>
      <c r="AI84" s="430"/>
      <c r="AJ84" s="430"/>
      <c r="AK84" s="123" t="s">
        <v>1937</v>
      </c>
      <c r="AL84" s="124">
        <v>0.0</v>
      </c>
      <c r="AM84" s="430"/>
      <c r="AN84" s="428" t="s">
        <v>1994</v>
      </c>
      <c r="AO84" s="206">
        <v>4266.0</v>
      </c>
      <c r="AP84" s="430"/>
      <c r="AQ84" s="430"/>
      <c r="AR84" s="430"/>
      <c r="AS84" s="430"/>
      <c r="AT84" s="430"/>
      <c r="AU84" s="430"/>
      <c r="AV84" s="430"/>
      <c r="AW84" s="430"/>
      <c r="AX84" s="430"/>
    </row>
    <row r="85">
      <c r="B85" s="471"/>
      <c r="E85" s="471"/>
      <c r="H85" s="471"/>
      <c r="M85" s="454"/>
      <c r="N85" s="454"/>
      <c r="O85" s="424"/>
      <c r="P85" s="430"/>
      <c r="Q85" s="430"/>
      <c r="R85" s="424"/>
      <c r="S85" s="430"/>
      <c r="T85" s="430"/>
      <c r="U85" s="430"/>
      <c r="V85" s="430"/>
      <c r="W85" s="430"/>
      <c r="X85" s="444"/>
      <c r="Y85" s="430"/>
      <c r="Z85" s="430"/>
      <c r="AA85" s="430"/>
      <c r="AB85" s="430"/>
      <c r="AC85" s="444"/>
      <c r="AD85" s="430"/>
      <c r="AE85" s="430"/>
      <c r="AF85" s="430"/>
      <c r="AG85" s="430"/>
      <c r="AH85" s="444"/>
      <c r="AI85" s="430"/>
      <c r="AJ85" s="430"/>
      <c r="AK85" s="428" t="s">
        <v>2029</v>
      </c>
      <c r="AL85" s="426">
        <v>0.0</v>
      </c>
      <c r="AM85" s="430"/>
      <c r="AN85" s="428"/>
      <c r="AO85" s="206"/>
      <c r="AP85" s="430"/>
      <c r="AQ85" s="430"/>
      <c r="AR85" s="430"/>
      <c r="AS85" s="430"/>
      <c r="AT85" s="430"/>
      <c r="AU85" s="430"/>
      <c r="AV85" s="430"/>
      <c r="AW85" s="430"/>
      <c r="AX85" s="430"/>
    </row>
    <row r="86">
      <c r="B86" s="471"/>
      <c r="E86" s="471"/>
      <c r="H86" s="471"/>
      <c r="K86" s="471"/>
      <c r="M86" s="454"/>
      <c r="N86" s="424"/>
      <c r="O86" s="424"/>
      <c r="P86" s="430"/>
      <c r="Q86" s="444"/>
      <c r="R86" s="424"/>
      <c r="S86" s="430"/>
      <c r="T86" s="444"/>
      <c r="U86" s="430"/>
      <c r="V86" s="430"/>
      <c r="W86" s="444"/>
      <c r="X86" s="444"/>
      <c r="Y86" s="430"/>
      <c r="Z86" s="430"/>
      <c r="AA86" s="430"/>
      <c r="AB86" s="444"/>
      <c r="AC86" s="444"/>
      <c r="AD86" s="430"/>
      <c r="AE86" s="430"/>
      <c r="AF86" s="430"/>
      <c r="AG86" s="444"/>
      <c r="AH86" s="444"/>
      <c r="AI86" s="430"/>
      <c r="AJ86" s="430"/>
      <c r="AK86" s="428" t="s">
        <v>2030</v>
      </c>
      <c r="AL86" s="426">
        <v>0.0</v>
      </c>
      <c r="AM86" s="430"/>
      <c r="AN86" s="428"/>
      <c r="AO86" s="206"/>
      <c r="AP86" s="430"/>
      <c r="AQ86" s="430"/>
      <c r="AR86" s="430"/>
      <c r="AS86" s="430"/>
      <c r="AT86" s="430"/>
      <c r="AU86" s="430"/>
      <c r="AV86" s="430"/>
      <c r="AW86" s="430"/>
      <c r="AX86" s="430"/>
    </row>
    <row r="87">
      <c r="B87" s="471"/>
      <c r="E87" s="471"/>
      <c r="H87" s="471"/>
      <c r="K87" s="471"/>
      <c r="M87" s="454"/>
      <c r="N87" s="454"/>
      <c r="O87" s="424"/>
      <c r="P87" s="430"/>
      <c r="Q87" s="430"/>
      <c r="R87" s="424"/>
      <c r="S87" s="430"/>
      <c r="T87" s="430"/>
      <c r="U87" s="430"/>
      <c r="V87" s="430"/>
      <c r="W87" s="430"/>
      <c r="X87" s="444"/>
      <c r="Y87" s="430"/>
      <c r="Z87" s="430"/>
      <c r="AA87" s="430"/>
      <c r="AB87" s="430"/>
      <c r="AC87" s="444"/>
      <c r="AD87" s="430"/>
      <c r="AE87" s="430"/>
      <c r="AF87" s="430"/>
      <c r="AG87" s="430"/>
      <c r="AH87" s="444"/>
      <c r="AI87" s="430"/>
      <c r="AJ87" s="430"/>
      <c r="AK87" s="428" t="s">
        <v>2031</v>
      </c>
      <c r="AL87" s="426">
        <v>0.0</v>
      </c>
      <c r="AM87" s="430"/>
      <c r="AN87" s="428"/>
      <c r="AO87" s="206"/>
      <c r="AP87" s="430"/>
      <c r="AQ87" s="430"/>
      <c r="AR87" s="430"/>
      <c r="AS87" s="430"/>
      <c r="AT87" s="430"/>
      <c r="AU87" s="430"/>
      <c r="AV87" s="430"/>
      <c r="AW87" s="430"/>
      <c r="AX87" s="430"/>
    </row>
    <row r="88">
      <c r="B88" s="471"/>
      <c r="E88" s="471"/>
      <c r="H88" s="471"/>
      <c r="K88" s="471"/>
      <c r="M88" s="454"/>
      <c r="N88" s="454"/>
      <c r="O88" s="424"/>
      <c r="P88" s="430"/>
      <c r="Q88" s="430"/>
      <c r="R88" s="424"/>
      <c r="S88" s="430"/>
      <c r="T88" s="430"/>
      <c r="U88" s="430"/>
      <c r="V88" s="430"/>
      <c r="W88" s="430"/>
      <c r="X88" s="444"/>
      <c r="Y88" s="430"/>
      <c r="Z88" s="430"/>
      <c r="AA88" s="430"/>
      <c r="AB88" s="430"/>
      <c r="AC88" s="444"/>
      <c r="AD88" s="430"/>
      <c r="AE88" s="430"/>
      <c r="AF88" s="430"/>
      <c r="AG88" s="430"/>
      <c r="AH88" s="444"/>
      <c r="AI88" s="430"/>
      <c r="AJ88" s="430"/>
      <c r="AK88" s="428" t="s">
        <v>28</v>
      </c>
      <c r="AL88" s="426">
        <f>W15</f>
        <v>0</v>
      </c>
      <c r="AM88" s="430"/>
      <c r="AN88" s="428"/>
      <c r="AO88" s="206"/>
      <c r="AP88" s="430"/>
      <c r="AQ88" s="430"/>
      <c r="AR88" s="430"/>
      <c r="AS88" s="430"/>
      <c r="AT88" s="430"/>
      <c r="AU88" s="427"/>
      <c r="AV88" s="515"/>
      <c r="AW88" s="515"/>
      <c r="AX88" s="430"/>
    </row>
    <row r="89">
      <c r="B89" s="471"/>
      <c r="E89" s="471"/>
      <c r="H89" s="471"/>
      <c r="K89" s="471"/>
      <c r="M89" s="454"/>
      <c r="N89" s="454"/>
      <c r="O89" s="424"/>
      <c r="P89" s="430"/>
      <c r="Q89" s="430"/>
      <c r="R89" s="424"/>
      <c r="S89" s="430"/>
      <c r="T89" s="430"/>
      <c r="U89" s="430"/>
      <c r="V89" s="430"/>
      <c r="W89" s="430"/>
      <c r="X89" s="444"/>
      <c r="Y89" s="430"/>
      <c r="Z89" s="430"/>
      <c r="AA89" s="430"/>
      <c r="AB89" s="430"/>
      <c r="AC89" s="444"/>
      <c r="AD89" s="430"/>
      <c r="AE89" s="430"/>
      <c r="AF89" s="430"/>
      <c r="AG89" s="430"/>
      <c r="AH89" s="444"/>
      <c r="AI89" s="430"/>
      <c r="AJ89" s="430"/>
      <c r="AK89" s="428"/>
      <c r="AL89" s="426"/>
      <c r="AM89" s="430"/>
      <c r="AN89" s="428"/>
      <c r="AO89" s="206"/>
      <c r="AP89" s="430"/>
      <c r="AQ89" s="430"/>
      <c r="AR89" s="430"/>
      <c r="AS89" s="430"/>
      <c r="AT89" s="430"/>
      <c r="AU89" s="427"/>
      <c r="AV89" s="515"/>
      <c r="AW89" s="515"/>
      <c r="AX89" s="430"/>
    </row>
    <row r="90">
      <c r="B90" s="471"/>
      <c r="E90" s="471"/>
      <c r="H90" s="471"/>
      <c r="K90" s="471"/>
      <c r="M90" s="454"/>
      <c r="N90" s="454"/>
      <c r="O90" s="424"/>
      <c r="P90" s="430"/>
      <c r="Q90" s="430"/>
      <c r="R90" s="424"/>
      <c r="S90" s="430"/>
      <c r="T90" s="430"/>
      <c r="U90" s="430"/>
      <c r="V90" s="430"/>
      <c r="W90" s="430"/>
      <c r="X90" s="444"/>
      <c r="Y90" s="430"/>
      <c r="Z90" s="430"/>
      <c r="AA90" s="430"/>
      <c r="AB90" s="430"/>
      <c r="AC90" s="444"/>
      <c r="AD90" s="430"/>
      <c r="AE90" s="430"/>
      <c r="AF90" s="430"/>
      <c r="AG90" s="430"/>
      <c r="AH90" s="444"/>
      <c r="AI90" s="430"/>
      <c r="AJ90" s="430"/>
      <c r="AK90" s="428" t="s">
        <v>2032</v>
      </c>
      <c r="AL90" s="426">
        <v>0.0</v>
      </c>
      <c r="AM90" s="430"/>
      <c r="AN90" s="428"/>
      <c r="AO90" s="206"/>
      <c r="AP90" s="430"/>
      <c r="AQ90" s="430"/>
      <c r="AR90" s="430"/>
      <c r="AS90" s="430"/>
      <c r="AT90" s="430"/>
      <c r="AU90" s="427"/>
      <c r="AV90" s="515"/>
      <c r="AW90" s="515"/>
      <c r="AX90" s="430"/>
    </row>
    <row r="91">
      <c r="B91" s="471"/>
      <c r="E91" s="471"/>
      <c r="H91" s="471"/>
      <c r="K91" s="471"/>
      <c r="M91" s="454"/>
      <c r="N91" s="454"/>
      <c r="O91" s="424"/>
      <c r="P91" s="430"/>
      <c r="Q91" s="430"/>
      <c r="R91" s="424"/>
      <c r="S91" s="430"/>
      <c r="T91" s="430"/>
      <c r="U91" s="430"/>
      <c r="V91" s="430"/>
      <c r="W91" s="430"/>
      <c r="X91" s="444"/>
      <c r="Y91" s="430"/>
      <c r="Z91" s="430"/>
      <c r="AA91" s="430"/>
      <c r="AB91" s="430"/>
      <c r="AC91" s="444"/>
      <c r="AD91" s="430"/>
      <c r="AE91" s="430"/>
      <c r="AF91" s="430"/>
      <c r="AG91" s="430"/>
      <c r="AH91" s="444"/>
      <c r="AI91" s="430"/>
      <c r="AJ91" s="430"/>
      <c r="AK91" s="428" t="s">
        <v>2033</v>
      </c>
      <c r="AL91" s="426">
        <v>0.0</v>
      </c>
      <c r="AM91" s="430"/>
      <c r="AN91" s="430"/>
      <c r="AO91" s="444"/>
      <c r="AP91" s="430"/>
      <c r="AQ91" s="430"/>
      <c r="AR91" s="430"/>
      <c r="AS91" s="430"/>
      <c r="AT91" s="430"/>
      <c r="AU91" s="430"/>
      <c r="AV91" s="430"/>
      <c r="AW91" s="430"/>
      <c r="AX91" s="430"/>
    </row>
    <row r="92">
      <c r="B92" s="471"/>
      <c r="E92" s="471"/>
      <c r="H92" s="471"/>
      <c r="K92" s="471"/>
      <c r="M92" s="454"/>
      <c r="N92" s="454"/>
      <c r="O92" s="424"/>
      <c r="P92" s="430"/>
      <c r="Q92" s="430"/>
      <c r="R92" s="424"/>
      <c r="S92" s="430"/>
      <c r="T92" s="430"/>
      <c r="U92" s="430"/>
      <c r="V92" s="430"/>
      <c r="W92" s="430"/>
      <c r="X92" s="444"/>
      <c r="Y92" s="430"/>
      <c r="Z92" s="430"/>
      <c r="AA92" s="430"/>
      <c r="AB92" s="430"/>
      <c r="AC92" s="444"/>
      <c r="AD92" s="430"/>
      <c r="AE92" s="430"/>
      <c r="AF92" s="430"/>
      <c r="AG92" s="430"/>
      <c r="AH92" s="444"/>
      <c r="AI92" s="430"/>
      <c r="AJ92" s="430"/>
      <c r="AK92" s="428" t="s">
        <v>2034</v>
      </c>
      <c r="AL92" s="426">
        <v>0.0</v>
      </c>
      <c r="AM92" s="430"/>
      <c r="AN92" s="430"/>
      <c r="AO92" s="444"/>
      <c r="AP92" s="430"/>
      <c r="AQ92" s="430"/>
      <c r="AR92" s="430"/>
      <c r="AS92" s="430"/>
      <c r="AT92" s="430"/>
      <c r="AU92" s="430"/>
      <c r="AV92" s="430"/>
      <c r="AW92" s="430"/>
      <c r="AX92" s="430"/>
    </row>
    <row r="93">
      <c r="B93" s="471"/>
      <c r="E93" s="471"/>
      <c r="H93" s="471"/>
      <c r="K93" s="471"/>
      <c r="M93" s="454"/>
      <c r="N93" s="454"/>
      <c r="O93" s="424"/>
      <c r="P93" s="430"/>
      <c r="Q93" s="430"/>
      <c r="R93" s="424"/>
      <c r="S93" s="430"/>
      <c r="T93" s="430"/>
      <c r="U93" s="430"/>
      <c r="V93" s="430"/>
      <c r="W93" s="430"/>
      <c r="X93" s="444"/>
      <c r="Y93" s="430"/>
      <c r="Z93" s="430"/>
      <c r="AA93" s="430"/>
      <c r="AB93" s="430"/>
      <c r="AC93" s="444"/>
      <c r="AD93" s="430"/>
      <c r="AE93" s="430"/>
      <c r="AF93" s="430"/>
      <c r="AG93" s="430"/>
      <c r="AH93" s="444"/>
      <c r="AI93" s="430"/>
      <c r="AJ93" s="430"/>
      <c r="AK93" s="123" t="s">
        <v>2035</v>
      </c>
      <c r="AL93" s="426">
        <v>0.0</v>
      </c>
      <c r="AM93" s="430"/>
      <c r="AN93" s="430"/>
      <c r="AO93" s="444"/>
      <c r="AP93" s="430"/>
      <c r="AQ93" s="430"/>
      <c r="AR93" s="430"/>
      <c r="AS93" s="430"/>
      <c r="AT93" s="430"/>
      <c r="AU93" s="430"/>
      <c r="AV93" s="430"/>
      <c r="AW93" s="430"/>
      <c r="AX93" s="430"/>
    </row>
    <row r="94">
      <c r="B94" s="471"/>
      <c r="E94" s="471"/>
      <c r="H94" s="471"/>
      <c r="K94" s="471"/>
      <c r="M94" s="454"/>
      <c r="N94" s="454"/>
      <c r="O94" s="424"/>
      <c r="P94" s="430"/>
      <c r="Q94" s="430"/>
      <c r="R94" s="424"/>
      <c r="S94" s="430"/>
      <c r="T94" s="430"/>
      <c r="U94" s="430"/>
      <c r="V94" s="430"/>
      <c r="W94" s="430"/>
      <c r="X94" s="444"/>
      <c r="Y94" s="430"/>
      <c r="Z94" s="430"/>
      <c r="AA94" s="430"/>
      <c r="AB94" s="430"/>
      <c r="AC94" s="444"/>
      <c r="AD94" s="430"/>
      <c r="AE94" s="430"/>
      <c r="AF94" s="430"/>
      <c r="AG94" s="430"/>
      <c r="AH94" s="444"/>
      <c r="AI94" s="430"/>
      <c r="AJ94" s="430"/>
      <c r="AK94" s="428" t="s">
        <v>1908</v>
      </c>
      <c r="AL94" s="426">
        <f>AO98</f>
        <v>4266</v>
      </c>
      <c r="AM94" s="430"/>
      <c r="AN94" s="430"/>
      <c r="AO94" s="444"/>
      <c r="AP94" s="430"/>
      <c r="AQ94" s="430"/>
      <c r="AR94" s="430"/>
      <c r="AS94" s="430"/>
      <c r="AT94" s="430"/>
      <c r="AU94" s="430"/>
      <c r="AV94" s="430"/>
      <c r="AW94" s="430"/>
      <c r="AX94" s="430"/>
    </row>
    <row r="95">
      <c r="B95" s="471"/>
      <c r="E95" s="471"/>
      <c r="H95" s="471"/>
      <c r="K95" s="471"/>
      <c r="M95" s="454"/>
      <c r="N95" s="424"/>
      <c r="O95" s="424"/>
      <c r="P95" s="430"/>
      <c r="Q95" s="444"/>
      <c r="R95" s="424"/>
      <c r="S95" s="430"/>
      <c r="T95" s="444"/>
      <c r="U95" s="430"/>
      <c r="V95" s="430"/>
      <c r="W95" s="444"/>
      <c r="X95" s="444"/>
      <c r="Y95" s="430"/>
      <c r="Z95" s="430"/>
      <c r="AA95" s="430"/>
      <c r="AB95" s="444"/>
      <c r="AC95" s="444"/>
      <c r="AD95" s="430"/>
      <c r="AE95" s="430"/>
      <c r="AF95" s="430"/>
      <c r="AG95" s="444"/>
      <c r="AH95" s="444"/>
      <c r="AI95" s="430"/>
      <c r="AJ95" s="430"/>
      <c r="AK95" s="430"/>
      <c r="AL95" s="426"/>
      <c r="AM95" s="430"/>
      <c r="AN95" s="430"/>
      <c r="AO95" s="444"/>
      <c r="AP95" s="430"/>
      <c r="AQ95" s="430"/>
      <c r="AR95" s="430"/>
      <c r="AS95" s="430"/>
      <c r="AT95" s="430"/>
      <c r="AU95" s="430"/>
      <c r="AV95" s="430"/>
      <c r="AW95" s="430"/>
      <c r="AX95" s="430"/>
    </row>
    <row r="96">
      <c r="B96" s="471"/>
      <c r="E96" s="471"/>
      <c r="H96" s="471"/>
      <c r="K96" s="471"/>
      <c r="M96" s="454"/>
      <c r="N96" s="424"/>
      <c r="O96" s="424"/>
      <c r="P96" s="430"/>
      <c r="Q96" s="444"/>
      <c r="R96" s="424"/>
      <c r="S96" s="430"/>
      <c r="T96" s="444"/>
      <c r="U96" s="430"/>
      <c r="V96" s="430"/>
      <c r="W96" s="444"/>
      <c r="X96" s="444"/>
      <c r="Y96" s="430"/>
      <c r="Z96" s="430"/>
      <c r="AA96" s="430"/>
      <c r="AB96" s="444"/>
      <c r="AC96" s="444"/>
      <c r="AD96" s="430"/>
      <c r="AE96" s="430"/>
      <c r="AF96" s="430"/>
      <c r="AG96" s="444"/>
      <c r="AH96" s="444"/>
      <c r="AI96" s="430"/>
      <c r="AJ96" s="430"/>
      <c r="AK96" s="428" t="s">
        <v>57</v>
      </c>
      <c r="AL96" s="476">
        <f>-SUM(AL83:AL95)</f>
        <v>-4266</v>
      </c>
      <c r="AM96" s="430"/>
      <c r="AN96" s="430"/>
      <c r="AO96" s="444"/>
      <c r="AP96" s="430"/>
      <c r="AQ96" s="430"/>
      <c r="AR96" s="430"/>
      <c r="AS96" s="430"/>
      <c r="AT96" s="430"/>
      <c r="AU96" s="430"/>
      <c r="AV96" s="430"/>
      <c r="AW96" s="430"/>
      <c r="AX96" s="430"/>
    </row>
    <row r="97">
      <c r="B97" s="471"/>
      <c r="E97" s="471"/>
      <c r="H97" s="471"/>
      <c r="K97" s="471"/>
      <c r="M97" s="454"/>
      <c r="N97" s="424"/>
      <c r="O97" s="424"/>
      <c r="P97" s="430"/>
      <c r="Q97" s="444"/>
      <c r="R97" s="424"/>
      <c r="S97" s="430"/>
      <c r="T97" s="444"/>
      <c r="U97" s="430"/>
      <c r="V97" s="430"/>
      <c r="W97" s="444"/>
      <c r="X97" s="444"/>
      <c r="Y97" s="430"/>
      <c r="Z97" s="430"/>
      <c r="AA97" s="430"/>
      <c r="AB97" s="444"/>
      <c r="AC97" s="444"/>
      <c r="AD97" s="430"/>
      <c r="AE97" s="430"/>
      <c r="AF97" s="430"/>
      <c r="AG97" s="444"/>
      <c r="AH97" s="444"/>
      <c r="AI97" s="430"/>
      <c r="AJ97" s="430"/>
      <c r="AK97" s="430"/>
      <c r="AL97" s="476"/>
      <c r="AM97" s="430"/>
      <c r="AN97" s="430"/>
      <c r="AO97" s="444"/>
      <c r="AP97" s="430"/>
      <c r="AQ97" s="430"/>
      <c r="AR97" s="430"/>
      <c r="AS97" s="430"/>
      <c r="AT97" s="430"/>
      <c r="AU97" s="430"/>
      <c r="AV97" s="430"/>
      <c r="AW97" s="430"/>
      <c r="AX97" s="430"/>
    </row>
    <row r="98">
      <c r="B98" s="471"/>
      <c r="E98" s="471"/>
      <c r="H98" s="471"/>
      <c r="K98" s="471"/>
      <c r="M98" s="454"/>
      <c r="N98" s="424"/>
      <c r="O98" s="424"/>
      <c r="P98" s="430"/>
      <c r="Q98" s="444"/>
      <c r="R98" s="424"/>
      <c r="S98" s="430"/>
      <c r="T98" s="444"/>
      <c r="U98" s="430"/>
      <c r="V98" s="430"/>
      <c r="W98" s="444"/>
      <c r="X98" s="444"/>
      <c r="Y98" s="430"/>
      <c r="Z98" s="430"/>
      <c r="AA98" s="430"/>
      <c r="AB98" s="444"/>
      <c r="AC98" s="444"/>
      <c r="AD98" s="430"/>
      <c r="AE98" s="430"/>
      <c r="AF98" s="430"/>
      <c r="AG98" s="444"/>
      <c r="AH98" s="444"/>
      <c r="AI98" s="430"/>
      <c r="AJ98" s="430"/>
      <c r="AK98" s="427" t="s">
        <v>2036</v>
      </c>
      <c r="AL98" s="469">
        <f>SUM(AL46,AL58,AL69,AL80,AL96)</f>
        <v>-92581</v>
      </c>
      <c r="AO98" s="189">
        <f>SUM(AO84:AO97)</f>
        <v>4266</v>
      </c>
      <c r="AP98" s="430"/>
      <c r="AQ98" s="430"/>
      <c r="AR98" s="430"/>
      <c r="AS98" s="430"/>
      <c r="AT98" s="430"/>
      <c r="AU98" s="430"/>
      <c r="AV98" s="430"/>
      <c r="AW98" s="430"/>
      <c r="AX98" s="430"/>
    </row>
    <row r="99">
      <c r="B99" s="471"/>
      <c r="E99" s="471"/>
      <c r="H99" s="471"/>
      <c r="K99" s="471"/>
      <c r="M99" s="454"/>
      <c r="N99" s="424"/>
      <c r="O99" s="424"/>
      <c r="P99" s="430"/>
      <c r="Q99" s="444"/>
      <c r="R99" s="424"/>
      <c r="S99" s="430"/>
      <c r="T99" s="444"/>
      <c r="U99" s="430"/>
      <c r="V99" s="430"/>
      <c r="W99" s="444"/>
      <c r="X99" s="444"/>
      <c r="Y99" s="430"/>
      <c r="Z99" s="430"/>
      <c r="AA99" s="430"/>
      <c r="AB99" s="444"/>
      <c r="AC99" s="444"/>
      <c r="AD99" s="430"/>
      <c r="AE99" s="430"/>
      <c r="AF99" s="430"/>
      <c r="AG99" s="444"/>
      <c r="AH99" s="444"/>
      <c r="AI99" s="430"/>
      <c r="AJ99" s="430"/>
      <c r="AP99" s="430"/>
      <c r="AQ99" s="430"/>
      <c r="AR99" s="430"/>
      <c r="AS99" s="430"/>
      <c r="AT99" s="430"/>
      <c r="AU99" s="430"/>
      <c r="AV99" s="430"/>
      <c r="AW99" s="430"/>
      <c r="AX99" s="430"/>
    </row>
    <row r="100">
      <c r="B100" s="471"/>
      <c r="E100" s="471"/>
      <c r="H100" s="471"/>
      <c r="K100" s="471"/>
      <c r="M100" s="454"/>
      <c r="N100" s="424"/>
      <c r="O100" s="424"/>
      <c r="P100" s="430"/>
      <c r="Q100" s="444"/>
      <c r="R100" s="424"/>
      <c r="S100" s="430"/>
      <c r="T100" s="444"/>
      <c r="U100" s="430"/>
      <c r="V100" s="430"/>
      <c r="W100" s="444"/>
      <c r="X100" s="444"/>
      <c r="Y100" s="430"/>
      <c r="Z100" s="430"/>
      <c r="AA100" s="430"/>
      <c r="AB100" s="444"/>
      <c r="AC100" s="444"/>
      <c r="AD100" s="430"/>
      <c r="AE100" s="430"/>
      <c r="AF100" s="430"/>
      <c r="AG100" s="444"/>
      <c r="AH100" s="444"/>
      <c r="AI100" s="430"/>
      <c r="AJ100" s="430"/>
      <c r="AP100" s="430"/>
      <c r="AQ100" s="430"/>
      <c r="AR100" s="430"/>
      <c r="AS100" s="430"/>
      <c r="AT100" s="430"/>
      <c r="AU100" s="430"/>
      <c r="AV100" s="430"/>
      <c r="AW100" s="430"/>
      <c r="AX100" s="430"/>
    </row>
    <row r="101">
      <c r="B101" s="471"/>
      <c r="E101" s="471"/>
      <c r="H101" s="471"/>
      <c r="K101" s="471"/>
      <c r="M101" s="454"/>
      <c r="N101" s="424"/>
      <c r="O101" s="424"/>
      <c r="P101" s="430"/>
      <c r="Q101" s="444"/>
      <c r="R101" s="424"/>
      <c r="S101" s="430"/>
      <c r="T101" s="444"/>
      <c r="U101" s="430"/>
      <c r="V101" s="430"/>
      <c r="W101" s="444"/>
      <c r="X101" s="444"/>
      <c r="Y101" s="430"/>
      <c r="Z101" s="430"/>
      <c r="AA101" s="430"/>
      <c r="AB101" s="444"/>
      <c r="AC101" s="444"/>
      <c r="AD101" s="430"/>
      <c r="AE101" s="430"/>
      <c r="AF101" s="430"/>
      <c r="AG101" s="444"/>
      <c r="AH101" s="444"/>
      <c r="AI101" s="430"/>
      <c r="AJ101" s="430"/>
      <c r="AN101" s="428"/>
      <c r="AO101" s="206"/>
      <c r="AP101" s="430"/>
      <c r="AQ101" s="430"/>
      <c r="AR101" s="430"/>
      <c r="AS101" s="430"/>
      <c r="AT101" s="430"/>
      <c r="AU101" s="430"/>
      <c r="AV101" s="430"/>
      <c r="AW101" s="430"/>
      <c r="AX101" s="430"/>
    </row>
    <row r="102">
      <c r="B102" s="471"/>
      <c r="E102" s="471"/>
      <c r="H102" s="471"/>
      <c r="K102" s="471"/>
      <c r="M102" s="454"/>
      <c r="N102" s="424"/>
      <c r="O102" s="424"/>
      <c r="P102" s="430"/>
      <c r="Q102" s="444"/>
      <c r="R102" s="424"/>
      <c r="S102" s="430"/>
      <c r="T102" s="444"/>
      <c r="U102" s="430"/>
      <c r="V102" s="430"/>
      <c r="W102" s="444"/>
      <c r="X102" s="444"/>
      <c r="Y102" s="430"/>
      <c r="Z102" s="430"/>
      <c r="AA102" s="430"/>
      <c r="AB102" s="444"/>
      <c r="AC102" s="444"/>
      <c r="AD102" s="430"/>
      <c r="AE102" s="430"/>
      <c r="AF102" s="430"/>
      <c r="AG102" s="444"/>
      <c r="AH102" s="444"/>
      <c r="AI102" s="430"/>
      <c r="AJ102" s="430"/>
      <c r="AK102" s="430"/>
      <c r="AL102" s="430"/>
      <c r="AM102" s="430"/>
      <c r="AN102" s="428"/>
      <c r="AO102" s="206"/>
      <c r="AP102" s="430"/>
      <c r="AQ102" s="430"/>
      <c r="AR102" s="430"/>
      <c r="AS102" s="430"/>
      <c r="AT102" s="430"/>
      <c r="AU102" s="430"/>
      <c r="AV102" s="430"/>
      <c r="AW102" s="430"/>
      <c r="AX102" s="430"/>
    </row>
    <row r="103">
      <c r="B103" s="471"/>
      <c r="E103" s="471"/>
      <c r="H103" s="471"/>
      <c r="K103" s="471"/>
      <c r="M103" s="454"/>
      <c r="N103" s="424"/>
      <c r="O103" s="424"/>
      <c r="P103" s="430"/>
      <c r="Q103" s="444"/>
      <c r="R103" s="424"/>
      <c r="S103" s="430"/>
      <c r="T103" s="444"/>
      <c r="U103" s="430"/>
      <c r="V103" s="430"/>
      <c r="W103" s="444"/>
      <c r="X103" s="444"/>
      <c r="Y103" s="430"/>
      <c r="Z103" s="430"/>
      <c r="AA103" s="430"/>
      <c r="AB103" s="444"/>
      <c r="AC103" s="444"/>
      <c r="AD103" s="430"/>
      <c r="AE103" s="430"/>
      <c r="AF103" s="430"/>
      <c r="AG103" s="444"/>
      <c r="AH103" s="444"/>
      <c r="AI103" s="430"/>
      <c r="AJ103" s="430"/>
      <c r="AK103" s="430"/>
      <c r="AL103" s="430"/>
      <c r="AM103" s="430"/>
      <c r="AN103" s="428"/>
      <c r="AO103" s="206"/>
      <c r="AP103" s="430"/>
      <c r="AQ103" s="430"/>
      <c r="AR103" s="430"/>
      <c r="AS103" s="430"/>
      <c r="AT103" s="430"/>
      <c r="AU103" s="430"/>
      <c r="AV103" s="430"/>
      <c r="AW103" s="430"/>
      <c r="AX103" s="430"/>
    </row>
    <row r="104">
      <c r="B104" s="471"/>
      <c r="E104" s="471"/>
      <c r="H104" s="471"/>
      <c r="K104" s="471"/>
      <c r="M104" s="454"/>
      <c r="N104" s="424"/>
      <c r="O104" s="424"/>
      <c r="P104" s="430"/>
      <c r="Q104" s="444"/>
      <c r="R104" s="424"/>
      <c r="S104" s="430"/>
      <c r="T104" s="444"/>
      <c r="U104" s="430"/>
      <c r="V104" s="430"/>
      <c r="W104" s="444"/>
      <c r="X104" s="444"/>
      <c r="Y104" s="430"/>
      <c r="Z104" s="430"/>
      <c r="AA104" s="430"/>
      <c r="AB104" s="444"/>
      <c r="AC104" s="444"/>
      <c r="AD104" s="430"/>
      <c r="AE104" s="430"/>
      <c r="AF104" s="430"/>
      <c r="AG104" s="444"/>
      <c r="AH104" s="444"/>
      <c r="AI104" s="430"/>
      <c r="AJ104" s="430"/>
      <c r="AK104" s="430"/>
      <c r="AL104" s="430"/>
      <c r="AM104" s="430"/>
      <c r="AN104" s="428"/>
      <c r="AO104" s="206"/>
      <c r="AP104" s="430"/>
      <c r="AQ104" s="430"/>
      <c r="AR104" s="430"/>
      <c r="AS104" s="430"/>
      <c r="AT104" s="430"/>
      <c r="AU104" s="430"/>
      <c r="AV104" s="430"/>
      <c r="AW104" s="430"/>
      <c r="AX104" s="430"/>
    </row>
    <row r="105">
      <c r="B105" s="471"/>
      <c r="E105" s="471"/>
      <c r="H105" s="471"/>
      <c r="K105" s="471"/>
      <c r="M105" s="454"/>
      <c r="N105" s="424"/>
      <c r="O105" s="424"/>
      <c r="P105" s="430"/>
      <c r="Q105" s="444"/>
      <c r="R105" s="424"/>
      <c r="S105" s="430"/>
      <c r="T105" s="444"/>
      <c r="U105" s="430"/>
      <c r="V105" s="430"/>
      <c r="W105" s="444"/>
      <c r="X105" s="444"/>
      <c r="Y105" s="430"/>
      <c r="Z105" s="430"/>
      <c r="AA105" s="430"/>
      <c r="AB105" s="444"/>
      <c r="AC105" s="444"/>
      <c r="AD105" s="430"/>
      <c r="AE105" s="430"/>
      <c r="AF105" s="430"/>
      <c r="AG105" s="444"/>
      <c r="AH105" s="444"/>
      <c r="AI105" s="430"/>
      <c r="AJ105" s="430"/>
      <c r="AK105" s="430"/>
      <c r="AL105" s="430"/>
      <c r="AM105" s="430"/>
      <c r="AP105" s="430"/>
      <c r="AQ105" s="430"/>
      <c r="AR105" s="430"/>
      <c r="AS105" s="430"/>
      <c r="AT105" s="430"/>
      <c r="AU105" s="430"/>
      <c r="AV105" s="430"/>
      <c r="AW105" s="430"/>
      <c r="AX105" s="430"/>
    </row>
    <row r="106">
      <c r="B106" s="471"/>
      <c r="E106" s="471"/>
      <c r="H106" s="471"/>
      <c r="K106" s="471"/>
      <c r="M106" s="454"/>
      <c r="N106" s="424"/>
      <c r="O106" s="424"/>
      <c r="P106" s="430"/>
      <c r="Q106" s="444"/>
      <c r="R106" s="424"/>
      <c r="S106" s="430"/>
      <c r="T106" s="444"/>
      <c r="U106" s="430"/>
      <c r="V106" s="430"/>
      <c r="W106" s="444"/>
      <c r="X106" s="444"/>
      <c r="Y106" s="430"/>
      <c r="Z106" s="430"/>
      <c r="AA106" s="430"/>
      <c r="AB106" s="444"/>
      <c r="AC106" s="444"/>
      <c r="AD106" s="430"/>
      <c r="AE106" s="430"/>
      <c r="AF106" s="430"/>
      <c r="AG106" s="444"/>
      <c r="AH106" s="444"/>
      <c r="AI106" s="430"/>
      <c r="AJ106" s="430"/>
      <c r="AK106" s="430"/>
      <c r="AL106" s="430"/>
      <c r="AM106" s="430"/>
      <c r="AN106" s="430"/>
      <c r="AO106" s="444"/>
      <c r="AP106" s="430"/>
      <c r="AQ106" s="430"/>
      <c r="AR106" s="430"/>
      <c r="AS106" s="430"/>
      <c r="AT106" s="430"/>
      <c r="AU106" s="430"/>
      <c r="AV106" s="430"/>
      <c r="AW106" s="430"/>
      <c r="AX106" s="430"/>
    </row>
    <row r="107">
      <c r="B107" s="471"/>
      <c r="E107" s="471"/>
      <c r="H107" s="471"/>
      <c r="K107" s="471"/>
      <c r="M107" s="454"/>
      <c r="N107" s="424"/>
      <c r="O107" s="424"/>
      <c r="P107" s="430"/>
      <c r="Q107" s="444"/>
      <c r="R107" s="424"/>
      <c r="S107" s="430"/>
      <c r="T107" s="444"/>
      <c r="U107" s="430"/>
      <c r="V107" s="430"/>
      <c r="W107" s="444"/>
      <c r="X107" s="444"/>
      <c r="Y107" s="430"/>
      <c r="Z107" s="430"/>
      <c r="AA107" s="430"/>
      <c r="AB107" s="444"/>
      <c r="AC107" s="444"/>
      <c r="AD107" s="430"/>
      <c r="AE107" s="430"/>
      <c r="AF107" s="430"/>
      <c r="AG107" s="444"/>
      <c r="AH107" s="444"/>
      <c r="AI107" s="430"/>
      <c r="AJ107" s="430"/>
      <c r="AK107" s="430"/>
      <c r="AL107" s="430"/>
      <c r="AM107" s="430"/>
      <c r="AN107" s="430"/>
      <c r="AO107" s="444"/>
      <c r="AP107" s="430"/>
      <c r="AQ107" s="430"/>
      <c r="AR107" s="430"/>
      <c r="AS107" s="430"/>
      <c r="AT107" s="430"/>
      <c r="AU107" s="430"/>
      <c r="AV107" s="430"/>
      <c r="AW107" s="430"/>
      <c r="AX107" s="430"/>
    </row>
    <row r="108">
      <c r="B108" s="471"/>
      <c r="E108" s="471"/>
      <c r="H108" s="471"/>
      <c r="K108" s="471"/>
      <c r="M108" s="454"/>
      <c r="N108" s="424"/>
      <c r="O108" s="424"/>
      <c r="P108" s="430"/>
      <c r="Q108" s="444"/>
      <c r="R108" s="424"/>
      <c r="S108" s="430"/>
      <c r="T108" s="444"/>
      <c r="U108" s="430"/>
      <c r="V108" s="430"/>
      <c r="W108" s="444"/>
      <c r="X108" s="444"/>
      <c r="Y108" s="430"/>
      <c r="Z108" s="430"/>
      <c r="AA108" s="430"/>
      <c r="AB108" s="444"/>
      <c r="AC108" s="444"/>
      <c r="AD108" s="430"/>
      <c r="AE108" s="430"/>
      <c r="AF108" s="430"/>
      <c r="AG108" s="444"/>
      <c r="AH108" s="444"/>
      <c r="AI108" s="430"/>
      <c r="AJ108" s="430"/>
      <c r="AK108" s="430"/>
      <c r="AL108" s="430"/>
      <c r="AM108" s="430"/>
      <c r="AN108" s="430"/>
      <c r="AO108" s="444"/>
      <c r="AP108" s="430"/>
      <c r="AQ108" s="430"/>
      <c r="AR108" s="430"/>
      <c r="AS108" s="430"/>
      <c r="AT108" s="430"/>
      <c r="AU108" s="430"/>
      <c r="AV108" s="430"/>
      <c r="AW108" s="430"/>
      <c r="AX108" s="430"/>
    </row>
    <row r="109">
      <c r="B109" s="471"/>
      <c r="E109" s="471"/>
      <c r="H109" s="471"/>
      <c r="K109" s="471"/>
      <c r="M109" s="454"/>
      <c r="N109" s="424"/>
      <c r="O109" s="424"/>
      <c r="P109" s="430"/>
      <c r="Q109" s="444"/>
      <c r="R109" s="424"/>
      <c r="S109" s="430"/>
      <c r="T109" s="444"/>
      <c r="U109" s="430"/>
      <c r="V109" s="430"/>
      <c r="W109" s="444"/>
      <c r="X109" s="444"/>
      <c r="Y109" s="430"/>
      <c r="Z109" s="430"/>
      <c r="AA109" s="430"/>
      <c r="AB109" s="444"/>
      <c r="AC109" s="444"/>
      <c r="AD109" s="430"/>
      <c r="AE109" s="430"/>
      <c r="AF109" s="430"/>
      <c r="AG109" s="444"/>
      <c r="AH109" s="444"/>
      <c r="AI109" s="430"/>
      <c r="AJ109" s="430"/>
      <c r="AK109" s="430"/>
      <c r="AL109" s="430"/>
      <c r="AM109" s="430"/>
      <c r="AN109" s="430"/>
      <c r="AO109" s="444"/>
      <c r="AP109" s="430"/>
      <c r="AQ109" s="430"/>
      <c r="AR109" s="430"/>
      <c r="AS109" s="430"/>
      <c r="AT109" s="430"/>
      <c r="AU109" s="430"/>
      <c r="AV109" s="430"/>
      <c r="AW109" s="430"/>
      <c r="AX109" s="430"/>
    </row>
    <row r="110">
      <c r="B110" s="471"/>
      <c r="E110" s="471"/>
      <c r="H110" s="471"/>
      <c r="K110" s="471"/>
      <c r="M110" s="454"/>
      <c r="N110" s="424"/>
      <c r="O110" s="424"/>
      <c r="P110" s="430"/>
      <c r="Q110" s="444"/>
      <c r="R110" s="424"/>
      <c r="S110" s="430"/>
      <c r="T110" s="444"/>
      <c r="U110" s="430"/>
      <c r="V110" s="430"/>
      <c r="W110" s="444"/>
      <c r="X110" s="444"/>
      <c r="Y110" s="430"/>
      <c r="Z110" s="430"/>
      <c r="AA110" s="430"/>
      <c r="AB110" s="444"/>
      <c r="AC110" s="444"/>
      <c r="AD110" s="430"/>
      <c r="AE110" s="430"/>
      <c r="AF110" s="430"/>
      <c r="AG110" s="444"/>
      <c r="AH110" s="444"/>
      <c r="AI110" s="430"/>
      <c r="AJ110" s="430"/>
      <c r="AK110" s="430"/>
      <c r="AL110" s="430"/>
      <c r="AM110" s="430"/>
      <c r="AN110" s="430"/>
      <c r="AO110" s="444"/>
      <c r="AP110" s="430"/>
      <c r="AQ110" s="430"/>
      <c r="AR110" s="430"/>
      <c r="AS110" s="430"/>
      <c r="AT110" s="430"/>
      <c r="AU110" s="430"/>
      <c r="AV110" s="430"/>
      <c r="AW110" s="430"/>
      <c r="AX110" s="430"/>
    </row>
    <row r="111">
      <c r="B111" s="471"/>
      <c r="E111" s="471"/>
      <c r="H111" s="471"/>
      <c r="K111" s="471"/>
      <c r="M111" s="454"/>
      <c r="N111" s="424"/>
      <c r="O111" s="424"/>
      <c r="P111" s="430"/>
      <c r="Q111" s="444"/>
      <c r="R111" s="424"/>
      <c r="S111" s="430"/>
      <c r="T111" s="444"/>
      <c r="U111" s="430"/>
      <c r="V111" s="430"/>
      <c r="W111" s="444"/>
      <c r="X111" s="444"/>
      <c r="Y111" s="430"/>
      <c r="Z111" s="430"/>
      <c r="AA111" s="430"/>
      <c r="AB111" s="444"/>
      <c r="AC111" s="444"/>
      <c r="AD111" s="430"/>
      <c r="AE111" s="430"/>
      <c r="AF111" s="430"/>
      <c r="AG111" s="444"/>
      <c r="AH111" s="444"/>
      <c r="AI111" s="430"/>
      <c r="AJ111" s="430"/>
      <c r="AK111" s="430"/>
      <c r="AL111" s="430"/>
      <c r="AM111" s="430"/>
      <c r="AN111" s="430"/>
      <c r="AO111" s="444"/>
      <c r="AP111" s="430"/>
      <c r="AQ111" s="430"/>
      <c r="AR111" s="430"/>
      <c r="AS111" s="430"/>
      <c r="AT111" s="430"/>
      <c r="AU111" s="430"/>
      <c r="AV111" s="430"/>
      <c r="AW111" s="430"/>
      <c r="AX111" s="430"/>
    </row>
    <row r="112">
      <c r="B112" s="471"/>
      <c r="E112" s="471"/>
      <c r="H112" s="471"/>
      <c r="K112" s="471"/>
      <c r="M112" s="454"/>
      <c r="N112" s="424"/>
      <c r="O112" s="424"/>
      <c r="P112" s="430"/>
      <c r="Q112" s="444"/>
      <c r="R112" s="424"/>
      <c r="S112" s="430"/>
      <c r="T112" s="444"/>
      <c r="U112" s="430"/>
      <c r="V112" s="430"/>
      <c r="W112" s="444"/>
      <c r="X112" s="444"/>
      <c r="Y112" s="430"/>
      <c r="Z112" s="430"/>
      <c r="AA112" s="430"/>
      <c r="AB112" s="444"/>
      <c r="AC112" s="444"/>
      <c r="AD112" s="430"/>
      <c r="AE112" s="430"/>
      <c r="AF112" s="430"/>
      <c r="AG112" s="444"/>
      <c r="AH112" s="444"/>
      <c r="AI112" s="430"/>
      <c r="AJ112" s="430"/>
      <c r="AK112" s="430"/>
      <c r="AL112" s="430"/>
      <c r="AM112" s="430"/>
      <c r="AN112" s="430"/>
      <c r="AO112" s="444"/>
      <c r="AP112" s="430"/>
      <c r="AQ112" s="430"/>
      <c r="AR112" s="430"/>
      <c r="AS112" s="430"/>
      <c r="AT112" s="430"/>
      <c r="AU112" s="430"/>
      <c r="AV112" s="430"/>
      <c r="AW112" s="430"/>
      <c r="AX112" s="430"/>
    </row>
    <row r="113">
      <c r="B113" s="471"/>
      <c r="E113" s="471"/>
      <c r="H113" s="471"/>
      <c r="K113" s="471"/>
      <c r="M113" s="454"/>
      <c r="N113" s="424"/>
      <c r="O113" s="424"/>
      <c r="P113" s="430"/>
      <c r="Q113" s="444"/>
      <c r="R113" s="424"/>
      <c r="S113" s="430"/>
      <c r="T113" s="444"/>
      <c r="U113" s="430"/>
      <c r="V113" s="430"/>
      <c r="W113" s="444"/>
      <c r="X113" s="444"/>
      <c r="Y113" s="430"/>
      <c r="Z113" s="430"/>
      <c r="AA113" s="430"/>
      <c r="AB113" s="444"/>
      <c r="AC113" s="444"/>
      <c r="AD113" s="430"/>
      <c r="AE113" s="430"/>
      <c r="AF113" s="430"/>
      <c r="AG113" s="444"/>
      <c r="AH113" s="444"/>
      <c r="AI113" s="430"/>
      <c r="AJ113" s="430"/>
      <c r="AK113" s="430"/>
      <c r="AL113" s="430"/>
      <c r="AM113" s="430"/>
      <c r="AN113" s="430"/>
      <c r="AO113" s="444"/>
      <c r="AP113" s="430"/>
      <c r="AQ113" s="430"/>
      <c r="AR113" s="430"/>
      <c r="AS113" s="430"/>
      <c r="AT113" s="430"/>
      <c r="AU113" s="430"/>
      <c r="AV113" s="430"/>
      <c r="AW113" s="430"/>
      <c r="AX113" s="430"/>
    </row>
    <row r="114">
      <c r="B114" s="471"/>
      <c r="E114" s="471"/>
      <c r="H114" s="471"/>
      <c r="K114" s="471"/>
      <c r="M114" s="454"/>
      <c r="N114" s="424"/>
      <c r="O114" s="424"/>
      <c r="P114" s="430"/>
      <c r="Q114" s="444"/>
      <c r="R114" s="424"/>
      <c r="S114" s="430"/>
      <c r="T114" s="444"/>
      <c r="U114" s="430"/>
      <c r="V114" s="430"/>
      <c r="W114" s="444"/>
      <c r="X114" s="444"/>
      <c r="Y114" s="430"/>
      <c r="Z114" s="430"/>
      <c r="AA114" s="430"/>
      <c r="AB114" s="444"/>
      <c r="AC114" s="444"/>
      <c r="AD114" s="430"/>
      <c r="AE114" s="430"/>
      <c r="AF114" s="430"/>
      <c r="AG114" s="444"/>
      <c r="AH114" s="444"/>
      <c r="AI114" s="430"/>
      <c r="AJ114" s="430"/>
      <c r="AK114" s="430"/>
      <c r="AL114" s="430"/>
      <c r="AM114" s="430"/>
      <c r="AN114" s="430"/>
      <c r="AO114" s="444"/>
      <c r="AP114" s="430"/>
      <c r="AQ114" s="430"/>
      <c r="AR114" s="430"/>
      <c r="AS114" s="430"/>
      <c r="AT114" s="430"/>
      <c r="AU114" s="430"/>
      <c r="AV114" s="430"/>
      <c r="AW114" s="430"/>
      <c r="AX114" s="430"/>
    </row>
    <row r="115">
      <c r="B115" s="471"/>
      <c r="E115" s="471"/>
      <c r="H115" s="471"/>
      <c r="K115" s="471"/>
      <c r="M115" s="454"/>
      <c r="N115" s="424"/>
      <c r="O115" s="424"/>
      <c r="P115" s="430"/>
      <c r="Q115" s="444"/>
      <c r="R115" s="424"/>
      <c r="S115" s="430"/>
      <c r="T115" s="444"/>
      <c r="U115" s="430"/>
      <c r="V115" s="430"/>
      <c r="W115" s="444"/>
      <c r="X115" s="444"/>
      <c r="Y115" s="430"/>
      <c r="Z115" s="430"/>
      <c r="AA115" s="430"/>
      <c r="AB115" s="444"/>
      <c r="AC115" s="444"/>
      <c r="AD115" s="430"/>
      <c r="AE115" s="430"/>
      <c r="AF115" s="430"/>
      <c r="AG115" s="444"/>
      <c r="AH115" s="444"/>
      <c r="AI115" s="430"/>
      <c r="AJ115" s="430"/>
      <c r="AK115" s="430"/>
      <c r="AL115" s="430"/>
      <c r="AM115" s="430"/>
      <c r="AO115" s="134"/>
      <c r="AP115" s="430"/>
      <c r="AQ115" s="430"/>
      <c r="AR115" s="430"/>
      <c r="AS115" s="430"/>
      <c r="AT115" s="430"/>
      <c r="AU115" s="430"/>
      <c r="AV115" s="430"/>
      <c r="AW115" s="430"/>
      <c r="AX115" s="430"/>
    </row>
    <row r="116">
      <c r="B116" s="471"/>
      <c r="E116" s="471"/>
      <c r="H116" s="471"/>
      <c r="K116" s="471"/>
      <c r="M116" s="454"/>
      <c r="N116" s="424"/>
      <c r="O116" s="424"/>
      <c r="P116" s="430"/>
      <c r="Q116" s="444"/>
      <c r="R116" s="424"/>
      <c r="S116" s="430"/>
      <c r="T116" s="444"/>
      <c r="U116" s="430"/>
      <c r="V116" s="430"/>
      <c r="W116" s="444"/>
      <c r="X116" s="444"/>
      <c r="Y116" s="430"/>
      <c r="Z116" s="430"/>
      <c r="AA116" s="430"/>
      <c r="AB116" s="444"/>
      <c r="AC116" s="444"/>
      <c r="AD116" s="430"/>
      <c r="AE116" s="430"/>
      <c r="AF116" s="430"/>
      <c r="AG116" s="444"/>
      <c r="AH116" s="444"/>
      <c r="AI116" s="430"/>
      <c r="AJ116" s="430"/>
      <c r="AK116" s="430"/>
      <c r="AL116" s="430"/>
      <c r="AM116" s="430"/>
      <c r="AN116" s="430"/>
      <c r="AO116" s="430"/>
      <c r="AP116" s="430"/>
      <c r="AQ116" s="430"/>
      <c r="AR116" s="430"/>
      <c r="AS116" s="430"/>
      <c r="AT116" s="430"/>
      <c r="AU116" s="430"/>
      <c r="AV116" s="430"/>
      <c r="AW116" s="430"/>
      <c r="AX116" s="430"/>
    </row>
    <row r="117">
      <c r="B117" s="471"/>
      <c r="E117" s="471"/>
      <c r="H117" s="471"/>
      <c r="K117" s="471"/>
      <c r="M117" s="454"/>
      <c r="N117" s="424"/>
      <c r="O117" s="424"/>
      <c r="P117" s="430"/>
      <c r="Q117" s="444"/>
      <c r="R117" s="424"/>
      <c r="S117" s="430"/>
      <c r="T117" s="444"/>
      <c r="U117" s="430"/>
      <c r="V117" s="430"/>
      <c r="W117" s="444"/>
      <c r="X117" s="444"/>
      <c r="Y117" s="430"/>
      <c r="Z117" s="430"/>
      <c r="AA117" s="430"/>
      <c r="AB117" s="444"/>
      <c r="AC117" s="444"/>
      <c r="AD117" s="430"/>
      <c r="AE117" s="430"/>
      <c r="AF117" s="430"/>
      <c r="AG117" s="444"/>
      <c r="AH117" s="444"/>
      <c r="AI117" s="430"/>
      <c r="AJ117" s="430"/>
      <c r="AK117" s="430"/>
      <c r="AL117" s="430"/>
      <c r="AM117" s="430"/>
      <c r="AN117" s="430"/>
      <c r="AO117" s="430"/>
      <c r="AP117" s="430"/>
      <c r="AQ117" s="430"/>
      <c r="AR117" s="430"/>
      <c r="AS117" s="430"/>
      <c r="AT117" s="430"/>
      <c r="AU117" s="430"/>
      <c r="AV117" s="430"/>
      <c r="AW117" s="430"/>
      <c r="AX117" s="430"/>
    </row>
    <row r="118">
      <c r="B118" s="471"/>
      <c r="E118" s="471"/>
      <c r="H118" s="471"/>
      <c r="K118" s="471"/>
      <c r="M118" s="454"/>
      <c r="N118" s="424"/>
      <c r="O118" s="424"/>
      <c r="P118" s="430"/>
      <c r="Q118" s="444"/>
      <c r="R118" s="424"/>
      <c r="S118" s="430"/>
      <c r="T118" s="444"/>
      <c r="U118" s="430"/>
      <c r="V118" s="430"/>
      <c r="W118" s="444"/>
      <c r="X118" s="444"/>
      <c r="Y118" s="430"/>
      <c r="Z118" s="430"/>
      <c r="AA118" s="430"/>
      <c r="AB118" s="444"/>
      <c r="AC118" s="444"/>
      <c r="AD118" s="430"/>
      <c r="AE118" s="430"/>
      <c r="AF118" s="430"/>
      <c r="AG118" s="444"/>
      <c r="AH118" s="444"/>
      <c r="AI118" s="430"/>
      <c r="AJ118" s="430"/>
      <c r="AK118" s="430"/>
      <c r="AL118" s="430"/>
      <c r="AM118" s="430"/>
      <c r="AN118" s="430"/>
      <c r="AO118" s="430"/>
      <c r="AP118" s="430"/>
      <c r="AQ118" s="430"/>
      <c r="AR118" s="430"/>
      <c r="AS118" s="430"/>
      <c r="AT118" s="430"/>
      <c r="AU118" s="430"/>
      <c r="AV118" s="430"/>
      <c r="AW118" s="430"/>
      <c r="AX118" s="430"/>
    </row>
    <row r="119">
      <c r="B119" s="471"/>
      <c r="E119" s="471"/>
      <c r="H119" s="471"/>
      <c r="K119" s="471"/>
      <c r="M119" s="454"/>
      <c r="N119" s="424"/>
      <c r="O119" s="424"/>
      <c r="P119" s="430"/>
      <c r="Q119" s="444"/>
      <c r="R119" s="424"/>
      <c r="S119" s="430"/>
      <c r="T119" s="444"/>
      <c r="U119" s="430"/>
      <c r="V119" s="430"/>
      <c r="W119" s="444"/>
      <c r="X119" s="444"/>
      <c r="Y119" s="430"/>
      <c r="Z119" s="430"/>
      <c r="AA119" s="430"/>
      <c r="AB119" s="444"/>
      <c r="AC119" s="444"/>
      <c r="AD119" s="430"/>
      <c r="AE119" s="430"/>
      <c r="AF119" s="430"/>
      <c r="AG119" s="444"/>
      <c r="AH119" s="444"/>
      <c r="AI119" s="430"/>
      <c r="AJ119" s="430"/>
      <c r="AK119" s="430"/>
      <c r="AL119" s="430"/>
      <c r="AM119" s="430"/>
      <c r="AN119" s="430"/>
      <c r="AO119" s="430"/>
      <c r="AP119" s="430"/>
      <c r="AQ119" s="430"/>
      <c r="AR119" s="430"/>
      <c r="AS119" s="430"/>
      <c r="AT119" s="430"/>
      <c r="AU119" s="430"/>
      <c r="AV119" s="430"/>
      <c r="AW119" s="430"/>
      <c r="AX119" s="430"/>
    </row>
    <row r="120">
      <c r="B120" s="471"/>
      <c r="E120" s="471"/>
      <c r="H120" s="471"/>
      <c r="K120" s="471"/>
      <c r="M120" s="454"/>
      <c r="N120" s="424"/>
      <c r="O120" s="424"/>
      <c r="P120" s="430"/>
      <c r="Q120" s="444"/>
      <c r="R120" s="424"/>
      <c r="S120" s="430"/>
      <c r="T120" s="444"/>
      <c r="U120" s="430"/>
      <c r="V120" s="430"/>
      <c r="W120" s="444"/>
      <c r="X120" s="444"/>
      <c r="Y120" s="430"/>
      <c r="Z120" s="430"/>
      <c r="AA120" s="430"/>
      <c r="AB120" s="444"/>
      <c r="AC120" s="444"/>
      <c r="AD120" s="430"/>
      <c r="AE120" s="430"/>
      <c r="AF120" s="430"/>
      <c r="AG120" s="444"/>
      <c r="AH120" s="444"/>
      <c r="AI120" s="430"/>
      <c r="AJ120" s="430"/>
      <c r="AK120" s="430"/>
      <c r="AL120" s="430"/>
      <c r="AM120" s="430"/>
      <c r="AN120" s="430"/>
      <c r="AO120" s="430"/>
      <c r="AP120" s="430"/>
      <c r="AQ120" s="430"/>
      <c r="AR120" s="430"/>
      <c r="AS120" s="430"/>
      <c r="AT120" s="430"/>
      <c r="AU120" s="430"/>
      <c r="AV120" s="430"/>
      <c r="AW120" s="430"/>
      <c r="AX120" s="430"/>
    </row>
    <row r="121">
      <c r="B121" s="471"/>
      <c r="E121" s="471"/>
      <c r="H121" s="471"/>
      <c r="K121" s="471"/>
      <c r="M121" s="454"/>
      <c r="N121" s="424"/>
      <c r="O121" s="424"/>
      <c r="P121" s="430"/>
      <c r="Q121" s="444"/>
      <c r="R121" s="424"/>
      <c r="S121" s="430"/>
      <c r="T121" s="444"/>
      <c r="U121" s="430"/>
      <c r="V121" s="430"/>
      <c r="W121" s="444"/>
      <c r="X121" s="444"/>
      <c r="Y121" s="430"/>
      <c r="Z121" s="430"/>
      <c r="AA121" s="430"/>
      <c r="AB121" s="444"/>
      <c r="AC121" s="444"/>
      <c r="AD121" s="430"/>
      <c r="AE121" s="430"/>
      <c r="AF121" s="430"/>
      <c r="AG121" s="444"/>
      <c r="AH121" s="444"/>
      <c r="AI121" s="430"/>
      <c r="AJ121" s="430"/>
      <c r="AK121" s="430"/>
      <c r="AL121" s="430"/>
      <c r="AM121" s="430"/>
      <c r="AN121" s="430"/>
      <c r="AO121" s="430"/>
      <c r="AP121" s="430"/>
      <c r="AQ121" s="430"/>
      <c r="AR121" s="430"/>
      <c r="AS121" s="430"/>
      <c r="AT121" s="430"/>
      <c r="AU121" s="430"/>
      <c r="AV121" s="430"/>
      <c r="AW121" s="430"/>
      <c r="AX121" s="430"/>
    </row>
    <row r="122">
      <c r="B122" s="471"/>
      <c r="E122" s="471"/>
      <c r="H122" s="471"/>
      <c r="K122" s="471"/>
      <c r="M122" s="454"/>
      <c r="N122" s="424"/>
      <c r="O122" s="424"/>
      <c r="P122" s="430"/>
      <c r="Q122" s="444"/>
      <c r="R122" s="424"/>
      <c r="S122" s="430"/>
      <c r="T122" s="444"/>
      <c r="U122" s="430"/>
      <c r="V122" s="430"/>
      <c r="W122" s="444"/>
      <c r="X122" s="444"/>
      <c r="Y122" s="430"/>
      <c r="Z122" s="430"/>
      <c r="AA122" s="430"/>
      <c r="AB122" s="444"/>
      <c r="AC122" s="444"/>
      <c r="AD122" s="430"/>
      <c r="AE122" s="430"/>
      <c r="AF122" s="430"/>
      <c r="AG122" s="444"/>
      <c r="AH122" s="444"/>
      <c r="AI122" s="430"/>
      <c r="AJ122" s="430"/>
      <c r="AK122" s="430"/>
      <c r="AL122" s="430"/>
      <c r="AM122" s="430"/>
      <c r="AN122" s="430"/>
      <c r="AO122" s="430"/>
      <c r="AP122" s="430"/>
      <c r="AQ122" s="430"/>
      <c r="AR122" s="430"/>
      <c r="AS122" s="430"/>
      <c r="AT122" s="430"/>
      <c r="AU122" s="430"/>
      <c r="AV122" s="430"/>
      <c r="AW122" s="430"/>
      <c r="AX122" s="430"/>
    </row>
    <row r="123">
      <c r="B123" s="471"/>
      <c r="E123" s="471"/>
      <c r="H123" s="471"/>
      <c r="K123" s="471"/>
      <c r="M123" s="454"/>
      <c r="N123" s="424"/>
      <c r="O123" s="424"/>
      <c r="P123" s="430"/>
      <c r="Q123" s="444"/>
      <c r="R123" s="424"/>
      <c r="S123" s="430"/>
      <c r="T123" s="444"/>
      <c r="U123" s="430"/>
      <c r="V123" s="430"/>
      <c r="W123" s="444"/>
      <c r="X123" s="444"/>
      <c r="Y123" s="430"/>
      <c r="Z123" s="430"/>
      <c r="AA123" s="430"/>
      <c r="AB123" s="444"/>
      <c r="AC123" s="444"/>
      <c r="AD123" s="430"/>
      <c r="AE123" s="430"/>
      <c r="AF123" s="430"/>
      <c r="AG123" s="444"/>
      <c r="AH123" s="444"/>
      <c r="AI123" s="430"/>
      <c r="AJ123" s="430"/>
      <c r="AK123" s="430"/>
      <c r="AL123" s="430"/>
      <c r="AM123" s="430"/>
      <c r="AN123" s="430"/>
      <c r="AO123" s="430"/>
      <c r="AP123" s="430"/>
      <c r="AQ123" s="430"/>
      <c r="AR123" s="430"/>
      <c r="AS123" s="430"/>
      <c r="AT123" s="430"/>
      <c r="AU123" s="430"/>
      <c r="AV123" s="430"/>
      <c r="AW123" s="430"/>
      <c r="AX123" s="430"/>
    </row>
    <row r="124">
      <c r="B124" s="471"/>
      <c r="E124" s="471"/>
      <c r="H124" s="471"/>
      <c r="K124" s="471"/>
      <c r="M124" s="454"/>
      <c r="N124" s="424"/>
      <c r="O124" s="424"/>
      <c r="P124" s="430"/>
      <c r="Q124" s="444"/>
      <c r="R124" s="424"/>
      <c r="S124" s="430"/>
      <c r="T124" s="444"/>
      <c r="U124" s="430"/>
      <c r="V124" s="430"/>
      <c r="W124" s="444"/>
      <c r="X124" s="444"/>
      <c r="Y124" s="430"/>
      <c r="Z124" s="430"/>
      <c r="AA124" s="430"/>
      <c r="AB124" s="444"/>
      <c r="AC124" s="444"/>
      <c r="AD124" s="430"/>
      <c r="AE124" s="430"/>
      <c r="AF124" s="430"/>
      <c r="AG124" s="444"/>
      <c r="AH124" s="444"/>
      <c r="AI124" s="430"/>
      <c r="AJ124" s="430"/>
      <c r="AK124" s="430"/>
      <c r="AL124" s="430"/>
      <c r="AM124" s="430"/>
      <c r="AN124" s="430"/>
      <c r="AO124" s="430"/>
      <c r="AP124" s="430"/>
      <c r="AQ124" s="430"/>
      <c r="AR124" s="430"/>
      <c r="AS124" s="430"/>
      <c r="AT124" s="430"/>
      <c r="AU124" s="430"/>
      <c r="AV124" s="430"/>
      <c r="AW124" s="430"/>
      <c r="AX124" s="430"/>
    </row>
    <row r="125">
      <c r="B125" s="471"/>
      <c r="E125" s="471"/>
      <c r="H125" s="471"/>
      <c r="K125" s="471"/>
      <c r="M125" s="454"/>
      <c r="N125" s="424"/>
      <c r="O125" s="424"/>
      <c r="P125" s="430"/>
      <c r="Q125" s="444"/>
      <c r="R125" s="424"/>
      <c r="S125" s="430"/>
      <c r="T125" s="444"/>
      <c r="U125" s="430"/>
      <c r="V125" s="430"/>
      <c r="W125" s="444"/>
      <c r="X125" s="444"/>
      <c r="Y125" s="430"/>
      <c r="Z125" s="430"/>
      <c r="AA125" s="430"/>
      <c r="AB125" s="444"/>
      <c r="AC125" s="444"/>
      <c r="AD125" s="430"/>
      <c r="AE125" s="430"/>
      <c r="AF125" s="430"/>
      <c r="AG125" s="444"/>
      <c r="AH125" s="444"/>
      <c r="AI125" s="430"/>
      <c r="AJ125" s="430"/>
      <c r="AK125" s="430"/>
      <c r="AL125" s="476"/>
      <c r="AM125" s="430"/>
      <c r="AN125" s="430"/>
      <c r="AO125" s="430"/>
      <c r="AP125" s="430"/>
      <c r="AQ125" s="430"/>
      <c r="AR125" s="430"/>
      <c r="AS125" s="430"/>
      <c r="AT125" s="430"/>
      <c r="AU125" s="430"/>
      <c r="AV125" s="430"/>
      <c r="AW125" s="430"/>
      <c r="AX125" s="430"/>
    </row>
    <row r="126">
      <c r="B126" s="471"/>
      <c r="E126" s="471"/>
      <c r="H126" s="471"/>
      <c r="K126" s="471"/>
      <c r="M126" s="454"/>
      <c r="N126" s="424"/>
      <c r="O126" s="424"/>
      <c r="P126" s="430"/>
      <c r="Q126" s="444"/>
      <c r="R126" s="424"/>
      <c r="S126" s="430"/>
      <c r="T126" s="444"/>
      <c r="U126" s="430"/>
      <c r="V126" s="430"/>
      <c r="W126" s="444"/>
      <c r="X126" s="444"/>
      <c r="Y126" s="430"/>
      <c r="Z126" s="430"/>
      <c r="AA126" s="430"/>
      <c r="AB126" s="444"/>
      <c r="AC126" s="444"/>
      <c r="AD126" s="430"/>
      <c r="AE126" s="430"/>
      <c r="AF126" s="430"/>
      <c r="AG126" s="444"/>
      <c r="AH126" s="444"/>
      <c r="AI126" s="430"/>
      <c r="AJ126" s="430"/>
      <c r="AK126" s="430"/>
      <c r="AL126" s="476"/>
      <c r="AM126" s="430"/>
      <c r="AN126" s="430"/>
      <c r="AO126" s="430"/>
      <c r="AP126" s="430"/>
      <c r="AQ126" s="430"/>
      <c r="AR126" s="430"/>
      <c r="AS126" s="430"/>
      <c r="AT126" s="430"/>
      <c r="AU126" s="430"/>
      <c r="AV126" s="430"/>
      <c r="AW126" s="430"/>
      <c r="AX126" s="430"/>
    </row>
    <row r="127">
      <c r="B127" s="471"/>
      <c r="E127" s="471"/>
      <c r="H127" s="471"/>
      <c r="K127" s="471"/>
      <c r="M127" s="454"/>
      <c r="N127" s="424"/>
      <c r="O127" s="424"/>
      <c r="P127" s="430"/>
      <c r="Q127" s="444"/>
      <c r="R127" s="424"/>
      <c r="S127" s="430"/>
      <c r="T127" s="444"/>
      <c r="U127" s="430"/>
      <c r="V127" s="430"/>
      <c r="W127" s="444"/>
      <c r="X127" s="444"/>
      <c r="Y127" s="430"/>
      <c r="Z127" s="430"/>
      <c r="AA127" s="430"/>
      <c r="AB127" s="444"/>
      <c r="AC127" s="444"/>
      <c r="AD127" s="430"/>
      <c r="AE127" s="430"/>
      <c r="AF127" s="430"/>
      <c r="AG127" s="444"/>
      <c r="AH127" s="444"/>
      <c r="AI127" s="430"/>
      <c r="AJ127" s="430"/>
      <c r="AK127" s="430"/>
      <c r="AL127" s="476"/>
      <c r="AM127" s="430"/>
      <c r="AN127" s="430"/>
      <c r="AO127" s="430"/>
      <c r="AP127" s="430"/>
      <c r="AQ127" s="430"/>
      <c r="AR127" s="430"/>
      <c r="AS127" s="430"/>
      <c r="AT127" s="430"/>
      <c r="AU127" s="430"/>
      <c r="AV127" s="430"/>
      <c r="AW127" s="430"/>
      <c r="AX127" s="430"/>
    </row>
    <row r="128">
      <c r="B128" s="471"/>
      <c r="E128" s="471"/>
      <c r="H128" s="471"/>
      <c r="K128" s="471"/>
      <c r="M128" s="454"/>
      <c r="N128" s="424"/>
      <c r="O128" s="424"/>
      <c r="P128" s="430"/>
      <c r="Q128" s="444"/>
      <c r="R128" s="424"/>
      <c r="S128" s="430"/>
      <c r="T128" s="444"/>
      <c r="U128" s="430"/>
      <c r="V128" s="430"/>
      <c r="W128" s="444"/>
      <c r="X128" s="444"/>
      <c r="Y128" s="430"/>
      <c r="Z128" s="430"/>
      <c r="AA128" s="430"/>
      <c r="AB128" s="444"/>
      <c r="AC128" s="444"/>
      <c r="AD128" s="430"/>
      <c r="AE128" s="430"/>
      <c r="AF128" s="430"/>
      <c r="AG128" s="444"/>
      <c r="AH128" s="444"/>
      <c r="AI128" s="430"/>
      <c r="AJ128" s="430"/>
      <c r="AK128" s="430"/>
      <c r="AL128" s="476"/>
      <c r="AM128" s="430"/>
      <c r="AN128" s="430"/>
      <c r="AO128" s="430"/>
      <c r="AP128" s="430"/>
      <c r="AQ128" s="430"/>
      <c r="AR128" s="430"/>
      <c r="AS128" s="430"/>
      <c r="AT128" s="430"/>
      <c r="AU128" s="430"/>
      <c r="AV128" s="430"/>
      <c r="AW128" s="430"/>
      <c r="AX128" s="430"/>
    </row>
    <row r="129">
      <c r="B129" s="471"/>
      <c r="E129" s="471"/>
      <c r="H129" s="471"/>
      <c r="K129" s="471"/>
      <c r="M129" s="454"/>
      <c r="N129" s="424"/>
      <c r="O129" s="424"/>
      <c r="P129" s="430"/>
      <c r="Q129" s="444"/>
      <c r="R129" s="424"/>
      <c r="S129" s="430"/>
      <c r="T129" s="444"/>
      <c r="U129" s="430"/>
      <c r="V129" s="430"/>
      <c r="W129" s="444"/>
      <c r="X129" s="444"/>
      <c r="Y129" s="430"/>
      <c r="Z129" s="430"/>
      <c r="AA129" s="430"/>
      <c r="AB129" s="444"/>
      <c r="AC129" s="444"/>
      <c r="AD129" s="430"/>
      <c r="AE129" s="430"/>
      <c r="AF129" s="430"/>
      <c r="AG129" s="444"/>
      <c r="AH129" s="444"/>
      <c r="AI129" s="430"/>
      <c r="AJ129" s="430"/>
      <c r="AK129" s="430"/>
      <c r="AL129" s="476"/>
      <c r="AM129" s="430"/>
      <c r="AN129" s="430"/>
      <c r="AO129" s="430"/>
      <c r="AP129" s="430"/>
      <c r="AQ129" s="430"/>
      <c r="AR129" s="430"/>
      <c r="AS129" s="430"/>
      <c r="AT129" s="430"/>
      <c r="AU129" s="430"/>
      <c r="AV129" s="430"/>
      <c r="AW129" s="430"/>
      <c r="AX129" s="430"/>
    </row>
    <row r="130">
      <c r="B130" s="471"/>
      <c r="E130" s="471"/>
      <c r="H130" s="471"/>
      <c r="K130" s="471"/>
      <c r="M130" s="454"/>
      <c r="N130" s="424"/>
      <c r="O130" s="424"/>
      <c r="P130" s="430"/>
      <c r="Q130" s="444"/>
      <c r="R130" s="424"/>
      <c r="S130" s="430"/>
      <c r="T130" s="444"/>
      <c r="U130" s="430"/>
      <c r="V130" s="430"/>
      <c r="W130" s="444"/>
      <c r="X130" s="444"/>
      <c r="Y130" s="430"/>
      <c r="Z130" s="430"/>
      <c r="AA130" s="430"/>
      <c r="AB130" s="444"/>
      <c r="AC130" s="444"/>
      <c r="AD130" s="430"/>
      <c r="AE130" s="430"/>
      <c r="AF130" s="430"/>
      <c r="AG130" s="444"/>
      <c r="AH130" s="444"/>
      <c r="AI130" s="430"/>
      <c r="AJ130" s="430"/>
      <c r="AK130" s="430"/>
      <c r="AL130" s="476"/>
      <c r="AM130" s="430"/>
      <c r="AN130" s="430"/>
      <c r="AO130" s="430"/>
      <c r="AP130" s="430"/>
      <c r="AQ130" s="430"/>
      <c r="AR130" s="430"/>
      <c r="AS130" s="430"/>
      <c r="AT130" s="430"/>
      <c r="AU130" s="430"/>
      <c r="AV130" s="430"/>
      <c r="AW130" s="430"/>
      <c r="AX130" s="430"/>
    </row>
    <row r="131">
      <c r="B131" s="471"/>
      <c r="E131" s="471"/>
      <c r="H131" s="471"/>
      <c r="K131" s="471"/>
      <c r="M131" s="454"/>
      <c r="N131" s="424"/>
      <c r="O131" s="424"/>
      <c r="P131" s="430"/>
      <c r="Q131" s="444"/>
      <c r="R131" s="424"/>
      <c r="S131" s="430"/>
      <c r="T131" s="444"/>
      <c r="U131" s="430"/>
      <c r="V131" s="430"/>
      <c r="W131" s="444"/>
      <c r="X131" s="444"/>
      <c r="Y131" s="430"/>
      <c r="Z131" s="430"/>
      <c r="AA131" s="430"/>
      <c r="AB131" s="444"/>
      <c r="AC131" s="444"/>
      <c r="AD131" s="430"/>
      <c r="AE131" s="430"/>
      <c r="AF131" s="430"/>
      <c r="AG131" s="444"/>
      <c r="AH131" s="444"/>
      <c r="AI131" s="430"/>
      <c r="AJ131" s="430"/>
      <c r="AK131" s="430"/>
      <c r="AL131" s="476"/>
      <c r="AM131" s="430"/>
      <c r="AN131" s="430"/>
      <c r="AO131" s="430"/>
      <c r="AP131" s="430"/>
      <c r="AQ131" s="430"/>
      <c r="AR131" s="430"/>
      <c r="AS131" s="430"/>
      <c r="AT131" s="430"/>
      <c r="AU131" s="430"/>
      <c r="AV131" s="430"/>
      <c r="AW131" s="430"/>
      <c r="AX131" s="430"/>
    </row>
    <row r="132">
      <c r="B132" s="471"/>
      <c r="E132" s="471"/>
      <c r="H132" s="471"/>
      <c r="K132" s="471"/>
      <c r="M132" s="454"/>
      <c r="N132" s="424"/>
      <c r="O132" s="424"/>
      <c r="P132" s="430"/>
      <c r="Q132" s="444"/>
      <c r="R132" s="424"/>
      <c r="S132" s="430"/>
      <c r="T132" s="444"/>
      <c r="U132" s="430"/>
      <c r="V132" s="430"/>
      <c r="W132" s="444"/>
      <c r="X132" s="444"/>
      <c r="Y132" s="430"/>
      <c r="Z132" s="430"/>
      <c r="AA132" s="430"/>
      <c r="AB132" s="444"/>
      <c r="AC132" s="444"/>
      <c r="AD132" s="430"/>
      <c r="AE132" s="430"/>
      <c r="AF132" s="430"/>
      <c r="AG132" s="444"/>
      <c r="AH132" s="444"/>
      <c r="AI132" s="430"/>
      <c r="AJ132" s="430"/>
      <c r="AK132" s="430"/>
      <c r="AL132" s="476"/>
      <c r="AM132" s="430"/>
      <c r="AN132" s="430"/>
      <c r="AO132" s="430"/>
      <c r="AP132" s="430"/>
      <c r="AQ132" s="430"/>
      <c r="AR132" s="430"/>
      <c r="AS132" s="430"/>
      <c r="AT132" s="430"/>
      <c r="AU132" s="430"/>
      <c r="AV132" s="430"/>
      <c r="AW132" s="430"/>
      <c r="AX132" s="430"/>
    </row>
    <row r="133">
      <c r="B133" s="471"/>
      <c r="E133" s="471"/>
      <c r="H133" s="471"/>
      <c r="K133" s="471"/>
      <c r="M133" s="454"/>
      <c r="N133" s="424"/>
      <c r="O133" s="424"/>
      <c r="P133" s="430"/>
      <c r="Q133" s="444"/>
      <c r="R133" s="424"/>
      <c r="S133" s="430"/>
      <c r="T133" s="444"/>
      <c r="U133" s="430"/>
      <c r="V133" s="430"/>
      <c r="W133" s="444"/>
      <c r="X133" s="444"/>
      <c r="Y133" s="430"/>
      <c r="Z133" s="430"/>
      <c r="AA133" s="430"/>
      <c r="AB133" s="444"/>
      <c r="AC133" s="444"/>
      <c r="AD133" s="430"/>
      <c r="AE133" s="430"/>
      <c r="AF133" s="430"/>
      <c r="AG133" s="444"/>
      <c r="AH133" s="444"/>
      <c r="AI133" s="430"/>
      <c r="AJ133" s="430"/>
      <c r="AK133" s="430"/>
      <c r="AL133" s="476"/>
      <c r="AM133" s="430"/>
      <c r="AN133" s="430"/>
      <c r="AO133" s="430"/>
      <c r="AP133" s="430"/>
      <c r="AQ133" s="430"/>
      <c r="AR133" s="430"/>
      <c r="AS133" s="430"/>
      <c r="AT133" s="430"/>
      <c r="AU133" s="430"/>
      <c r="AV133" s="430"/>
      <c r="AW133" s="430"/>
      <c r="AX133" s="430"/>
    </row>
    <row r="134">
      <c r="B134" s="471"/>
      <c r="E134" s="471"/>
      <c r="H134" s="471"/>
      <c r="K134" s="471"/>
      <c r="M134" s="454"/>
      <c r="N134" s="424"/>
      <c r="O134" s="424"/>
      <c r="P134" s="430"/>
      <c r="Q134" s="444"/>
      <c r="R134" s="424"/>
      <c r="S134" s="430"/>
      <c r="T134" s="444"/>
      <c r="U134" s="430"/>
      <c r="V134" s="430"/>
      <c r="W134" s="444"/>
      <c r="X134" s="444"/>
      <c r="Y134" s="430"/>
      <c r="Z134" s="430"/>
      <c r="AA134" s="430"/>
      <c r="AB134" s="444"/>
      <c r="AC134" s="444"/>
      <c r="AD134" s="430"/>
      <c r="AE134" s="430"/>
      <c r="AF134" s="430"/>
      <c r="AG134" s="444"/>
      <c r="AH134" s="444"/>
      <c r="AI134" s="430"/>
      <c r="AJ134" s="430"/>
      <c r="AK134" s="430"/>
      <c r="AL134" s="476"/>
      <c r="AM134" s="430"/>
      <c r="AN134" s="430"/>
      <c r="AO134" s="430"/>
      <c r="AP134" s="430"/>
      <c r="AQ134" s="430"/>
      <c r="AR134" s="430"/>
      <c r="AS134" s="430"/>
      <c r="AT134" s="430"/>
      <c r="AU134" s="430"/>
      <c r="AV134" s="430"/>
      <c r="AW134" s="430"/>
      <c r="AX134" s="430"/>
    </row>
    <row r="135">
      <c r="B135" s="471"/>
      <c r="E135" s="471"/>
      <c r="H135" s="471"/>
      <c r="K135" s="471"/>
      <c r="M135" s="454"/>
      <c r="N135" s="424"/>
      <c r="O135" s="424"/>
      <c r="P135" s="430"/>
      <c r="Q135" s="444"/>
      <c r="R135" s="424"/>
      <c r="S135" s="430"/>
      <c r="T135" s="444"/>
      <c r="U135" s="430"/>
      <c r="V135" s="430"/>
      <c r="W135" s="444"/>
      <c r="X135" s="444"/>
      <c r="Y135" s="430"/>
      <c r="Z135" s="430"/>
      <c r="AA135" s="430"/>
      <c r="AB135" s="444"/>
      <c r="AC135" s="444"/>
      <c r="AD135" s="430"/>
      <c r="AE135" s="430"/>
      <c r="AF135" s="430"/>
      <c r="AG135" s="444"/>
      <c r="AH135" s="444"/>
      <c r="AI135" s="430"/>
      <c r="AJ135" s="430"/>
      <c r="AK135" s="430"/>
      <c r="AL135" s="476"/>
      <c r="AM135" s="430"/>
      <c r="AN135" s="430"/>
      <c r="AO135" s="430"/>
      <c r="AP135" s="430"/>
      <c r="AQ135" s="430"/>
      <c r="AR135" s="430"/>
      <c r="AS135" s="430"/>
      <c r="AT135" s="430"/>
      <c r="AU135" s="430"/>
      <c r="AV135" s="430"/>
      <c r="AW135" s="430"/>
      <c r="AX135" s="430"/>
    </row>
    <row r="136">
      <c r="B136" s="471"/>
      <c r="E136" s="471"/>
      <c r="H136" s="471"/>
      <c r="K136" s="471"/>
      <c r="M136" s="454"/>
      <c r="N136" s="424"/>
      <c r="O136" s="424"/>
      <c r="P136" s="430"/>
      <c r="Q136" s="444"/>
      <c r="R136" s="424"/>
      <c r="S136" s="430"/>
      <c r="T136" s="444"/>
      <c r="U136" s="430"/>
      <c r="V136" s="430"/>
      <c r="W136" s="444"/>
      <c r="X136" s="444"/>
      <c r="Y136" s="430"/>
      <c r="Z136" s="430"/>
      <c r="AA136" s="430"/>
      <c r="AB136" s="444"/>
      <c r="AC136" s="444"/>
      <c r="AD136" s="430"/>
      <c r="AE136" s="430"/>
      <c r="AF136" s="430"/>
      <c r="AG136" s="444"/>
      <c r="AH136" s="444"/>
      <c r="AI136" s="430"/>
      <c r="AJ136" s="430"/>
      <c r="AK136" s="430"/>
      <c r="AL136" s="476"/>
      <c r="AM136" s="430"/>
      <c r="AN136" s="430"/>
      <c r="AO136" s="430"/>
      <c r="AP136" s="430"/>
      <c r="AQ136" s="430"/>
      <c r="AR136" s="430"/>
      <c r="AS136" s="430"/>
      <c r="AT136" s="430"/>
      <c r="AU136" s="430"/>
      <c r="AV136" s="430"/>
      <c r="AW136" s="430"/>
      <c r="AX136" s="430"/>
    </row>
    <row r="137">
      <c r="B137" s="471"/>
      <c r="E137" s="471"/>
      <c r="H137" s="471"/>
      <c r="K137" s="471"/>
      <c r="M137" s="454"/>
      <c r="N137" s="424"/>
      <c r="O137" s="424"/>
      <c r="P137" s="430"/>
      <c r="Q137" s="444"/>
      <c r="R137" s="424"/>
      <c r="S137" s="430"/>
      <c r="T137" s="444"/>
      <c r="U137" s="430"/>
      <c r="V137" s="430"/>
      <c r="W137" s="444"/>
      <c r="X137" s="444"/>
      <c r="Y137" s="430"/>
      <c r="Z137" s="430"/>
      <c r="AA137" s="430"/>
      <c r="AB137" s="444"/>
      <c r="AC137" s="444"/>
      <c r="AD137" s="430"/>
      <c r="AE137" s="430"/>
      <c r="AF137" s="430"/>
      <c r="AG137" s="444"/>
      <c r="AH137" s="444"/>
      <c r="AI137" s="430"/>
      <c r="AJ137" s="430"/>
      <c r="AK137" s="430"/>
      <c r="AL137" s="476"/>
      <c r="AM137" s="430"/>
      <c r="AN137" s="430"/>
      <c r="AO137" s="430"/>
      <c r="AP137" s="430"/>
      <c r="AQ137" s="430"/>
      <c r="AR137" s="430"/>
      <c r="AS137" s="430"/>
      <c r="AT137" s="430"/>
      <c r="AU137" s="430"/>
      <c r="AV137" s="430"/>
      <c r="AW137" s="430"/>
      <c r="AX137" s="430"/>
    </row>
    <row r="138">
      <c r="B138" s="471"/>
      <c r="E138" s="471"/>
      <c r="H138" s="471"/>
      <c r="K138" s="471"/>
      <c r="M138" s="454"/>
      <c r="N138" s="424"/>
      <c r="O138" s="424"/>
      <c r="P138" s="430"/>
      <c r="Q138" s="444"/>
      <c r="R138" s="424"/>
      <c r="S138" s="430"/>
      <c r="T138" s="444"/>
      <c r="U138" s="430"/>
      <c r="V138" s="430"/>
      <c r="W138" s="444"/>
      <c r="X138" s="444"/>
      <c r="Y138" s="430"/>
      <c r="Z138" s="430"/>
      <c r="AA138" s="430"/>
      <c r="AB138" s="444"/>
      <c r="AC138" s="444"/>
      <c r="AD138" s="430"/>
      <c r="AE138" s="430"/>
      <c r="AF138" s="430"/>
      <c r="AG138" s="444"/>
      <c r="AH138" s="444"/>
      <c r="AI138" s="430"/>
      <c r="AJ138" s="430"/>
      <c r="AK138" s="430"/>
      <c r="AL138" s="476"/>
      <c r="AM138" s="430"/>
      <c r="AN138" s="430"/>
      <c r="AO138" s="430"/>
      <c r="AP138" s="430"/>
      <c r="AQ138" s="430"/>
      <c r="AR138" s="430"/>
      <c r="AS138" s="430"/>
      <c r="AT138" s="430"/>
      <c r="AU138" s="430"/>
      <c r="AV138" s="430"/>
      <c r="AW138" s="430"/>
      <c r="AX138" s="430"/>
    </row>
    <row r="139">
      <c r="B139" s="471"/>
      <c r="E139" s="471"/>
      <c r="H139" s="471"/>
      <c r="K139" s="471"/>
      <c r="M139" s="454"/>
      <c r="N139" s="424"/>
      <c r="O139" s="424"/>
      <c r="P139" s="430"/>
      <c r="Q139" s="444"/>
      <c r="R139" s="424"/>
      <c r="S139" s="430"/>
      <c r="T139" s="444"/>
      <c r="U139" s="430"/>
      <c r="V139" s="430"/>
      <c r="W139" s="444"/>
      <c r="X139" s="444"/>
      <c r="Y139" s="430"/>
      <c r="Z139" s="430"/>
      <c r="AA139" s="430"/>
      <c r="AB139" s="444"/>
      <c r="AC139" s="444"/>
      <c r="AD139" s="430"/>
      <c r="AE139" s="430"/>
      <c r="AF139" s="430"/>
      <c r="AG139" s="444"/>
      <c r="AH139" s="444"/>
      <c r="AI139" s="430"/>
      <c r="AJ139" s="430"/>
      <c r="AK139" s="430"/>
      <c r="AL139" s="476"/>
      <c r="AM139" s="430"/>
      <c r="AN139" s="430"/>
      <c r="AO139" s="430"/>
      <c r="AP139" s="430"/>
      <c r="AQ139" s="430"/>
      <c r="AR139" s="430"/>
      <c r="AS139" s="430"/>
      <c r="AT139" s="430"/>
      <c r="AU139" s="430"/>
      <c r="AV139" s="430"/>
      <c r="AW139" s="430"/>
      <c r="AX139" s="430"/>
    </row>
    <row r="140">
      <c r="B140" s="471"/>
      <c r="E140" s="471"/>
      <c r="H140" s="471"/>
      <c r="K140" s="471"/>
      <c r="M140" s="454"/>
      <c r="N140" s="424"/>
      <c r="O140" s="424"/>
      <c r="P140" s="430"/>
      <c r="Q140" s="444"/>
      <c r="R140" s="424"/>
      <c r="S140" s="430"/>
      <c r="T140" s="444"/>
      <c r="U140" s="430"/>
      <c r="V140" s="430"/>
      <c r="W140" s="444"/>
      <c r="X140" s="444"/>
      <c r="Y140" s="430"/>
      <c r="Z140" s="430"/>
      <c r="AA140" s="430"/>
      <c r="AB140" s="444"/>
      <c r="AC140" s="444"/>
      <c r="AD140" s="430"/>
      <c r="AE140" s="430"/>
      <c r="AF140" s="430"/>
      <c r="AG140" s="444"/>
      <c r="AH140" s="444"/>
      <c r="AI140" s="430"/>
      <c r="AJ140" s="430"/>
      <c r="AK140" s="430"/>
      <c r="AL140" s="476"/>
      <c r="AM140" s="430"/>
      <c r="AN140" s="430"/>
      <c r="AO140" s="430"/>
      <c r="AP140" s="430"/>
      <c r="AQ140" s="430"/>
      <c r="AR140" s="430"/>
      <c r="AS140" s="430"/>
      <c r="AT140" s="430"/>
      <c r="AU140" s="430"/>
      <c r="AV140" s="430"/>
      <c r="AW140" s="430"/>
      <c r="AX140" s="430"/>
    </row>
    <row r="141">
      <c r="B141" s="471"/>
      <c r="E141" s="471"/>
      <c r="H141" s="471"/>
      <c r="K141" s="471"/>
      <c r="M141" s="454"/>
      <c r="N141" s="424"/>
      <c r="O141" s="424"/>
      <c r="P141" s="430"/>
      <c r="Q141" s="444"/>
      <c r="R141" s="424"/>
      <c r="S141" s="430"/>
      <c r="T141" s="444"/>
      <c r="U141" s="430"/>
      <c r="V141" s="430"/>
      <c r="W141" s="444"/>
      <c r="X141" s="444"/>
      <c r="Y141" s="430"/>
      <c r="Z141" s="430"/>
      <c r="AA141" s="430"/>
      <c r="AB141" s="444"/>
      <c r="AC141" s="444"/>
      <c r="AD141" s="430"/>
      <c r="AE141" s="430"/>
      <c r="AF141" s="430"/>
      <c r="AG141" s="444"/>
      <c r="AH141" s="444"/>
      <c r="AI141" s="430"/>
      <c r="AJ141" s="430"/>
      <c r="AK141" s="430"/>
      <c r="AL141" s="476"/>
      <c r="AM141" s="430"/>
      <c r="AN141" s="430"/>
      <c r="AO141" s="430"/>
      <c r="AP141" s="430"/>
      <c r="AQ141" s="430"/>
      <c r="AR141" s="430"/>
      <c r="AS141" s="430"/>
      <c r="AT141" s="430"/>
      <c r="AU141" s="430"/>
      <c r="AV141" s="430"/>
      <c r="AW141" s="430"/>
      <c r="AX141" s="430"/>
    </row>
    <row r="142">
      <c r="B142" s="471"/>
      <c r="E142" s="471"/>
      <c r="H142" s="471"/>
      <c r="K142" s="471"/>
      <c r="M142" s="454"/>
      <c r="N142" s="424"/>
      <c r="O142" s="424"/>
      <c r="P142" s="430"/>
      <c r="Q142" s="444"/>
      <c r="R142" s="424"/>
      <c r="S142" s="430"/>
      <c r="T142" s="444"/>
      <c r="U142" s="430"/>
      <c r="V142" s="430"/>
      <c r="W142" s="444"/>
      <c r="X142" s="444"/>
      <c r="Y142" s="430"/>
      <c r="Z142" s="430"/>
      <c r="AA142" s="430"/>
      <c r="AB142" s="444"/>
      <c r="AC142" s="444"/>
      <c r="AD142" s="430"/>
      <c r="AE142" s="430"/>
      <c r="AF142" s="430"/>
      <c r="AG142" s="444"/>
      <c r="AH142" s="444"/>
      <c r="AI142" s="430"/>
      <c r="AJ142" s="430"/>
      <c r="AK142" s="430"/>
      <c r="AL142" s="476"/>
      <c r="AM142" s="430"/>
      <c r="AN142" s="430"/>
      <c r="AO142" s="430"/>
      <c r="AP142" s="430"/>
      <c r="AQ142" s="430"/>
      <c r="AR142" s="430"/>
      <c r="AS142" s="430"/>
      <c r="AT142" s="430"/>
      <c r="AU142" s="430"/>
      <c r="AV142" s="430"/>
      <c r="AW142" s="430"/>
      <c r="AX142" s="430"/>
    </row>
    <row r="143">
      <c r="B143" s="471"/>
      <c r="E143" s="471"/>
      <c r="H143" s="471"/>
      <c r="K143" s="471"/>
      <c r="M143" s="454"/>
      <c r="N143" s="424"/>
      <c r="O143" s="424"/>
      <c r="P143" s="430"/>
      <c r="Q143" s="444"/>
      <c r="R143" s="424"/>
      <c r="S143" s="430"/>
      <c r="T143" s="444"/>
      <c r="U143" s="430"/>
      <c r="V143" s="430"/>
      <c r="W143" s="444"/>
      <c r="X143" s="444"/>
      <c r="Y143" s="430"/>
      <c r="Z143" s="430"/>
      <c r="AA143" s="430"/>
      <c r="AB143" s="444"/>
      <c r="AC143" s="444"/>
      <c r="AD143" s="430"/>
      <c r="AE143" s="430"/>
      <c r="AF143" s="430"/>
      <c r="AG143" s="444"/>
      <c r="AH143" s="444"/>
      <c r="AI143" s="430"/>
      <c r="AJ143" s="430"/>
      <c r="AK143" s="430"/>
      <c r="AL143" s="476"/>
      <c r="AM143" s="430"/>
      <c r="AN143" s="430"/>
      <c r="AO143" s="430"/>
      <c r="AP143" s="430"/>
      <c r="AQ143" s="430"/>
      <c r="AR143" s="430"/>
      <c r="AS143" s="430"/>
      <c r="AT143" s="430"/>
      <c r="AU143" s="430"/>
      <c r="AV143" s="430"/>
      <c r="AW143" s="430"/>
      <c r="AX143" s="430"/>
    </row>
    <row r="144">
      <c r="B144" s="471"/>
      <c r="E144" s="471"/>
      <c r="H144" s="471"/>
      <c r="K144" s="471"/>
      <c r="M144" s="454"/>
      <c r="N144" s="424"/>
      <c r="O144" s="424"/>
      <c r="P144" s="430"/>
      <c r="Q144" s="444"/>
      <c r="R144" s="424"/>
      <c r="S144" s="430"/>
      <c r="T144" s="444"/>
      <c r="U144" s="430"/>
      <c r="V144" s="430"/>
      <c r="W144" s="444"/>
      <c r="X144" s="444"/>
      <c r="Y144" s="430"/>
      <c r="Z144" s="430"/>
      <c r="AA144" s="430"/>
      <c r="AB144" s="444"/>
      <c r="AC144" s="444"/>
      <c r="AD144" s="430"/>
      <c r="AE144" s="430"/>
      <c r="AF144" s="430"/>
      <c r="AG144" s="444"/>
      <c r="AH144" s="444"/>
      <c r="AI144" s="430"/>
      <c r="AJ144" s="430"/>
      <c r="AK144" s="430"/>
      <c r="AL144" s="476"/>
      <c r="AM144" s="430"/>
      <c r="AN144" s="430"/>
      <c r="AO144" s="430"/>
      <c r="AP144" s="430"/>
      <c r="AQ144" s="430"/>
      <c r="AR144" s="430"/>
      <c r="AS144" s="430"/>
      <c r="AT144" s="430"/>
      <c r="AU144" s="430"/>
      <c r="AV144" s="430"/>
      <c r="AW144" s="430"/>
      <c r="AX144" s="430"/>
    </row>
    <row r="145">
      <c r="B145" s="471"/>
      <c r="E145" s="471"/>
      <c r="H145" s="471"/>
      <c r="K145" s="471"/>
      <c r="M145" s="454"/>
      <c r="N145" s="424"/>
      <c r="O145" s="424"/>
      <c r="P145" s="430"/>
      <c r="Q145" s="444"/>
      <c r="R145" s="424"/>
      <c r="S145" s="430"/>
      <c r="T145" s="444"/>
      <c r="U145" s="430"/>
      <c r="V145" s="430"/>
      <c r="W145" s="444"/>
      <c r="X145" s="444"/>
      <c r="Y145" s="430"/>
      <c r="Z145" s="430"/>
      <c r="AA145" s="430"/>
      <c r="AB145" s="444"/>
      <c r="AC145" s="444"/>
      <c r="AD145" s="430"/>
      <c r="AE145" s="430"/>
      <c r="AF145" s="430"/>
      <c r="AG145" s="444"/>
      <c r="AH145" s="444"/>
      <c r="AI145" s="430"/>
      <c r="AJ145" s="430"/>
      <c r="AK145" s="430"/>
      <c r="AL145" s="476"/>
      <c r="AM145" s="430"/>
      <c r="AN145" s="430"/>
      <c r="AO145" s="430"/>
      <c r="AP145" s="430"/>
      <c r="AQ145" s="430"/>
      <c r="AR145" s="430"/>
      <c r="AS145" s="430"/>
      <c r="AT145" s="430"/>
      <c r="AU145" s="430"/>
      <c r="AV145" s="430"/>
      <c r="AW145" s="430"/>
      <c r="AX145" s="430"/>
    </row>
    <row r="146">
      <c r="B146" s="471"/>
      <c r="E146" s="471"/>
      <c r="H146" s="471"/>
      <c r="K146" s="471"/>
      <c r="M146" s="454"/>
      <c r="N146" s="424"/>
      <c r="O146" s="424"/>
      <c r="P146" s="430"/>
      <c r="Q146" s="444"/>
      <c r="R146" s="424"/>
      <c r="S146" s="430"/>
      <c r="T146" s="444"/>
      <c r="U146" s="430"/>
      <c r="V146" s="430"/>
      <c r="W146" s="444"/>
      <c r="X146" s="444"/>
      <c r="Y146" s="430"/>
      <c r="Z146" s="430"/>
      <c r="AA146" s="430"/>
      <c r="AB146" s="444"/>
      <c r="AC146" s="444"/>
      <c r="AD146" s="430"/>
      <c r="AE146" s="430"/>
      <c r="AF146" s="430"/>
      <c r="AG146" s="444"/>
      <c r="AH146" s="444"/>
      <c r="AI146" s="430"/>
      <c r="AJ146" s="430"/>
      <c r="AK146" s="430"/>
      <c r="AL146" s="476"/>
      <c r="AM146" s="430"/>
      <c r="AN146" s="430"/>
      <c r="AO146" s="430"/>
      <c r="AP146" s="430"/>
      <c r="AQ146" s="430"/>
      <c r="AR146" s="430"/>
      <c r="AS146" s="430"/>
      <c r="AT146" s="430"/>
      <c r="AU146" s="430"/>
      <c r="AV146" s="430"/>
      <c r="AW146" s="430"/>
      <c r="AX146" s="430"/>
    </row>
    <row r="147">
      <c r="B147" s="471"/>
      <c r="E147" s="471"/>
      <c r="H147" s="471"/>
      <c r="K147" s="471"/>
      <c r="M147" s="454"/>
      <c r="N147" s="424"/>
      <c r="O147" s="424"/>
      <c r="P147" s="430"/>
      <c r="Q147" s="444"/>
      <c r="R147" s="424"/>
      <c r="S147" s="430"/>
      <c r="T147" s="444"/>
      <c r="U147" s="430"/>
      <c r="V147" s="430"/>
      <c r="W147" s="444"/>
      <c r="X147" s="444"/>
      <c r="Y147" s="430"/>
      <c r="Z147" s="430"/>
      <c r="AA147" s="430"/>
      <c r="AB147" s="444"/>
      <c r="AC147" s="444"/>
      <c r="AD147" s="430"/>
      <c r="AE147" s="430"/>
      <c r="AF147" s="430"/>
      <c r="AG147" s="444"/>
      <c r="AH147" s="444"/>
      <c r="AI147" s="430"/>
      <c r="AJ147" s="430"/>
      <c r="AK147" s="430"/>
      <c r="AL147" s="476"/>
      <c r="AM147" s="430"/>
      <c r="AN147" s="430"/>
      <c r="AO147" s="430"/>
      <c r="AP147" s="430"/>
      <c r="AQ147" s="430"/>
      <c r="AR147" s="430"/>
      <c r="AS147" s="430"/>
      <c r="AT147" s="430"/>
      <c r="AU147" s="430"/>
      <c r="AV147" s="430"/>
      <c r="AW147" s="430"/>
      <c r="AX147" s="430"/>
    </row>
    <row r="148">
      <c r="B148" s="471"/>
      <c r="E148" s="471"/>
      <c r="H148" s="471"/>
      <c r="K148" s="471"/>
      <c r="M148" s="454"/>
      <c r="N148" s="424"/>
      <c r="O148" s="424"/>
      <c r="P148" s="430"/>
      <c r="Q148" s="444"/>
      <c r="R148" s="424"/>
      <c r="S148" s="430"/>
      <c r="T148" s="444"/>
      <c r="U148" s="430"/>
      <c r="V148" s="430"/>
      <c r="W148" s="444"/>
      <c r="X148" s="444"/>
      <c r="Y148" s="430"/>
      <c r="Z148" s="430"/>
      <c r="AA148" s="430"/>
      <c r="AB148" s="444"/>
      <c r="AC148" s="444"/>
      <c r="AD148" s="430"/>
      <c r="AE148" s="430"/>
      <c r="AF148" s="430"/>
      <c r="AG148" s="444"/>
      <c r="AH148" s="444"/>
      <c r="AI148" s="430"/>
      <c r="AJ148" s="430"/>
      <c r="AK148" s="430"/>
      <c r="AL148" s="476"/>
      <c r="AM148" s="430"/>
      <c r="AN148" s="430"/>
      <c r="AO148" s="430"/>
      <c r="AP148" s="430"/>
      <c r="AQ148" s="430"/>
      <c r="AR148" s="430"/>
      <c r="AS148" s="430"/>
      <c r="AT148" s="430"/>
      <c r="AU148" s="430"/>
      <c r="AV148" s="430"/>
      <c r="AW148" s="430"/>
      <c r="AX148" s="430"/>
    </row>
    <row r="149">
      <c r="B149" s="471"/>
      <c r="E149" s="471"/>
      <c r="H149" s="471"/>
      <c r="K149" s="471"/>
      <c r="M149" s="454"/>
      <c r="N149" s="424"/>
      <c r="O149" s="424"/>
      <c r="P149" s="430"/>
      <c r="Q149" s="444"/>
      <c r="R149" s="424"/>
      <c r="S149" s="430"/>
      <c r="T149" s="444"/>
      <c r="U149" s="430"/>
      <c r="V149" s="430"/>
      <c r="W149" s="444"/>
      <c r="X149" s="444"/>
      <c r="Y149" s="430"/>
      <c r="Z149" s="430"/>
      <c r="AA149" s="430"/>
      <c r="AB149" s="444"/>
      <c r="AC149" s="444"/>
      <c r="AD149" s="430"/>
      <c r="AE149" s="430"/>
      <c r="AF149" s="430"/>
      <c r="AG149" s="444"/>
      <c r="AH149" s="444"/>
      <c r="AI149" s="430"/>
      <c r="AJ149" s="430"/>
      <c r="AK149" s="430"/>
      <c r="AL149" s="476"/>
      <c r="AM149" s="430"/>
      <c r="AN149" s="430"/>
      <c r="AO149" s="430"/>
      <c r="AP149" s="430"/>
      <c r="AQ149" s="430"/>
      <c r="AR149" s="430"/>
      <c r="AS149" s="430"/>
      <c r="AT149" s="430"/>
      <c r="AU149" s="430"/>
      <c r="AV149" s="430"/>
      <c r="AW149" s="430"/>
      <c r="AX149" s="430"/>
    </row>
    <row r="150">
      <c r="B150" s="471"/>
      <c r="E150" s="471"/>
      <c r="H150" s="471"/>
      <c r="K150" s="471"/>
      <c r="M150" s="454"/>
      <c r="N150" s="424"/>
      <c r="O150" s="424"/>
      <c r="P150" s="430"/>
      <c r="Q150" s="444"/>
      <c r="R150" s="424"/>
      <c r="S150" s="430"/>
      <c r="T150" s="444"/>
      <c r="U150" s="430"/>
      <c r="V150" s="430"/>
      <c r="W150" s="444"/>
      <c r="X150" s="444"/>
      <c r="Y150" s="430"/>
      <c r="Z150" s="430"/>
      <c r="AA150" s="430"/>
      <c r="AB150" s="444"/>
      <c r="AC150" s="444"/>
      <c r="AD150" s="430"/>
      <c r="AE150" s="430"/>
      <c r="AF150" s="430"/>
      <c r="AG150" s="444"/>
      <c r="AH150" s="444"/>
      <c r="AI150" s="430"/>
      <c r="AJ150" s="430"/>
      <c r="AK150" s="430"/>
      <c r="AL150" s="476"/>
      <c r="AM150" s="430"/>
      <c r="AN150" s="430"/>
      <c r="AO150" s="430"/>
      <c r="AP150" s="430"/>
      <c r="AQ150" s="430"/>
      <c r="AR150" s="430"/>
      <c r="AS150" s="430"/>
      <c r="AT150" s="430"/>
      <c r="AU150" s="430"/>
      <c r="AV150" s="430"/>
      <c r="AW150" s="430"/>
      <c r="AX150" s="430"/>
    </row>
    <row r="151">
      <c r="B151" s="471"/>
      <c r="E151" s="471"/>
      <c r="H151" s="471"/>
      <c r="K151" s="471"/>
      <c r="M151" s="454"/>
      <c r="N151" s="424"/>
      <c r="O151" s="424"/>
      <c r="P151" s="430"/>
      <c r="Q151" s="444"/>
      <c r="R151" s="424"/>
      <c r="S151" s="430"/>
      <c r="T151" s="444"/>
      <c r="U151" s="430"/>
      <c r="V151" s="430"/>
      <c r="W151" s="444"/>
      <c r="X151" s="444"/>
      <c r="Y151" s="430"/>
      <c r="Z151" s="430"/>
      <c r="AA151" s="430"/>
      <c r="AB151" s="444"/>
      <c r="AC151" s="444"/>
      <c r="AD151" s="430"/>
      <c r="AE151" s="430"/>
      <c r="AF151" s="430"/>
      <c r="AG151" s="444"/>
      <c r="AH151" s="444"/>
      <c r="AI151" s="430"/>
      <c r="AJ151" s="430"/>
      <c r="AK151" s="430"/>
      <c r="AL151" s="476"/>
      <c r="AM151" s="430"/>
      <c r="AN151" s="430"/>
      <c r="AO151" s="430"/>
      <c r="AP151" s="430"/>
      <c r="AQ151" s="430"/>
      <c r="AR151" s="430"/>
      <c r="AS151" s="430"/>
      <c r="AT151" s="430"/>
      <c r="AU151" s="430"/>
      <c r="AV151" s="430"/>
      <c r="AW151" s="430"/>
      <c r="AX151" s="430"/>
    </row>
    <row r="152">
      <c r="B152" s="471"/>
      <c r="E152" s="471"/>
      <c r="H152" s="471"/>
      <c r="K152" s="471"/>
      <c r="M152" s="454"/>
      <c r="N152" s="424"/>
      <c r="O152" s="424"/>
      <c r="P152" s="430"/>
      <c r="Q152" s="444"/>
      <c r="R152" s="424"/>
      <c r="S152" s="430"/>
      <c r="T152" s="444"/>
      <c r="U152" s="430"/>
      <c r="V152" s="430"/>
      <c r="W152" s="444"/>
      <c r="X152" s="444"/>
      <c r="Y152" s="430"/>
      <c r="Z152" s="430"/>
      <c r="AA152" s="430"/>
      <c r="AB152" s="444"/>
      <c r="AC152" s="444"/>
      <c r="AD152" s="430"/>
      <c r="AE152" s="430"/>
      <c r="AF152" s="430"/>
      <c r="AG152" s="444"/>
      <c r="AH152" s="444"/>
      <c r="AI152" s="430"/>
      <c r="AJ152" s="430"/>
      <c r="AK152" s="430"/>
      <c r="AL152" s="476"/>
      <c r="AM152" s="430"/>
      <c r="AN152" s="430"/>
      <c r="AO152" s="430"/>
      <c r="AP152" s="430"/>
      <c r="AQ152" s="430"/>
      <c r="AR152" s="430"/>
      <c r="AS152" s="430"/>
      <c r="AT152" s="430"/>
      <c r="AU152" s="430"/>
      <c r="AV152" s="430"/>
      <c r="AW152" s="430"/>
      <c r="AX152" s="430"/>
    </row>
    <row r="153">
      <c r="B153" s="471"/>
      <c r="E153" s="471"/>
      <c r="H153" s="471"/>
      <c r="K153" s="471"/>
      <c r="M153" s="454"/>
      <c r="N153" s="424"/>
      <c r="O153" s="424"/>
      <c r="P153" s="430"/>
      <c r="Q153" s="444"/>
      <c r="R153" s="424"/>
      <c r="S153" s="430"/>
      <c r="T153" s="444"/>
      <c r="U153" s="430"/>
      <c r="V153" s="430"/>
      <c r="W153" s="444"/>
      <c r="X153" s="444"/>
      <c r="Y153" s="430"/>
      <c r="Z153" s="430"/>
      <c r="AA153" s="430"/>
      <c r="AB153" s="444"/>
      <c r="AC153" s="444"/>
      <c r="AD153" s="430"/>
      <c r="AE153" s="430"/>
      <c r="AF153" s="430"/>
      <c r="AG153" s="444"/>
      <c r="AH153" s="444"/>
      <c r="AI153" s="430"/>
      <c r="AJ153" s="430"/>
      <c r="AK153" s="430"/>
      <c r="AL153" s="476"/>
      <c r="AM153" s="430"/>
      <c r="AN153" s="430"/>
      <c r="AO153" s="430"/>
      <c r="AP153" s="430"/>
      <c r="AQ153" s="430"/>
      <c r="AR153" s="430"/>
      <c r="AS153" s="430"/>
      <c r="AT153" s="430"/>
      <c r="AU153" s="430"/>
      <c r="AV153" s="430"/>
      <c r="AW153" s="430"/>
      <c r="AX153" s="430"/>
    </row>
    <row r="154">
      <c r="B154" s="471"/>
      <c r="E154" s="471"/>
      <c r="H154" s="471"/>
      <c r="K154" s="471"/>
      <c r="M154" s="454"/>
      <c r="N154" s="424"/>
      <c r="O154" s="424"/>
      <c r="P154" s="430"/>
      <c r="Q154" s="444"/>
      <c r="R154" s="424"/>
      <c r="S154" s="430"/>
      <c r="T154" s="444"/>
      <c r="U154" s="430"/>
      <c r="V154" s="430"/>
      <c r="W154" s="444"/>
      <c r="X154" s="444"/>
      <c r="Y154" s="430"/>
      <c r="Z154" s="430"/>
      <c r="AA154" s="430"/>
      <c r="AB154" s="444"/>
      <c r="AC154" s="444"/>
      <c r="AD154" s="430"/>
      <c r="AE154" s="430"/>
      <c r="AF154" s="430"/>
      <c r="AG154" s="444"/>
      <c r="AH154" s="444"/>
      <c r="AI154" s="430"/>
      <c r="AJ154" s="430"/>
      <c r="AK154" s="430"/>
      <c r="AL154" s="476"/>
      <c r="AM154" s="430"/>
      <c r="AN154" s="430"/>
      <c r="AO154" s="430"/>
      <c r="AP154" s="430"/>
      <c r="AQ154" s="430"/>
      <c r="AR154" s="430"/>
      <c r="AS154" s="430"/>
      <c r="AT154" s="430"/>
      <c r="AU154" s="430"/>
      <c r="AV154" s="430"/>
      <c r="AW154" s="430"/>
      <c r="AX154" s="430"/>
    </row>
    <row r="155">
      <c r="B155" s="471"/>
      <c r="E155" s="471"/>
      <c r="H155" s="471"/>
      <c r="K155" s="471"/>
      <c r="M155" s="454"/>
      <c r="N155" s="424"/>
      <c r="O155" s="424"/>
      <c r="P155" s="430"/>
      <c r="Q155" s="444"/>
      <c r="R155" s="424"/>
      <c r="S155" s="430"/>
      <c r="T155" s="444"/>
      <c r="U155" s="430"/>
      <c r="V155" s="430"/>
      <c r="W155" s="444"/>
      <c r="X155" s="444"/>
      <c r="Y155" s="430"/>
      <c r="Z155" s="430"/>
      <c r="AA155" s="430"/>
      <c r="AB155" s="444"/>
      <c r="AC155" s="444"/>
      <c r="AD155" s="430"/>
      <c r="AE155" s="430"/>
      <c r="AF155" s="430"/>
      <c r="AG155" s="444"/>
      <c r="AH155" s="444"/>
      <c r="AI155" s="430"/>
      <c r="AJ155" s="430"/>
      <c r="AK155" s="430"/>
      <c r="AL155" s="476"/>
      <c r="AM155" s="430"/>
      <c r="AN155" s="430"/>
      <c r="AO155" s="430"/>
      <c r="AP155" s="430"/>
      <c r="AQ155" s="430"/>
      <c r="AR155" s="430"/>
      <c r="AS155" s="430"/>
      <c r="AT155" s="430"/>
      <c r="AU155" s="430"/>
      <c r="AV155" s="430"/>
      <c r="AW155" s="430"/>
      <c r="AX155" s="430"/>
    </row>
    <row r="156">
      <c r="B156" s="471"/>
      <c r="E156" s="471"/>
      <c r="H156" s="471"/>
      <c r="K156" s="471"/>
      <c r="M156" s="454"/>
      <c r="N156" s="424"/>
      <c r="O156" s="424"/>
      <c r="P156" s="430"/>
      <c r="Q156" s="444"/>
      <c r="R156" s="424"/>
      <c r="S156" s="430"/>
      <c r="T156" s="444"/>
      <c r="U156" s="430"/>
      <c r="V156" s="430"/>
      <c r="W156" s="444"/>
      <c r="X156" s="444"/>
      <c r="Y156" s="430"/>
      <c r="Z156" s="430"/>
      <c r="AA156" s="430"/>
      <c r="AB156" s="444"/>
      <c r="AC156" s="444"/>
      <c r="AD156" s="430"/>
      <c r="AE156" s="430"/>
      <c r="AF156" s="430"/>
      <c r="AG156" s="444"/>
      <c r="AH156" s="444"/>
      <c r="AI156" s="430"/>
      <c r="AJ156" s="430"/>
      <c r="AK156" s="430"/>
      <c r="AL156" s="476"/>
      <c r="AM156" s="430"/>
      <c r="AN156" s="430"/>
      <c r="AO156" s="430"/>
      <c r="AP156" s="430"/>
      <c r="AQ156" s="430"/>
      <c r="AR156" s="430"/>
      <c r="AS156" s="430"/>
      <c r="AT156" s="430"/>
      <c r="AU156" s="430"/>
      <c r="AV156" s="430"/>
      <c r="AW156" s="430"/>
      <c r="AX156" s="430"/>
    </row>
    <row r="157">
      <c r="B157" s="471"/>
      <c r="E157" s="471"/>
      <c r="H157" s="471"/>
      <c r="K157" s="471"/>
      <c r="M157" s="454"/>
      <c r="N157" s="424"/>
      <c r="O157" s="424"/>
      <c r="P157" s="430"/>
      <c r="Q157" s="444"/>
      <c r="R157" s="424"/>
      <c r="S157" s="430"/>
      <c r="T157" s="444"/>
      <c r="U157" s="430"/>
      <c r="V157" s="430"/>
      <c r="W157" s="444"/>
      <c r="X157" s="444"/>
      <c r="Y157" s="430"/>
      <c r="Z157" s="430"/>
      <c r="AA157" s="430"/>
      <c r="AB157" s="444"/>
      <c r="AC157" s="444"/>
      <c r="AD157" s="430"/>
      <c r="AE157" s="430"/>
      <c r="AF157" s="430"/>
      <c r="AG157" s="444"/>
      <c r="AH157" s="444"/>
      <c r="AI157" s="430"/>
      <c r="AJ157" s="430"/>
      <c r="AK157" s="430"/>
      <c r="AL157" s="476"/>
      <c r="AM157" s="430"/>
      <c r="AN157" s="430"/>
      <c r="AO157" s="430"/>
      <c r="AP157" s="430"/>
      <c r="AQ157" s="430"/>
      <c r="AR157" s="430"/>
      <c r="AS157" s="430"/>
      <c r="AT157" s="430"/>
      <c r="AU157" s="430"/>
      <c r="AV157" s="430"/>
      <c r="AW157" s="430"/>
      <c r="AX157" s="430"/>
    </row>
    <row r="158">
      <c r="B158" s="471"/>
      <c r="E158" s="471"/>
      <c r="H158" s="471"/>
      <c r="K158" s="471"/>
      <c r="M158" s="454"/>
      <c r="N158" s="424"/>
      <c r="O158" s="424"/>
      <c r="P158" s="430"/>
      <c r="Q158" s="444"/>
      <c r="R158" s="424"/>
      <c r="S158" s="430"/>
      <c r="T158" s="444"/>
      <c r="U158" s="430"/>
      <c r="V158" s="430"/>
      <c r="W158" s="444"/>
      <c r="X158" s="444"/>
      <c r="Y158" s="430"/>
      <c r="Z158" s="430"/>
      <c r="AA158" s="430"/>
      <c r="AB158" s="444"/>
      <c r="AC158" s="444"/>
      <c r="AD158" s="430"/>
      <c r="AE158" s="430"/>
      <c r="AF158" s="430"/>
      <c r="AG158" s="444"/>
      <c r="AH158" s="444"/>
      <c r="AI158" s="430"/>
      <c r="AJ158" s="430"/>
      <c r="AK158" s="430"/>
      <c r="AL158" s="476"/>
      <c r="AM158" s="430"/>
      <c r="AN158" s="430"/>
      <c r="AO158" s="430"/>
      <c r="AP158" s="430"/>
      <c r="AQ158" s="430"/>
      <c r="AR158" s="430"/>
      <c r="AS158" s="430"/>
      <c r="AT158" s="430"/>
      <c r="AU158" s="430"/>
      <c r="AV158" s="430"/>
      <c r="AW158" s="430"/>
      <c r="AX158" s="430"/>
    </row>
    <row r="159">
      <c r="B159" s="471"/>
      <c r="E159" s="471"/>
      <c r="H159" s="471"/>
      <c r="K159" s="471"/>
      <c r="M159" s="454"/>
      <c r="N159" s="424"/>
      <c r="O159" s="424"/>
      <c r="P159" s="430"/>
      <c r="Q159" s="444"/>
      <c r="R159" s="424"/>
      <c r="S159" s="430"/>
      <c r="T159" s="444"/>
      <c r="U159" s="430"/>
      <c r="V159" s="430"/>
      <c r="W159" s="444"/>
      <c r="X159" s="444"/>
      <c r="Y159" s="430"/>
      <c r="Z159" s="430"/>
      <c r="AA159" s="430"/>
      <c r="AB159" s="444"/>
      <c r="AC159" s="444"/>
      <c r="AD159" s="430"/>
      <c r="AE159" s="430"/>
      <c r="AF159" s="430"/>
      <c r="AG159" s="444"/>
      <c r="AH159" s="444"/>
      <c r="AI159" s="430"/>
      <c r="AJ159" s="430"/>
      <c r="AK159" s="430"/>
      <c r="AL159" s="476"/>
      <c r="AM159" s="430"/>
      <c r="AN159" s="430"/>
      <c r="AO159" s="430"/>
      <c r="AP159" s="430"/>
      <c r="AQ159" s="430"/>
      <c r="AR159" s="430"/>
      <c r="AS159" s="430"/>
      <c r="AT159" s="430"/>
      <c r="AU159" s="430"/>
      <c r="AV159" s="430"/>
      <c r="AW159" s="430"/>
      <c r="AX159" s="430"/>
    </row>
    <row r="160">
      <c r="B160" s="471"/>
      <c r="E160" s="471"/>
      <c r="H160" s="471"/>
      <c r="K160" s="471"/>
      <c r="M160" s="454"/>
      <c r="N160" s="424"/>
      <c r="O160" s="424"/>
      <c r="P160" s="430"/>
      <c r="Q160" s="444"/>
      <c r="R160" s="424"/>
      <c r="S160" s="430"/>
      <c r="T160" s="444"/>
      <c r="U160" s="430"/>
      <c r="V160" s="430"/>
      <c r="W160" s="444"/>
      <c r="X160" s="444"/>
      <c r="Y160" s="430"/>
      <c r="Z160" s="430"/>
      <c r="AA160" s="430"/>
      <c r="AB160" s="444"/>
      <c r="AC160" s="444"/>
      <c r="AD160" s="430"/>
      <c r="AE160" s="430"/>
      <c r="AF160" s="430"/>
      <c r="AG160" s="444"/>
      <c r="AH160" s="444"/>
      <c r="AI160" s="430"/>
      <c r="AJ160" s="430"/>
      <c r="AK160" s="430"/>
      <c r="AL160" s="476"/>
      <c r="AM160" s="430"/>
      <c r="AN160" s="430"/>
      <c r="AO160" s="430"/>
      <c r="AP160" s="430"/>
      <c r="AQ160" s="430"/>
      <c r="AR160" s="430"/>
      <c r="AS160" s="430"/>
      <c r="AT160" s="430"/>
      <c r="AU160" s="430"/>
      <c r="AV160" s="430"/>
      <c r="AW160" s="430"/>
      <c r="AX160" s="430"/>
    </row>
    <row r="161">
      <c r="B161" s="471"/>
      <c r="E161" s="471"/>
      <c r="H161" s="471"/>
      <c r="K161" s="471"/>
      <c r="M161" s="454"/>
      <c r="N161" s="424"/>
      <c r="O161" s="424"/>
      <c r="P161" s="430"/>
      <c r="Q161" s="444"/>
      <c r="R161" s="424"/>
      <c r="S161" s="430"/>
      <c r="T161" s="444"/>
      <c r="U161" s="430"/>
      <c r="V161" s="430"/>
      <c r="W161" s="444"/>
      <c r="X161" s="444"/>
      <c r="Y161" s="430"/>
      <c r="Z161" s="430"/>
      <c r="AA161" s="430"/>
      <c r="AB161" s="444"/>
      <c r="AC161" s="444"/>
      <c r="AD161" s="430"/>
      <c r="AE161" s="430"/>
      <c r="AF161" s="430"/>
      <c r="AG161" s="444"/>
      <c r="AH161" s="444"/>
      <c r="AI161" s="430"/>
      <c r="AJ161" s="430"/>
      <c r="AK161" s="430"/>
      <c r="AL161" s="476"/>
      <c r="AM161" s="430"/>
      <c r="AN161" s="430"/>
      <c r="AO161" s="430"/>
      <c r="AP161" s="430"/>
      <c r="AQ161" s="430"/>
      <c r="AR161" s="430"/>
      <c r="AS161" s="430"/>
      <c r="AT161" s="430"/>
      <c r="AU161" s="430"/>
      <c r="AV161" s="430"/>
      <c r="AW161" s="430"/>
      <c r="AX161" s="430"/>
    </row>
    <row r="162">
      <c r="B162" s="471"/>
      <c r="E162" s="471"/>
      <c r="H162" s="471"/>
      <c r="K162" s="471"/>
      <c r="M162" s="454"/>
      <c r="N162" s="424"/>
      <c r="O162" s="424"/>
      <c r="P162" s="430"/>
      <c r="Q162" s="444"/>
      <c r="R162" s="424"/>
      <c r="S162" s="430"/>
      <c r="T162" s="444"/>
      <c r="U162" s="430"/>
      <c r="V162" s="430"/>
      <c r="W162" s="444"/>
      <c r="X162" s="444"/>
      <c r="Y162" s="430"/>
      <c r="Z162" s="430"/>
      <c r="AA162" s="430"/>
      <c r="AB162" s="444"/>
      <c r="AC162" s="444"/>
      <c r="AD162" s="430"/>
      <c r="AE162" s="430"/>
      <c r="AF162" s="430"/>
      <c r="AG162" s="444"/>
      <c r="AH162" s="444"/>
      <c r="AI162" s="430"/>
      <c r="AJ162" s="430"/>
      <c r="AK162" s="430"/>
      <c r="AL162" s="476"/>
      <c r="AM162" s="430"/>
      <c r="AN162" s="430"/>
      <c r="AO162" s="430"/>
      <c r="AP162" s="430"/>
      <c r="AQ162" s="430"/>
      <c r="AR162" s="430"/>
      <c r="AS162" s="430"/>
      <c r="AT162" s="430"/>
      <c r="AU162" s="430"/>
      <c r="AV162" s="430"/>
      <c r="AW162" s="430"/>
      <c r="AX162" s="430"/>
    </row>
    <row r="163">
      <c r="B163" s="471"/>
      <c r="E163" s="471"/>
      <c r="H163" s="471"/>
      <c r="K163" s="471"/>
      <c r="M163" s="454"/>
      <c r="N163" s="424"/>
      <c r="O163" s="424"/>
      <c r="P163" s="430"/>
      <c r="Q163" s="444"/>
      <c r="R163" s="424"/>
      <c r="S163" s="430"/>
      <c r="T163" s="444"/>
      <c r="U163" s="430"/>
      <c r="V163" s="430"/>
      <c r="W163" s="444"/>
      <c r="X163" s="444"/>
      <c r="Y163" s="430"/>
      <c r="Z163" s="430"/>
      <c r="AA163" s="430"/>
      <c r="AB163" s="444"/>
      <c r="AC163" s="444"/>
      <c r="AD163" s="430"/>
      <c r="AE163" s="430"/>
      <c r="AF163" s="430"/>
      <c r="AG163" s="444"/>
      <c r="AH163" s="444"/>
      <c r="AI163" s="430"/>
      <c r="AJ163" s="430"/>
      <c r="AK163" s="430"/>
      <c r="AL163" s="476"/>
      <c r="AM163" s="430"/>
      <c r="AN163" s="430"/>
      <c r="AO163" s="430"/>
      <c r="AP163" s="430"/>
      <c r="AQ163" s="430"/>
      <c r="AR163" s="430"/>
      <c r="AS163" s="430"/>
      <c r="AT163" s="430"/>
      <c r="AU163" s="430"/>
      <c r="AV163" s="430"/>
      <c r="AW163" s="430"/>
      <c r="AX163" s="430"/>
    </row>
    <row r="164">
      <c r="B164" s="471"/>
      <c r="E164" s="471"/>
      <c r="H164" s="471"/>
      <c r="K164" s="471"/>
      <c r="M164" s="454"/>
      <c r="N164" s="424"/>
      <c r="O164" s="424"/>
      <c r="P164" s="430"/>
      <c r="Q164" s="444"/>
      <c r="R164" s="424"/>
      <c r="S164" s="430"/>
      <c r="T164" s="444"/>
      <c r="U164" s="430"/>
      <c r="V164" s="430"/>
      <c r="W164" s="444"/>
      <c r="X164" s="444"/>
      <c r="Y164" s="430"/>
      <c r="Z164" s="430"/>
      <c r="AA164" s="430"/>
      <c r="AB164" s="444"/>
      <c r="AC164" s="444"/>
      <c r="AD164" s="430"/>
      <c r="AE164" s="430"/>
      <c r="AF164" s="430"/>
      <c r="AG164" s="444"/>
      <c r="AH164" s="444"/>
      <c r="AI164" s="430"/>
      <c r="AJ164" s="430"/>
      <c r="AK164" s="430"/>
      <c r="AL164" s="476"/>
      <c r="AM164" s="430"/>
      <c r="AN164" s="430"/>
      <c r="AO164" s="430"/>
      <c r="AP164" s="430"/>
      <c r="AQ164" s="430"/>
      <c r="AR164" s="430"/>
      <c r="AS164" s="430"/>
      <c r="AT164" s="430"/>
      <c r="AU164" s="430"/>
      <c r="AV164" s="430"/>
      <c r="AW164" s="430"/>
      <c r="AX164" s="430"/>
    </row>
    <row r="165">
      <c r="B165" s="471"/>
      <c r="E165" s="471"/>
      <c r="H165" s="471"/>
      <c r="K165" s="471"/>
      <c r="M165" s="454"/>
      <c r="N165" s="424"/>
      <c r="O165" s="424"/>
      <c r="P165" s="430"/>
      <c r="Q165" s="444"/>
      <c r="R165" s="424"/>
      <c r="S165" s="430"/>
      <c r="T165" s="444"/>
      <c r="U165" s="430"/>
      <c r="V165" s="430"/>
      <c r="W165" s="444"/>
      <c r="X165" s="444"/>
      <c r="Y165" s="430"/>
      <c r="Z165" s="430"/>
      <c r="AA165" s="430"/>
      <c r="AB165" s="444"/>
      <c r="AC165" s="444"/>
      <c r="AD165" s="430"/>
      <c r="AE165" s="430"/>
      <c r="AF165" s="430"/>
      <c r="AG165" s="444"/>
      <c r="AH165" s="444"/>
      <c r="AI165" s="430"/>
      <c r="AJ165" s="430"/>
      <c r="AK165" s="430"/>
      <c r="AL165" s="476"/>
      <c r="AM165" s="430"/>
      <c r="AN165" s="430"/>
      <c r="AO165" s="430"/>
      <c r="AP165" s="430"/>
      <c r="AQ165" s="430"/>
      <c r="AR165" s="430"/>
      <c r="AS165" s="430"/>
      <c r="AT165" s="430"/>
      <c r="AU165" s="430"/>
      <c r="AV165" s="430"/>
      <c r="AW165" s="430"/>
      <c r="AX165" s="430"/>
    </row>
    <row r="166">
      <c r="B166" s="471"/>
      <c r="E166" s="471"/>
      <c r="H166" s="471"/>
      <c r="K166" s="471"/>
      <c r="M166" s="454"/>
      <c r="N166" s="424"/>
      <c r="O166" s="424"/>
      <c r="P166" s="430"/>
      <c r="Q166" s="444"/>
      <c r="R166" s="424"/>
      <c r="S166" s="430"/>
      <c r="T166" s="444"/>
      <c r="U166" s="430"/>
      <c r="V166" s="430"/>
      <c r="W166" s="444"/>
      <c r="X166" s="444"/>
      <c r="Y166" s="430"/>
      <c r="Z166" s="430"/>
      <c r="AA166" s="430"/>
      <c r="AB166" s="444"/>
      <c r="AC166" s="444"/>
      <c r="AD166" s="430"/>
      <c r="AE166" s="430"/>
      <c r="AF166" s="430"/>
      <c r="AG166" s="444"/>
      <c r="AH166" s="444"/>
      <c r="AI166" s="430"/>
      <c r="AJ166" s="430"/>
      <c r="AK166" s="430"/>
      <c r="AL166" s="476"/>
      <c r="AM166" s="430"/>
      <c r="AN166" s="430"/>
      <c r="AO166" s="430"/>
      <c r="AP166" s="430"/>
      <c r="AQ166" s="430"/>
      <c r="AR166" s="430"/>
      <c r="AS166" s="430"/>
      <c r="AT166" s="430"/>
      <c r="AU166" s="430"/>
      <c r="AV166" s="430"/>
      <c r="AW166" s="430"/>
      <c r="AX166" s="430"/>
    </row>
    <row r="167">
      <c r="B167" s="471"/>
      <c r="E167" s="471"/>
      <c r="H167" s="471"/>
      <c r="K167" s="471"/>
      <c r="M167" s="454"/>
      <c r="N167" s="424"/>
      <c r="O167" s="424"/>
      <c r="P167" s="430"/>
      <c r="Q167" s="444"/>
      <c r="R167" s="424"/>
      <c r="S167" s="430"/>
      <c r="T167" s="444"/>
      <c r="U167" s="430"/>
      <c r="V167" s="430"/>
      <c r="W167" s="444"/>
      <c r="X167" s="444"/>
      <c r="Y167" s="430"/>
      <c r="Z167" s="430"/>
      <c r="AA167" s="430"/>
      <c r="AB167" s="444"/>
      <c r="AC167" s="444"/>
      <c r="AD167" s="430"/>
      <c r="AE167" s="430"/>
      <c r="AF167" s="430"/>
      <c r="AG167" s="444"/>
      <c r="AH167" s="444"/>
      <c r="AI167" s="430"/>
      <c r="AJ167" s="430"/>
      <c r="AK167" s="430"/>
      <c r="AL167" s="476"/>
      <c r="AM167" s="430"/>
      <c r="AN167" s="430"/>
      <c r="AO167" s="430"/>
      <c r="AP167" s="430"/>
      <c r="AQ167" s="430"/>
      <c r="AR167" s="430"/>
      <c r="AS167" s="430"/>
      <c r="AT167" s="430"/>
      <c r="AU167" s="430"/>
      <c r="AV167" s="430"/>
      <c r="AW167" s="430"/>
      <c r="AX167" s="430"/>
    </row>
    <row r="168">
      <c r="B168" s="471"/>
      <c r="E168" s="471"/>
      <c r="H168" s="471"/>
      <c r="K168" s="471"/>
      <c r="M168" s="454"/>
      <c r="N168" s="424"/>
      <c r="O168" s="424"/>
      <c r="P168" s="430"/>
      <c r="Q168" s="444"/>
      <c r="R168" s="424"/>
      <c r="S168" s="430"/>
      <c r="T168" s="444"/>
      <c r="U168" s="430"/>
      <c r="V168" s="430"/>
      <c r="W168" s="444"/>
      <c r="X168" s="444"/>
      <c r="Y168" s="430"/>
      <c r="Z168" s="430"/>
      <c r="AA168" s="430"/>
      <c r="AB168" s="444"/>
      <c r="AC168" s="444"/>
      <c r="AD168" s="430"/>
      <c r="AE168" s="430"/>
      <c r="AF168" s="430"/>
      <c r="AG168" s="444"/>
      <c r="AH168" s="444"/>
      <c r="AI168" s="430"/>
      <c r="AJ168" s="430"/>
      <c r="AK168" s="430"/>
      <c r="AL168" s="476"/>
      <c r="AM168" s="430"/>
      <c r="AN168" s="430"/>
      <c r="AO168" s="430"/>
      <c r="AP168" s="430"/>
      <c r="AQ168" s="430"/>
      <c r="AR168" s="430"/>
      <c r="AS168" s="430"/>
      <c r="AT168" s="430"/>
      <c r="AU168" s="430"/>
      <c r="AV168" s="430"/>
      <c r="AW168" s="430"/>
      <c r="AX168" s="430"/>
    </row>
    <row r="169">
      <c r="B169" s="471"/>
      <c r="E169" s="471"/>
      <c r="H169" s="471"/>
      <c r="K169" s="471"/>
      <c r="M169" s="454"/>
      <c r="N169" s="424"/>
      <c r="O169" s="424"/>
      <c r="P169" s="430"/>
      <c r="Q169" s="444"/>
      <c r="R169" s="424"/>
      <c r="S169" s="430"/>
      <c r="T169" s="444"/>
      <c r="U169" s="430"/>
      <c r="V169" s="430"/>
      <c r="W169" s="444"/>
      <c r="X169" s="444"/>
      <c r="Y169" s="430"/>
      <c r="Z169" s="430"/>
      <c r="AA169" s="430"/>
      <c r="AB169" s="444"/>
      <c r="AC169" s="444"/>
      <c r="AD169" s="430"/>
      <c r="AE169" s="430"/>
      <c r="AF169" s="430"/>
      <c r="AG169" s="444"/>
      <c r="AH169" s="444"/>
      <c r="AI169" s="430"/>
      <c r="AJ169" s="430"/>
      <c r="AK169" s="430"/>
      <c r="AL169" s="476"/>
      <c r="AM169" s="430"/>
      <c r="AN169" s="430"/>
      <c r="AO169" s="430"/>
      <c r="AP169" s="430"/>
      <c r="AQ169" s="430"/>
      <c r="AR169" s="430"/>
      <c r="AS169" s="430"/>
      <c r="AT169" s="430"/>
      <c r="AU169" s="430"/>
      <c r="AV169" s="430"/>
      <c r="AW169" s="430"/>
      <c r="AX169" s="430"/>
    </row>
    <row r="170">
      <c r="B170" s="471"/>
      <c r="E170" s="471"/>
      <c r="H170" s="471"/>
      <c r="K170" s="471"/>
      <c r="M170" s="454"/>
      <c r="N170" s="424"/>
      <c r="O170" s="424"/>
      <c r="P170" s="430"/>
      <c r="Q170" s="444"/>
      <c r="R170" s="424"/>
      <c r="S170" s="430"/>
      <c r="T170" s="444"/>
      <c r="U170" s="430"/>
      <c r="V170" s="430"/>
      <c r="W170" s="444"/>
      <c r="X170" s="444"/>
      <c r="Y170" s="430"/>
      <c r="Z170" s="430"/>
      <c r="AA170" s="430"/>
      <c r="AB170" s="444"/>
      <c r="AC170" s="444"/>
      <c r="AD170" s="430"/>
      <c r="AE170" s="430"/>
      <c r="AF170" s="430"/>
      <c r="AG170" s="444"/>
      <c r="AH170" s="444"/>
      <c r="AI170" s="430"/>
      <c r="AJ170" s="430"/>
      <c r="AK170" s="430"/>
      <c r="AL170" s="476"/>
      <c r="AM170" s="430"/>
      <c r="AN170" s="430"/>
      <c r="AO170" s="430"/>
      <c r="AP170" s="430"/>
      <c r="AQ170" s="430"/>
      <c r="AR170" s="430"/>
      <c r="AS170" s="430"/>
      <c r="AT170" s="430"/>
      <c r="AU170" s="430"/>
      <c r="AV170" s="430"/>
      <c r="AW170" s="430"/>
      <c r="AX170" s="430"/>
    </row>
    <row r="171">
      <c r="B171" s="471"/>
      <c r="E171" s="471"/>
      <c r="H171" s="471"/>
      <c r="K171" s="471"/>
      <c r="M171" s="454"/>
      <c r="N171" s="424"/>
      <c r="O171" s="424"/>
      <c r="P171" s="430"/>
      <c r="Q171" s="444"/>
      <c r="R171" s="424"/>
      <c r="S171" s="430"/>
      <c r="T171" s="444"/>
      <c r="U171" s="430"/>
      <c r="V171" s="430"/>
      <c r="W171" s="444"/>
      <c r="X171" s="444"/>
      <c r="Y171" s="430"/>
      <c r="Z171" s="430"/>
      <c r="AA171" s="430"/>
      <c r="AB171" s="444"/>
      <c r="AC171" s="444"/>
      <c r="AD171" s="430"/>
      <c r="AE171" s="430"/>
      <c r="AF171" s="430"/>
      <c r="AG171" s="444"/>
      <c r="AH171" s="444"/>
      <c r="AI171" s="430"/>
      <c r="AJ171" s="430"/>
      <c r="AK171" s="430"/>
      <c r="AL171" s="476"/>
      <c r="AM171" s="430"/>
      <c r="AN171" s="430"/>
      <c r="AO171" s="430"/>
      <c r="AP171" s="430"/>
      <c r="AQ171" s="430"/>
      <c r="AR171" s="430"/>
      <c r="AS171" s="430"/>
      <c r="AT171" s="430"/>
      <c r="AU171" s="430"/>
      <c r="AV171" s="430"/>
      <c r="AW171" s="430"/>
      <c r="AX171" s="430"/>
    </row>
    <row r="172">
      <c r="B172" s="471"/>
      <c r="E172" s="471"/>
      <c r="H172" s="471"/>
      <c r="K172" s="471"/>
      <c r="M172" s="454"/>
      <c r="N172" s="424"/>
      <c r="O172" s="424"/>
      <c r="P172" s="430"/>
      <c r="Q172" s="444"/>
      <c r="R172" s="424"/>
      <c r="S172" s="430"/>
      <c r="T172" s="444"/>
      <c r="U172" s="430"/>
      <c r="V172" s="430"/>
      <c r="W172" s="444"/>
      <c r="X172" s="444"/>
      <c r="Y172" s="430"/>
      <c r="Z172" s="430"/>
      <c r="AA172" s="430"/>
      <c r="AB172" s="444"/>
      <c r="AC172" s="444"/>
      <c r="AD172" s="430"/>
      <c r="AE172" s="430"/>
      <c r="AF172" s="430"/>
      <c r="AG172" s="444"/>
      <c r="AH172" s="444"/>
      <c r="AI172" s="430"/>
      <c r="AJ172" s="430"/>
      <c r="AK172" s="430"/>
      <c r="AL172" s="476"/>
      <c r="AM172" s="430"/>
      <c r="AN172" s="430"/>
      <c r="AO172" s="430"/>
      <c r="AP172" s="430"/>
      <c r="AQ172" s="430"/>
      <c r="AR172" s="430"/>
      <c r="AS172" s="430"/>
      <c r="AT172" s="430"/>
      <c r="AU172" s="430"/>
      <c r="AV172" s="430"/>
      <c r="AW172" s="430"/>
      <c r="AX172" s="430"/>
    </row>
    <row r="173">
      <c r="B173" s="471"/>
      <c r="E173" s="471"/>
      <c r="H173" s="471"/>
      <c r="K173" s="471"/>
      <c r="M173" s="454"/>
      <c r="N173" s="424"/>
      <c r="O173" s="424"/>
      <c r="P173" s="430"/>
      <c r="Q173" s="444"/>
      <c r="R173" s="424"/>
      <c r="S173" s="430"/>
      <c r="T173" s="444"/>
      <c r="U173" s="430"/>
      <c r="V173" s="430"/>
      <c r="W173" s="444"/>
      <c r="X173" s="444"/>
      <c r="Y173" s="430"/>
      <c r="Z173" s="430"/>
      <c r="AA173" s="430"/>
      <c r="AB173" s="444"/>
      <c r="AC173" s="444"/>
      <c r="AD173" s="430"/>
      <c r="AE173" s="430"/>
      <c r="AF173" s="430"/>
      <c r="AG173" s="444"/>
      <c r="AH173" s="444"/>
      <c r="AI173" s="430"/>
      <c r="AJ173" s="430"/>
      <c r="AK173" s="430"/>
      <c r="AL173" s="476"/>
      <c r="AM173" s="430"/>
      <c r="AN173" s="430"/>
      <c r="AO173" s="430"/>
      <c r="AP173" s="430"/>
      <c r="AQ173" s="430"/>
      <c r="AR173" s="430"/>
      <c r="AS173" s="430"/>
      <c r="AT173" s="430"/>
      <c r="AU173" s="430"/>
      <c r="AV173" s="430"/>
      <c r="AW173" s="430"/>
      <c r="AX173" s="430"/>
    </row>
    <row r="174">
      <c r="B174" s="471"/>
      <c r="E174" s="471"/>
      <c r="H174" s="471"/>
      <c r="K174" s="471"/>
      <c r="M174" s="454"/>
      <c r="N174" s="424"/>
      <c r="O174" s="424"/>
      <c r="P174" s="430"/>
      <c r="Q174" s="444"/>
      <c r="R174" s="424"/>
      <c r="S174" s="430"/>
      <c r="T174" s="444"/>
      <c r="U174" s="430"/>
      <c r="V174" s="430"/>
      <c r="W174" s="444"/>
      <c r="X174" s="444"/>
      <c r="Y174" s="430"/>
      <c r="Z174" s="430"/>
      <c r="AA174" s="430"/>
      <c r="AB174" s="444"/>
      <c r="AC174" s="444"/>
      <c r="AD174" s="430"/>
      <c r="AE174" s="430"/>
      <c r="AF174" s="430"/>
      <c r="AG174" s="444"/>
      <c r="AH174" s="444"/>
      <c r="AI174" s="430"/>
      <c r="AJ174" s="430"/>
      <c r="AK174" s="430"/>
      <c r="AL174" s="476"/>
      <c r="AM174" s="430"/>
      <c r="AN174" s="430"/>
      <c r="AO174" s="430"/>
      <c r="AP174" s="430"/>
      <c r="AQ174" s="430"/>
      <c r="AR174" s="430"/>
      <c r="AS174" s="430"/>
      <c r="AT174" s="430"/>
      <c r="AU174" s="430"/>
      <c r="AV174" s="430"/>
      <c r="AW174" s="430"/>
      <c r="AX174" s="430"/>
    </row>
    <row r="175">
      <c r="B175" s="471"/>
      <c r="E175" s="471"/>
      <c r="H175" s="471"/>
      <c r="K175" s="471"/>
      <c r="M175" s="454"/>
      <c r="N175" s="424"/>
      <c r="O175" s="424"/>
      <c r="P175" s="430"/>
      <c r="Q175" s="444"/>
      <c r="R175" s="424"/>
      <c r="S175" s="430"/>
      <c r="T175" s="444"/>
      <c r="U175" s="430"/>
      <c r="V175" s="430"/>
      <c r="W175" s="444"/>
      <c r="X175" s="444"/>
      <c r="Y175" s="430"/>
      <c r="Z175" s="430"/>
      <c r="AA175" s="430"/>
      <c r="AB175" s="444"/>
      <c r="AC175" s="444"/>
      <c r="AD175" s="430"/>
      <c r="AE175" s="430"/>
      <c r="AF175" s="430"/>
      <c r="AG175" s="444"/>
      <c r="AH175" s="444"/>
      <c r="AI175" s="430"/>
      <c r="AJ175" s="430"/>
      <c r="AK175" s="430"/>
      <c r="AL175" s="476"/>
      <c r="AM175" s="430"/>
      <c r="AN175" s="430"/>
      <c r="AO175" s="430"/>
      <c r="AP175" s="430"/>
      <c r="AQ175" s="430"/>
      <c r="AR175" s="430"/>
      <c r="AS175" s="430"/>
      <c r="AT175" s="430"/>
      <c r="AU175" s="430"/>
      <c r="AV175" s="430"/>
      <c r="AW175" s="430"/>
      <c r="AX175" s="430"/>
    </row>
    <row r="176">
      <c r="B176" s="471"/>
      <c r="E176" s="471"/>
      <c r="H176" s="471"/>
      <c r="K176" s="471"/>
      <c r="M176" s="454"/>
      <c r="N176" s="424"/>
      <c r="O176" s="424"/>
      <c r="P176" s="430"/>
      <c r="Q176" s="444"/>
      <c r="R176" s="424"/>
      <c r="S176" s="430"/>
      <c r="T176" s="444"/>
      <c r="U176" s="430"/>
      <c r="V176" s="430"/>
      <c r="W176" s="444"/>
      <c r="X176" s="444"/>
      <c r="Y176" s="430"/>
      <c r="Z176" s="430"/>
      <c r="AA176" s="430"/>
      <c r="AB176" s="444"/>
      <c r="AC176" s="444"/>
      <c r="AD176" s="430"/>
      <c r="AE176" s="430"/>
      <c r="AF176" s="430"/>
      <c r="AG176" s="444"/>
      <c r="AH176" s="444"/>
      <c r="AI176" s="430"/>
      <c r="AJ176" s="430"/>
      <c r="AK176" s="430"/>
      <c r="AL176" s="476"/>
      <c r="AM176" s="430"/>
      <c r="AN176" s="430"/>
      <c r="AO176" s="430"/>
      <c r="AP176" s="430"/>
      <c r="AQ176" s="430"/>
      <c r="AR176" s="430"/>
      <c r="AS176" s="430"/>
      <c r="AT176" s="430"/>
      <c r="AU176" s="430"/>
      <c r="AV176" s="430"/>
      <c r="AW176" s="430"/>
      <c r="AX176" s="430"/>
    </row>
    <row r="177">
      <c r="B177" s="471"/>
      <c r="E177" s="471"/>
      <c r="H177" s="471"/>
      <c r="K177" s="471"/>
      <c r="M177" s="454"/>
      <c r="N177" s="424"/>
      <c r="O177" s="424"/>
      <c r="P177" s="430"/>
      <c r="Q177" s="444"/>
      <c r="R177" s="424"/>
      <c r="S177" s="430"/>
      <c r="T177" s="444"/>
      <c r="U177" s="430"/>
      <c r="V177" s="430"/>
      <c r="W177" s="444"/>
      <c r="X177" s="444"/>
      <c r="Y177" s="430"/>
      <c r="Z177" s="430"/>
      <c r="AA177" s="430"/>
      <c r="AB177" s="444"/>
      <c r="AC177" s="444"/>
      <c r="AD177" s="430"/>
      <c r="AE177" s="430"/>
      <c r="AF177" s="430"/>
      <c r="AG177" s="444"/>
      <c r="AH177" s="444"/>
      <c r="AI177" s="430"/>
      <c r="AJ177" s="430"/>
      <c r="AK177" s="430"/>
      <c r="AL177" s="476"/>
      <c r="AM177" s="430"/>
      <c r="AN177" s="430"/>
      <c r="AO177" s="430"/>
      <c r="AP177" s="430"/>
      <c r="AQ177" s="430"/>
      <c r="AR177" s="430"/>
      <c r="AS177" s="430"/>
      <c r="AT177" s="430"/>
      <c r="AU177" s="430"/>
      <c r="AV177" s="430"/>
      <c r="AW177" s="430"/>
      <c r="AX177" s="430"/>
    </row>
    <row r="178">
      <c r="B178" s="471"/>
      <c r="E178" s="471"/>
      <c r="H178" s="471"/>
      <c r="K178" s="471"/>
      <c r="M178" s="454"/>
      <c r="N178" s="424"/>
      <c r="O178" s="424"/>
      <c r="P178" s="430"/>
      <c r="Q178" s="444"/>
      <c r="R178" s="424"/>
      <c r="S178" s="430"/>
      <c r="T178" s="444"/>
      <c r="U178" s="430"/>
      <c r="V178" s="430"/>
      <c r="W178" s="444"/>
      <c r="X178" s="444"/>
      <c r="Y178" s="430"/>
      <c r="Z178" s="430"/>
      <c r="AA178" s="430"/>
      <c r="AB178" s="444"/>
      <c r="AC178" s="444"/>
      <c r="AD178" s="430"/>
      <c r="AE178" s="430"/>
      <c r="AF178" s="430"/>
      <c r="AG178" s="444"/>
      <c r="AH178" s="444"/>
      <c r="AI178" s="430"/>
      <c r="AJ178" s="430"/>
      <c r="AK178" s="430"/>
      <c r="AL178" s="476"/>
      <c r="AM178" s="430"/>
      <c r="AN178" s="430"/>
      <c r="AO178" s="430"/>
      <c r="AP178" s="430"/>
      <c r="AQ178" s="430"/>
      <c r="AR178" s="430"/>
      <c r="AS178" s="430"/>
      <c r="AT178" s="430"/>
      <c r="AU178" s="430"/>
      <c r="AV178" s="430"/>
      <c r="AW178" s="430"/>
      <c r="AX178" s="430"/>
    </row>
    <row r="179">
      <c r="B179" s="471"/>
      <c r="E179" s="471"/>
      <c r="H179" s="471"/>
      <c r="K179" s="471"/>
      <c r="M179" s="454"/>
      <c r="N179" s="424"/>
      <c r="O179" s="424"/>
      <c r="P179" s="430"/>
      <c r="Q179" s="444"/>
      <c r="R179" s="424"/>
      <c r="S179" s="430"/>
      <c r="T179" s="444"/>
      <c r="U179" s="430"/>
      <c r="V179" s="430"/>
      <c r="W179" s="444"/>
      <c r="X179" s="444"/>
      <c r="Y179" s="430"/>
      <c r="Z179" s="430"/>
      <c r="AA179" s="430"/>
      <c r="AB179" s="444"/>
      <c r="AC179" s="444"/>
      <c r="AD179" s="430"/>
      <c r="AE179" s="430"/>
      <c r="AF179" s="430"/>
      <c r="AG179" s="444"/>
      <c r="AH179" s="444"/>
      <c r="AI179" s="430"/>
      <c r="AJ179" s="430"/>
      <c r="AK179" s="430"/>
      <c r="AL179" s="476"/>
      <c r="AM179" s="430"/>
      <c r="AN179" s="430"/>
      <c r="AO179" s="430"/>
      <c r="AP179" s="430"/>
      <c r="AQ179" s="430"/>
      <c r="AR179" s="430"/>
      <c r="AS179" s="430"/>
      <c r="AT179" s="430"/>
      <c r="AU179" s="430"/>
      <c r="AV179" s="430"/>
      <c r="AW179" s="430"/>
      <c r="AX179" s="430"/>
    </row>
    <row r="180">
      <c r="B180" s="471"/>
      <c r="E180" s="471"/>
      <c r="H180" s="471"/>
      <c r="K180" s="471"/>
      <c r="M180" s="454"/>
      <c r="N180" s="424"/>
      <c r="O180" s="424"/>
      <c r="P180" s="430"/>
      <c r="Q180" s="444"/>
      <c r="R180" s="424"/>
      <c r="S180" s="430"/>
      <c r="T180" s="444"/>
      <c r="U180" s="430"/>
      <c r="V180" s="430"/>
      <c r="W180" s="444"/>
      <c r="X180" s="444"/>
      <c r="Y180" s="430"/>
      <c r="Z180" s="430"/>
      <c r="AA180" s="430"/>
      <c r="AB180" s="444"/>
      <c r="AC180" s="444"/>
      <c r="AD180" s="430"/>
      <c r="AE180" s="430"/>
      <c r="AF180" s="430"/>
      <c r="AG180" s="444"/>
      <c r="AH180" s="444"/>
      <c r="AI180" s="430"/>
      <c r="AJ180" s="430"/>
      <c r="AK180" s="430"/>
      <c r="AL180" s="476"/>
      <c r="AM180" s="430"/>
      <c r="AN180" s="430"/>
      <c r="AO180" s="430"/>
      <c r="AP180" s="430"/>
      <c r="AQ180" s="430"/>
      <c r="AR180" s="430"/>
      <c r="AS180" s="430"/>
      <c r="AT180" s="430"/>
      <c r="AU180" s="430"/>
      <c r="AV180" s="430"/>
      <c r="AW180" s="430"/>
      <c r="AX180" s="430"/>
    </row>
    <row r="181">
      <c r="B181" s="471"/>
      <c r="E181" s="471"/>
      <c r="H181" s="471"/>
      <c r="K181" s="471"/>
      <c r="M181" s="454"/>
      <c r="N181" s="424"/>
      <c r="O181" s="424"/>
      <c r="P181" s="430"/>
      <c r="Q181" s="444"/>
      <c r="R181" s="424"/>
      <c r="S181" s="430"/>
      <c r="T181" s="444"/>
      <c r="U181" s="430"/>
      <c r="V181" s="430"/>
      <c r="W181" s="444"/>
      <c r="X181" s="444"/>
      <c r="Y181" s="430"/>
      <c r="Z181" s="430"/>
      <c r="AA181" s="430"/>
      <c r="AB181" s="444"/>
      <c r="AC181" s="444"/>
      <c r="AD181" s="430"/>
      <c r="AE181" s="430"/>
      <c r="AF181" s="430"/>
      <c r="AG181" s="444"/>
      <c r="AH181" s="444"/>
      <c r="AI181" s="430"/>
      <c r="AJ181" s="430"/>
      <c r="AK181" s="430"/>
      <c r="AL181" s="476"/>
      <c r="AM181" s="430"/>
      <c r="AN181" s="430"/>
      <c r="AO181" s="430"/>
      <c r="AP181" s="430"/>
      <c r="AQ181" s="430"/>
      <c r="AR181" s="430"/>
      <c r="AS181" s="430"/>
      <c r="AT181" s="430"/>
      <c r="AU181" s="430"/>
      <c r="AV181" s="430"/>
      <c r="AW181" s="430"/>
      <c r="AX181" s="430"/>
    </row>
    <row r="182">
      <c r="B182" s="471"/>
      <c r="E182" s="471"/>
      <c r="H182" s="471"/>
      <c r="K182" s="471"/>
      <c r="M182" s="454"/>
      <c r="N182" s="424"/>
      <c r="O182" s="424"/>
      <c r="P182" s="430"/>
      <c r="Q182" s="444"/>
      <c r="R182" s="424"/>
      <c r="S182" s="430"/>
      <c r="T182" s="444"/>
      <c r="U182" s="430"/>
      <c r="V182" s="430"/>
      <c r="W182" s="444"/>
      <c r="X182" s="444"/>
      <c r="Y182" s="430"/>
      <c r="Z182" s="430"/>
      <c r="AA182" s="430"/>
      <c r="AB182" s="444"/>
      <c r="AC182" s="444"/>
      <c r="AD182" s="430"/>
      <c r="AE182" s="430"/>
      <c r="AF182" s="430"/>
      <c r="AG182" s="444"/>
      <c r="AH182" s="444"/>
      <c r="AI182" s="430"/>
      <c r="AJ182" s="430"/>
      <c r="AK182" s="430"/>
      <c r="AL182" s="476"/>
      <c r="AM182" s="430"/>
      <c r="AN182" s="430"/>
      <c r="AO182" s="430"/>
      <c r="AP182" s="430"/>
      <c r="AQ182" s="430"/>
      <c r="AR182" s="430"/>
      <c r="AS182" s="430"/>
      <c r="AT182" s="430"/>
      <c r="AU182" s="430"/>
      <c r="AV182" s="430"/>
      <c r="AW182" s="430"/>
      <c r="AX182" s="430"/>
    </row>
    <row r="183">
      <c r="B183" s="471"/>
      <c r="E183" s="471"/>
      <c r="H183" s="471"/>
      <c r="K183" s="471"/>
      <c r="M183" s="454"/>
      <c r="N183" s="424"/>
      <c r="O183" s="424"/>
      <c r="P183" s="430"/>
      <c r="Q183" s="444"/>
      <c r="R183" s="424"/>
      <c r="S183" s="430"/>
      <c r="T183" s="444"/>
      <c r="U183" s="430"/>
      <c r="V183" s="430"/>
      <c r="W183" s="444"/>
      <c r="X183" s="444"/>
      <c r="Y183" s="430"/>
      <c r="Z183" s="430"/>
      <c r="AA183" s="430"/>
      <c r="AB183" s="444"/>
      <c r="AC183" s="444"/>
      <c r="AD183" s="430"/>
      <c r="AE183" s="430"/>
      <c r="AF183" s="430"/>
      <c r="AG183" s="444"/>
      <c r="AH183" s="444"/>
      <c r="AI183" s="430"/>
      <c r="AJ183" s="430"/>
      <c r="AK183" s="430"/>
      <c r="AL183" s="476"/>
      <c r="AM183" s="430"/>
      <c r="AN183" s="430"/>
      <c r="AO183" s="430"/>
      <c r="AP183" s="430"/>
      <c r="AQ183" s="430"/>
      <c r="AR183" s="430"/>
      <c r="AS183" s="430"/>
      <c r="AT183" s="430"/>
      <c r="AU183" s="430"/>
      <c r="AV183" s="430"/>
      <c r="AW183" s="430"/>
      <c r="AX183" s="430"/>
    </row>
    <row r="184">
      <c r="B184" s="471"/>
      <c r="E184" s="471"/>
      <c r="H184" s="471"/>
      <c r="K184" s="471"/>
      <c r="M184" s="454"/>
      <c r="N184" s="424"/>
      <c r="O184" s="424"/>
      <c r="P184" s="430"/>
      <c r="Q184" s="444"/>
      <c r="R184" s="424"/>
      <c r="S184" s="430"/>
      <c r="T184" s="444"/>
      <c r="U184" s="430"/>
      <c r="V184" s="430"/>
      <c r="W184" s="444"/>
      <c r="X184" s="444"/>
      <c r="Y184" s="430"/>
      <c r="Z184" s="430"/>
      <c r="AA184" s="430"/>
      <c r="AB184" s="444"/>
      <c r="AC184" s="444"/>
      <c r="AD184" s="430"/>
      <c r="AE184" s="430"/>
      <c r="AF184" s="430"/>
      <c r="AG184" s="444"/>
      <c r="AH184" s="444"/>
      <c r="AI184" s="430"/>
      <c r="AJ184" s="430"/>
      <c r="AK184" s="430"/>
      <c r="AL184" s="476"/>
      <c r="AM184" s="430"/>
      <c r="AN184" s="430"/>
      <c r="AO184" s="430"/>
      <c r="AP184" s="430"/>
      <c r="AQ184" s="430"/>
      <c r="AR184" s="430"/>
      <c r="AS184" s="430"/>
      <c r="AT184" s="430"/>
      <c r="AU184" s="430"/>
      <c r="AV184" s="430"/>
      <c r="AW184" s="430"/>
      <c r="AX184" s="430"/>
    </row>
    <row r="185">
      <c r="B185" s="471"/>
      <c r="E185" s="471"/>
      <c r="H185" s="471"/>
      <c r="K185" s="471"/>
      <c r="M185" s="454"/>
      <c r="N185" s="424"/>
      <c r="O185" s="424"/>
      <c r="P185" s="430"/>
      <c r="Q185" s="444"/>
      <c r="R185" s="424"/>
      <c r="S185" s="430"/>
      <c r="T185" s="444"/>
      <c r="U185" s="430"/>
      <c r="V185" s="430"/>
      <c r="W185" s="444"/>
      <c r="X185" s="444"/>
      <c r="Y185" s="430"/>
      <c r="Z185" s="430"/>
      <c r="AA185" s="430"/>
      <c r="AB185" s="444"/>
      <c r="AC185" s="444"/>
      <c r="AD185" s="430"/>
      <c r="AE185" s="430"/>
      <c r="AF185" s="430"/>
      <c r="AG185" s="444"/>
      <c r="AH185" s="444"/>
      <c r="AI185" s="430"/>
      <c r="AJ185" s="430"/>
      <c r="AK185" s="430"/>
      <c r="AL185" s="476"/>
      <c r="AM185" s="430"/>
      <c r="AN185" s="430"/>
      <c r="AO185" s="430"/>
      <c r="AP185" s="430"/>
      <c r="AQ185" s="430"/>
      <c r="AR185" s="430"/>
      <c r="AS185" s="430"/>
      <c r="AT185" s="430"/>
      <c r="AU185" s="430"/>
      <c r="AV185" s="430"/>
      <c r="AW185" s="430"/>
      <c r="AX185" s="430"/>
    </row>
    <row r="186">
      <c r="B186" s="471"/>
      <c r="E186" s="471"/>
      <c r="H186" s="471"/>
      <c r="K186" s="471"/>
      <c r="M186" s="454"/>
      <c r="N186" s="424"/>
      <c r="O186" s="424"/>
      <c r="P186" s="430"/>
      <c r="Q186" s="444"/>
      <c r="R186" s="424"/>
      <c r="S186" s="430"/>
      <c r="T186" s="444"/>
      <c r="U186" s="430"/>
      <c r="V186" s="430"/>
      <c r="W186" s="444"/>
      <c r="X186" s="444"/>
      <c r="Y186" s="430"/>
      <c r="Z186" s="430"/>
      <c r="AA186" s="430"/>
      <c r="AB186" s="444"/>
      <c r="AC186" s="444"/>
      <c r="AD186" s="430"/>
      <c r="AE186" s="430"/>
      <c r="AF186" s="430"/>
      <c r="AG186" s="444"/>
      <c r="AH186" s="444"/>
      <c r="AI186" s="430"/>
      <c r="AJ186" s="430"/>
      <c r="AK186" s="430"/>
      <c r="AL186" s="476"/>
      <c r="AM186" s="430"/>
      <c r="AN186" s="430"/>
      <c r="AO186" s="430"/>
      <c r="AP186" s="430"/>
      <c r="AQ186" s="430"/>
      <c r="AR186" s="430"/>
      <c r="AS186" s="430"/>
      <c r="AT186" s="430"/>
      <c r="AU186" s="430"/>
      <c r="AV186" s="430"/>
      <c r="AW186" s="430"/>
      <c r="AX186" s="430"/>
    </row>
    <row r="187">
      <c r="B187" s="471"/>
      <c r="E187" s="471"/>
      <c r="H187" s="471"/>
      <c r="K187" s="471"/>
      <c r="M187" s="454"/>
      <c r="N187" s="424"/>
      <c r="O187" s="424"/>
      <c r="P187" s="430"/>
      <c r="Q187" s="444"/>
      <c r="R187" s="424"/>
      <c r="S187" s="430"/>
      <c r="T187" s="444"/>
      <c r="U187" s="430"/>
      <c r="V187" s="430"/>
      <c r="W187" s="444"/>
      <c r="X187" s="444"/>
      <c r="Y187" s="430"/>
      <c r="Z187" s="430"/>
      <c r="AA187" s="430"/>
      <c r="AB187" s="444"/>
      <c r="AC187" s="444"/>
      <c r="AD187" s="430"/>
      <c r="AE187" s="430"/>
      <c r="AF187" s="430"/>
      <c r="AG187" s="444"/>
      <c r="AH187" s="444"/>
      <c r="AI187" s="430"/>
      <c r="AJ187" s="430"/>
      <c r="AK187" s="430"/>
      <c r="AL187" s="476"/>
      <c r="AM187" s="430"/>
      <c r="AN187" s="430"/>
      <c r="AO187" s="430"/>
      <c r="AP187" s="430"/>
      <c r="AQ187" s="430"/>
      <c r="AR187" s="430"/>
      <c r="AS187" s="430"/>
      <c r="AT187" s="430"/>
      <c r="AU187" s="430"/>
      <c r="AV187" s="430"/>
      <c r="AW187" s="430"/>
      <c r="AX187" s="430"/>
    </row>
    <row r="188">
      <c r="B188" s="471"/>
      <c r="E188" s="471"/>
      <c r="H188" s="471"/>
      <c r="K188" s="471"/>
      <c r="M188" s="454"/>
      <c r="N188" s="424"/>
      <c r="O188" s="424"/>
      <c r="P188" s="430"/>
      <c r="Q188" s="444"/>
      <c r="R188" s="424"/>
      <c r="S188" s="430"/>
      <c r="T188" s="444"/>
      <c r="U188" s="430"/>
      <c r="V188" s="430"/>
      <c r="W188" s="444"/>
      <c r="X188" s="444"/>
      <c r="Y188" s="430"/>
      <c r="Z188" s="430"/>
      <c r="AA188" s="430"/>
      <c r="AB188" s="444"/>
      <c r="AC188" s="444"/>
      <c r="AD188" s="430"/>
      <c r="AE188" s="430"/>
      <c r="AF188" s="430"/>
      <c r="AG188" s="444"/>
      <c r="AH188" s="444"/>
      <c r="AI188" s="430"/>
      <c r="AJ188" s="430"/>
      <c r="AK188" s="430"/>
      <c r="AL188" s="476"/>
      <c r="AM188" s="430"/>
      <c r="AN188" s="430"/>
      <c r="AO188" s="430"/>
      <c r="AP188" s="430"/>
      <c r="AQ188" s="430"/>
      <c r="AR188" s="430"/>
      <c r="AS188" s="430"/>
      <c r="AT188" s="430"/>
      <c r="AU188" s="430"/>
      <c r="AV188" s="430"/>
      <c r="AW188" s="430"/>
      <c r="AX188" s="430"/>
    </row>
    <row r="189">
      <c r="B189" s="471"/>
      <c r="E189" s="471"/>
      <c r="H189" s="471"/>
      <c r="K189" s="471"/>
      <c r="M189" s="454"/>
      <c r="N189" s="424"/>
      <c r="O189" s="424"/>
      <c r="P189" s="430"/>
      <c r="Q189" s="444"/>
      <c r="R189" s="424"/>
      <c r="S189" s="430"/>
      <c r="T189" s="444"/>
      <c r="U189" s="430"/>
      <c r="V189" s="430"/>
      <c r="W189" s="444"/>
      <c r="X189" s="444"/>
      <c r="Y189" s="430"/>
      <c r="Z189" s="430"/>
      <c r="AA189" s="430"/>
      <c r="AB189" s="444"/>
      <c r="AC189" s="444"/>
      <c r="AD189" s="430"/>
      <c r="AE189" s="430"/>
      <c r="AF189" s="430"/>
      <c r="AG189" s="444"/>
      <c r="AH189" s="444"/>
      <c r="AI189" s="430"/>
      <c r="AJ189" s="430"/>
      <c r="AK189" s="430"/>
      <c r="AL189" s="476"/>
      <c r="AM189" s="430"/>
      <c r="AN189" s="430"/>
      <c r="AO189" s="430"/>
      <c r="AP189" s="430"/>
      <c r="AQ189" s="430"/>
      <c r="AR189" s="430"/>
      <c r="AS189" s="430"/>
      <c r="AT189" s="430"/>
      <c r="AU189" s="430"/>
      <c r="AV189" s="430"/>
      <c r="AW189" s="430"/>
      <c r="AX189" s="430"/>
    </row>
    <row r="190">
      <c r="B190" s="471"/>
      <c r="E190" s="471"/>
      <c r="H190" s="471"/>
      <c r="K190" s="471"/>
      <c r="M190" s="454"/>
      <c r="N190" s="424"/>
      <c r="O190" s="424"/>
      <c r="P190" s="430"/>
      <c r="Q190" s="444"/>
      <c r="R190" s="424"/>
      <c r="S190" s="430"/>
      <c r="T190" s="444"/>
      <c r="U190" s="430"/>
      <c r="V190" s="430"/>
      <c r="W190" s="444"/>
      <c r="X190" s="444"/>
      <c r="Y190" s="430"/>
      <c r="Z190" s="430"/>
      <c r="AA190" s="430"/>
      <c r="AB190" s="444"/>
      <c r="AC190" s="444"/>
      <c r="AD190" s="430"/>
      <c r="AE190" s="430"/>
      <c r="AF190" s="430"/>
      <c r="AG190" s="444"/>
      <c r="AH190" s="444"/>
      <c r="AI190" s="430"/>
      <c r="AJ190" s="430"/>
      <c r="AK190" s="430"/>
      <c r="AL190" s="476"/>
      <c r="AM190" s="430"/>
      <c r="AN190" s="430"/>
      <c r="AO190" s="430"/>
      <c r="AP190" s="430"/>
      <c r="AQ190" s="430"/>
      <c r="AR190" s="430"/>
      <c r="AS190" s="430"/>
      <c r="AT190" s="430"/>
      <c r="AU190" s="430"/>
      <c r="AV190" s="430"/>
      <c r="AW190" s="430"/>
      <c r="AX190" s="430"/>
    </row>
    <row r="191">
      <c r="B191" s="471"/>
      <c r="E191" s="471"/>
      <c r="H191" s="471"/>
      <c r="K191" s="471"/>
      <c r="M191" s="454"/>
      <c r="N191" s="424"/>
      <c r="O191" s="424"/>
      <c r="P191" s="430"/>
      <c r="Q191" s="444"/>
      <c r="R191" s="424"/>
      <c r="S191" s="430"/>
      <c r="T191" s="444"/>
      <c r="U191" s="430"/>
      <c r="V191" s="430"/>
      <c r="W191" s="444"/>
      <c r="X191" s="444"/>
      <c r="Y191" s="430"/>
      <c r="Z191" s="430"/>
      <c r="AA191" s="430"/>
      <c r="AB191" s="444"/>
      <c r="AC191" s="444"/>
      <c r="AD191" s="430"/>
      <c r="AE191" s="430"/>
      <c r="AF191" s="430"/>
      <c r="AG191" s="444"/>
      <c r="AH191" s="444"/>
      <c r="AI191" s="430"/>
      <c r="AJ191" s="430"/>
      <c r="AK191" s="430"/>
      <c r="AL191" s="476"/>
      <c r="AM191" s="430"/>
      <c r="AN191" s="430"/>
      <c r="AO191" s="430"/>
      <c r="AP191" s="430"/>
      <c r="AQ191" s="430"/>
      <c r="AR191" s="430"/>
      <c r="AS191" s="430"/>
      <c r="AT191" s="430"/>
      <c r="AU191" s="430"/>
      <c r="AV191" s="430"/>
      <c r="AW191" s="430"/>
      <c r="AX191" s="430"/>
    </row>
    <row r="192">
      <c r="B192" s="471"/>
      <c r="E192" s="471"/>
      <c r="H192" s="471"/>
      <c r="K192" s="471"/>
      <c r="M192" s="454"/>
      <c r="N192" s="424"/>
      <c r="O192" s="424"/>
      <c r="P192" s="430"/>
      <c r="Q192" s="444"/>
      <c r="R192" s="424"/>
      <c r="S192" s="430"/>
      <c r="T192" s="444"/>
      <c r="U192" s="430"/>
      <c r="V192" s="430"/>
      <c r="W192" s="444"/>
      <c r="X192" s="444"/>
      <c r="Y192" s="430"/>
      <c r="Z192" s="430"/>
      <c r="AA192" s="430"/>
      <c r="AB192" s="444"/>
      <c r="AC192" s="444"/>
      <c r="AD192" s="430"/>
      <c r="AE192" s="430"/>
      <c r="AF192" s="430"/>
      <c r="AG192" s="444"/>
      <c r="AH192" s="444"/>
      <c r="AI192" s="430"/>
      <c r="AJ192" s="430"/>
      <c r="AK192" s="430"/>
      <c r="AL192" s="476"/>
      <c r="AM192" s="430"/>
      <c r="AN192" s="430"/>
      <c r="AO192" s="430"/>
      <c r="AP192" s="430"/>
      <c r="AQ192" s="430"/>
      <c r="AR192" s="430"/>
      <c r="AS192" s="430"/>
      <c r="AT192" s="430"/>
      <c r="AU192" s="430"/>
      <c r="AV192" s="430"/>
      <c r="AW192" s="430"/>
      <c r="AX192" s="430"/>
    </row>
    <row r="193">
      <c r="B193" s="471"/>
      <c r="E193" s="471"/>
      <c r="H193" s="471"/>
      <c r="K193" s="471"/>
      <c r="M193" s="454"/>
      <c r="N193" s="424"/>
      <c r="O193" s="424"/>
      <c r="P193" s="430"/>
      <c r="Q193" s="444"/>
      <c r="R193" s="424"/>
      <c r="S193" s="430"/>
      <c r="T193" s="444"/>
      <c r="U193" s="430"/>
      <c r="V193" s="430"/>
      <c r="W193" s="444"/>
      <c r="X193" s="444"/>
      <c r="Y193" s="430"/>
      <c r="Z193" s="430"/>
      <c r="AA193" s="430"/>
      <c r="AB193" s="444"/>
      <c r="AC193" s="444"/>
      <c r="AD193" s="430"/>
      <c r="AE193" s="430"/>
      <c r="AF193" s="430"/>
      <c r="AG193" s="444"/>
      <c r="AH193" s="444"/>
      <c r="AI193" s="430"/>
      <c r="AJ193" s="430"/>
      <c r="AK193" s="430"/>
      <c r="AL193" s="476"/>
      <c r="AM193" s="430"/>
      <c r="AN193" s="430"/>
      <c r="AO193" s="430"/>
      <c r="AP193" s="430"/>
      <c r="AQ193" s="430"/>
      <c r="AR193" s="430"/>
      <c r="AS193" s="430"/>
      <c r="AT193" s="430"/>
      <c r="AU193" s="430"/>
      <c r="AV193" s="430"/>
      <c r="AW193" s="430"/>
      <c r="AX193" s="430"/>
    </row>
    <row r="194">
      <c r="B194" s="471"/>
      <c r="E194" s="471"/>
      <c r="H194" s="471"/>
      <c r="K194" s="471"/>
      <c r="M194" s="454"/>
      <c r="N194" s="424"/>
      <c r="O194" s="424"/>
      <c r="P194" s="430"/>
      <c r="Q194" s="444"/>
      <c r="R194" s="424"/>
      <c r="S194" s="430"/>
      <c r="T194" s="444"/>
      <c r="U194" s="430"/>
      <c r="V194" s="430"/>
      <c r="W194" s="444"/>
      <c r="X194" s="444"/>
      <c r="Y194" s="430"/>
      <c r="Z194" s="430"/>
      <c r="AA194" s="430"/>
      <c r="AB194" s="444"/>
      <c r="AC194" s="444"/>
      <c r="AD194" s="430"/>
      <c r="AE194" s="430"/>
      <c r="AF194" s="430"/>
      <c r="AG194" s="444"/>
      <c r="AH194" s="444"/>
      <c r="AI194" s="430"/>
      <c r="AJ194" s="430"/>
      <c r="AK194" s="430"/>
      <c r="AL194" s="476"/>
      <c r="AM194" s="430"/>
      <c r="AN194" s="430"/>
      <c r="AO194" s="430"/>
      <c r="AP194" s="430"/>
      <c r="AQ194" s="430"/>
      <c r="AR194" s="430"/>
      <c r="AS194" s="430"/>
      <c r="AT194" s="430"/>
      <c r="AU194" s="430"/>
      <c r="AV194" s="430"/>
      <c r="AW194" s="430"/>
      <c r="AX194" s="430"/>
    </row>
    <row r="195">
      <c r="B195" s="471"/>
      <c r="E195" s="471"/>
      <c r="H195" s="471"/>
      <c r="K195" s="471"/>
      <c r="M195" s="454"/>
      <c r="N195" s="424"/>
      <c r="O195" s="424"/>
      <c r="P195" s="430"/>
      <c r="Q195" s="444"/>
      <c r="R195" s="424"/>
      <c r="S195" s="430"/>
      <c r="T195" s="444"/>
      <c r="U195" s="430"/>
      <c r="V195" s="430"/>
      <c r="W195" s="444"/>
      <c r="X195" s="444"/>
      <c r="Y195" s="430"/>
      <c r="Z195" s="430"/>
      <c r="AA195" s="430"/>
      <c r="AB195" s="444"/>
      <c r="AC195" s="444"/>
      <c r="AD195" s="430"/>
      <c r="AE195" s="430"/>
      <c r="AF195" s="430"/>
      <c r="AG195" s="444"/>
      <c r="AH195" s="444"/>
      <c r="AI195" s="430"/>
      <c r="AJ195" s="430"/>
      <c r="AK195" s="430"/>
      <c r="AL195" s="476"/>
      <c r="AM195" s="430"/>
      <c r="AN195" s="430"/>
      <c r="AO195" s="430"/>
      <c r="AP195" s="430"/>
      <c r="AQ195" s="430"/>
      <c r="AR195" s="430"/>
      <c r="AS195" s="430"/>
      <c r="AT195" s="430"/>
      <c r="AU195" s="430"/>
      <c r="AV195" s="430"/>
      <c r="AW195" s="430"/>
      <c r="AX195" s="430"/>
    </row>
    <row r="196">
      <c r="B196" s="471"/>
      <c r="E196" s="471"/>
      <c r="H196" s="471"/>
      <c r="K196" s="471"/>
      <c r="M196" s="454"/>
      <c r="N196" s="424"/>
      <c r="O196" s="424"/>
      <c r="P196" s="430"/>
      <c r="Q196" s="444"/>
      <c r="R196" s="424"/>
      <c r="S196" s="430"/>
      <c r="T196" s="444"/>
      <c r="U196" s="430"/>
      <c r="V196" s="430"/>
      <c r="W196" s="444"/>
      <c r="X196" s="444"/>
      <c r="Y196" s="430"/>
      <c r="Z196" s="430"/>
      <c r="AA196" s="430"/>
      <c r="AB196" s="444"/>
      <c r="AC196" s="444"/>
      <c r="AD196" s="430"/>
      <c r="AE196" s="430"/>
      <c r="AF196" s="430"/>
      <c r="AG196" s="444"/>
      <c r="AH196" s="444"/>
      <c r="AI196" s="430"/>
      <c r="AJ196" s="430"/>
      <c r="AK196" s="430"/>
      <c r="AL196" s="476"/>
      <c r="AM196" s="430"/>
      <c r="AN196" s="430"/>
      <c r="AO196" s="430"/>
      <c r="AP196" s="430"/>
      <c r="AQ196" s="430"/>
      <c r="AR196" s="430"/>
      <c r="AS196" s="430"/>
      <c r="AT196" s="430"/>
      <c r="AU196" s="430"/>
      <c r="AV196" s="430"/>
      <c r="AW196" s="430"/>
      <c r="AX196" s="430"/>
    </row>
    <row r="197">
      <c r="B197" s="471"/>
      <c r="E197" s="471"/>
      <c r="H197" s="471"/>
      <c r="K197" s="471"/>
      <c r="M197" s="454"/>
      <c r="N197" s="424"/>
      <c r="O197" s="424"/>
      <c r="P197" s="430"/>
      <c r="Q197" s="444"/>
      <c r="R197" s="424"/>
      <c r="S197" s="430"/>
      <c r="T197" s="444"/>
      <c r="U197" s="430"/>
      <c r="V197" s="430"/>
      <c r="W197" s="444"/>
      <c r="X197" s="444"/>
      <c r="Y197" s="430"/>
      <c r="Z197" s="430"/>
      <c r="AA197" s="430"/>
      <c r="AB197" s="444"/>
      <c r="AC197" s="444"/>
      <c r="AD197" s="430"/>
      <c r="AE197" s="430"/>
      <c r="AF197" s="430"/>
      <c r="AG197" s="444"/>
      <c r="AH197" s="444"/>
      <c r="AI197" s="430"/>
      <c r="AJ197" s="430"/>
      <c r="AK197" s="430"/>
      <c r="AL197" s="476"/>
      <c r="AM197" s="430"/>
      <c r="AN197" s="430"/>
      <c r="AO197" s="430"/>
      <c r="AP197" s="430"/>
      <c r="AQ197" s="430"/>
      <c r="AR197" s="430"/>
      <c r="AS197" s="430"/>
      <c r="AT197" s="430"/>
      <c r="AU197" s="430"/>
      <c r="AV197" s="430"/>
      <c r="AW197" s="430"/>
      <c r="AX197" s="430"/>
    </row>
    <row r="198">
      <c r="B198" s="471"/>
      <c r="E198" s="471"/>
      <c r="H198" s="471"/>
      <c r="K198" s="471"/>
      <c r="M198" s="454"/>
      <c r="N198" s="424"/>
      <c r="O198" s="424"/>
      <c r="P198" s="430"/>
      <c r="Q198" s="444"/>
      <c r="R198" s="424"/>
      <c r="S198" s="430"/>
      <c r="T198" s="444"/>
      <c r="U198" s="430"/>
      <c r="V198" s="430"/>
      <c r="W198" s="444"/>
      <c r="X198" s="444"/>
      <c r="Y198" s="430"/>
      <c r="Z198" s="430"/>
      <c r="AA198" s="430"/>
      <c r="AB198" s="444"/>
      <c r="AC198" s="444"/>
      <c r="AD198" s="430"/>
      <c r="AE198" s="430"/>
      <c r="AF198" s="430"/>
      <c r="AG198" s="444"/>
      <c r="AH198" s="444"/>
      <c r="AI198" s="430"/>
      <c r="AJ198" s="430"/>
      <c r="AK198" s="430"/>
      <c r="AL198" s="476"/>
      <c r="AM198" s="430"/>
      <c r="AN198" s="430"/>
      <c r="AO198" s="430"/>
      <c r="AP198" s="430"/>
      <c r="AQ198" s="430"/>
      <c r="AR198" s="430"/>
      <c r="AS198" s="430"/>
      <c r="AT198" s="430"/>
      <c r="AU198" s="430"/>
      <c r="AV198" s="430"/>
      <c r="AW198" s="430"/>
      <c r="AX198" s="430"/>
    </row>
    <row r="199">
      <c r="B199" s="471"/>
      <c r="E199" s="471"/>
      <c r="H199" s="471"/>
      <c r="K199" s="471"/>
      <c r="M199" s="454"/>
      <c r="N199" s="424"/>
      <c r="O199" s="424"/>
      <c r="P199" s="430"/>
      <c r="Q199" s="444"/>
      <c r="R199" s="424"/>
      <c r="S199" s="430"/>
      <c r="T199" s="444"/>
      <c r="U199" s="430"/>
      <c r="V199" s="430"/>
      <c r="W199" s="444"/>
      <c r="X199" s="444"/>
      <c r="Y199" s="430"/>
      <c r="Z199" s="430"/>
      <c r="AA199" s="430"/>
      <c r="AB199" s="444"/>
      <c r="AC199" s="444"/>
      <c r="AD199" s="430"/>
      <c r="AE199" s="430"/>
      <c r="AF199" s="430"/>
      <c r="AG199" s="444"/>
      <c r="AH199" s="444"/>
      <c r="AI199" s="430"/>
      <c r="AJ199" s="430"/>
      <c r="AK199" s="430"/>
      <c r="AL199" s="476"/>
      <c r="AM199" s="430"/>
      <c r="AN199" s="430"/>
      <c r="AO199" s="430"/>
      <c r="AP199" s="430"/>
      <c r="AQ199" s="430"/>
      <c r="AR199" s="430"/>
      <c r="AS199" s="430"/>
      <c r="AT199" s="430"/>
      <c r="AU199" s="430"/>
      <c r="AV199" s="430"/>
      <c r="AW199" s="430"/>
      <c r="AX199" s="430"/>
    </row>
    <row r="200">
      <c r="B200" s="471"/>
      <c r="E200" s="471"/>
      <c r="H200" s="471"/>
      <c r="K200" s="471"/>
      <c r="M200" s="454"/>
      <c r="N200" s="424"/>
      <c r="O200" s="424"/>
      <c r="P200" s="430"/>
      <c r="Q200" s="444"/>
      <c r="R200" s="424"/>
      <c r="S200" s="430"/>
      <c r="T200" s="444"/>
      <c r="U200" s="430"/>
      <c r="V200" s="430"/>
      <c r="W200" s="444"/>
      <c r="X200" s="444"/>
      <c r="Y200" s="430"/>
      <c r="Z200" s="430"/>
      <c r="AA200" s="430"/>
      <c r="AB200" s="444"/>
      <c r="AC200" s="444"/>
      <c r="AD200" s="430"/>
      <c r="AE200" s="430"/>
      <c r="AF200" s="430"/>
      <c r="AG200" s="444"/>
      <c r="AH200" s="444"/>
      <c r="AI200" s="430"/>
      <c r="AJ200" s="430"/>
      <c r="AK200" s="430"/>
      <c r="AL200" s="476"/>
      <c r="AM200" s="430"/>
      <c r="AN200" s="430"/>
      <c r="AO200" s="430"/>
      <c r="AP200" s="430"/>
      <c r="AQ200" s="430"/>
      <c r="AR200" s="430"/>
      <c r="AS200" s="430"/>
      <c r="AT200" s="430"/>
      <c r="AU200" s="430"/>
      <c r="AV200" s="430"/>
      <c r="AW200" s="430"/>
      <c r="AX200" s="430"/>
    </row>
    <row r="201">
      <c r="B201" s="471"/>
      <c r="E201" s="471"/>
      <c r="H201" s="471"/>
      <c r="K201" s="471"/>
      <c r="M201" s="454"/>
      <c r="N201" s="424"/>
      <c r="O201" s="424"/>
      <c r="P201" s="430"/>
      <c r="Q201" s="444"/>
      <c r="R201" s="424"/>
      <c r="S201" s="430"/>
      <c r="T201" s="444"/>
      <c r="U201" s="430"/>
      <c r="V201" s="430"/>
      <c r="W201" s="444"/>
      <c r="X201" s="444"/>
      <c r="Y201" s="430"/>
      <c r="Z201" s="430"/>
      <c r="AA201" s="430"/>
      <c r="AB201" s="444"/>
      <c r="AC201" s="444"/>
      <c r="AD201" s="430"/>
      <c r="AE201" s="430"/>
      <c r="AF201" s="430"/>
      <c r="AG201" s="444"/>
      <c r="AH201" s="444"/>
      <c r="AI201" s="430"/>
      <c r="AJ201" s="430"/>
      <c r="AK201" s="430"/>
      <c r="AL201" s="476"/>
      <c r="AM201" s="430"/>
      <c r="AN201" s="430"/>
      <c r="AO201" s="430"/>
      <c r="AP201" s="430"/>
      <c r="AQ201" s="430"/>
      <c r="AR201" s="430"/>
      <c r="AS201" s="430"/>
      <c r="AT201" s="430"/>
      <c r="AU201" s="430"/>
      <c r="AV201" s="430"/>
      <c r="AW201" s="430"/>
      <c r="AX201" s="430"/>
    </row>
    <row r="202">
      <c r="B202" s="471"/>
      <c r="E202" s="471"/>
      <c r="H202" s="471"/>
      <c r="K202" s="471"/>
      <c r="M202" s="454"/>
      <c r="N202" s="424"/>
      <c r="O202" s="424"/>
      <c r="P202" s="430"/>
      <c r="Q202" s="444"/>
      <c r="R202" s="424"/>
      <c r="S202" s="430"/>
      <c r="T202" s="444"/>
      <c r="U202" s="430"/>
      <c r="V202" s="430"/>
      <c r="W202" s="444"/>
      <c r="X202" s="444"/>
      <c r="Y202" s="430"/>
      <c r="Z202" s="430"/>
      <c r="AA202" s="430"/>
      <c r="AB202" s="444"/>
      <c r="AC202" s="444"/>
      <c r="AD202" s="430"/>
      <c r="AE202" s="430"/>
      <c r="AF202" s="430"/>
      <c r="AG202" s="444"/>
      <c r="AH202" s="444"/>
      <c r="AI202" s="430"/>
      <c r="AJ202" s="430"/>
      <c r="AK202" s="430"/>
      <c r="AL202" s="476"/>
      <c r="AM202" s="430"/>
      <c r="AN202" s="430"/>
      <c r="AO202" s="430"/>
      <c r="AP202" s="430"/>
      <c r="AQ202" s="430"/>
      <c r="AR202" s="430"/>
      <c r="AS202" s="430"/>
      <c r="AT202" s="430"/>
      <c r="AU202" s="430"/>
      <c r="AV202" s="430"/>
      <c r="AW202" s="430"/>
      <c r="AX202" s="430"/>
    </row>
    <row r="203">
      <c r="B203" s="471"/>
      <c r="E203" s="471"/>
      <c r="H203" s="471"/>
      <c r="K203" s="471"/>
      <c r="M203" s="454"/>
      <c r="N203" s="424"/>
      <c r="O203" s="424"/>
      <c r="P203" s="430"/>
      <c r="Q203" s="444"/>
      <c r="R203" s="424"/>
      <c r="S203" s="430"/>
      <c r="T203" s="444"/>
      <c r="U203" s="430"/>
      <c r="V203" s="430"/>
      <c r="W203" s="444"/>
      <c r="X203" s="444"/>
      <c r="Y203" s="430"/>
      <c r="Z203" s="430"/>
      <c r="AA203" s="430"/>
      <c r="AB203" s="444"/>
      <c r="AC203" s="444"/>
      <c r="AD203" s="430"/>
      <c r="AE203" s="430"/>
      <c r="AF203" s="430"/>
      <c r="AG203" s="444"/>
      <c r="AH203" s="444"/>
      <c r="AI203" s="430"/>
      <c r="AJ203" s="430"/>
      <c r="AK203" s="430"/>
      <c r="AL203" s="476"/>
      <c r="AM203" s="430"/>
      <c r="AN203" s="430"/>
      <c r="AO203" s="430"/>
      <c r="AP203" s="430"/>
      <c r="AQ203" s="430"/>
      <c r="AR203" s="430"/>
      <c r="AS203" s="430"/>
      <c r="AT203" s="430"/>
      <c r="AU203" s="430"/>
      <c r="AV203" s="430"/>
      <c r="AW203" s="430"/>
      <c r="AX203" s="430"/>
    </row>
    <row r="204">
      <c r="B204" s="471"/>
      <c r="E204" s="471"/>
      <c r="H204" s="471"/>
      <c r="K204" s="471"/>
      <c r="M204" s="454"/>
      <c r="N204" s="424"/>
      <c r="O204" s="424"/>
      <c r="P204" s="430"/>
      <c r="Q204" s="444"/>
      <c r="R204" s="424"/>
      <c r="S204" s="430"/>
      <c r="T204" s="444"/>
      <c r="U204" s="430"/>
      <c r="V204" s="430"/>
      <c r="W204" s="444"/>
      <c r="X204" s="444"/>
      <c r="Y204" s="430"/>
      <c r="Z204" s="430"/>
      <c r="AA204" s="430"/>
      <c r="AB204" s="444"/>
      <c r="AC204" s="444"/>
      <c r="AD204" s="430"/>
      <c r="AE204" s="430"/>
      <c r="AF204" s="430"/>
      <c r="AG204" s="444"/>
      <c r="AH204" s="444"/>
      <c r="AI204" s="430"/>
      <c r="AJ204" s="430"/>
      <c r="AK204" s="430"/>
      <c r="AL204" s="476"/>
      <c r="AM204" s="430"/>
      <c r="AN204" s="430"/>
      <c r="AO204" s="430"/>
      <c r="AP204" s="430"/>
      <c r="AQ204" s="430"/>
      <c r="AR204" s="430"/>
      <c r="AS204" s="430"/>
      <c r="AT204" s="430"/>
      <c r="AU204" s="430"/>
      <c r="AV204" s="430"/>
      <c r="AW204" s="430"/>
      <c r="AX204" s="430"/>
    </row>
    <row r="205">
      <c r="B205" s="471"/>
      <c r="E205" s="471"/>
      <c r="H205" s="471"/>
      <c r="K205" s="471"/>
      <c r="M205" s="454"/>
      <c r="N205" s="424"/>
      <c r="O205" s="424"/>
      <c r="P205" s="430"/>
      <c r="Q205" s="444"/>
      <c r="R205" s="424"/>
      <c r="S205" s="430"/>
      <c r="T205" s="444"/>
      <c r="U205" s="430"/>
      <c r="V205" s="430"/>
      <c r="W205" s="444"/>
      <c r="X205" s="444"/>
      <c r="Y205" s="430"/>
      <c r="Z205" s="430"/>
      <c r="AA205" s="430"/>
      <c r="AB205" s="444"/>
      <c r="AC205" s="444"/>
      <c r="AD205" s="430"/>
      <c r="AE205" s="430"/>
      <c r="AF205" s="430"/>
      <c r="AG205" s="444"/>
      <c r="AH205" s="444"/>
      <c r="AI205" s="430"/>
      <c r="AJ205" s="430"/>
      <c r="AK205" s="430"/>
      <c r="AL205" s="476"/>
      <c r="AM205" s="430"/>
      <c r="AN205" s="430"/>
      <c r="AO205" s="430"/>
      <c r="AP205" s="430"/>
      <c r="AQ205" s="430"/>
      <c r="AR205" s="430"/>
      <c r="AS205" s="430"/>
      <c r="AT205" s="430"/>
      <c r="AU205" s="430"/>
      <c r="AV205" s="430"/>
      <c r="AW205" s="430"/>
      <c r="AX205" s="430"/>
    </row>
    <row r="206">
      <c r="B206" s="471"/>
      <c r="E206" s="471"/>
      <c r="H206" s="471"/>
      <c r="K206" s="471"/>
      <c r="M206" s="454"/>
      <c r="N206" s="424"/>
      <c r="O206" s="424"/>
      <c r="P206" s="430"/>
      <c r="Q206" s="444"/>
      <c r="R206" s="424"/>
      <c r="S206" s="430"/>
      <c r="T206" s="444"/>
      <c r="U206" s="430"/>
      <c r="V206" s="430"/>
      <c r="W206" s="444"/>
      <c r="X206" s="444"/>
      <c r="Y206" s="430"/>
      <c r="Z206" s="430"/>
      <c r="AA206" s="430"/>
      <c r="AB206" s="444"/>
      <c r="AC206" s="444"/>
      <c r="AD206" s="430"/>
      <c r="AE206" s="430"/>
      <c r="AF206" s="430"/>
      <c r="AG206" s="444"/>
      <c r="AH206" s="444"/>
      <c r="AI206" s="430"/>
      <c r="AJ206" s="430"/>
      <c r="AK206" s="430"/>
      <c r="AL206" s="476"/>
      <c r="AM206" s="430"/>
      <c r="AN206" s="430"/>
      <c r="AO206" s="430"/>
      <c r="AP206" s="430"/>
      <c r="AQ206" s="430"/>
      <c r="AR206" s="430"/>
      <c r="AS206" s="430"/>
      <c r="AT206" s="430"/>
      <c r="AU206" s="430"/>
      <c r="AV206" s="430"/>
      <c r="AW206" s="430"/>
      <c r="AX206" s="430"/>
    </row>
    <row r="207">
      <c r="B207" s="471"/>
      <c r="E207" s="471"/>
      <c r="H207" s="471"/>
      <c r="K207" s="471"/>
      <c r="M207" s="454"/>
      <c r="N207" s="424"/>
      <c r="O207" s="424"/>
      <c r="P207" s="430"/>
      <c r="Q207" s="444"/>
      <c r="R207" s="424"/>
      <c r="S207" s="430"/>
      <c r="T207" s="444"/>
      <c r="U207" s="430"/>
      <c r="V207" s="430"/>
      <c r="W207" s="444"/>
      <c r="X207" s="444"/>
      <c r="Y207" s="430"/>
      <c r="Z207" s="430"/>
      <c r="AA207" s="430"/>
      <c r="AB207" s="444"/>
      <c r="AC207" s="444"/>
      <c r="AD207" s="430"/>
      <c r="AE207" s="430"/>
      <c r="AF207" s="430"/>
      <c r="AG207" s="444"/>
      <c r="AH207" s="444"/>
      <c r="AI207" s="430"/>
      <c r="AJ207" s="430"/>
      <c r="AK207" s="430"/>
      <c r="AL207" s="476"/>
      <c r="AM207" s="430"/>
      <c r="AN207" s="430"/>
      <c r="AO207" s="430"/>
      <c r="AP207" s="430"/>
      <c r="AQ207" s="430"/>
      <c r="AR207" s="430"/>
      <c r="AS207" s="430"/>
      <c r="AT207" s="430"/>
      <c r="AU207" s="430"/>
      <c r="AV207" s="430"/>
      <c r="AW207" s="430"/>
      <c r="AX207" s="430"/>
    </row>
    <row r="208">
      <c r="B208" s="471"/>
      <c r="E208" s="471"/>
      <c r="H208" s="471"/>
      <c r="K208" s="471"/>
      <c r="M208" s="454"/>
      <c r="N208" s="424"/>
      <c r="O208" s="424"/>
      <c r="P208" s="430"/>
      <c r="Q208" s="444"/>
      <c r="R208" s="424"/>
      <c r="S208" s="430"/>
      <c r="T208" s="444"/>
      <c r="U208" s="430"/>
      <c r="V208" s="430"/>
      <c r="W208" s="444"/>
      <c r="X208" s="444"/>
      <c r="Y208" s="430"/>
      <c r="Z208" s="430"/>
      <c r="AA208" s="430"/>
      <c r="AB208" s="444"/>
      <c r="AC208" s="444"/>
      <c r="AD208" s="430"/>
      <c r="AE208" s="430"/>
      <c r="AF208" s="430"/>
      <c r="AG208" s="444"/>
      <c r="AH208" s="444"/>
      <c r="AI208" s="430"/>
      <c r="AJ208" s="430"/>
      <c r="AK208" s="430"/>
      <c r="AL208" s="476"/>
      <c r="AM208" s="430"/>
      <c r="AN208" s="430"/>
      <c r="AO208" s="430"/>
      <c r="AP208" s="430"/>
      <c r="AQ208" s="430"/>
      <c r="AR208" s="430"/>
      <c r="AS208" s="430"/>
      <c r="AT208" s="430"/>
      <c r="AU208" s="430"/>
      <c r="AV208" s="430"/>
      <c r="AW208" s="430"/>
      <c r="AX208" s="430"/>
    </row>
    <row r="209">
      <c r="B209" s="471"/>
      <c r="E209" s="471"/>
      <c r="H209" s="471"/>
      <c r="K209" s="471"/>
      <c r="M209" s="454"/>
      <c r="N209" s="424"/>
      <c r="O209" s="424"/>
      <c r="P209" s="430"/>
      <c r="Q209" s="444"/>
      <c r="R209" s="424"/>
      <c r="S209" s="430"/>
      <c r="T209" s="444"/>
      <c r="U209" s="430"/>
      <c r="V209" s="430"/>
      <c r="W209" s="444"/>
      <c r="X209" s="444"/>
      <c r="Y209" s="430"/>
      <c r="Z209" s="430"/>
      <c r="AA209" s="430"/>
      <c r="AB209" s="444"/>
      <c r="AC209" s="444"/>
      <c r="AD209" s="430"/>
      <c r="AE209" s="430"/>
      <c r="AF209" s="430"/>
      <c r="AG209" s="444"/>
      <c r="AH209" s="444"/>
      <c r="AI209" s="430"/>
      <c r="AJ209" s="430"/>
      <c r="AK209" s="430"/>
      <c r="AL209" s="476"/>
      <c r="AM209" s="430"/>
      <c r="AN209" s="430"/>
      <c r="AO209" s="430"/>
      <c r="AP209" s="430"/>
      <c r="AQ209" s="430"/>
      <c r="AR209" s="430"/>
      <c r="AS209" s="430"/>
      <c r="AT209" s="430"/>
      <c r="AU209" s="430"/>
      <c r="AV209" s="430"/>
      <c r="AW209" s="430"/>
      <c r="AX209" s="430"/>
    </row>
    <row r="210">
      <c r="B210" s="471"/>
      <c r="E210" s="471"/>
      <c r="H210" s="471"/>
      <c r="K210" s="471"/>
      <c r="M210" s="454"/>
      <c r="N210" s="424"/>
      <c r="O210" s="424"/>
      <c r="P210" s="430"/>
      <c r="Q210" s="444"/>
      <c r="R210" s="424"/>
      <c r="S210" s="430"/>
      <c r="T210" s="444"/>
      <c r="U210" s="430"/>
      <c r="V210" s="430"/>
      <c r="W210" s="444"/>
      <c r="X210" s="444"/>
      <c r="Y210" s="430"/>
      <c r="Z210" s="430"/>
      <c r="AA210" s="430"/>
      <c r="AB210" s="444"/>
      <c r="AC210" s="444"/>
      <c r="AD210" s="430"/>
      <c r="AE210" s="430"/>
      <c r="AF210" s="430"/>
      <c r="AG210" s="444"/>
      <c r="AH210" s="444"/>
      <c r="AI210" s="430"/>
      <c r="AJ210" s="430"/>
      <c r="AK210" s="430"/>
      <c r="AL210" s="476"/>
      <c r="AM210" s="430"/>
      <c r="AN210" s="430"/>
      <c r="AO210" s="430"/>
      <c r="AP210" s="430"/>
      <c r="AQ210" s="430"/>
      <c r="AR210" s="430"/>
      <c r="AS210" s="430"/>
      <c r="AT210" s="430"/>
      <c r="AU210" s="430"/>
      <c r="AV210" s="430"/>
      <c r="AW210" s="430"/>
      <c r="AX210" s="430"/>
    </row>
    <row r="211">
      <c r="B211" s="471"/>
      <c r="E211" s="471"/>
      <c r="H211" s="471"/>
      <c r="K211" s="471"/>
      <c r="M211" s="454"/>
      <c r="N211" s="424"/>
      <c r="O211" s="424"/>
      <c r="P211" s="430"/>
      <c r="Q211" s="444"/>
      <c r="R211" s="424"/>
      <c r="S211" s="430"/>
      <c r="T211" s="444"/>
      <c r="U211" s="430"/>
      <c r="V211" s="430"/>
      <c r="W211" s="444"/>
      <c r="X211" s="444"/>
      <c r="Y211" s="430"/>
      <c r="Z211" s="430"/>
      <c r="AA211" s="430"/>
      <c r="AB211" s="444"/>
      <c r="AC211" s="444"/>
      <c r="AD211" s="430"/>
      <c r="AE211" s="430"/>
      <c r="AF211" s="430"/>
      <c r="AG211" s="444"/>
      <c r="AH211" s="444"/>
      <c r="AI211" s="430"/>
      <c r="AJ211" s="430"/>
      <c r="AK211" s="430"/>
      <c r="AL211" s="476"/>
      <c r="AM211" s="430"/>
      <c r="AN211" s="430"/>
      <c r="AO211" s="430"/>
      <c r="AP211" s="430"/>
      <c r="AQ211" s="430"/>
      <c r="AR211" s="430"/>
      <c r="AS211" s="430"/>
      <c r="AT211" s="430"/>
      <c r="AU211" s="430"/>
      <c r="AV211" s="430"/>
      <c r="AW211" s="430"/>
      <c r="AX211" s="430"/>
    </row>
    <row r="212">
      <c r="B212" s="471"/>
      <c r="E212" s="471"/>
      <c r="H212" s="471"/>
      <c r="K212" s="471"/>
      <c r="M212" s="454"/>
      <c r="N212" s="424"/>
      <c r="O212" s="424"/>
      <c r="P212" s="430"/>
      <c r="Q212" s="444"/>
      <c r="R212" s="424"/>
      <c r="S212" s="430"/>
      <c r="T212" s="444"/>
      <c r="U212" s="430"/>
      <c r="V212" s="430"/>
      <c r="W212" s="444"/>
      <c r="X212" s="444"/>
      <c r="Y212" s="430"/>
      <c r="Z212" s="430"/>
      <c r="AA212" s="430"/>
      <c r="AB212" s="444"/>
      <c r="AC212" s="444"/>
      <c r="AD212" s="430"/>
      <c r="AE212" s="430"/>
      <c r="AF212" s="430"/>
      <c r="AG212" s="444"/>
      <c r="AH212" s="444"/>
      <c r="AI212" s="430"/>
      <c r="AJ212" s="430"/>
      <c r="AK212" s="430"/>
      <c r="AL212" s="476"/>
      <c r="AM212" s="430"/>
      <c r="AN212" s="430"/>
      <c r="AO212" s="430"/>
      <c r="AP212" s="430"/>
      <c r="AQ212" s="430"/>
      <c r="AR212" s="430"/>
      <c r="AS212" s="430"/>
      <c r="AT212" s="430"/>
      <c r="AU212" s="430"/>
      <c r="AV212" s="430"/>
      <c r="AW212" s="430"/>
      <c r="AX212" s="430"/>
    </row>
    <row r="213">
      <c r="B213" s="471"/>
      <c r="E213" s="471"/>
      <c r="H213" s="471"/>
      <c r="K213" s="471"/>
      <c r="M213" s="454"/>
      <c r="N213" s="424"/>
      <c r="O213" s="424"/>
      <c r="P213" s="430"/>
      <c r="Q213" s="444"/>
      <c r="R213" s="424"/>
      <c r="S213" s="430"/>
      <c r="T213" s="444"/>
      <c r="U213" s="430"/>
      <c r="V213" s="430"/>
      <c r="W213" s="444"/>
      <c r="X213" s="444"/>
      <c r="Y213" s="430"/>
      <c r="Z213" s="430"/>
      <c r="AA213" s="430"/>
      <c r="AB213" s="444"/>
      <c r="AC213" s="444"/>
      <c r="AD213" s="430"/>
      <c r="AE213" s="430"/>
      <c r="AF213" s="430"/>
      <c r="AG213" s="444"/>
      <c r="AH213" s="444"/>
      <c r="AI213" s="430"/>
      <c r="AJ213" s="430"/>
      <c r="AK213" s="430"/>
      <c r="AL213" s="476"/>
      <c r="AM213" s="430"/>
      <c r="AN213" s="430"/>
      <c r="AO213" s="430"/>
      <c r="AP213" s="430"/>
      <c r="AQ213" s="430"/>
      <c r="AR213" s="430"/>
      <c r="AS213" s="430"/>
      <c r="AT213" s="430"/>
      <c r="AU213" s="430"/>
      <c r="AV213" s="430"/>
      <c r="AW213" s="430"/>
      <c r="AX213" s="430"/>
    </row>
    <row r="214">
      <c r="B214" s="471"/>
      <c r="E214" s="471"/>
      <c r="H214" s="471"/>
      <c r="K214" s="471"/>
      <c r="M214" s="454"/>
      <c r="N214" s="424"/>
      <c r="O214" s="424"/>
      <c r="P214" s="430"/>
      <c r="Q214" s="444"/>
      <c r="R214" s="424"/>
      <c r="S214" s="430"/>
      <c r="T214" s="444"/>
      <c r="U214" s="430"/>
      <c r="V214" s="430"/>
      <c r="W214" s="444"/>
      <c r="X214" s="444"/>
      <c r="Y214" s="430"/>
      <c r="Z214" s="430"/>
      <c r="AA214" s="430"/>
      <c r="AB214" s="444"/>
      <c r="AC214" s="444"/>
      <c r="AD214" s="430"/>
      <c r="AE214" s="430"/>
      <c r="AF214" s="430"/>
      <c r="AG214" s="444"/>
      <c r="AH214" s="444"/>
      <c r="AI214" s="430"/>
      <c r="AJ214" s="430"/>
      <c r="AK214" s="430"/>
      <c r="AL214" s="476"/>
      <c r="AM214" s="430"/>
      <c r="AN214" s="430"/>
      <c r="AO214" s="430"/>
      <c r="AP214" s="430"/>
      <c r="AQ214" s="430"/>
      <c r="AR214" s="430"/>
      <c r="AS214" s="430"/>
      <c r="AT214" s="430"/>
      <c r="AU214" s="430"/>
      <c r="AV214" s="430"/>
      <c r="AW214" s="430"/>
      <c r="AX214" s="430"/>
    </row>
    <row r="215">
      <c r="B215" s="471"/>
      <c r="E215" s="471"/>
      <c r="H215" s="471"/>
      <c r="K215" s="471"/>
      <c r="M215" s="454"/>
      <c r="N215" s="424"/>
      <c r="O215" s="424"/>
      <c r="P215" s="430"/>
      <c r="Q215" s="444"/>
      <c r="R215" s="424"/>
      <c r="S215" s="430"/>
      <c r="T215" s="444"/>
      <c r="U215" s="430"/>
      <c r="V215" s="430"/>
      <c r="W215" s="444"/>
      <c r="X215" s="444"/>
      <c r="Y215" s="430"/>
      <c r="Z215" s="430"/>
      <c r="AA215" s="430"/>
      <c r="AB215" s="444"/>
      <c r="AC215" s="444"/>
      <c r="AD215" s="430"/>
      <c r="AE215" s="430"/>
      <c r="AF215" s="430"/>
      <c r="AG215" s="444"/>
      <c r="AH215" s="444"/>
      <c r="AI215" s="430"/>
      <c r="AJ215" s="430"/>
      <c r="AK215" s="430"/>
      <c r="AL215" s="476"/>
      <c r="AM215" s="430"/>
      <c r="AN215" s="430"/>
      <c r="AO215" s="430"/>
      <c r="AP215" s="430"/>
      <c r="AQ215" s="430"/>
      <c r="AR215" s="430"/>
      <c r="AS215" s="430"/>
      <c r="AT215" s="430"/>
      <c r="AU215" s="430"/>
      <c r="AV215" s="430"/>
      <c r="AW215" s="430"/>
      <c r="AX215" s="430"/>
    </row>
    <row r="216">
      <c r="B216" s="471"/>
      <c r="E216" s="471"/>
      <c r="H216" s="471"/>
      <c r="K216" s="471"/>
      <c r="M216" s="454"/>
      <c r="N216" s="424"/>
      <c r="O216" s="424"/>
      <c r="P216" s="430"/>
      <c r="Q216" s="444"/>
      <c r="R216" s="424"/>
      <c r="S216" s="430"/>
      <c r="T216" s="444"/>
      <c r="U216" s="430"/>
      <c r="V216" s="430"/>
      <c r="W216" s="444"/>
      <c r="X216" s="444"/>
      <c r="Y216" s="430"/>
      <c r="Z216" s="430"/>
      <c r="AA216" s="430"/>
      <c r="AB216" s="444"/>
      <c r="AC216" s="444"/>
      <c r="AD216" s="430"/>
      <c r="AE216" s="430"/>
      <c r="AF216" s="430"/>
      <c r="AG216" s="444"/>
      <c r="AH216" s="444"/>
      <c r="AI216" s="430"/>
      <c r="AJ216" s="430"/>
      <c r="AK216" s="430"/>
      <c r="AL216" s="476"/>
      <c r="AM216" s="430"/>
      <c r="AN216" s="430"/>
      <c r="AO216" s="430"/>
      <c r="AP216" s="430"/>
      <c r="AQ216" s="430"/>
      <c r="AR216" s="430"/>
      <c r="AS216" s="430"/>
      <c r="AT216" s="430"/>
      <c r="AU216" s="430"/>
      <c r="AV216" s="430"/>
      <c r="AW216" s="430"/>
      <c r="AX216" s="430"/>
    </row>
    <row r="217">
      <c r="B217" s="471"/>
      <c r="E217" s="471"/>
      <c r="H217" s="471"/>
      <c r="K217" s="471"/>
      <c r="M217" s="454"/>
      <c r="N217" s="424"/>
      <c r="O217" s="424"/>
      <c r="P217" s="430"/>
      <c r="Q217" s="444"/>
      <c r="R217" s="424"/>
      <c r="S217" s="430"/>
      <c r="T217" s="444"/>
      <c r="U217" s="430"/>
      <c r="V217" s="430"/>
      <c r="W217" s="444"/>
      <c r="X217" s="444"/>
      <c r="Y217" s="430"/>
      <c r="Z217" s="430"/>
      <c r="AA217" s="430"/>
      <c r="AB217" s="444"/>
      <c r="AC217" s="444"/>
      <c r="AD217" s="430"/>
      <c r="AE217" s="430"/>
      <c r="AF217" s="430"/>
      <c r="AG217" s="444"/>
      <c r="AH217" s="444"/>
      <c r="AI217" s="430"/>
      <c r="AJ217" s="430"/>
      <c r="AK217" s="430"/>
      <c r="AL217" s="476"/>
      <c r="AM217" s="430"/>
      <c r="AN217" s="430"/>
      <c r="AO217" s="430"/>
      <c r="AP217" s="430"/>
      <c r="AQ217" s="430"/>
      <c r="AR217" s="430"/>
      <c r="AS217" s="430"/>
      <c r="AT217" s="430"/>
      <c r="AU217" s="430"/>
      <c r="AV217" s="430"/>
      <c r="AW217" s="430"/>
      <c r="AX217" s="430"/>
    </row>
    <row r="218">
      <c r="B218" s="471"/>
      <c r="E218" s="471"/>
      <c r="H218" s="471"/>
      <c r="K218" s="471"/>
      <c r="M218" s="454"/>
      <c r="N218" s="424"/>
      <c r="O218" s="424"/>
      <c r="P218" s="430"/>
      <c r="Q218" s="444"/>
      <c r="R218" s="424"/>
      <c r="S218" s="430"/>
      <c r="T218" s="444"/>
      <c r="U218" s="430"/>
      <c r="V218" s="430"/>
      <c r="W218" s="444"/>
      <c r="X218" s="444"/>
      <c r="Y218" s="430"/>
      <c r="Z218" s="430"/>
      <c r="AA218" s="430"/>
      <c r="AB218" s="444"/>
      <c r="AC218" s="444"/>
      <c r="AD218" s="430"/>
      <c r="AE218" s="430"/>
      <c r="AF218" s="430"/>
      <c r="AG218" s="444"/>
      <c r="AH218" s="444"/>
      <c r="AI218" s="430"/>
      <c r="AJ218" s="430"/>
      <c r="AK218" s="430"/>
      <c r="AL218" s="476"/>
      <c r="AM218" s="430"/>
      <c r="AN218" s="430"/>
      <c r="AO218" s="430"/>
      <c r="AP218" s="430"/>
      <c r="AQ218" s="430"/>
      <c r="AR218" s="430"/>
      <c r="AS218" s="430"/>
      <c r="AT218" s="430"/>
      <c r="AU218" s="430"/>
      <c r="AV218" s="430"/>
      <c r="AW218" s="430"/>
      <c r="AX218" s="430"/>
    </row>
    <row r="219">
      <c r="B219" s="471"/>
      <c r="E219" s="471"/>
      <c r="H219" s="471"/>
      <c r="K219" s="471"/>
      <c r="M219" s="454"/>
      <c r="N219" s="424"/>
      <c r="O219" s="424"/>
      <c r="P219" s="430"/>
      <c r="Q219" s="444"/>
      <c r="R219" s="424"/>
      <c r="S219" s="430"/>
      <c r="T219" s="444"/>
      <c r="U219" s="430"/>
      <c r="V219" s="430"/>
      <c r="W219" s="444"/>
      <c r="X219" s="444"/>
      <c r="Y219" s="430"/>
      <c r="Z219" s="430"/>
      <c r="AA219" s="430"/>
      <c r="AB219" s="444"/>
      <c r="AC219" s="444"/>
      <c r="AD219" s="430"/>
      <c r="AE219" s="430"/>
      <c r="AF219" s="430"/>
      <c r="AG219" s="444"/>
      <c r="AH219" s="444"/>
      <c r="AI219" s="430"/>
      <c r="AJ219" s="430"/>
      <c r="AK219" s="430"/>
      <c r="AL219" s="476"/>
      <c r="AM219" s="430"/>
      <c r="AN219" s="430"/>
      <c r="AO219" s="430"/>
      <c r="AP219" s="430"/>
      <c r="AQ219" s="430"/>
      <c r="AR219" s="430"/>
      <c r="AS219" s="430"/>
      <c r="AT219" s="430"/>
      <c r="AU219" s="430"/>
      <c r="AV219" s="430"/>
      <c r="AW219" s="430"/>
      <c r="AX219" s="430"/>
    </row>
    <row r="220">
      <c r="B220" s="471"/>
      <c r="E220" s="471"/>
      <c r="H220" s="471"/>
      <c r="K220" s="471"/>
      <c r="M220" s="454"/>
      <c r="N220" s="424"/>
      <c r="O220" s="424"/>
      <c r="P220" s="430"/>
      <c r="Q220" s="444"/>
      <c r="R220" s="424"/>
      <c r="S220" s="430"/>
      <c r="T220" s="444"/>
      <c r="U220" s="430"/>
      <c r="V220" s="430"/>
      <c r="W220" s="444"/>
      <c r="X220" s="444"/>
      <c r="Y220" s="430"/>
      <c r="Z220" s="430"/>
      <c r="AA220" s="430"/>
      <c r="AB220" s="444"/>
      <c r="AC220" s="444"/>
      <c r="AD220" s="430"/>
      <c r="AE220" s="430"/>
      <c r="AF220" s="430"/>
      <c r="AG220" s="444"/>
      <c r="AH220" s="444"/>
      <c r="AI220" s="430"/>
      <c r="AJ220" s="430"/>
      <c r="AK220" s="430"/>
      <c r="AL220" s="476"/>
      <c r="AM220" s="430"/>
      <c r="AN220" s="430"/>
      <c r="AO220" s="430"/>
      <c r="AP220" s="430"/>
      <c r="AQ220" s="430"/>
      <c r="AR220" s="430"/>
      <c r="AS220" s="430"/>
      <c r="AT220" s="430"/>
      <c r="AU220" s="430"/>
      <c r="AV220" s="430"/>
      <c r="AW220" s="430"/>
      <c r="AX220" s="430"/>
    </row>
    <row r="221">
      <c r="B221" s="471"/>
      <c r="E221" s="471"/>
      <c r="H221" s="471"/>
      <c r="K221" s="471"/>
      <c r="M221" s="454"/>
      <c r="N221" s="424"/>
      <c r="O221" s="424"/>
      <c r="P221" s="430"/>
      <c r="Q221" s="444"/>
      <c r="R221" s="424"/>
      <c r="S221" s="430"/>
      <c r="T221" s="444"/>
      <c r="U221" s="430"/>
      <c r="V221" s="430"/>
      <c r="W221" s="444"/>
      <c r="X221" s="444"/>
      <c r="Y221" s="430"/>
      <c r="Z221" s="430"/>
      <c r="AA221" s="430"/>
      <c r="AB221" s="444"/>
      <c r="AC221" s="444"/>
      <c r="AD221" s="430"/>
      <c r="AE221" s="430"/>
      <c r="AF221" s="430"/>
      <c r="AG221" s="444"/>
      <c r="AH221" s="444"/>
      <c r="AI221" s="430"/>
      <c r="AJ221" s="430"/>
      <c r="AK221" s="430"/>
      <c r="AL221" s="476"/>
      <c r="AM221" s="430"/>
      <c r="AN221" s="430"/>
      <c r="AO221" s="430"/>
      <c r="AP221" s="430"/>
      <c r="AQ221" s="430"/>
      <c r="AR221" s="430"/>
      <c r="AS221" s="430"/>
      <c r="AT221" s="430"/>
      <c r="AU221" s="430"/>
      <c r="AV221" s="430"/>
      <c r="AW221" s="430"/>
      <c r="AX221" s="430"/>
    </row>
    <row r="222">
      <c r="B222" s="471"/>
      <c r="E222" s="471"/>
      <c r="H222" s="471"/>
      <c r="K222" s="471"/>
      <c r="M222" s="454"/>
      <c r="N222" s="424"/>
      <c r="O222" s="424"/>
      <c r="P222" s="430"/>
      <c r="Q222" s="444"/>
      <c r="R222" s="424"/>
      <c r="S222" s="430"/>
      <c r="T222" s="444"/>
      <c r="U222" s="430"/>
      <c r="V222" s="430"/>
      <c r="W222" s="444"/>
      <c r="X222" s="444"/>
      <c r="Y222" s="430"/>
      <c r="Z222" s="430"/>
      <c r="AA222" s="430"/>
      <c r="AB222" s="444"/>
      <c r="AC222" s="444"/>
      <c r="AD222" s="430"/>
      <c r="AE222" s="430"/>
      <c r="AF222" s="430"/>
      <c r="AG222" s="444"/>
      <c r="AH222" s="444"/>
      <c r="AI222" s="430"/>
      <c r="AJ222" s="430"/>
      <c r="AK222" s="430"/>
      <c r="AL222" s="476"/>
      <c r="AM222" s="430"/>
      <c r="AN222" s="430"/>
      <c r="AO222" s="430"/>
      <c r="AP222" s="430"/>
      <c r="AQ222" s="430"/>
      <c r="AR222" s="430"/>
      <c r="AS222" s="430"/>
      <c r="AT222" s="430"/>
      <c r="AU222" s="430"/>
      <c r="AV222" s="430"/>
      <c r="AW222" s="430"/>
      <c r="AX222" s="430"/>
    </row>
    <row r="223">
      <c r="B223" s="471"/>
      <c r="E223" s="471"/>
      <c r="H223" s="471"/>
      <c r="K223" s="471"/>
      <c r="M223" s="454"/>
      <c r="N223" s="424"/>
      <c r="O223" s="424"/>
      <c r="P223" s="430"/>
      <c r="Q223" s="444"/>
      <c r="R223" s="424"/>
      <c r="S223" s="430"/>
      <c r="T223" s="444"/>
      <c r="U223" s="430"/>
      <c r="V223" s="430"/>
      <c r="W223" s="444"/>
      <c r="X223" s="444"/>
      <c r="Y223" s="430"/>
      <c r="Z223" s="430"/>
      <c r="AA223" s="430"/>
      <c r="AB223" s="444"/>
      <c r="AC223" s="444"/>
      <c r="AD223" s="430"/>
      <c r="AE223" s="430"/>
      <c r="AF223" s="430"/>
      <c r="AG223" s="444"/>
      <c r="AH223" s="444"/>
      <c r="AI223" s="430"/>
      <c r="AJ223" s="430"/>
      <c r="AK223" s="430"/>
      <c r="AL223" s="476"/>
      <c r="AM223" s="430"/>
      <c r="AN223" s="430"/>
      <c r="AO223" s="430"/>
      <c r="AP223" s="430"/>
      <c r="AQ223" s="430"/>
      <c r="AR223" s="430"/>
      <c r="AS223" s="430"/>
      <c r="AT223" s="430"/>
      <c r="AU223" s="430"/>
      <c r="AV223" s="430"/>
      <c r="AW223" s="430"/>
      <c r="AX223" s="430"/>
    </row>
    <row r="224">
      <c r="B224" s="471"/>
      <c r="E224" s="471"/>
      <c r="H224" s="471"/>
      <c r="K224" s="471"/>
      <c r="M224" s="454"/>
      <c r="N224" s="424"/>
      <c r="O224" s="424"/>
      <c r="P224" s="430"/>
      <c r="Q224" s="444"/>
      <c r="R224" s="424"/>
      <c r="S224" s="430"/>
      <c r="T224" s="444"/>
      <c r="U224" s="430"/>
      <c r="V224" s="430"/>
      <c r="W224" s="444"/>
      <c r="X224" s="444"/>
      <c r="Y224" s="430"/>
      <c r="Z224" s="430"/>
      <c r="AA224" s="430"/>
      <c r="AB224" s="444"/>
      <c r="AC224" s="444"/>
      <c r="AD224" s="430"/>
      <c r="AE224" s="430"/>
      <c r="AF224" s="430"/>
      <c r="AG224" s="444"/>
      <c r="AH224" s="444"/>
      <c r="AI224" s="430"/>
      <c r="AJ224" s="430"/>
      <c r="AK224" s="430"/>
      <c r="AL224" s="476"/>
      <c r="AM224" s="430"/>
      <c r="AN224" s="430"/>
      <c r="AO224" s="430"/>
      <c r="AP224" s="430"/>
      <c r="AQ224" s="430"/>
      <c r="AR224" s="430"/>
      <c r="AS224" s="430"/>
      <c r="AT224" s="430"/>
      <c r="AU224" s="430"/>
      <c r="AV224" s="430"/>
      <c r="AW224" s="430"/>
      <c r="AX224" s="430"/>
    </row>
    <row r="225">
      <c r="B225" s="471"/>
      <c r="E225" s="471"/>
      <c r="H225" s="471"/>
      <c r="K225" s="471"/>
      <c r="M225" s="454"/>
      <c r="N225" s="424"/>
      <c r="O225" s="424"/>
      <c r="P225" s="430"/>
      <c r="Q225" s="444"/>
      <c r="R225" s="424"/>
      <c r="S225" s="430"/>
      <c r="T225" s="444"/>
      <c r="U225" s="430"/>
      <c r="V225" s="430"/>
      <c r="W225" s="444"/>
      <c r="X225" s="444"/>
      <c r="Y225" s="430"/>
      <c r="Z225" s="430"/>
      <c r="AA225" s="430"/>
      <c r="AB225" s="444"/>
      <c r="AC225" s="444"/>
      <c r="AD225" s="430"/>
      <c r="AE225" s="430"/>
      <c r="AF225" s="430"/>
      <c r="AG225" s="444"/>
      <c r="AH225" s="444"/>
      <c r="AI225" s="430"/>
      <c r="AJ225" s="430"/>
      <c r="AK225" s="430"/>
      <c r="AL225" s="476"/>
      <c r="AM225" s="430"/>
      <c r="AN225" s="430"/>
      <c r="AO225" s="430"/>
      <c r="AP225" s="430"/>
      <c r="AQ225" s="430"/>
      <c r="AR225" s="430"/>
      <c r="AS225" s="430"/>
      <c r="AT225" s="430"/>
      <c r="AU225" s="430"/>
      <c r="AV225" s="430"/>
      <c r="AW225" s="430"/>
      <c r="AX225" s="430"/>
    </row>
    <row r="226">
      <c r="B226" s="471"/>
      <c r="E226" s="471"/>
      <c r="H226" s="471"/>
      <c r="K226" s="471"/>
      <c r="M226" s="454"/>
      <c r="N226" s="424"/>
      <c r="O226" s="424"/>
      <c r="P226" s="430"/>
      <c r="Q226" s="444"/>
      <c r="R226" s="424"/>
      <c r="S226" s="430"/>
      <c r="T226" s="444"/>
      <c r="U226" s="430"/>
      <c r="V226" s="430"/>
      <c r="W226" s="444"/>
      <c r="X226" s="444"/>
      <c r="Y226" s="430"/>
      <c r="Z226" s="430"/>
      <c r="AA226" s="430"/>
      <c r="AB226" s="444"/>
      <c r="AC226" s="444"/>
      <c r="AD226" s="430"/>
      <c r="AE226" s="430"/>
      <c r="AF226" s="430"/>
      <c r="AG226" s="444"/>
      <c r="AH226" s="444"/>
      <c r="AI226" s="430"/>
      <c r="AJ226" s="430"/>
      <c r="AK226" s="430"/>
      <c r="AL226" s="476"/>
      <c r="AM226" s="430"/>
      <c r="AN226" s="430"/>
      <c r="AO226" s="430"/>
      <c r="AP226" s="430"/>
      <c r="AQ226" s="430"/>
      <c r="AR226" s="430"/>
      <c r="AS226" s="430"/>
      <c r="AT226" s="430"/>
      <c r="AU226" s="430"/>
      <c r="AV226" s="430"/>
      <c r="AW226" s="430"/>
      <c r="AX226" s="430"/>
    </row>
    <row r="227">
      <c r="B227" s="471"/>
      <c r="E227" s="471"/>
      <c r="H227" s="471"/>
      <c r="K227" s="471"/>
      <c r="M227" s="454"/>
      <c r="N227" s="424"/>
      <c r="O227" s="424"/>
      <c r="P227" s="430"/>
      <c r="Q227" s="444"/>
      <c r="R227" s="424"/>
      <c r="S227" s="430"/>
      <c r="T227" s="444"/>
      <c r="U227" s="430"/>
      <c r="V227" s="430"/>
      <c r="W227" s="444"/>
      <c r="X227" s="444"/>
      <c r="Y227" s="430"/>
      <c r="Z227" s="430"/>
      <c r="AA227" s="430"/>
      <c r="AB227" s="444"/>
      <c r="AC227" s="444"/>
      <c r="AD227" s="430"/>
      <c r="AE227" s="430"/>
      <c r="AF227" s="430"/>
      <c r="AG227" s="444"/>
      <c r="AH227" s="444"/>
      <c r="AI227" s="430"/>
      <c r="AJ227" s="430"/>
      <c r="AK227" s="430"/>
      <c r="AL227" s="476"/>
      <c r="AM227" s="430"/>
      <c r="AN227" s="430"/>
      <c r="AO227" s="430"/>
      <c r="AP227" s="430"/>
      <c r="AQ227" s="430"/>
      <c r="AR227" s="430"/>
      <c r="AS227" s="430"/>
      <c r="AT227" s="430"/>
      <c r="AU227" s="430"/>
      <c r="AV227" s="430"/>
      <c r="AW227" s="430"/>
      <c r="AX227" s="430"/>
    </row>
    <row r="228">
      <c r="B228" s="471"/>
      <c r="E228" s="471"/>
      <c r="H228" s="471"/>
      <c r="K228" s="471"/>
      <c r="M228" s="454"/>
      <c r="N228" s="424"/>
      <c r="O228" s="424"/>
      <c r="P228" s="430"/>
      <c r="Q228" s="444"/>
      <c r="R228" s="424"/>
      <c r="S228" s="430"/>
      <c r="T228" s="444"/>
      <c r="U228" s="430"/>
      <c r="V228" s="430"/>
      <c r="W228" s="444"/>
      <c r="X228" s="444"/>
      <c r="Y228" s="430"/>
      <c r="Z228" s="430"/>
      <c r="AA228" s="430"/>
      <c r="AB228" s="444"/>
      <c r="AC228" s="444"/>
      <c r="AD228" s="430"/>
      <c r="AE228" s="430"/>
      <c r="AF228" s="430"/>
      <c r="AG228" s="444"/>
      <c r="AH228" s="444"/>
      <c r="AI228" s="430"/>
      <c r="AJ228" s="430"/>
      <c r="AK228" s="430"/>
      <c r="AL228" s="476"/>
      <c r="AM228" s="430"/>
      <c r="AN228" s="430"/>
      <c r="AO228" s="430"/>
      <c r="AP228" s="430"/>
      <c r="AQ228" s="430"/>
      <c r="AR228" s="430"/>
      <c r="AS228" s="430"/>
      <c r="AT228" s="430"/>
      <c r="AU228" s="430"/>
      <c r="AV228" s="430"/>
      <c r="AW228" s="430"/>
      <c r="AX228" s="430"/>
    </row>
    <row r="229">
      <c r="B229" s="471"/>
      <c r="E229" s="471"/>
      <c r="H229" s="471"/>
      <c r="K229" s="471"/>
      <c r="M229" s="454"/>
      <c r="N229" s="424"/>
      <c r="O229" s="424"/>
      <c r="P229" s="430"/>
      <c r="Q229" s="444"/>
      <c r="R229" s="424"/>
      <c r="S229" s="430"/>
      <c r="T229" s="444"/>
      <c r="U229" s="430"/>
      <c r="V229" s="430"/>
      <c r="W229" s="444"/>
      <c r="X229" s="444"/>
      <c r="Y229" s="430"/>
      <c r="Z229" s="430"/>
      <c r="AA229" s="430"/>
      <c r="AB229" s="444"/>
      <c r="AC229" s="444"/>
      <c r="AD229" s="430"/>
      <c r="AE229" s="430"/>
      <c r="AF229" s="430"/>
      <c r="AG229" s="444"/>
      <c r="AH229" s="444"/>
      <c r="AI229" s="430"/>
      <c r="AJ229" s="430"/>
      <c r="AK229" s="430"/>
      <c r="AL229" s="476"/>
      <c r="AM229" s="430"/>
      <c r="AN229" s="430"/>
      <c r="AO229" s="430"/>
      <c r="AP229" s="430"/>
      <c r="AQ229" s="430"/>
      <c r="AR229" s="430"/>
      <c r="AS229" s="430"/>
      <c r="AT229" s="430"/>
      <c r="AU229" s="430"/>
      <c r="AV229" s="430"/>
      <c r="AW229" s="430"/>
      <c r="AX229" s="430"/>
    </row>
    <row r="230">
      <c r="B230" s="471"/>
      <c r="E230" s="471"/>
      <c r="H230" s="471"/>
      <c r="K230" s="471"/>
      <c r="M230" s="454"/>
      <c r="N230" s="424"/>
      <c r="O230" s="424"/>
      <c r="P230" s="430"/>
      <c r="Q230" s="444"/>
      <c r="R230" s="424"/>
      <c r="S230" s="430"/>
      <c r="T230" s="444"/>
      <c r="U230" s="430"/>
      <c r="V230" s="430"/>
      <c r="W230" s="444"/>
      <c r="X230" s="444"/>
      <c r="Y230" s="430"/>
      <c r="Z230" s="430"/>
      <c r="AA230" s="430"/>
      <c r="AB230" s="444"/>
      <c r="AC230" s="444"/>
      <c r="AD230" s="430"/>
      <c r="AE230" s="430"/>
      <c r="AF230" s="430"/>
      <c r="AG230" s="444"/>
      <c r="AH230" s="444"/>
      <c r="AI230" s="430"/>
      <c r="AJ230" s="430"/>
      <c r="AK230" s="430"/>
      <c r="AL230" s="476"/>
      <c r="AM230" s="430"/>
      <c r="AN230" s="430"/>
      <c r="AO230" s="430"/>
      <c r="AP230" s="430"/>
      <c r="AQ230" s="430"/>
      <c r="AR230" s="430"/>
      <c r="AS230" s="430"/>
      <c r="AT230" s="430"/>
      <c r="AU230" s="430"/>
      <c r="AV230" s="430"/>
      <c r="AW230" s="430"/>
      <c r="AX230" s="430"/>
    </row>
    <row r="231">
      <c r="B231" s="471"/>
      <c r="E231" s="471"/>
      <c r="H231" s="471"/>
      <c r="K231" s="471"/>
      <c r="M231" s="454"/>
      <c r="N231" s="424"/>
      <c r="O231" s="424"/>
      <c r="P231" s="430"/>
      <c r="Q231" s="444"/>
      <c r="R231" s="424"/>
      <c r="S231" s="430"/>
      <c r="T231" s="444"/>
      <c r="U231" s="430"/>
      <c r="V231" s="430"/>
      <c r="W231" s="444"/>
      <c r="X231" s="444"/>
      <c r="Y231" s="430"/>
      <c r="Z231" s="430"/>
      <c r="AA231" s="430"/>
      <c r="AB231" s="444"/>
      <c r="AC231" s="444"/>
      <c r="AD231" s="430"/>
      <c r="AE231" s="430"/>
      <c r="AF231" s="430"/>
      <c r="AG231" s="444"/>
      <c r="AH231" s="444"/>
      <c r="AI231" s="430"/>
      <c r="AJ231" s="430"/>
      <c r="AK231" s="430"/>
      <c r="AL231" s="476"/>
      <c r="AM231" s="430"/>
      <c r="AN231" s="430"/>
      <c r="AO231" s="430"/>
      <c r="AP231" s="430"/>
      <c r="AQ231" s="430"/>
      <c r="AR231" s="430"/>
      <c r="AS231" s="430"/>
      <c r="AT231" s="430"/>
      <c r="AU231" s="430"/>
      <c r="AV231" s="430"/>
      <c r="AW231" s="430"/>
      <c r="AX231" s="430"/>
    </row>
    <row r="232">
      <c r="B232" s="471"/>
      <c r="E232" s="471"/>
      <c r="H232" s="471"/>
      <c r="K232" s="471"/>
      <c r="M232" s="454"/>
      <c r="N232" s="424"/>
      <c r="O232" s="424"/>
      <c r="P232" s="430"/>
      <c r="Q232" s="444"/>
      <c r="R232" s="424"/>
      <c r="S232" s="430"/>
      <c r="T232" s="444"/>
      <c r="U232" s="430"/>
      <c r="V232" s="430"/>
      <c r="W232" s="444"/>
      <c r="X232" s="444"/>
      <c r="Y232" s="430"/>
      <c r="Z232" s="430"/>
      <c r="AA232" s="430"/>
      <c r="AB232" s="444"/>
      <c r="AC232" s="444"/>
      <c r="AD232" s="430"/>
      <c r="AE232" s="430"/>
      <c r="AF232" s="430"/>
      <c r="AG232" s="444"/>
      <c r="AH232" s="444"/>
      <c r="AI232" s="430"/>
      <c r="AJ232" s="430"/>
      <c r="AK232" s="430"/>
      <c r="AL232" s="476"/>
      <c r="AM232" s="430"/>
      <c r="AN232" s="430"/>
      <c r="AO232" s="430"/>
      <c r="AP232" s="430"/>
      <c r="AQ232" s="430"/>
      <c r="AR232" s="430"/>
      <c r="AS232" s="430"/>
      <c r="AT232" s="430"/>
      <c r="AU232" s="430"/>
      <c r="AV232" s="430"/>
      <c r="AW232" s="430"/>
      <c r="AX232" s="430"/>
    </row>
    <row r="233">
      <c r="B233" s="471"/>
      <c r="E233" s="471"/>
      <c r="H233" s="471"/>
      <c r="K233" s="471"/>
      <c r="M233" s="454"/>
      <c r="N233" s="424"/>
      <c r="O233" s="424"/>
      <c r="P233" s="430"/>
      <c r="Q233" s="444"/>
      <c r="R233" s="424"/>
      <c r="S233" s="430"/>
      <c r="T233" s="444"/>
      <c r="U233" s="430"/>
      <c r="V233" s="430"/>
      <c r="W233" s="444"/>
      <c r="X233" s="444"/>
      <c r="Y233" s="430"/>
      <c r="Z233" s="430"/>
      <c r="AA233" s="430"/>
      <c r="AB233" s="444"/>
      <c r="AC233" s="444"/>
      <c r="AD233" s="430"/>
      <c r="AE233" s="430"/>
      <c r="AF233" s="430"/>
      <c r="AG233" s="444"/>
      <c r="AH233" s="444"/>
      <c r="AI233" s="430"/>
      <c r="AJ233" s="430"/>
      <c r="AK233" s="430"/>
      <c r="AL233" s="476"/>
      <c r="AM233" s="430"/>
      <c r="AN233" s="430"/>
      <c r="AO233" s="430"/>
      <c r="AP233" s="430"/>
      <c r="AQ233" s="430"/>
      <c r="AR233" s="430"/>
      <c r="AS233" s="430"/>
      <c r="AT233" s="430"/>
      <c r="AU233" s="430"/>
      <c r="AV233" s="430"/>
      <c r="AW233" s="430"/>
      <c r="AX233" s="430"/>
    </row>
    <row r="234">
      <c r="B234" s="471"/>
      <c r="E234" s="471"/>
      <c r="H234" s="471"/>
      <c r="K234" s="471"/>
      <c r="M234" s="454"/>
      <c r="N234" s="424"/>
      <c r="O234" s="424"/>
      <c r="P234" s="430"/>
      <c r="Q234" s="444"/>
      <c r="R234" s="424"/>
      <c r="S234" s="430"/>
      <c r="T234" s="444"/>
      <c r="U234" s="430"/>
      <c r="V234" s="430"/>
      <c r="W234" s="444"/>
      <c r="X234" s="444"/>
      <c r="Y234" s="430"/>
      <c r="Z234" s="430"/>
      <c r="AA234" s="430"/>
      <c r="AB234" s="444"/>
      <c r="AC234" s="444"/>
      <c r="AD234" s="430"/>
      <c r="AE234" s="430"/>
      <c r="AF234" s="430"/>
      <c r="AG234" s="444"/>
      <c r="AH234" s="444"/>
      <c r="AI234" s="430"/>
      <c r="AJ234" s="430"/>
      <c r="AK234" s="430"/>
      <c r="AL234" s="476"/>
      <c r="AM234" s="430"/>
      <c r="AN234" s="430"/>
      <c r="AO234" s="430"/>
      <c r="AP234" s="430"/>
      <c r="AQ234" s="430"/>
      <c r="AR234" s="430"/>
      <c r="AS234" s="430"/>
      <c r="AT234" s="430"/>
      <c r="AU234" s="430"/>
      <c r="AV234" s="430"/>
      <c r="AW234" s="430"/>
      <c r="AX234" s="430"/>
    </row>
    <row r="235">
      <c r="B235" s="471"/>
      <c r="E235" s="471"/>
      <c r="H235" s="471"/>
      <c r="K235" s="471"/>
      <c r="M235" s="454"/>
      <c r="N235" s="424"/>
      <c r="O235" s="424"/>
      <c r="P235" s="430"/>
      <c r="Q235" s="444"/>
      <c r="R235" s="424"/>
      <c r="S235" s="430"/>
      <c r="T235" s="444"/>
      <c r="U235" s="430"/>
      <c r="V235" s="430"/>
      <c r="W235" s="444"/>
      <c r="X235" s="444"/>
      <c r="Y235" s="430"/>
      <c r="Z235" s="430"/>
      <c r="AA235" s="430"/>
      <c r="AB235" s="444"/>
      <c r="AC235" s="444"/>
      <c r="AD235" s="430"/>
      <c r="AE235" s="430"/>
      <c r="AF235" s="430"/>
      <c r="AG235" s="444"/>
      <c r="AH235" s="444"/>
      <c r="AI235" s="430"/>
      <c r="AJ235" s="430"/>
      <c r="AK235" s="430"/>
      <c r="AL235" s="476"/>
      <c r="AM235" s="430"/>
      <c r="AN235" s="430"/>
      <c r="AO235" s="430"/>
      <c r="AP235" s="430"/>
      <c r="AQ235" s="430"/>
      <c r="AR235" s="430"/>
      <c r="AS235" s="430"/>
      <c r="AT235" s="430"/>
      <c r="AU235" s="430"/>
      <c r="AV235" s="430"/>
      <c r="AW235" s="430"/>
      <c r="AX235" s="430"/>
    </row>
    <row r="236">
      <c r="B236" s="471"/>
      <c r="E236" s="471"/>
      <c r="H236" s="471"/>
      <c r="K236" s="471"/>
      <c r="M236" s="454"/>
      <c r="N236" s="424"/>
      <c r="O236" s="424"/>
      <c r="P236" s="430"/>
      <c r="Q236" s="444"/>
      <c r="R236" s="424"/>
      <c r="S236" s="430"/>
      <c r="T236" s="444"/>
      <c r="U236" s="430"/>
      <c r="V236" s="430"/>
      <c r="W236" s="444"/>
      <c r="X236" s="444"/>
      <c r="Y236" s="430"/>
      <c r="Z236" s="430"/>
      <c r="AA236" s="430"/>
      <c r="AB236" s="444"/>
      <c r="AC236" s="444"/>
      <c r="AD236" s="430"/>
      <c r="AE236" s="430"/>
      <c r="AF236" s="430"/>
      <c r="AG236" s="444"/>
      <c r="AH236" s="444"/>
      <c r="AI236" s="430"/>
      <c r="AJ236" s="430"/>
      <c r="AK236" s="430"/>
      <c r="AL236" s="476"/>
      <c r="AM236" s="430"/>
      <c r="AN236" s="430"/>
      <c r="AO236" s="430"/>
      <c r="AP236" s="430"/>
      <c r="AQ236" s="430"/>
      <c r="AR236" s="430"/>
      <c r="AS236" s="430"/>
      <c r="AT236" s="430"/>
      <c r="AU236" s="430"/>
      <c r="AV236" s="430"/>
      <c r="AW236" s="430"/>
      <c r="AX236" s="430"/>
    </row>
    <row r="237">
      <c r="B237" s="471"/>
      <c r="E237" s="471"/>
      <c r="H237" s="471"/>
      <c r="K237" s="471"/>
      <c r="M237" s="454"/>
      <c r="N237" s="424"/>
      <c r="O237" s="424"/>
      <c r="P237" s="430"/>
      <c r="Q237" s="444"/>
      <c r="R237" s="424"/>
      <c r="S237" s="430"/>
      <c r="T237" s="444"/>
      <c r="U237" s="430"/>
      <c r="V237" s="430"/>
      <c r="W237" s="444"/>
      <c r="X237" s="444"/>
      <c r="Y237" s="430"/>
      <c r="Z237" s="430"/>
      <c r="AA237" s="430"/>
      <c r="AB237" s="444"/>
      <c r="AC237" s="444"/>
      <c r="AD237" s="430"/>
      <c r="AE237" s="430"/>
      <c r="AF237" s="430"/>
      <c r="AG237" s="444"/>
      <c r="AH237" s="444"/>
      <c r="AI237" s="430"/>
      <c r="AJ237" s="430"/>
      <c r="AK237" s="430"/>
      <c r="AL237" s="476"/>
      <c r="AM237" s="430"/>
      <c r="AN237" s="430"/>
      <c r="AO237" s="430"/>
      <c r="AP237" s="430"/>
      <c r="AQ237" s="430"/>
      <c r="AR237" s="430"/>
      <c r="AS237" s="430"/>
      <c r="AT237" s="430"/>
      <c r="AU237" s="430"/>
      <c r="AV237" s="430"/>
      <c r="AW237" s="430"/>
      <c r="AX237" s="430"/>
    </row>
    <row r="238">
      <c r="B238" s="471"/>
      <c r="E238" s="471"/>
      <c r="H238" s="471"/>
      <c r="K238" s="471"/>
      <c r="M238" s="454"/>
      <c r="N238" s="424"/>
      <c r="O238" s="424"/>
      <c r="P238" s="430"/>
      <c r="Q238" s="444"/>
      <c r="R238" s="424"/>
      <c r="S238" s="430"/>
      <c r="T238" s="444"/>
      <c r="U238" s="430"/>
      <c r="V238" s="430"/>
      <c r="W238" s="444"/>
      <c r="X238" s="444"/>
      <c r="Y238" s="430"/>
      <c r="Z238" s="430"/>
      <c r="AA238" s="430"/>
      <c r="AB238" s="444"/>
      <c r="AC238" s="444"/>
      <c r="AD238" s="430"/>
      <c r="AE238" s="430"/>
      <c r="AF238" s="430"/>
      <c r="AG238" s="444"/>
      <c r="AH238" s="444"/>
      <c r="AI238" s="430"/>
      <c r="AJ238" s="430"/>
      <c r="AK238" s="430"/>
      <c r="AL238" s="476"/>
      <c r="AM238" s="430"/>
      <c r="AN238" s="430"/>
      <c r="AO238" s="430"/>
      <c r="AP238" s="430"/>
      <c r="AQ238" s="430"/>
      <c r="AR238" s="430"/>
      <c r="AS238" s="430"/>
      <c r="AT238" s="430"/>
      <c r="AU238" s="430"/>
      <c r="AV238" s="430"/>
      <c r="AW238" s="430"/>
      <c r="AX238" s="430"/>
    </row>
    <row r="239">
      <c r="B239" s="471"/>
      <c r="E239" s="471"/>
      <c r="H239" s="471"/>
      <c r="K239" s="471"/>
      <c r="M239" s="454"/>
      <c r="N239" s="424"/>
      <c r="O239" s="424"/>
      <c r="P239" s="430"/>
      <c r="Q239" s="444"/>
      <c r="R239" s="424"/>
      <c r="S239" s="430"/>
      <c r="T239" s="444"/>
      <c r="U239" s="430"/>
      <c r="V239" s="430"/>
      <c r="W239" s="444"/>
      <c r="X239" s="444"/>
      <c r="Y239" s="430"/>
      <c r="Z239" s="430"/>
      <c r="AA239" s="430"/>
      <c r="AB239" s="444"/>
      <c r="AC239" s="444"/>
      <c r="AD239" s="430"/>
      <c r="AE239" s="430"/>
      <c r="AF239" s="430"/>
      <c r="AG239" s="444"/>
      <c r="AH239" s="444"/>
      <c r="AI239" s="430"/>
      <c r="AJ239" s="430"/>
      <c r="AK239" s="430"/>
      <c r="AL239" s="476"/>
      <c r="AM239" s="430"/>
      <c r="AN239" s="430"/>
      <c r="AO239" s="430"/>
      <c r="AP239" s="430"/>
      <c r="AQ239" s="430"/>
      <c r="AR239" s="430"/>
      <c r="AS239" s="430"/>
      <c r="AT239" s="430"/>
      <c r="AU239" s="430"/>
      <c r="AV239" s="430"/>
      <c r="AW239" s="430"/>
      <c r="AX239" s="430"/>
    </row>
    <row r="240">
      <c r="B240" s="471"/>
      <c r="E240" s="471"/>
      <c r="H240" s="471"/>
      <c r="K240" s="471"/>
      <c r="M240" s="454"/>
      <c r="N240" s="424"/>
      <c r="O240" s="424"/>
      <c r="P240" s="430"/>
      <c r="Q240" s="444"/>
      <c r="R240" s="424"/>
      <c r="S240" s="430"/>
      <c r="T240" s="444"/>
      <c r="U240" s="430"/>
      <c r="V240" s="430"/>
      <c r="W240" s="444"/>
      <c r="X240" s="444"/>
      <c r="Y240" s="430"/>
      <c r="Z240" s="430"/>
      <c r="AA240" s="430"/>
      <c r="AB240" s="444"/>
      <c r="AC240" s="444"/>
      <c r="AD240" s="430"/>
      <c r="AE240" s="430"/>
      <c r="AF240" s="430"/>
      <c r="AG240" s="444"/>
      <c r="AH240" s="444"/>
      <c r="AI240" s="430"/>
      <c r="AJ240" s="430"/>
      <c r="AK240" s="430"/>
      <c r="AL240" s="476"/>
      <c r="AM240" s="430"/>
      <c r="AN240" s="430"/>
      <c r="AO240" s="430"/>
      <c r="AP240" s="430"/>
      <c r="AQ240" s="430"/>
      <c r="AR240" s="430"/>
      <c r="AS240" s="430"/>
      <c r="AT240" s="430"/>
      <c r="AU240" s="430"/>
      <c r="AV240" s="430"/>
      <c r="AW240" s="430"/>
      <c r="AX240" s="430"/>
    </row>
    <row r="241">
      <c r="B241" s="471"/>
      <c r="E241" s="471"/>
      <c r="H241" s="471"/>
      <c r="K241" s="471"/>
      <c r="M241" s="454"/>
      <c r="N241" s="424"/>
      <c r="O241" s="424"/>
      <c r="P241" s="430"/>
      <c r="Q241" s="444"/>
      <c r="R241" s="424"/>
      <c r="S241" s="430"/>
      <c r="T241" s="444"/>
      <c r="U241" s="430"/>
      <c r="V241" s="430"/>
      <c r="W241" s="444"/>
      <c r="X241" s="444"/>
      <c r="Y241" s="430"/>
      <c r="Z241" s="430"/>
      <c r="AA241" s="430"/>
      <c r="AB241" s="444"/>
      <c r="AC241" s="444"/>
      <c r="AD241" s="430"/>
      <c r="AE241" s="430"/>
      <c r="AF241" s="430"/>
      <c r="AG241" s="444"/>
      <c r="AH241" s="444"/>
      <c r="AI241" s="430"/>
      <c r="AJ241" s="430"/>
      <c r="AK241" s="430"/>
      <c r="AL241" s="476"/>
      <c r="AM241" s="430"/>
      <c r="AN241" s="430"/>
      <c r="AO241" s="430"/>
      <c r="AP241" s="430"/>
      <c r="AQ241" s="430"/>
      <c r="AR241" s="430"/>
      <c r="AS241" s="430"/>
      <c r="AT241" s="430"/>
      <c r="AU241" s="430"/>
      <c r="AV241" s="430"/>
      <c r="AW241" s="430"/>
      <c r="AX241" s="430"/>
    </row>
    <row r="242">
      <c r="B242" s="471"/>
      <c r="E242" s="471"/>
      <c r="H242" s="471"/>
      <c r="K242" s="471"/>
      <c r="M242" s="454"/>
      <c r="N242" s="424"/>
      <c r="O242" s="424"/>
      <c r="P242" s="430"/>
      <c r="Q242" s="444"/>
      <c r="R242" s="424"/>
      <c r="S242" s="430"/>
      <c r="T242" s="444"/>
      <c r="U242" s="430"/>
      <c r="V242" s="430"/>
      <c r="W242" s="444"/>
      <c r="X242" s="444"/>
      <c r="Y242" s="430"/>
      <c r="Z242" s="430"/>
      <c r="AA242" s="430"/>
      <c r="AB242" s="444"/>
      <c r="AC242" s="444"/>
      <c r="AD242" s="430"/>
      <c r="AE242" s="430"/>
      <c r="AF242" s="430"/>
      <c r="AG242" s="444"/>
      <c r="AH242" s="444"/>
      <c r="AI242" s="430"/>
      <c r="AJ242" s="430"/>
      <c r="AK242" s="430"/>
      <c r="AL242" s="476"/>
      <c r="AM242" s="430"/>
      <c r="AN242" s="430"/>
      <c r="AO242" s="430"/>
      <c r="AP242" s="430"/>
      <c r="AQ242" s="430"/>
      <c r="AR242" s="430"/>
      <c r="AS242" s="430"/>
      <c r="AT242" s="430"/>
      <c r="AU242" s="430"/>
      <c r="AV242" s="430"/>
      <c r="AW242" s="430"/>
      <c r="AX242" s="430"/>
    </row>
    <row r="243">
      <c r="B243" s="471"/>
      <c r="E243" s="471"/>
      <c r="H243" s="471"/>
      <c r="K243" s="471"/>
      <c r="M243" s="454"/>
      <c r="N243" s="424"/>
      <c r="O243" s="424"/>
      <c r="P243" s="430"/>
      <c r="Q243" s="444"/>
      <c r="R243" s="424"/>
      <c r="S243" s="430"/>
      <c r="T243" s="444"/>
      <c r="U243" s="430"/>
      <c r="V243" s="430"/>
      <c r="W243" s="444"/>
      <c r="X243" s="444"/>
      <c r="Y243" s="430"/>
      <c r="Z243" s="430"/>
      <c r="AA243" s="430"/>
      <c r="AB243" s="444"/>
      <c r="AC243" s="444"/>
      <c r="AD243" s="430"/>
      <c r="AE243" s="430"/>
      <c r="AF243" s="430"/>
      <c r="AG243" s="444"/>
      <c r="AH243" s="444"/>
      <c r="AI243" s="430"/>
      <c r="AJ243" s="430"/>
      <c r="AK243" s="430"/>
      <c r="AL243" s="476"/>
      <c r="AM243" s="430"/>
      <c r="AN243" s="430"/>
      <c r="AO243" s="430"/>
      <c r="AP243" s="430"/>
      <c r="AQ243" s="430"/>
      <c r="AR243" s="430"/>
      <c r="AS243" s="430"/>
      <c r="AT243" s="430"/>
      <c r="AU243" s="430"/>
      <c r="AV243" s="430"/>
      <c r="AW243" s="430"/>
      <c r="AX243" s="430"/>
    </row>
    <row r="244">
      <c r="B244" s="471"/>
      <c r="E244" s="471"/>
      <c r="H244" s="471"/>
      <c r="K244" s="471"/>
      <c r="M244" s="454"/>
      <c r="N244" s="424"/>
      <c r="O244" s="424"/>
      <c r="P244" s="430"/>
      <c r="Q244" s="444"/>
      <c r="R244" s="424"/>
      <c r="S244" s="430"/>
      <c r="T244" s="444"/>
      <c r="U244" s="430"/>
      <c r="V244" s="430"/>
      <c r="W244" s="444"/>
      <c r="X244" s="444"/>
      <c r="Y244" s="430"/>
      <c r="Z244" s="430"/>
      <c r="AA244" s="430"/>
      <c r="AB244" s="444"/>
      <c r="AC244" s="444"/>
      <c r="AD244" s="430"/>
      <c r="AE244" s="430"/>
      <c r="AF244" s="430"/>
      <c r="AG244" s="444"/>
      <c r="AH244" s="444"/>
      <c r="AI244" s="430"/>
      <c r="AJ244" s="430"/>
      <c r="AK244" s="430"/>
      <c r="AL244" s="476"/>
      <c r="AM244" s="430"/>
      <c r="AN244" s="430"/>
      <c r="AO244" s="430"/>
      <c r="AP244" s="430"/>
      <c r="AQ244" s="430"/>
      <c r="AR244" s="430"/>
      <c r="AS244" s="430"/>
      <c r="AT244" s="430"/>
      <c r="AU244" s="430"/>
      <c r="AV244" s="430"/>
      <c r="AW244" s="430"/>
      <c r="AX244" s="430"/>
    </row>
    <row r="245">
      <c r="B245" s="471"/>
      <c r="E245" s="471"/>
      <c r="H245" s="471"/>
      <c r="K245" s="471"/>
      <c r="M245" s="454"/>
      <c r="N245" s="424"/>
      <c r="O245" s="424"/>
      <c r="P245" s="430"/>
      <c r="Q245" s="444"/>
      <c r="R245" s="424"/>
      <c r="S245" s="430"/>
      <c r="T245" s="444"/>
      <c r="U245" s="430"/>
      <c r="V245" s="430"/>
      <c r="W245" s="444"/>
      <c r="X245" s="444"/>
      <c r="Y245" s="430"/>
      <c r="Z245" s="430"/>
      <c r="AA245" s="430"/>
      <c r="AB245" s="444"/>
      <c r="AC245" s="444"/>
      <c r="AD245" s="430"/>
      <c r="AE245" s="430"/>
      <c r="AF245" s="430"/>
      <c r="AG245" s="444"/>
      <c r="AH245" s="444"/>
      <c r="AI245" s="430"/>
      <c r="AJ245" s="430"/>
      <c r="AK245" s="430"/>
      <c r="AL245" s="476"/>
      <c r="AM245" s="430"/>
      <c r="AN245" s="430"/>
      <c r="AO245" s="430"/>
      <c r="AP245" s="430"/>
      <c r="AQ245" s="430"/>
      <c r="AR245" s="430"/>
      <c r="AS245" s="430"/>
      <c r="AT245" s="430"/>
      <c r="AU245" s="430"/>
      <c r="AV245" s="430"/>
      <c r="AW245" s="430"/>
      <c r="AX245" s="430"/>
    </row>
    <row r="246">
      <c r="B246" s="471"/>
      <c r="E246" s="471"/>
      <c r="H246" s="471"/>
      <c r="K246" s="471"/>
      <c r="M246" s="454"/>
      <c r="N246" s="424"/>
      <c r="O246" s="424"/>
      <c r="P246" s="430"/>
      <c r="Q246" s="444"/>
      <c r="R246" s="424"/>
      <c r="S246" s="430"/>
      <c r="T246" s="444"/>
      <c r="U246" s="430"/>
      <c r="V246" s="430"/>
      <c r="W246" s="444"/>
      <c r="X246" s="444"/>
      <c r="Y246" s="430"/>
      <c r="Z246" s="430"/>
      <c r="AA246" s="430"/>
      <c r="AB246" s="444"/>
      <c r="AC246" s="444"/>
      <c r="AD246" s="430"/>
      <c r="AE246" s="430"/>
      <c r="AF246" s="430"/>
      <c r="AG246" s="444"/>
      <c r="AH246" s="444"/>
      <c r="AI246" s="430"/>
      <c r="AJ246" s="430"/>
      <c r="AK246" s="430"/>
      <c r="AL246" s="476"/>
      <c r="AM246" s="430"/>
      <c r="AN246" s="430"/>
      <c r="AO246" s="430"/>
      <c r="AP246" s="430"/>
      <c r="AQ246" s="430"/>
      <c r="AR246" s="430"/>
      <c r="AS246" s="430"/>
      <c r="AT246" s="430"/>
      <c r="AU246" s="430"/>
      <c r="AV246" s="430"/>
      <c r="AW246" s="430"/>
      <c r="AX246" s="430"/>
    </row>
    <row r="247">
      <c r="B247" s="471"/>
      <c r="E247" s="471"/>
      <c r="H247" s="471"/>
      <c r="K247" s="471"/>
      <c r="M247" s="454"/>
      <c r="N247" s="424"/>
      <c r="O247" s="424"/>
      <c r="P247" s="430"/>
      <c r="Q247" s="444"/>
      <c r="R247" s="424"/>
      <c r="S247" s="430"/>
      <c r="T247" s="444"/>
      <c r="U247" s="430"/>
      <c r="V247" s="430"/>
      <c r="W247" s="444"/>
      <c r="X247" s="444"/>
      <c r="Y247" s="430"/>
      <c r="Z247" s="430"/>
      <c r="AA247" s="430"/>
      <c r="AB247" s="444"/>
      <c r="AC247" s="444"/>
      <c r="AD247" s="430"/>
      <c r="AE247" s="430"/>
      <c r="AF247" s="430"/>
      <c r="AG247" s="444"/>
      <c r="AH247" s="444"/>
      <c r="AI247" s="430"/>
      <c r="AJ247" s="430"/>
      <c r="AK247" s="430"/>
      <c r="AL247" s="476"/>
      <c r="AM247" s="430"/>
      <c r="AN247" s="430"/>
      <c r="AO247" s="430"/>
      <c r="AP247" s="430"/>
      <c r="AQ247" s="430"/>
      <c r="AR247" s="430"/>
      <c r="AS247" s="430"/>
      <c r="AT247" s="430"/>
      <c r="AU247" s="430"/>
      <c r="AV247" s="430"/>
      <c r="AW247" s="430"/>
      <c r="AX247" s="430"/>
    </row>
    <row r="248">
      <c r="B248" s="471"/>
      <c r="E248" s="471"/>
      <c r="H248" s="471"/>
      <c r="K248" s="471"/>
      <c r="M248" s="454"/>
      <c r="N248" s="424"/>
      <c r="O248" s="424"/>
      <c r="P248" s="430"/>
      <c r="Q248" s="444"/>
      <c r="R248" s="424"/>
      <c r="S248" s="430"/>
      <c r="T248" s="444"/>
      <c r="U248" s="430"/>
      <c r="V248" s="430"/>
      <c r="W248" s="444"/>
      <c r="X248" s="444"/>
      <c r="Y248" s="430"/>
      <c r="Z248" s="430"/>
      <c r="AA248" s="430"/>
      <c r="AB248" s="444"/>
      <c r="AC248" s="444"/>
      <c r="AD248" s="430"/>
      <c r="AE248" s="430"/>
      <c r="AF248" s="430"/>
      <c r="AG248" s="444"/>
      <c r="AH248" s="444"/>
      <c r="AI248" s="430"/>
      <c r="AJ248" s="430"/>
      <c r="AK248" s="430"/>
      <c r="AL248" s="476"/>
      <c r="AM248" s="430"/>
      <c r="AN248" s="430"/>
      <c r="AO248" s="430"/>
      <c r="AP248" s="430"/>
      <c r="AQ248" s="430"/>
      <c r="AR248" s="430"/>
      <c r="AS248" s="430"/>
      <c r="AT248" s="430"/>
      <c r="AU248" s="430"/>
      <c r="AV248" s="430"/>
      <c r="AW248" s="430"/>
      <c r="AX248" s="430"/>
    </row>
    <row r="249">
      <c r="B249" s="471"/>
      <c r="E249" s="471"/>
      <c r="H249" s="471"/>
      <c r="K249" s="471"/>
      <c r="M249" s="454"/>
      <c r="N249" s="424"/>
      <c r="O249" s="424"/>
      <c r="P249" s="430"/>
      <c r="Q249" s="444"/>
      <c r="R249" s="424"/>
      <c r="S249" s="430"/>
      <c r="T249" s="444"/>
      <c r="U249" s="430"/>
      <c r="V249" s="430"/>
      <c r="W249" s="444"/>
      <c r="X249" s="444"/>
      <c r="Y249" s="430"/>
      <c r="Z249" s="430"/>
      <c r="AA249" s="430"/>
      <c r="AB249" s="444"/>
      <c r="AC249" s="444"/>
      <c r="AD249" s="430"/>
      <c r="AE249" s="430"/>
      <c r="AF249" s="430"/>
      <c r="AG249" s="444"/>
      <c r="AH249" s="444"/>
      <c r="AI249" s="430"/>
      <c r="AJ249" s="430"/>
      <c r="AK249" s="430"/>
      <c r="AL249" s="476"/>
      <c r="AM249" s="430"/>
      <c r="AN249" s="430"/>
      <c r="AO249" s="430"/>
      <c r="AP249" s="430"/>
      <c r="AQ249" s="430"/>
      <c r="AR249" s="430"/>
      <c r="AS249" s="430"/>
      <c r="AT249" s="430"/>
      <c r="AU249" s="430"/>
      <c r="AV249" s="430"/>
      <c r="AW249" s="430"/>
      <c r="AX249" s="430"/>
    </row>
    <row r="250">
      <c r="B250" s="471"/>
      <c r="E250" s="471"/>
      <c r="H250" s="471"/>
      <c r="K250" s="471"/>
      <c r="M250" s="454"/>
      <c r="N250" s="424"/>
      <c r="O250" s="424"/>
      <c r="P250" s="430"/>
      <c r="Q250" s="444"/>
      <c r="R250" s="424"/>
      <c r="S250" s="430"/>
      <c r="T250" s="444"/>
      <c r="U250" s="430"/>
      <c r="V250" s="430"/>
      <c r="W250" s="444"/>
      <c r="X250" s="444"/>
      <c r="Y250" s="430"/>
      <c r="Z250" s="430"/>
      <c r="AA250" s="430"/>
      <c r="AB250" s="444"/>
      <c r="AC250" s="444"/>
      <c r="AD250" s="430"/>
      <c r="AE250" s="430"/>
      <c r="AF250" s="430"/>
      <c r="AG250" s="444"/>
      <c r="AH250" s="444"/>
      <c r="AI250" s="430"/>
      <c r="AJ250" s="430"/>
      <c r="AK250" s="430"/>
      <c r="AL250" s="476"/>
      <c r="AM250" s="430"/>
      <c r="AN250" s="430"/>
      <c r="AO250" s="430"/>
      <c r="AP250" s="430"/>
      <c r="AQ250" s="430"/>
      <c r="AR250" s="430"/>
      <c r="AS250" s="430"/>
      <c r="AT250" s="430"/>
      <c r="AU250" s="430"/>
      <c r="AV250" s="430"/>
      <c r="AW250" s="430"/>
      <c r="AX250" s="430"/>
    </row>
    <row r="251">
      <c r="B251" s="471"/>
      <c r="E251" s="471"/>
      <c r="H251" s="471"/>
      <c r="K251" s="471"/>
      <c r="M251" s="454"/>
      <c r="N251" s="424"/>
      <c r="O251" s="424"/>
      <c r="P251" s="430"/>
      <c r="Q251" s="444"/>
      <c r="R251" s="424"/>
      <c r="S251" s="430"/>
      <c r="T251" s="444"/>
      <c r="U251" s="430"/>
      <c r="V251" s="430"/>
      <c r="W251" s="444"/>
      <c r="X251" s="444"/>
      <c r="Y251" s="430"/>
      <c r="Z251" s="430"/>
      <c r="AA251" s="430"/>
      <c r="AB251" s="444"/>
      <c r="AC251" s="444"/>
      <c r="AD251" s="430"/>
      <c r="AE251" s="430"/>
      <c r="AF251" s="430"/>
      <c r="AG251" s="444"/>
      <c r="AH251" s="444"/>
      <c r="AI251" s="430"/>
      <c r="AJ251" s="430"/>
      <c r="AK251" s="430"/>
      <c r="AL251" s="476"/>
      <c r="AM251" s="430"/>
      <c r="AN251" s="430"/>
      <c r="AO251" s="430"/>
      <c r="AP251" s="430"/>
      <c r="AQ251" s="430"/>
      <c r="AR251" s="430"/>
      <c r="AS251" s="430"/>
      <c r="AT251" s="430"/>
      <c r="AU251" s="430"/>
      <c r="AV251" s="430"/>
      <c r="AW251" s="430"/>
      <c r="AX251" s="430"/>
    </row>
    <row r="252">
      <c r="B252" s="471"/>
      <c r="E252" s="471"/>
      <c r="H252" s="471"/>
      <c r="K252" s="471"/>
      <c r="M252" s="454"/>
      <c r="N252" s="424"/>
      <c r="O252" s="424"/>
      <c r="P252" s="430"/>
      <c r="Q252" s="444"/>
      <c r="R252" s="424"/>
      <c r="S252" s="430"/>
      <c r="T252" s="444"/>
      <c r="U252" s="430"/>
      <c r="V252" s="430"/>
      <c r="W252" s="444"/>
      <c r="X252" s="444"/>
      <c r="Y252" s="430"/>
      <c r="Z252" s="430"/>
      <c r="AA252" s="430"/>
      <c r="AB252" s="444"/>
      <c r="AC252" s="444"/>
      <c r="AD252" s="430"/>
      <c r="AE252" s="430"/>
      <c r="AF252" s="430"/>
      <c r="AG252" s="444"/>
      <c r="AH252" s="444"/>
      <c r="AI252" s="430"/>
      <c r="AJ252" s="430"/>
      <c r="AK252" s="430"/>
      <c r="AL252" s="476"/>
      <c r="AM252" s="430"/>
      <c r="AN252" s="430"/>
      <c r="AO252" s="430"/>
      <c r="AP252" s="430"/>
      <c r="AQ252" s="430"/>
      <c r="AR252" s="430"/>
      <c r="AS252" s="430"/>
      <c r="AT252" s="430"/>
      <c r="AU252" s="430"/>
      <c r="AV252" s="430"/>
      <c r="AW252" s="430"/>
      <c r="AX252" s="430"/>
    </row>
    <row r="253">
      <c r="B253" s="471"/>
      <c r="E253" s="471"/>
      <c r="H253" s="471"/>
      <c r="K253" s="471"/>
      <c r="M253" s="454"/>
      <c r="N253" s="424"/>
      <c r="O253" s="424"/>
      <c r="P253" s="430"/>
      <c r="Q253" s="444"/>
      <c r="R253" s="424"/>
      <c r="S253" s="430"/>
      <c r="T253" s="444"/>
      <c r="U253" s="430"/>
      <c r="V253" s="430"/>
      <c r="W253" s="444"/>
      <c r="X253" s="444"/>
      <c r="Y253" s="430"/>
      <c r="Z253" s="430"/>
      <c r="AA253" s="430"/>
      <c r="AB253" s="444"/>
      <c r="AC253" s="444"/>
      <c r="AD253" s="430"/>
      <c r="AE253" s="430"/>
      <c r="AF253" s="430"/>
      <c r="AG253" s="444"/>
      <c r="AH253" s="444"/>
      <c r="AI253" s="430"/>
      <c r="AJ253" s="430"/>
      <c r="AK253" s="430"/>
      <c r="AL253" s="476"/>
      <c r="AM253" s="430"/>
      <c r="AN253" s="430"/>
      <c r="AO253" s="430"/>
      <c r="AP253" s="430"/>
      <c r="AQ253" s="430"/>
      <c r="AR253" s="430"/>
      <c r="AS253" s="430"/>
      <c r="AT253" s="430"/>
      <c r="AU253" s="430"/>
      <c r="AV253" s="430"/>
      <c r="AW253" s="430"/>
      <c r="AX253" s="430"/>
    </row>
    <row r="254">
      <c r="B254" s="471"/>
      <c r="E254" s="471"/>
      <c r="H254" s="471"/>
      <c r="K254" s="471"/>
      <c r="M254" s="454"/>
      <c r="N254" s="424"/>
      <c r="O254" s="424"/>
      <c r="P254" s="430"/>
      <c r="Q254" s="444"/>
      <c r="R254" s="424"/>
      <c r="S254" s="430"/>
      <c r="T254" s="444"/>
      <c r="U254" s="430"/>
      <c r="V254" s="430"/>
      <c r="W254" s="444"/>
      <c r="X254" s="444"/>
      <c r="Y254" s="430"/>
      <c r="Z254" s="430"/>
      <c r="AA254" s="430"/>
      <c r="AB254" s="444"/>
      <c r="AC254" s="444"/>
      <c r="AD254" s="430"/>
      <c r="AE254" s="430"/>
      <c r="AF254" s="430"/>
      <c r="AG254" s="444"/>
      <c r="AH254" s="444"/>
      <c r="AI254" s="430"/>
      <c r="AJ254" s="430"/>
      <c r="AK254" s="430"/>
      <c r="AL254" s="476"/>
      <c r="AM254" s="430"/>
      <c r="AN254" s="430"/>
      <c r="AO254" s="430"/>
      <c r="AP254" s="430"/>
      <c r="AQ254" s="430"/>
      <c r="AR254" s="430"/>
      <c r="AS254" s="430"/>
      <c r="AT254" s="430"/>
      <c r="AU254" s="430"/>
      <c r="AV254" s="430"/>
      <c r="AW254" s="430"/>
      <c r="AX254" s="430"/>
    </row>
    <row r="255">
      <c r="B255" s="471"/>
      <c r="E255" s="471"/>
      <c r="H255" s="471"/>
      <c r="K255" s="471"/>
      <c r="M255" s="454"/>
      <c r="N255" s="424"/>
      <c r="O255" s="424"/>
      <c r="P255" s="430"/>
      <c r="Q255" s="444"/>
      <c r="R255" s="424"/>
      <c r="S255" s="430"/>
      <c r="T255" s="444"/>
      <c r="U255" s="430"/>
      <c r="V255" s="430"/>
      <c r="W255" s="444"/>
      <c r="X255" s="444"/>
      <c r="Y255" s="430"/>
      <c r="Z255" s="430"/>
      <c r="AA255" s="430"/>
      <c r="AB255" s="444"/>
      <c r="AC255" s="444"/>
      <c r="AD255" s="430"/>
      <c r="AE255" s="430"/>
      <c r="AF255" s="430"/>
      <c r="AG255" s="444"/>
      <c r="AH255" s="444"/>
      <c r="AI255" s="430"/>
      <c r="AJ255" s="430"/>
      <c r="AK255" s="430"/>
      <c r="AL255" s="476"/>
      <c r="AM255" s="430"/>
      <c r="AN255" s="430"/>
      <c r="AO255" s="430"/>
      <c r="AP255" s="430"/>
      <c r="AQ255" s="430"/>
      <c r="AR255" s="430"/>
      <c r="AS255" s="430"/>
      <c r="AT255" s="430"/>
      <c r="AU255" s="430"/>
      <c r="AV255" s="430"/>
      <c r="AW255" s="430"/>
      <c r="AX255" s="430"/>
    </row>
    <row r="256">
      <c r="B256" s="471"/>
      <c r="E256" s="471"/>
      <c r="H256" s="471"/>
      <c r="K256" s="471"/>
      <c r="M256" s="454"/>
      <c r="N256" s="424"/>
      <c r="O256" s="424"/>
      <c r="P256" s="430"/>
      <c r="Q256" s="444"/>
      <c r="R256" s="424"/>
      <c r="S256" s="430"/>
      <c r="T256" s="444"/>
      <c r="U256" s="430"/>
      <c r="V256" s="430"/>
      <c r="W256" s="444"/>
      <c r="X256" s="444"/>
      <c r="Y256" s="430"/>
      <c r="Z256" s="430"/>
      <c r="AA256" s="430"/>
      <c r="AB256" s="444"/>
      <c r="AC256" s="444"/>
      <c r="AD256" s="430"/>
      <c r="AE256" s="430"/>
      <c r="AF256" s="430"/>
      <c r="AG256" s="444"/>
      <c r="AH256" s="444"/>
      <c r="AI256" s="430"/>
      <c r="AJ256" s="430"/>
      <c r="AK256" s="430"/>
      <c r="AL256" s="476"/>
      <c r="AM256" s="430"/>
      <c r="AN256" s="430"/>
      <c r="AO256" s="430"/>
      <c r="AP256" s="430"/>
      <c r="AQ256" s="430"/>
      <c r="AR256" s="430"/>
      <c r="AS256" s="430"/>
      <c r="AT256" s="430"/>
      <c r="AU256" s="430"/>
      <c r="AV256" s="430"/>
      <c r="AW256" s="430"/>
      <c r="AX256" s="430"/>
    </row>
    <row r="257">
      <c r="B257" s="471"/>
      <c r="E257" s="471"/>
      <c r="H257" s="471"/>
      <c r="K257" s="471"/>
      <c r="M257" s="454"/>
      <c r="N257" s="424"/>
      <c r="O257" s="424"/>
      <c r="P257" s="430"/>
      <c r="Q257" s="444"/>
      <c r="R257" s="424"/>
      <c r="S257" s="430"/>
      <c r="T257" s="444"/>
      <c r="U257" s="430"/>
      <c r="V257" s="430"/>
      <c r="W257" s="444"/>
      <c r="X257" s="444"/>
      <c r="Y257" s="430"/>
      <c r="Z257" s="430"/>
      <c r="AA257" s="430"/>
      <c r="AB257" s="444"/>
      <c r="AC257" s="444"/>
      <c r="AD257" s="430"/>
      <c r="AE257" s="430"/>
      <c r="AF257" s="430"/>
      <c r="AG257" s="444"/>
      <c r="AH257" s="444"/>
      <c r="AI257" s="430"/>
      <c r="AJ257" s="430"/>
      <c r="AK257" s="430"/>
      <c r="AL257" s="476"/>
      <c r="AM257" s="430"/>
      <c r="AN257" s="430"/>
      <c r="AO257" s="430"/>
      <c r="AP257" s="430"/>
      <c r="AQ257" s="430"/>
      <c r="AR257" s="430"/>
      <c r="AS257" s="430"/>
      <c r="AT257" s="430"/>
      <c r="AU257" s="430"/>
      <c r="AV257" s="430"/>
      <c r="AW257" s="430"/>
      <c r="AX257" s="430"/>
    </row>
    <row r="258">
      <c r="B258" s="471"/>
      <c r="E258" s="471"/>
      <c r="H258" s="471"/>
      <c r="K258" s="471"/>
      <c r="M258" s="454"/>
      <c r="N258" s="424"/>
      <c r="O258" s="424"/>
      <c r="P258" s="430"/>
      <c r="Q258" s="444"/>
      <c r="R258" s="424"/>
      <c r="S258" s="430"/>
      <c r="T258" s="444"/>
      <c r="U258" s="430"/>
      <c r="V258" s="430"/>
      <c r="W258" s="444"/>
      <c r="X258" s="444"/>
      <c r="Y258" s="430"/>
      <c r="Z258" s="430"/>
      <c r="AA258" s="430"/>
      <c r="AB258" s="444"/>
      <c r="AC258" s="444"/>
      <c r="AD258" s="430"/>
      <c r="AE258" s="430"/>
      <c r="AF258" s="430"/>
      <c r="AG258" s="444"/>
      <c r="AH258" s="444"/>
      <c r="AI258" s="430"/>
      <c r="AJ258" s="430"/>
      <c r="AK258" s="430"/>
      <c r="AL258" s="476"/>
      <c r="AM258" s="430"/>
      <c r="AN258" s="430"/>
      <c r="AO258" s="430"/>
      <c r="AP258" s="430"/>
      <c r="AQ258" s="430"/>
      <c r="AR258" s="430"/>
      <c r="AS258" s="430"/>
      <c r="AT258" s="430"/>
      <c r="AU258" s="430"/>
      <c r="AV258" s="430"/>
      <c r="AW258" s="430"/>
      <c r="AX258" s="430"/>
    </row>
    <row r="259">
      <c r="B259" s="471"/>
      <c r="E259" s="471"/>
      <c r="H259" s="471"/>
      <c r="K259" s="471"/>
      <c r="M259" s="454"/>
      <c r="N259" s="424"/>
      <c r="O259" s="424"/>
      <c r="P259" s="430"/>
      <c r="Q259" s="444"/>
      <c r="R259" s="424"/>
      <c r="S259" s="430"/>
      <c r="T259" s="444"/>
      <c r="U259" s="430"/>
      <c r="V259" s="430"/>
      <c r="W259" s="444"/>
      <c r="X259" s="444"/>
      <c r="Y259" s="430"/>
      <c r="Z259" s="430"/>
      <c r="AA259" s="430"/>
      <c r="AB259" s="444"/>
      <c r="AC259" s="444"/>
      <c r="AD259" s="430"/>
      <c r="AE259" s="430"/>
      <c r="AF259" s="430"/>
      <c r="AG259" s="444"/>
      <c r="AH259" s="444"/>
      <c r="AI259" s="430"/>
      <c r="AJ259" s="430"/>
      <c r="AK259" s="430"/>
      <c r="AL259" s="476"/>
      <c r="AM259" s="430"/>
      <c r="AN259" s="430"/>
      <c r="AO259" s="430"/>
      <c r="AP259" s="430"/>
      <c r="AQ259" s="430"/>
      <c r="AR259" s="430"/>
      <c r="AS259" s="430"/>
      <c r="AT259" s="430"/>
      <c r="AU259" s="430"/>
      <c r="AV259" s="430"/>
      <c r="AW259" s="430"/>
      <c r="AX259" s="430"/>
    </row>
    <row r="260">
      <c r="B260" s="471"/>
      <c r="E260" s="471"/>
      <c r="H260" s="471"/>
      <c r="K260" s="471"/>
      <c r="M260" s="454"/>
      <c r="N260" s="424"/>
      <c r="O260" s="424"/>
      <c r="P260" s="430"/>
      <c r="Q260" s="444"/>
      <c r="R260" s="424"/>
      <c r="S260" s="430"/>
      <c r="T260" s="444"/>
      <c r="U260" s="430"/>
      <c r="V260" s="430"/>
      <c r="W260" s="444"/>
      <c r="X260" s="444"/>
      <c r="Y260" s="430"/>
      <c r="Z260" s="430"/>
      <c r="AA260" s="430"/>
      <c r="AB260" s="444"/>
      <c r="AC260" s="444"/>
      <c r="AD260" s="430"/>
      <c r="AE260" s="430"/>
      <c r="AF260" s="430"/>
      <c r="AG260" s="444"/>
      <c r="AH260" s="444"/>
      <c r="AI260" s="430"/>
      <c r="AJ260" s="430"/>
      <c r="AK260" s="430"/>
      <c r="AL260" s="476"/>
      <c r="AM260" s="430"/>
      <c r="AN260" s="430"/>
      <c r="AO260" s="430"/>
      <c r="AP260" s="430"/>
      <c r="AQ260" s="430"/>
      <c r="AR260" s="430"/>
      <c r="AS260" s="430"/>
      <c r="AT260" s="430"/>
      <c r="AU260" s="430"/>
      <c r="AV260" s="430"/>
      <c r="AW260" s="430"/>
      <c r="AX260" s="430"/>
    </row>
    <row r="261">
      <c r="B261" s="471"/>
      <c r="E261" s="471"/>
      <c r="H261" s="471"/>
      <c r="K261" s="471"/>
      <c r="M261" s="454"/>
      <c r="N261" s="424"/>
      <c r="O261" s="424"/>
      <c r="P261" s="430"/>
      <c r="Q261" s="444"/>
      <c r="R261" s="424"/>
      <c r="S261" s="430"/>
      <c r="T261" s="444"/>
      <c r="U261" s="430"/>
      <c r="V261" s="430"/>
      <c r="W261" s="444"/>
      <c r="X261" s="444"/>
      <c r="Y261" s="430"/>
      <c r="Z261" s="430"/>
      <c r="AA261" s="430"/>
      <c r="AB261" s="444"/>
      <c r="AC261" s="444"/>
      <c r="AD261" s="430"/>
      <c r="AE261" s="430"/>
      <c r="AF261" s="430"/>
      <c r="AG261" s="444"/>
      <c r="AH261" s="444"/>
      <c r="AI261" s="430"/>
      <c r="AJ261" s="430"/>
      <c r="AK261" s="430"/>
      <c r="AL261" s="476"/>
      <c r="AM261" s="430"/>
      <c r="AN261" s="430"/>
      <c r="AO261" s="430"/>
      <c r="AP261" s="430"/>
      <c r="AQ261" s="430"/>
      <c r="AR261" s="430"/>
      <c r="AS261" s="430"/>
      <c r="AT261" s="430"/>
      <c r="AU261" s="430"/>
      <c r="AV261" s="430"/>
      <c r="AW261" s="430"/>
      <c r="AX261" s="430"/>
    </row>
    <row r="262">
      <c r="B262" s="471"/>
      <c r="E262" s="471"/>
      <c r="H262" s="471"/>
      <c r="K262" s="471"/>
      <c r="M262" s="454"/>
      <c r="N262" s="424"/>
      <c r="O262" s="424"/>
      <c r="P262" s="430"/>
      <c r="Q262" s="444"/>
      <c r="R262" s="424"/>
      <c r="S262" s="430"/>
      <c r="T262" s="444"/>
      <c r="U262" s="430"/>
      <c r="V262" s="430"/>
      <c r="W262" s="444"/>
      <c r="X262" s="444"/>
      <c r="Y262" s="430"/>
      <c r="Z262" s="430"/>
      <c r="AA262" s="430"/>
      <c r="AB262" s="444"/>
      <c r="AC262" s="444"/>
      <c r="AD262" s="430"/>
      <c r="AE262" s="430"/>
      <c r="AF262" s="430"/>
      <c r="AG262" s="444"/>
      <c r="AH262" s="444"/>
      <c r="AI262" s="430"/>
      <c r="AJ262" s="430"/>
      <c r="AK262" s="430"/>
      <c r="AL262" s="476"/>
      <c r="AM262" s="430"/>
      <c r="AN262" s="430"/>
      <c r="AO262" s="430"/>
      <c r="AP262" s="430"/>
      <c r="AQ262" s="430"/>
      <c r="AR262" s="430"/>
      <c r="AS262" s="430"/>
      <c r="AT262" s="430"/>
      <c r="AU262" s="430"/>
      <c r="AV262" s="430"/>
      <c r="AW262" s="430"/>
      <c r="AX262" s="430"/>
    </row>
    <row r="263">
      <c r="B263" s="471"/>
      <c r="E263" s="471"/>
      <c r="H263" s="471"/>
      <c r="K263" s="471"/>
      <c r="M263" s="454"/>
      <c r="N263" s="424"/>
      <c r="O263" s="424"/>
      <c r="P263" s="430"/>
      <c r="Q263" s="444"/>
      <c r="R263" s="424"/>
      <c r="S263" s="430"/>
      <c r="T263" s="444"/>
      <c r="U263" s="430"/>
      <c r="V263" s="430"/>
      <c r="W263" s="444"/>
      <c r="X263" s="444"/>
      <c r="Y263" s="430"/>
      <c r="Z263" s="430"/>
      <c r="AA263" s="430"/>
      <c r="AB263" s="444"/>
      <c r="AC263" s="444"/>
      <c r="AD263" s="430"/>
      <c r="AE263" s="430"/>
      <c r="AF263" s="430"/>
      <c r="AG263" s="444"/>
      <c r="AH263" s="444"/>
      <c r="AI263" s="430"/>
      <c r="AJ263" s="430"/>
      <c r="AK263" s="430"/>
      <c r="AL263" s="476"/>
      <c r="AM263" s="430"/>
      <c r="AN263" s="430"/>
      <c r="AO263" s="430"/>
      <c r="AP263" s="430"/>
      <c r="AQ263" s="430"/>
      <c r="AR263" s="430"/>
      <c r="AS263" s="430"/>
      <c r="AT263" s="430"/>
      <c r="AU263" s="430"/>
      <c r="AV263" s="430"/>
      <c r="AW263" s="430"/>
      <c r="AX263" s="430"/>
    </row>
    <row r="264">
      <c r="B264" s="471"/>
      <c r="E264" s="471"/>
      <c r="H264" s="471"/>
      <c r="K264" s="471"/>
      <c r="M264" s="454"/>
      <c r="N264" s="424"/>
      <c r="O264" s="424"/>
      <c r="P264" s="430"/>
      <c r="Q264" s="444"/>
      <c r="R264" s="424"/>
      <c r="S264" s="430"/>
      <c r="T264" s="444"/>
      <c r="U264" s="430"/>
      <c r="V264" s="430"/>
      <c r="W264" s="444"/>
      <c r="X264" s="444"/>
      <c r="Y264" s="430"/>
      <c r="Z264" s="430"/>
      <c r="AA264" s="430"/>
      <c r="AB264" s="444"/>
      <c r="AC264" s="444"/>
      <c r="AD264" s="430"/>
      <c r="AE264" s="430"/>
      <c r="AF264" s="430"/>
      <c r="AG264" s="444"/>
      <c r="AH264" s="444"/>
      <c r="AI264" s="430"/>
      <c r="AJ264" s="430"/>
      <c r="AK264" s="430"/>
      <c r="AL264" s="476"/>
      <c r="AM264" s="430"/>
      <c r="AN264" s="430"/>
      <c r="AO264" s="430"/>
      <c r="AP264" s="430"/>
      <c r="AQ264" s="430"/>
      <c r="AR264" s="430"/>
      <c r="AS264" s="430"/>
      <c r="AT264" s="430"/>
      <c r="AU264" s="430"/>
      <c r="AV264" s="430"/>
      <c r="AW264" s="430"/>
      <c r="AX264" s="430"/>
    </row>
    <row r="265">
      <c r="B265" s="471"/>
      <c r="E265" s="471"/>
      <c r="H265" s="471"/>
      <c r="K265" s="471"/>
      <c r="M265" s="454"/>
      <c r="N265" s="424"/>
      <c r="O265" s="424"/>
      <c r="P265" s="430"/>
      <c r="Q265" s="444"/>
      <c r="R265" s="424"/>
      <c r="S265" s="430"/>
      <c r="T265" s="444"/>
      <c r="U265" s="430"/>
      <c r="V265" s="430"/>
      <c r="W265" s="444"/>
      <c r="X265" s="444"/>
      <c r="Y265" s="430"/>
      <c r="Z265" s="430"/>
      <c r="AA265" s="430"/>
      <c r="AB265" s="444"/>
      <c r="AC265" s="444"/>
      <c r="AD265" s="430"/>
      <c r="AE265" s="430"/>
      <c r="AF265" s="430"/>
      <c r="AG265" s="444"/>
      <c r="AH265" s="444"/>
      <c r="AI265" s="430"/>
      <c r="AJ265" s="430"/>
      <c r="AK265" s="430"/>
      <c r="AL265" s="476"/>
      <c r="AM265" s="430"/>
      <c r="AN265" s="430"/>
      <c r="AO265" s="430"/>
      <c r="AP265" s="430"/>
      <c r="AQ265" s="430"/>
      <c r="AR265" s="430"/>
      <c r="AS265" s="430"/>
      <c r="AT265" s="430"/>
      <c r="AU265" s="430"/>
      <c r="AV265" s="430"/>
      <c r="AW265" s="430"/>
      <c r="AX265" s="430"/>
    </row>
    <row r="266">
      <c r="B266" s="471"/>
      <c r="E266" s="471"/>
      <c r="H266" s="471"/>
      <c r="K266" s="471"/>
      <c r="M266" s="454"/>
      <c r="N266" s="424"/>
      <c r="O266" s="424"/>
      <c r="P266" s="430"/>
      <c r="Q266" s="444"/>
      <c r="R266" s="424"/>
      <c r="S266" s="430"/>
      <c r="T266" s="444"/>
      <c r="U266" s="430"/>
      <c r="V266" s="430"/>
      <c r="W266" s="444"/>
      <c r="X266" s="444"/>
      <c r="Y266" s="430"/>
      <c r="Z266" s="430"/>
      <c r="AA266" s="430"/>
      <c r="AB266" s="444"/>
      <c r="AC266" s="444"/>
      <c r="AD266" s="430"/>
      <c r="AE266" s="430"/>
      <c r="AF266" s="430"/>
      <c r="AG266" s="444"/>
      <c r="AH266" s="444"/>
      <c r="AI266" s="430"/>
      <c r="AJ266" s="430"/>
      <c r="AK266" s="430"/>
      <c r="AL266" s="476"/>
      <c r="AM266" s="430"/>
      <c r="AN266" s="430"/>
      <c r="AO266" s="430"/>
      <c r="AP266" s="430"/>
      <c r="AQ266" s="430"/>
      <c r="AR266" s="430"/>
      <c r="AS266" s="430"/>
      <c r="AT266" s="430"/>
      <c r="AU266" s="430"/>
      <c r="AV266" s="430"/>
      <c r="AW266" s="430"/>
      <c r="AX266" s="430"/>
    </row>
    <row r="267">
      <c r="B267" s="471"/>
      <c r="E267" s="471"/>
      <c r="H267" s="471"/>
      <c r="K267" s="471"/>
      <c r="M267" s="454"/>
      <c r="N267" s="424"/>
      <c r="O267" s="424"/>
      <c r="P267" s="430"/>
      <c r="Q267" s="444"/>
      <c r="R267" s="424"/>
      <c r="S267" s="430"/>
      <c r="T267" s="444"/>
      <c r="U267" s="430"/>
      <c r="V267" s="430"/>
      <c r="W267" s="444"/>
      <c r="X267" s="444"/>
      <c r="Y267" s="430"/>
      <c r="Z267" s="430"/>
      <c r="AA267" s="430"/>
      <c r="AB267" s="444"/>
      <c r="AC267" s="444"/>
      <c r="AD267" s="430"/>
      <c r="AE267" s="430"/>
      <c r="AF267" s="430"/>
      <c r="AG267" s="444"/>
      <c r="AH267" s="444"/>
      <c r="AI267" s="430"/>
      <c r="AJ267" s="430"/>
      <c r="AK267" s="430"/>
      <c r="AL267" s="476"/>
      <c r="AM267" s="430"/>
      <c r="AN267" s="430"/>
      <c r="AO267" s="430"/>
      <c r="AP267" s="430"/>
      <c r="AQ267" s="430"/>
      <c r="AR267" s="430"/>
      <c r="AS267" s="430"/>
      <c r="AT267" s="430"/>
      <c r="AU267" s="430"/>
      <c r="AV267" s="430"/>
      <c r="AW267" s="430"/>
      <c r="AX267" s="430"/>
    </row>
    <row r="268">
      <c r="B268" s="471"/>
      <c r="E268" s="471"/>
      <c r="H268" s="471"/>
      <c r="K268" s="471"/>
      <c r="M268" s="454"/>
      <c r="N268" s="424"/>
      <c r="O268" s="424"/>
      <c r="P268" s="430"/>
      <c r="Q268" s="444"/>
      <c r="R268" s="424"/>
      <c r="S268" s="430"/>
      <c r="T268" s="444"/>
      <c r="U268" s="430"/>
      <c r="V268" s="430"/>
      <c r="W268" s="444"/>
      <c r="X268" s="444"/>
      <c r="Y268" s="430"/>
      <c r="Z268" s="430"/>
      <c r="AA268" s="430"/>
      <c r="AB268" s="444"/>
      <c r="AC268" s="444"/>
      <c r="AD268" s="430"/>
      <c r="AE268" s="430"/>
      <c r="AF268" s="430"/>
      <c r="AG268" s="444"/>
      <c r="AH268" s="444"/>
      <c r="AI268" s="430"/>
      <c r="AJ268" s="430"/>
      <c r="AK268" s="430"/>
      <c r="AL268" s="476"/>
      <c r="AM268" s="430"/>
      <c r="AN268" s="430"/>
      <c r="AO268" s="430"/>
      <c r="AP268" s="430"/>
      <c r="AQ268" s="430"/>
      <c r="AR268" s="430"/>
      <c r="AS268" s="430"/>
      <c r="AT268" s="430"/>
      <c r="AU268" s="430"/>
      <c r="AV268" s="430"/>
      <c r="AW268" s="430"/>
      <c r="AX268" s="430"/>
    </row>
    <row r="269">
      <c r="B269" s="471"/>
      <c r="E269" s="471"/>
      <c r="H269" s="471"/>
      <c r="K269" s="471"/>
      <c r="M269" s="454"/>
      <c r="N269" s="424"/>
      <c r="O269" s="424"/>
      <c r="P269" s="430"/>
      <c r="Q269" s="444"/>
      <c r="R269" s="424"/>
      <c r="S269" s="430"/>
      <c r="T269" s="444"/>
      <c r="U269" s="430"/>
      <c r="V269" s="430"/>
      <c r="W269" s="444"/>
      <c r="X269" s="444"/>
      <c r="Y269" s="430"/>
      <c r="Z269" s="430"/>
      <c r="AA269" s="430"/>
      <c r="AB269" s="444"/>
      <c r="AC269" s="444"/>
      <c r="AD269" s="430"/>
      <c r="AE269" s="430"/>
      <c r="AF269" s="430"/>
      <c r="AG269" s="444"/>
      <c r="AH269" s="444"/>
      <c r="AI269" s="430"/>
      <c r="AJ269" s="430"/>
      <c r="AK269" s="430"/>
      <c r="AL269" s="476"/>
      <c r="AM269" s="430"/>
      <c r="AN269" s="430"/>
      <c r="AO269" s="430"/>
      <c r="AP269" s="430"/>
      <c r="AQ269" s="430"/>
      <c r="AR269" s="430"/>
      <c r="AS269" s="430"/>
      <c r="AT269" s="430"/>
      <c r="AU269" s="430"/>
      <c r="AV269" s="430"/>
      <c r="AW269" s="430"/>
      <c r="AX269" s="430"/>
    </row>
    <row r="270">
      <c r="B270" s="471"/>
      <c r="E270" s="471"/>
      <c r="H270" s="471"/>
      <c r="K270" s="471"/>
      <c r="M270" s="454"/>
      <c r="N270" s="424"/>
      <c r="O270" s="424"/>
      <c r="P270" s="430"/>
      <c r="Q270" s="444"/>
      <c r="R270" s="424"/>
      <c r="S270" s="430"/>
      <c r="T270" s="444"/>
      <c r="U270" s="430"/>
      <c r="V270" s="430"/>
      <c r="W270" s="444"/>
      <c r="X270" s="444"/>
      <c r="Y270" s="430"/>
      <c r="Z270" s="430"/>
      <c r="AA270" s="430"/>
      <c r="AB270" s="444"/>
      <c r="AC270" s="444"/>
      <c r="AD270" s="430"/>
      <c r="AE270" s="430"/>
      <c r="AF270" s="430"/>
      <c r="AG270" s="444"/>
      <c r="AH270" s="444"/>
      <c r="AI270" s="430"/>
      <c r="AJ270" s="430"/>
      <c r="AK270" s="430"/>
      <c r="AL270" s="476"/>
      <c r="AM270" s="430"/>
      <c r="AN270" s="430"/>
      <c r="AO270" s="430"/>
      <c r="AP270" s="430"/>
      <c r="AQ270" s="430"/>
      <c r="AR270" s="430"/>
      <c r="AS270" s="430"/>
      <c r="AT270" s="430"/>
      <c r="AU270" s="430"/>
      <c r="AV270" s="430"/>
      <c r="AW270" s="430"/>
      <c r="AX270" s="430"/>
    </row>
    <row r="271">
      <c r="B271" s="471"/>
      <c r="E271" s="471"/>
      <c r="H271" s="471"/>
      <c r="K271" s="471"/>
      <c r="M271" s="454"/>
      <c r="N271" s="424"/>
      <c r="O271" s="424"/>
      <c r="P271" s="430"/>
      <c r="Q271" s="444"/>
      <c r="R271" s="424"/>
      <c r="S271" s="430"/>
      <c r="T271" s="444"/>
      <c r="U271" s="430"/>
      <c r="V271" s="430"/>
      <c r="W271" s="444"/>
      <c r="X271" s="444"/>
      <c r="Y271" s="430"/>
      <c r="Z271" s="430"/>
      <c r="AA271" s="430"/>
      <c r="AB271" s="444"/>
      <c r="AC271" s="444"/>
      <c r="AD271" s="430"/>
      <c r="AE271" s="430"/>
      <c r="AF271" s="430"/>
      <c r="AG271" s="444"/>
      <c r="AH271" s="444"/>
      <c r="AI271" s="430"/>
      <c r="AJ271" s="430"/>
      <c r="AK271" s="430"/>
      <c r="AL271" s="476"/>
      <c r="AM271" s="430"/>
      <c r="AN271" s="430"/>
      <c r="AO271" s="430"/>
      <c r="AP271" s="430"/>
      <c r="AQ271" s="430"/>
      <c r="AR271" s="430"/>
      <c r="AS271" s="430"/>
      <c r="AT271" s="430"/>
      <c r="AU271" s="430"/>
      <c r="AV271" s="430"/>
      <c r="AW271" s="430"/>
      <c r="AX271" s="430"/>
    </row>
    <row r="272">
      <c r="B272" s="471"/>
      <c r="E272" s="471"/>
      <c r="H272" s="471"/>
      <c r="K272" s="471"/>
      <c r="M272" s="454"/>
      <c r="N272" s="424"/>
      <c r="O272" s="424"/>
      <c r="P272" s="430"/>
      <c r="Q272" s="444"/>
      <c r="R272" s="424"/>
      <c r="S272" s="430"/>
      <c r="T272" s="444"/>
      <c r="U272" s="430"/>
      <c r="V272" s="430"/>
      <c r="W272" s="444"/>
      <c r="X272" s="444"/>
      <c r="Y272" s="430"/>
      <c r="Z272" s="430"/>
      <c r="AA272" s="430"/>
      <c r="AB272" s="444"/>
      <c r="AC272" s="444"/>
      <c r="AD272" s="430"/>
      <c r="AE272" s="430"/>
      <c r="AF272" s="430"/>
      <c r="AG272" s="444"/>
      <c r="AH272" s="444"/>
      <c r="AI272" s="430"/>
      <c r="AJ272" s="430"/>
      <c r="AK272" s="430"/>
      <c r="AL272" s="476"/>
      <c r="AM272" s="430"/>
      <c r="AN272" s="430"/>
      <c r="AO272" s="430"/>
      <c r="AP272" s="430"/>
      <c r="AQ272" s="430"/>
      <c r="AR272" s="430"/>
      <c r="AS272" s="430"/>
      <c r="AT272" s="430"/>
      <c r="AU272" s="430"/>
      <c r="AV272" s="430"/>
      <c r="AW272" s="430"/>
      <c r="AX272" s="430"/>
    </row>
    <row r="273">
      <c r="B273" s="471"/>
      <c r="E273" s="471"/>
      <c r="H273" s="471"/>
      <c r="K273" s="471"/>
      <c r="M273" s="454"/>
      <c r="N273" s="424"/>
      <c r="O273" s="424"/>
      <c r="P273" s="430"/>
      <c r="Q273" s="444"/>
      <c r="R273" s="424"/>
      <c r="S273" s="430"/>
      <c r="T273" s="444"/>
      <c r="U273" s="430"/>
      <c r="V273" s="430"/>
      <c r="W273" s="444"/>
      <c r="X273" s="444"/>
      <c r="Y273" s="430"/>
      <c r="Z273" s="430"/>
      <c r="AA273" s="430"/>
      <c r="AB273" s="444"/>
      <c r="AC273" s="444"/>
      <c r="AD273" s="430"/>
      <c r="AE273" s="430"/>
      <c r="AF273" s="430"/>
      <c r="AG273" s="444"/>
      <c r="AH273" s="444"/>
      <c r="AI273" s="430"/>
      <c r="AJ273" s="430"/>
      <c r="AK273" s="430"/>
      <c r="AL273" s="476"/>
      <c r="AM273" s="430"/>
      <c r="AN273" s="430"/>
      <c r="AO273" s="430"/>
      <c r="AP273" s="430"/>
      <c r="AQ273" s="430"/>
      <c r="AR273" s="430"/>
      <c r="AS273" s="430"/>
      <c r="AT273" s="430"/>
      <c r="AU273" s="430"/>
      <c r="AV273" s="430"/>
      <c r="AW273" s="430"/>
      <c r="AX273" s="430"/>
    </row>
    <row r="274">
      <c r="B274" s="471"/>
      <c r="E274" s="471"/>
      <c r="H274" s="471"/>
      <c r="K274" s="471"/>
      <c r="M274" s="454"/>
      <c r="N274" s="424"/>
      <c r="O274" s="424"/>
      <c r="P274" s="430"/>
      <c r="Q274" s="444"/>
      <c r="R274" s="424"/>
      <c r="S274" s="430"/>
      <c r="T274" s="444"/>
      <c r="U274" s="430"/>
      <c r="V274" s="430"/>
      <c r="W274" s="444"/>
      <c r="X274" s="444"/>
      <c r="Y274" s="430"/>
      <c r="Z274" s="430"/>
      <c r="AA274" s="430"/>
      <c r="AB274" s="444"/>
      <c r="AC274" s="444"/>
      <c r="AD274" s="430"/>
      <c r="AE274" s="430"/>
      <c r="AF274" s="430"/>
      <c r="AG274" s="444"/>
      <c r="AH274" s="444"/>
      <c r="AI274" s="430"/>
      <c r="AJ274" s="430"/>
      <c r="AK274" s="430"/>
      <c r="AL274" s="476"/>
      <c r="AM274" s="430"/>
      <c r="AN274" s="430"/>
      <c r="AO274" s="430"/>
      <c r="AP274" s="430"/>
      <c r="AQ274" s="430"/>
      <c r="AR274" s="430"/>
      <c r="AS274" s="430"/>
      <c r="AT274" s="430"/>
      <c r="AU274" s="430"/>
      <c r="AV274" s="430"/>
      <c r="AW274" s="430"/>
      <c r="AX274" s="430"/>
    </row>
    <row r="275">
      <c r="B275" s="471"/>
      <c r="E275" s="471"/>
      <c r="H275" s="471"/>
      <c r="K275" s="471"/>
      <c r="M275" s="454"/>
      <c r="N275" s="424"/>
      <c r="O275" s="424"/>
      <c r="P275" s="430"/>
      <c r="Q275" s="444"/>
      <c r="R275" s="424"/>
      <c r="S275" s="430"/>
      <c r="T275" s="444"/>
      <c r="U275" s="430"/>
      <c r="V275" s="430"/>
      <c r="W275" s="444"/>
      <c r="X275" s="444"/>
      <c r="Y275" s="430"/>
      <c r="Z275" s="430"/>
      <c r="AA275" s="430"/>
      <c r="AB275" s="444"/>
      <c r="AC275" s="444"/>
      <c r="AD275" s="430"/>
      <c r="AE275" s="430"/>
      <c r="AF275" s="430"/>
      <c r="AG275" s="444"/>
      <c r="AH275" s="444"/>
      <c r="AI275" s="430"/>
      <c r="AJ275" s="430"/>
      <c r="AK275" s="430"/>
      <c r="AL275" s="476"/>
      <c r="AM275" s="430"/>
      <c r="AN275" s="430"/>
      <c r="AO275" s="430"/>
      <c r="AP275" s="430"/>
      <c r="AQ275" s="430"/>
      <c r="AR275" s="430"/>
      <c r="AS275" s="430"/>
      <c r="AT275" s="430"/>
      <c r="AU275" s="430"/>
      <c r="AV275" s="430"/>
      <c r="AW275" s="430"/>
      <c r="AX275" s="430"/>
    </row>
    <row r="276">
      <c r="B276" s="471"/>
      <c r="E276" s="471"/>
      <c r="H276" s="471"/>
      <c r="K276" s="471"/>
      <c r="M276" s="454"/>
      <c r="N276" s="424"/>
      <c r="O276" s="424"/>
      <c r="P276" s="430"/>
      <c r="Q276" s="444"/>
      <c r="R276" s="424"/>
      <c r="S276" s="430"/>
      <c r="T276" s="444"/>
      <c r="U276" s="430"/>
      <c r="V276" s="430"/>
      <c r="W276" s="444"/>
      <c r="X276" s="444"/>
      <c r="Y276" s="430"/>
      <c r="Z276" s="430"/>
      <c r="AA276" s="430"/>
      <c r="AB276" s="444"/>
      <c r="AC276" s="444"/>
      <c r="AD276" s="430"/>
      <c r="AE276" s="430"/>
      <c r="AF276" s="430"/>
      <c r="AG276" s="444"/>
      <c r="AH276" s="444"/>
      <c r="AI276" s="430"/>
      <c r="AJ276" s="430"/>
      <c r="AK276" s="430"/>
      <c r="AL276" s="476"/>
      <c r="AM276" s="430"/>
      <c r="AN276" s="430"/>
      <c r="AO276" s="430"/>
      <c r="AP276" s="430"/>
      <c r="AQ276" s="430"/>
      <c r="AR276" s="430"/>
      <c r="AS276" s="430"/>
      <c r="AT276" s="430"/>
      <c r="AU276" s="430"/>
      <c r="AV276" s="430"/>
      <c r="AW276" s="430"/>
      <c r="AX276" s="430"/>
    </row>
    <row r="277">
      <c r="B277" s="471"/>
      <c r="E277" s="471"/>
      <c r="H277" s="471"/>
      <c r="K277" s="471"/>
      <c r="M277" s="454"/>
      <c r="N277" s="424"/>
      <c r="O277" s="424"/>
      <c r="P277" s="430"/>
      <c r="Q277" s="444"/>
      <c r="R277" s="424"/>
      <c r="S277" s="430"/>
      <c r="T277" s="444"/>
      <c r="U277" s="430"/>
      <c r="V277" s="430"/>
      <c r="W277" s="444"/>
      <c r="X277" s="444"/>
      <c r="Y277" s="430"/>
      <c r="Z277" s="430"/>
      <c r="AA277" s="430"/>
      <c r="AB277" s="444"/>
      <c r="AC277" s="444"/>
      <c r="AD277" s="430"/>
      <c r="AE277" s="430"/>
      <c r="AF277" s="430"/>
      <c r="AG277" s="444"/>
      <c r="AH277" s="444"/>
      <c r="AI277" s="430"/>
      <c r="AJ277" s="430"/>
      <c r="AK277" s="430"/>
      <c r="AL277" s="476"/>
      <c r="AM277" s="430"/>
      <c r="AN277" s="430"/>
      <c r="AO277" s="430"/>
      <c r="AP277" s="430"/>
      <c r="AQ277" s="430"/>
      <c r="AR277" s="430"/>
      <c r="AS277" s="430"/>
      <c r="AT277" s="430"/>
      <c r="AU277" s="430"/>
      <c r="AV277" s="430"/>
      <c r="AW277" s="430"/>
      <c r="AX277" s="430"/>
    </row>
    <row r="278">
      <c r="B278" s="471"/>
      <c r="E278" s="471"/>
      <c r="H278" s="471"/>
      <c r="K278" s="471"/>
      <c r="M278" s="454"/>
      <c r="N278" s="424"/>
      <c r="O278" s="424"/>
      <c r="P278" s="430"/>
      <c r="Q278" s="444"/>
      <c r="R278" s="424"/>
      <c r="S278" s="430"/>
      <c r="T278" s="444"/>
      <c r="U278" s="430"/>
      <c r="V278" s="430"/>
      <c r="W278" s="444"/>
      <c r="X278" s="444"/>
      <c r="Y278" s="430"/>
      <c r="Z278" s="430"/>
      <c r="AA278" s="430"/>
      <c r="AB278" s="444"/>
      <c r="AC278" s="444"/>
      <c r="AD278" s="430"/>
      <c r="AE278" s="430"/>
      <c r="AF278" s="430"/>
      <c r="AG278" s="444"/>
      <c r="AH278" s="444"/>
      <c r="AI278" s="430"/>
      <c r="AJ278" s="430"/>
      <c r="AK278" s="430"/>
      <c r="AL278" s="476"/>
      <c r="AM278" s="430"/>
      <c r="AN278" s="430"/>
      <c r="AO278" s="430"/>
      <c r="AP278" s="430"/>
      <c r="AQ278" s="430"/>
      <c r="AR278" s="430"/>
      <c r="AS278" s="430"/>
      <c r="AT278" s="430"/>
      <c r="AU278" s="430"/>
      <c r="AV278" s="430"/>
      <c r="AW278" s="430"/>
      <c r="AX278" s="430"/>
    </row>
    <row r="279">
      <c r="B279" s="471"/>
      <c r="E279" s="471"/>
      <c r="H279" s="471"/>
      <c r="K279" s="471"/>
      <c r="M279" s="454"/>
      <c r="N279" s="424"/>
      <c r="O279" s="424"/>
      <c r="P279" s="430"/>
      <c r="Q279" s="444"/>
      <c r="R279" s="424"/>
      <c r="S279" s="430"/>
      <c r="T279" s="444"/>
      <c r="U279" s="430"/>
      <c r="V279" s="430"/>
      <c r="W279" s="444"/>
      <c r="X279" s="444"/>
      <c r="Y279" s="430"/>
      <c r="Z279" s="430"/>
      <c r="AA279" s="430"/>
      <c r="AB279" s="444"/>
      <c r="AC279" s="444"/>
      <c r="AD279" s="430"/>
      <c r="AE279" s="430"/>
      <c r="AF279" s="430"/>
      <c r="AG279" s="444"/>
      <c r="AH279" s="444"/>
      <c r="AI279" s="430"/>
      <c r="AJ279" s="430"/>
      <c r="AK279" s="430"/>
      <c r="AL279" s="476"/>
      <c r="AM279" s="430"/>
      <c r="AN279" s="430"/>
      <c r="AO279" s="430"/>
      <c r="AP279" s="430"/>
      <c r="AQ279" s="430"/>
      <c r="AR279" s="430"/>
      <c r="AS279" s="430"/>
      <c r="AT279" s="430"/>
      <c r="AU279" s="430"/>
      <c r="AV279" s="430"/>
      <c r="AW279" s="430"/>
      <c r="AX279" s="430"/>
    </row>
    <row r="280">
      <c r="B280" s="471"/>
      <c r="E280" s="471"/>
      <c r="H280" s="471"/>
      <c r="K280" s="471"/>
      <c r="M280" s="454"/>
      <c r="N280" s="424"/>
      <c r="O280" s="424"/>
      <c r="P280" s="430"/>
      <c r="Q280" s="444"/>
      <c r="R280" s="424"/>
      <c r="S280" s="430"/>
      <c r="T280" s="444"/>
      <c r="U280" s="430"/>
      <c r="V280" s="430"/>
      <c r="W280" s="444"/>
      <c r="X280" s="444"/>
      <c r="Y280" s="430"/>
      <c r="Z280" s="430"/>
      <c r="AA280" s="430"/>
      <c r="AB280" s="444"/>
      <c r="AC280" s="444"/>
      <c r="AD280" s="430"/>
      <c r="AE280" s="430"/>
      <c r="AF280" s="430"/>
      <c r="AG280" s="444"/>
      <c r="AH280" s="444"/>
      <c r="AI280" s="430"/>
      <c r="AJ280" s="430"/>
      <c r="AK280" s="430"/>
      <c r="AL280" s="476"/>
      <c r="AM280" s="430"/>
      <c r="AN280" s="430"/>
      <c r="AO280" s="430"/>
      <c r="AP280" s="430"/>
      <c r="AQ280" s="430"/>
      <c r="AR280" s="430"/>
      <c r="AS280" s="430"/>
      <c r="AT280" s="430"/>
      <c r="AU280" s="430"/>
      <c r="AV280" s="430"/>
      <c r="AW280" s="430"/>
      <c r="AX280" s="430"/>
    </row>
    <row r="281">
      <c r="B281" s="471"/>
      <c r="E281" s="471"/>
      <c r="H281" s="471"/>
      <c r="K281" s="471"/>
      <c r="M281" s="454"/>
      <c r="N281" s="424"/>
      <c r="O281" s="424"/>
      <c r="P281" s="430"/>
      <c r="Q281" s="444"/>
      <c r="R281" s="424"/>
      <c r="S281" s="430"/>
      <c r="T281" s="444"/>
      <c r="U281" s="430"/>
      <c r="V281" s="430"/>
      <c r="W281" s="444"/>
      <c r="X281" s="444"/>
      <c r="Y281" s="430"/>
      <c r="Z281" s="430"/>
      <c r="AA281" s="430"/>
      <c r="AB281" s="444"/>
      <c r="AC281" s="444"/>
      <c r="AD281" s="430"/>
      <c r="AE281" s="430"/>
      <c r="AF281" s="430"/>
      <c r="AG281" s="444"/>
      <c r="AH281" s="444"/>
      <c r="AI281" s="430"/>
      <c r="AJ281" s="430"/>
      <c r="AK281" s="430"/>
      <c r="AL281" s="476"/>
      <c r="AM281" s="430"/>
      <c r="AN281" s="430"/>
      <c r="AO281" s="430"/>
      <c r="AP281" s="430"/>
      <c r="AQ281" s="430"/>
      <c r="AR281" s="430"/>
      <c r="AS281" s="430"/>
      <c r="AT281" s="430"/>
      <c r="AU281" s="430"/>
      <c r="AV281" s="430"/>
      <c r="AW281" s="430"/>
      <c r="AX281" s="430"/>
    </row>
    <row r="282">
      <c r="B282" s="471"/>
      <c r="E282" s="471"/>
      <c r="H282" s="471"/>
      <c r="K282" s="471"/>
      <c r="M282" s="454"/>
      <c r="N282" s="424"/>
      <c r="O282" s="424"/>
      <c r="P282" s="430"/>
      <c r="Q282" s="444"/>
      <c r="R282" s="424"/>
      <c r="S282" s="430"/>
      <c r="T282" s="444"/>
      <c r="U282" s="430"/>
      <c r="V282" s="430"/>
      <c r="W282" s="444"/>
      <c r="X282" s="444"/>
      <c r="Y282" s="430"/>
      <c r="Z282" s="430"/>
      <c r="AA282" s="430"/>
      <c r="AB282" s="444"/>
      <c r="AC282" s="444"/>
      <c r="AD282" s="430"/>
      <c r="AE282" s="430"/>
      <c r="AF282" s="430"/>
      <c r="AG282" s="444"/>
      <c r="AH282" s="444"/>
      <c r="AI282" s="430"/>
      <c r="AJ282" s="430"/>
      <c r="AK282" s="430"/>
      <c r="AL282" s="476"/>
      <c r="AM282" s="430"/>
      <c r="AN282" s="430"/>
      <c r="AO282" s="430"/>
      <c r="AP282" s="430"/>
      <c r="AQ282" s="430"/>
      <c r="AR282" s="430"/>
      <c r="AS282" s="430"/>
      <c r="AT282" s="430"/>
      <c r="AU282" s="430"/>
      <c r="AV282" s="430"/>
      <c r="AW282" s="430"/>
      <c r="AX282" s="430"/>
    </row>
    <row r="283">
      <c r="B283" s="471"/>
      <c r="E283" s="471"/>
      <c r="H283" s="471"/>
      <c r="K283" s="471"/>
      <c r="M283" s="454"/>
      <c r="N283" s="424"/>
      <c r="O283" s="424"/>
      <c r="P283" s="430"/>
      <c r="Q283" s="444"/>
      <c r="R283" s="424"/>
      <c r="S283" s="430"/>
      <c r="T283" s="444"/>
      <c r="U283" s="430"/>
      <c r="V283" s="430"/>
      <c r="W283" s="444"/>
      <c r="X283" s="444"/>
      <c r="Y283" s="430"/>
      <c r="Z283" s="430"/>
      <c r="AA283" s="430"/>
      <c r="AB283" s="444"/>
      <c r="AC283" s="444"/>
      <c r="AD283" s="430"/>
      <c r="AE283" s="430"/>
      <c r="AF283" s="430"/>
      <c r="AG283" s="444"/>
      <c r="AH283" s="444"/>
      <c r="AI283" s="430"/>
      <c r="AJ283" s="430"/>
      <c r="AK283" s="430"/>
      <c r="AL283" s="476"/>
      <c r="AM283" s="430"/>
      <c r="AN283" s="430"/>
      <c r="AO283" s="430"/>
      <c r="AP283" s="430"/>
      <c r="AQ283" s="430"/>
      <c r="AR283" s="430"/>
      <c r="AS283" s="430"/>
      <c r="AT283" s="430"/>
      <c r="AU283" s="430"/>
      <c r="AV283" s="430"/>
      <c r="AW283" s="430"/>
      <c r="AX283" s="430"/>
    </row>
    <row r="284">
      <c r="B284" s="471"/>
      <c r="E284" s="471"/>
      <c r="H284" s="471"/>
      <c r="K284" s="471"/>
      <c r="M284" s="454"/>
      <c r="N284" s="424"/>
      <c r="O284" s="424"/>
      <c r="P284" s="430"/>
      <c r="Q284" s="444"/>
      <c r="R284" s="424"/>
      <c r="S284" s="430"/>
      <c r="T284" s="444"/>
      <c r="U284" s="430"/>
      <c r="V284" s="430"/>
      <c r="W284" s="444"/>
      <c r="X284" s="444"/>
      <c r="Y284" s="430"/>
      <c r="Z284" s="430"/>
      <c r="AA284" s="430"/>
      <c r="AB284" s="444"/>
      <c r="AC284" s="444"/>
      <c r="AD284" s="430"/>
      <c r="AE284" s="430"/>
      <c r="AF284" s="430"/>
      <c r="AG284" s="444"/>
      <c r="AH284" s="444"/>
      <c r="AI284" s="430"/>
      <c r="AJ284" s="430"/>
      <c r="AK284" s="430"/>
      <c r="AL284" s="476"/>
      <c r="AM284" s="430"/>
      <c r="AN284" s="430"/>
      <c r="AO284" s="430"/>
      <c r="AP284" s="430"/>
      <c r="AQ284" s="430"/>
      <c r="AR284" s="430"/>
      <c r="AS284" s="430"/>
      <c r="AT284" s="430"/>
      <c r="AU284" s="430"/>
      <c r="AV284" s="430"/>
      <c r="AW284" s="430"/>
      <c r="AX284" s="430"/>
    </row>
    <row r="285">
      <c r="B285" s="471"/>
      <c r="E285" s="471"/>
      <c r="H285" s="471"/>
      <c r="K285" s="471"/>
      <c r="M285" s="454"/>
      <c r="N285" s="424"/>
      <c r="O285" s="424"/>
      <c r="P285" s="430"/>
      <c r="Q285" s="444"/>
      <c r="R285" s="424"/>
      <c r="S285" s="430"/>
      <c r="T285" s="444"/>
      <c r="U285" s="430"/>
      <c r="V285" s="430"/>
      <c r="W285" s="444"/>
      <c r="X285" s="444"/>
      <c r="Y285" s="430"/>
      <c r="Z285" s="430"/>
      <c r="AA285" s="430"/>
      <c r="AB285" s="444"/>
      <c r="AC285" s="444"/>
      <c r="AD285" s="430"/>
      <c r="AE285" s="430"/>
      <c r="AF285" s="430"/>
      <c r="AG285" s="444"/>
      <c r="AH285" s="444"/>
      <c r="AI285" s="430"/>
      <c r="AJ285" s="430"/>
      <c r="AK285" s="430"/>
      <c r="AL285" s="476"/>
      <c r="AM285" s="430"/>
      <c r="AN285" s="430"/>
      <c r="AO285" s="430"/>
      <c r="AP285" s="430"/>
      <c r="AQ285" s="430"/>
      <c r="AR285" s="430"/>
      <c r="AS285" s="430"/>
      <c r="AT285" s="430"/>
      <c r="AU285" s="430"/>
      <c r="AV285" s="430"/>
      <c r="AW285" s="430"/>
      <c r="AX285" s="430"/>
    </row>
    <row r="286">
      <c r="B286" s="471"/>
      <c r="E286" s="471"/>
      <c r="H286" s="471"/>
      <c r="K286" s="471"/>
      <c r="M286" s="454"/>
      <c r="N286" s="424"/>
      <c r="O286" s="424"/>
      <c r="P286" s="430"/>
      <c r="Q286" s="444"/>
      <c r="R286" s="424"/>
      <c r="S286" s="430"/>
      <c r="T286" s="444"/>
      <c r="U286" s="430"/>
      <c r="V286" s="430"/>
      <c r="W286" s="444"/>
      <c r="X286" s="444"/>
      <c r="Y286" s="430"/>
      <c r="Z286" s="430"/>
      <c r="AA286" s="430"/>
      <c r="AB286" s="444"/>
      <c r="AC286" s="444"/>
      <c r="AD286" s="430"/>
      <c r="AE286" s="430"/>
      <c r="AF286" s="430"/>
      <c r="AG286" s="444"/>
      <c r="AH286" s="444"/>
      <c r="AI286" s="430"/>
      <c r="AJ286" s="430"/>
      <c r="AK286" s="430"/>
      <c r="AL286" s="476"/>
      <c r="AM286" s="430"/>
      <c r="AN286" s="430"/>
      <c r="AO286" s="430"/>
      <c r="AP286" s="430"/>
      <c r="AQ286" s="430"/>
      <c r="AR286" s="430"/>
      <c r="AS286" s="430"/>
      <c r="AT286" s="430"/>
      <c r="AU286" s="430"/>
      <c r="AV286" s="430"/>
      <c r="AW286" s="430"/>
      <c r="AX286" s="430"/>
    </row>
    <row r="287">
      <c r="B287" s="471"/>
      <c r="E287" s="471"/>
      <c r="H287" s="471"/>
      <c r="K287" s="471"/>
      <c r="M287" s="454"/>
      <c r="N287" s="424"/>
      <c r="O287" s="424"/>
      <c r="P287" s="430"/>
      <c r="Q287" s="444"/>
      <c r="R287" s="424"/>
      <c r="S287" s="430"/>
      <c r="T287" s="444"/>
      <c r="U287" s="430"/>
      <c r="V287" s="430"/>
      <c r="W287" s="444"/>
      <c r="X287" s="444"/>
      <c r="Y287" s="430"/>
      <c r="Z287" s="430"/>
      <c r="AA287" s="430"/>
      <c r="AB287" s="444"/>
      <c r="AC287" s="444"/>
      <c r="AD287" s="430"/>
      <c r="AE287" s="430"/>
      <c r="AF287" s="430"/>
      <c r="AG287" s="444"/>
      <c r="AH287" s="444"/>
      <c r="AI287" s="430"/>
      <c r="AJ287" s="430"/>
      <c r="AK287" s="430"/>
      <c r="AL287" s="476"/>
      <c r="AM287" s="430"/>
      <c r="AN287" s="430"/>
      <c r="AO287" s="430"/>
      <c r="AP287" s="430"/>
      <c r="AQ287" s="430"/>
      <c r="AR287" s="430"/>
      <c r="AS287" s="430"/>
      <c r="AT287" s="430"/>
      <c r="AU287" s="430"/>
      <c r="AV287" s="430"/>
      <c r="AW287" s="430"/>
      <c r="AX287" s="430"/>
    </row>
    <row r="288">
      <c r="B288" s="471"/>
      <c r="E288" s="471"/>
      <c r="H288" s="471"/>
      <c r="K288" s="471"/>
      <c r="M288" s="454"/>
      <c r="N288" s="424"/>
      <c r="O288" s="424"/>
      <c r="P288" s="430"/>
      <c r="Q288" s="444"/>
      <c r="R288" s="424"/>
      <c r="S288" s="430"/>
      <c r="T288" s="444"/>
      <c r="U288" s="430"/>
      <c r="V288" s="430"/>
      <c r="W288" s="444"/>
      <c r="X288" s="444"/>
      <c r="Y288" s="430"/>
      <c r="Z288" s="430"/>
      <c r="AA288" s="430"/>
      <c r="AB288" s="444"/>
      <c r="AC288" s="444"/>
      <c r="AD288" s="430"/>
      <c r="AE288" s="430"/>
      <c r="AF288" s="430"/>
      <c r="AG288" s="444"/>
      <c r="AH288" s="444"/>
      <c r="AI288" s="430"/>
      <c r="AJ288" s="430"/>
      <c r="AK288" s="430"/>
      <c r="AL288" s="476"/>
      <c r="AM288" s="430"/>
      <c r="AN288" s="430"/>
      <c r="AO288" s="430"/>
      <c r="AP288" s="430"/>
      <c r="AQ288" s="430"/>
      <c r="AR288" s="430"/>
      <c r="AS288" s="430"/>
      <c r="AT288" s="430"/>
      <c r="AU288" s="430"/>
      <c r="AV288" s="430"/>
      <c r="AW288" s="430"/>
      <c r="AX288" s="430"/>
    </row>
    <row r="289">
      <c r="B289" s="471"/>
      <c r="E289" s="471"/>
      <c r="H289" s="471"/>
      <c r="K289" s="471"/>
      <c r="M289" s="454"/>
      <c r="N289" s="424"/>
      <c r="O289" s="424"/>
      <c r="P289" s="430"/>
      <c r="Q289" s="444"/>
      <c r="R289" s="424"/>
      <c r="S289" s="430"/>
      <c r="T289" s="444"/>
      <c r="U289" s="430"/>
      <c r="V289" s="430"/>
      <c r="W289" s="444"/>
      <c r="X289" s="444"/>
      <c r="Y289" s="430"/>
      <c r="Z289" s="430"/>
      <c r="AA289" s="430"/>
      <c r="AB289" s="444"/>
      <c r="AC289" s="444"/>
      <c r="AD289" s="430"/>
      <c r="AE289" s="430"/>
      <c r="AF289" s="430"/>
      <c r="AG289" s="444"/>
      <c r="AH289" s="444"/>
      <c r="AI289" s="430"/>
      <c r="AJ289" s="430"/>
      <c r="AK289" s="430"/>
      <c r="AL289" s="476"/>
      <c r="AM289" s="430"/>
      <c r="AN289" s="430"/>
      <c r="AO289" s="430"/>
      <c r="AP289" s="430"/>
      <c r="AQ289" s="430"/>
      <c r="AR289" s="430"/>
      <c r="AS289" s="430"/>
      <c r="AT289" s="430"/>
      <c r="AU289" s="430"/>
      <c r="AV289" s="430"/>
      <c r="AW289" s="430"/>
      <c r="AX289" s="430"/>
    </row>
    <row r="290">
      <c r="B290" s="471"/>
      <c r="E290" s="471"/>
      <c r="H290" s="471"/>
      <c r="K290" s="471"/>
      <c r="M290" s="454"/>
      <c r="N290" s="424"/>
      <c r="O290" s="424"/>
      <c r="P290" s="430"/>
      <c r="Q290" s="444"/>
      <c r="R290" s="424"/>
      <c r="S290" s="430"/>
      <c r="T290" s="444"/>
      <c r="U290" s="430"/>
      <c r="V290" s="430"/>
      <c r="W290" s="444"/>
      <c r="X290" s="444"/>
      <c r="Y290" s="430"/>
      <c r="Z290" s="430"/>
      <c r="AA290" s="430"/>
      <c r="AB290" s="444"/>
      <c r="AC290" s="444"/>
      <c r="AD290" s="430"/>
      <c r="AE290" s="430"/>
      <c r="AF290" s="430"/>
      <c r="AG290" s="444"/>
      <c r="AH290" s="444"/>
      <c r="AI290" s="430"/>
      <c r="AJ290" s="430"/>
      <c r="AK290" s="430"/>
      <c r="AL290" s="476"/>
      <c r="AM290" s="430"/>
      <c r="AN290" s="430"/>
      <c r="AO290" s="430"/>
      <c r="AP290" s="430"/>
      <c r="AQ290" s="430"/>
      <c r="AR290" s="430"/>
      <c r="AS290" s="430"/>
      <c r="AT290" s="430"/>
      <c r="AU290" s="430"/>
      <c r="AV290" s="430"/>
      <c r="AW290" s="430"/>
      <c r="AX290" s="430"/>
    </row>
    <row r="291">
      <c r="B291" s="471"/>
      <c r="E291" s="471"/>
      <c r="H291" s="471"/>
      <c r="K291" s="471"/>
      <c r="M291" s="454"/>
      <c r="N291" s="424"/>
      <c r="O291" s="424"/>
      <c r="P291" s="430"/>
      <c r="Q291" s="444"/>
      <c r="R291" s="424"/>
      <c r="S291" s="430"/>
      <c r="T291" s="444"/>
      <c r="U291" s="430"/>
      <c r="V291" s="430"/>
      <c r="W291" s="444"/>
      <c r="X291" s="444"/>
      <c r="Y291" s="430"/>
      <c r="Z291" s="430"/>
      <c r="AA291" s="430"/>
      <c r="AB291" s="444"/>
      <c r="AC291" s="444"/>
      <c r="AD291" s="430"/>
      <c r="AE291" s="430"/>
      <c r="AF291" s="430"/>
      <c r="AG291" s="444"/>
      <c r="AH291" s="444"/>
      <c r="AI291" s="430"/>
      <c r="AJ291" s="430"/>
      <c r="AK291" s="430"/>
      <c r="AL291" s="476"/>
      <c r="AM291" s="430"/>
      <c r="AN291" s="430"/>
      <c r="AO291" s="430"/>
      <c r="AP291" s="430"/>
      <c r="AQ291" s="430"/>
      <c r="AR291" s="430"/>
      <c r="AS291" s="430"/>
      <c r="AT291" s="430"/>
      <c r="AU291" s="430"/>
      <c r="AV291" s="430"/>
      <c r="AW291" s="430"/>
      <c r="AX291" s="430"/>
    </row>
    <row r="292">
      <c r="B292" s="471"/>
      <c r="E292" s="471"/>
      <c r="H292" s="471"/>
      <c r="K292" s="471"/>
      <c r="M292" s="454"/>
      <c r="N292" s="424"/>
      <c r="O292" s="424"/>
      <c r="P292" s="430"/>
      <c r="Q292" s="444"/>
      <c r="R292" s="424"/>
      <c r="S292" s="430"/>
      <c r="T292" s="444"/>
      <c r="U292" s="430"/>
      <c r="V292" s="430"/>
      <c r="W292" s="444"/>
      <c r="X292" s="444"/>
      <c r="Y292" s="430"/>
      <c r="Z292" s="430"/>
      <c r="AA292" s="430"/>
      <c r="AB292" s="444"/>
      <c r="AC292" s="444"/>
      <c r="AD292" s="430"/>
      <c r="AE292" s="430"/>
      <c r="AF292" s="430"/>
      <c r="AG292" s="444"/>
      <c r="AH292" s="444"/>
      <c r="AI292" s="430"/>
      <c r="AJ292" s="430"/>
      <c r="AK292" s="430"/>
      <c r="AL292" s="476"/>
      <c r="AM292" s="430"/>
      <c r="AN292" s="430"/>
      <c r="AO292" s="430"/>
      <c r="AP292" s="430"/>
      <c r="AQ292" s="430"/>
      <c r="AR292" s="430"/>
      <c r="AS292" s="430"/>
      <c r="AT292" s="430"/>
      <c r="AU292" s="430"/>
      <c r="AV292" s="430"/>
      <c r="AW292" s="430"/>
      <c r="AX292" s="430"/>
    </row>
    <row r="293">
      <c r="B293" s="471"/>
      <c r="E293" s="471"/>
      <c r="H293" s="471"/>
      <c r="K293" s="471"/>
      <c r="M293" s="454"/>
      <c r="N293" s="424"/>
      <c r="O293" s="424"/>
      <c r="P293" s="430"/>
      <c r="Q293" s="444"/>
      <c r="R293" s="424"/>
      <c r="S293" s="430"/>
      <c r="T293" s="444"/>
      <c r="U293" s="430"/>
      <c r="V293" s="430"/>
      <c r="W293" s="444"/>
      <c r="X293" s="444"/>
      <c r="Y293" s="430"/>
      <c r="Z293" s="430"/>
      <c r="AA293" s="430"/>
      <c r="AB293" s="444"/>
      <c r="AC293" s="444"/>
      <c r="AD293" s="430"/>
      <c r="AE293" s="430"/>
      <c r="AF293" s="430"/>
      <c r="AG293" s="444"/>
      <c r="AH293" s="444"/>
      <c r="AI293" s="430"/>
      <c r="AJ293" s="430"/>
      <c r="AK293" s="430"/>
      <c r="AL293" s="476"/>
      <c r="AM293" s="430"/>
      <c r="AN293" s="430"/>
      <c r="AO293" s="430"/>
      <c r="AP293" s="430"/>
      <c r="AQ293" s="430"/>
      <c r="AR293" s="430"/>
      <c r="AS293" s="430"/>
      <c r="AT293" s="430"/>
      <c r="AU293" s="430"/>
      <c r="AV293" s="430"/>
      <c r="AW293" s="430"/>
      <c r="AX293" s="430"/>
    </row>
    <row r="294">
      <c r="B294" s="471"/>
      <c r="E294" s="471"/>
      <c r="H294" s="471"/>
      <c r="K294" s="471"/>
      <c r="M294" s="454"/>
      <c r="N294" s="424"/>
      <c r="O294" s="424"/>
      <c r="P294" s="430"/>
      <c r="Q294" s="444"/>
      <c r="R294" s="424"/>
      <c r="S294" s="430"/>
      <c r="T294" s="444"/>
      <c r="U294" s="430"/>
      <c r="V294" s="430"/>
      <c r="W294" s="444"/>
      <c r="X294" s="444"/>
      <c r="Y294" s="430"/>
      <c r="Z294" s="430"/>
      <c r="AA294" s="430"/>
      <c r="AB294" s="444"/>
      <c r="AC294" s="444"/>
      <c r="AD294" s="430"/>
      <c r="AE294" s="430"/>
      <c r="AF294" s="430"/>
      <c r="AG294" s="444"/>
      <c r="AH294" s="444"/>
      <c r="AI294" s="430"/>
      <c r="AJ294" s="430"/>
      <c r="AK294" s="430"/>
      <c r="AL294" s="476"/>
      <c r="AM294" s="430"/>
      <c r="AN294" s="430"/>
      <c r="AO294" s="430"/>
      <c r="AP294" s="430"/>
      <c r="AQ294" s="430"/>
      <c r="AR294" s="430"/>
      <c r="AS294" s="430"/>
      <c r="AT294" s="430"/>
      <c r="AU294" s="430"/>
      <c r="AV294" s="430"/>
      <c r="AW294" s="430"/>
      <c r="AX294" s="430"/>
    </row>
    <row r="295">
      <c r="B295" s="471"/>
      <c r="E295" s="471"/>
      <c r="H295" s="471"/>
      <c r="K295" s="471"/>
      <c r="M295" s="454"/>
      <c r="N295" s="424"/>
      <c r="O295" s="424"/>
      <c r="P295" s="430"/>
      <c r="Q295" s="444"/>
      <c r="R295" s="424"/>
      <c r="S295" s="430"/>
      <c r="T295" s="444"/>
      <c r="U295" s="430"/>
      <c r="V295" s="430"/>
      <c r="W295" s="444"/>
      <c r="X295" s="444"/>
      <c r="Y295" s="430"/>
      <c r="Z295" s="430"/>
      <c r="AA295" s="430"/>
      <c r="AB295" s="444"/>
      <c r="AC295" s="444"/>
      <c r="AD295" s="430"/>
      <c r="AE295" s="430"/>
      <c r="AF295" s="430"/>
      <c r="AG295" s="444"/>
      <c r="AH295" s="444"/>
      <c r="AI295" s="430"/>
      <c r="AJ295" s="430"/>
      <c r="AK295" s="430"/>
      <c r="AL295" s="476"/>
      <c r="AM295" s="430"/>
      <c r="AN295" s="430"/>
      <c r="AO295" s="430"/>
      <c r="AP295" s="430"/>
      <c r="AQ295" s="430"/>
      <c r="AR295" s="430"/>
      <c r="AS295" s="430"/>
      <c r="AT295" s="430"/>
      <c r="AU295" s="430"/>
      <c r="AV295" s="430"/>
      <c r="AW295" s="430"/>
      <c r="AX295" s="430"/>
    </row>
    <row r="296">
      <c r="B296" s="471"/>
      <c r="E296" s="471"/>
      <c r="H296" s="471"/>
      <c r="K296" s="471"/>
      <c r="M296" s="454"/>
      <c r="N296" s="424"/>
      <c r="O296" s="424"/>
      <c r="P296" s="430"/>
      <c r="Q296" s="444"/>
      <c r="R296" s="424"/>
      <c r="S296" s="430"/>
      <c r="T296" s="444"/>
      <c r="U296" s="430"/>
      <c r="V296" s="430"/>
      <c r="W296" s="444"/>
      <c r="X296" s="444"/>
      <c r="Y296" s="430"/>
      <c r="Z296" s="430"/>
      <c r="AA296" s="430"/>
      <c r="AB296" s="444"/>
      <c r="AC296" s="444"/>
      <c r="AD296" s="430"/>
      <c r="AE296" s="430"/>
      <c r="AF296" s="430"/>
      <c r="AG296" s="444"/>
      <c r="AH296" s="444"/>
      <c r="AI296" s="430"/>
      <c r="AJ296" s="430"/>
      <c r="AK296" s="430"/>
      <c r="AL296" s="476"/>
      <c r="AM296" s="430"/>
      <c r="AN296" s="430"/>
      <c r="AO296" s="430"/>
      <c r="AP296" s="430"/>
      <c r="AQ296" s="430"/>
      <c r="AR296" s="430"/>
      <c r="AS296" s="430"/>
      <c r="AT296" s="430"/>
      <c r="AU296" s="430"/>
      <c r="AV296" s="430"/>
      <c r="AW296" s="430"/>
      <c r="AX296" s="430"/>
    </row>
    <row r="297">
      <c r="B297" s="471"/>
      <c r="E297" s="471"/>
      <c r="H297" s="471"/>
      <c r="K297" s="471"/>
      <c r="M297" s="454"/>
      <c r="N297" s="424"/>
      <c r="O297" s="424"/>
      <c r="P297" s="430"/>
      <c r="Q297" s="444"/>
      <c r="R297" s="424"/>
      <c r="S297" s="430"/>
      <c r="T297" s="444"/>
      <c r="U297" s="430"/>
      <c r="V297" s="430"/>
      <c r="W297" s="444"/>
      <c r="X297" s="444"/>
      <c r="Y297" s="430"/>
      <c r="Z297" s="430"/>
      <c r="AA297" s="430"/>
      <c r="AB297" s="444"/>
      <c r="AC297" s="444"/>
      <c r="AD297" s="430"/>
      <c r="AE297" s="430"/>
      <c r="AF297" s="430"/>
      <c r="AG297" s="444"/>
      <c r="AH297" s="444"/>
      <c r="AI297" s="430"/>
      <c r="AJ297" s="430"/>
      <c r="AK297" s="430"/>
      <c r="AL297" s="476"/>
      <c r="AM297" s="430"/>
      <c r="AN297" s="430"/>
      <c r="AO297" s="430"/>
      <c r="AP297" s="430"/>
      <c r="AQ297" s="430"/>
      <c r="AR297" s="430"/>
      <c r="AS297" s="430"/>
      <c r="AT297" s="430"/>
      <c r="AU297" s="430"/>
      <c r="AV297" s="430"/>
      <c r="AW297" s="430"/>
      <c r="AX297" s="430"/>
    </row>
    <row r="298">
      <c r="B298" s="471"/>
      <c r="E298" s="471"/>
      <c r="H298" s="471"/>
      <c r="K298" s="471"/>
      <c r="M298" s="454"/>
      <c r="N298" s="424"/>
      <c r="O298" s="424"/>
      <c r="P298" s="430"/>
      <c r="Q298" s="444"/>
      <c r="R298" s="424"/>
      <c r="S298" s="430"/>
      <c r="T298" s="444"/>
      <c r="U298" s="430"/>
      <c r="V298" s="430"/>
      <c r="W298" s="444"/>
      <c r="X298" s="444"/>
      <c r="Y298" s="430"/>
      <c r="Z298" s="430"/>
      <c r="AA298" s="430"/>
      <c r="AB298" s="444"/>
      <c r="AC298" s="444"/>
      <c r="AD298" s="430"/>
      <c r="AE298" s="430"/>
      <c r="AF298" s="430"/>
      <c r="AG298" s="444"/>
      <c r="AH298" s="444"/>
      <c r="AI298" s="430"/>
      <c r="AJ298" s="430"/>
      <c r="AK298" s="430"/>
      <c r="AL298" s="476"/>
      <c r="AM298" s="430"/>
      <c r="AN298" s="430"/>
      <c r="AO298" s="430"/>
      <c r="AP298" s="430"/>
      <c r="AQ298" s="430"/>
      <c r="AR298" s="430"/>
      <c r="AS298" s="430"/>
      <c r="AT298" s="430"/>
      <c r="AU298" s="430"/>
      <c r="AV298" s="430"/>
      <c r="AW298" s="430"/>
      <c r="AX298" s="430"/>
    </row>
    <row r="299">
      <c r="B299" s="471"/>
      <c r="E299" s="471"/>
      <c r="H299" s="471"/>
      <c r="K299" s="471"/>
      <c r="M299" s="454"/>
      <c r="N299" s="424"/>
      <c r="O299" s="424"/>
      <c r="P299" s="430"/>
      <c r="Q299" s="444"/>
      <c r="R299" s="424"/>
      <c r="S299" s="430"/>
      <c r="T299" s="444"/>
      <c r="U299" s="430"/>
      <c r="V299" s="430"/>
      <c r="W299" s="444"/>
      <c r="X299" s="444"/>
      <c r="Y299" s="430"/>
      <c r="Z299" s="430"/>
      <c r="AA299" s="430"/>
      <c r="AB299" s="444"/>
      <c r="AC299" s="444"/>
      <c r="AD299" s="430"/>
      <c r="AE299" s="430"/>
      <c r="AF299" s="430"/>
      <c r="AG299" s="444"/>
      <c r="AH299" s="444"/>
      <c r="AI299" s="430"/>
      <c r="AJ299" s="430"/>
      <c r="AK299" s="430"/>
      <c r="AL299" s="476"/>
      <c r="AM299" s="430"/>
      <c r="AN299" s="430"/>
      <c r="AO299" s="430"/>
      <c r="AP299" s="430"/>
      <c r="AQ299" s="430"/>
      <c r="AR299" s="430"/>
      <c r="AS299" s="430"/>
      <c r="AT299" s="430"/>
      <c r="AU299" s="430"/>
      <c r="AV299" s="430"/>
      <c r="AW299" s="430"/>
      <c r="AX299" s="430"/>
    </row>
    <row r="300">
      <c r="B300" s="471"/>
      <c r="E300" s="471"/>
      <c r="H300" s="471"/>
      <c r="K300" s="471"/>
      <c r="M300" s="454"/>
      <c r="N300" s="424"/>
      <c r="O300" s="424"/>
      <c r="P300" s="430"/>
      <c r="Q300" s="444"/>
      <c r="R300" s="424"/>
      <c r="S300" s="430"/>
      <c r="T300" s="444"/>
      <c r="U300" s="430"/>
      <c r="V300" s="430"/>
      <c r="W300" s="444"/>
      <c r="X300" s="444"/>
      <c r="Y300" s="430"/>
      <c r="Z300" s="430"/>
      <c r="AA300" s="430"/>
      <c r="AB300" s="444"/>
      <c r="AC300" s="444"/>
      <c r="AD300" s="430"/>
      <c r="AE300" s="430"/>
      <c r="AF300" s="430"/>
      <c r="AG300" s="444"/>
      <c r="AH300" s="444"/>
      <c r="AI300" s="430"/>
      <c r="AJ300" s="430"/>
      <c r="AK300" s="430"/>
      <c r="AL300" s="476"/>
      <c r="AM300" s="430"/>
      <c r="AN300" s="430"/>
      <c r="AO300" s="430"/>
      <c r="AP300" s="430"/>
      <c r="AQ300" s="430"/>
      <c r="AR300" s="430"/>
      <c r="AS300" s="430"/>
      <c r="AT300" s="430"/>
      <c r="AU300" s="430"/>
      <c r="AV300" s="430"/>
      <c r="AW300" s="430"/>
      <c r="AX300" s="430"/>
    </row>
    <row r="301">
      <c r="B301" s="471"/>
      <c r="E301" s="471"/>
      <c r="H301" s="471"/>
      <c r="K301" s="471"/>
      <c r="M301" s="454"/>
      <c r="N301" s="424"/>
      <c r="O301" s="424"/>
      <c r="P301" s="430"/>
      <c r="Q301" s="444"/>
      <c r="R301" s="424"/>
      <c r="S301" s="430"/>
      <c r="T301" s="444"/>
      <c r="U301" s="430"/>
      <c r="V301" s="430"/>
      <c r="W301" s="444"/>
      <c r="X301" s="444"/>
      <c r="Y301" s="430"/>
      <c r="Z301" s="430"/>
      <c r="AA301" s="430"/>
      <c r="AB301" s="444"/>
      <c r="AC301" s="444"/>
      <c r="AD301" s="430"/>
      <c r="AE301" s="430"/>
      <c r="AF301" s="430"/>
      <c r="AG301" s="444"/>
      <c r="AH301" s="444"/>
      <c r="AI301" s="430"/>
      <c r="AJ301" s="430"/>
      <c r="AK301" s="430"/>
      <c r="AL301" s="476"/>
      <c r="AM301" s="430"/>
      <c r="AN301" s="430"/>
      <c r="AO301" s="430"/>
      <c r="AP301" s="430"/>
      <c r="AQ301" s="430"/>
      <c r="AR301" s="430"/>
      <c r="AS301" s="430"/>
      <c r="AT301" s="430"/>
      <c r="AU301" s="430"/>
      <c r="AV301" s="430"/>
      <c r="AW301" s="430"/>
      <c r="AX301" s="430"/>
    </row>
    <row r="302">
      <c r="B302" s="471"/>
      <c r="E302" s="471"/>
      <c r="H302" s="471"/>
      <c r="K302" s="471"/>
      <c r="M302" s="454"/>
      <c r="N302" s="424"/>
      <c r="O302" s="424"/>
      <c r="P302" s="430"/>
      <c r="Q302" s="444"/>
      <c r="R302" s="424"/>
      <c r="S302" s="430"/>
      <c r="T302" s="444"/>
      <c r="U302" s="430"/>
      <c r="V302" s="430"/>
      <c r="W302" s="444"/>
      <c r="X302" s="444"/>
      <c r="Y302" s="430"/>
      <c r="Z302" s="430"/>
      <c r="AA302" s="430"/>
      <c r="AB302" s="444"/>
      <c r="AC302" s="444"/>
      <c r="AD302" s="430"/>
      <c r="AE302" s="430"/>
      <c r="AF302" s="430"/>
      <c r="AG302" s="444"/>
      <c r="AH302" s="444"/>
      <c r="AI302" s="430"/>
      <c r="AJ302" s="430"/>
      <c r="AK302" s="430"/>
      <c r="AL302" s="476"/>
      <c r="AM302" s="430"/>
      <c r="AN302" s="430"/>
      <c r="AO302" s="430"/>
      <c r="AP302" s="430"/>
      <c r="AQ302" s="430"/>
      <c r="AR302" s="430"/>
      <c r="AS302" s="430"/>
      <c r="AT302" s="430"/>
      <c r="AU302" s="430"/>
      <c r="AV302" s="430"/>
      <c r="AW302" s="430"/>
      <c r="AX302" s="430"/>
    </row>
    <row r="303">
      <c r="B303" s="471"/>
      <c r="E303" s="471"/>
      <c r="H303" s="471"/>
      <c r="K303" s="471"/>
      <c r="M303" s="454"/>
      <c r="N303" s="424"/>
      <c r="O303" s="424"/>
      <c r="P303" s="430"/>
      <c r="Q303" s="444"/>
      <c r="R303" s="424"/>
      <c r="S303" s="430"/>
      <c r="T303" s="444"/>
      <c r="U303" s="430"/>
      <c r="V303" s="430"/>
      <c r="W303" s="444"/>
      <c r="X303" s="444"/>
      <c r="Y303" s="430"/>
      <c r="Z303" s="430"/>
      <c r="AA303" s="430"/>
      <c r="AB303" s="444"/>
      <c r="AC303" s="444"/>
      <c r="AD303" s="430"/>
      <c r="AE303" s="430"/>
      <c r="AF303" s="430"/>
      <c r="AG303" s="444"/>
      <c r="AH303" s="444"/>
      <c r="AI303" s="430"/>
      <c r="AJ303" s="430"/>
      <c r="AK303" s="430"/>
      <c r="AL303" s="476"/>
      <c r="AM303" s="430"/>
      <c r="AN303" s="430"/>
      <c r="AO303" s="430"/>
      <c r="AP303" s="430"/>
      <c r="AQ303" s="430"/>
      <c r="AR303" s="430"/>
      <c r="AS303" s="430"/>
      <c r="AT303" s="430"/>
      <c r="AU303" s="430"/>
      <c r="AV303" s="430"/>
      <c r="AW303" s="430"/>
      <c r="AX303" s="430"/>
    </row>
    <row r="304">
      <c r="B304" s="471"/>
      <c r="E304" s="471"/>
      <c r="H304" s="471"/>
      <c r="K304" s="471"/>
      <c r="M304" s="454"/>
      <c r="N304" s="424"/>
      <c r="O304" s="424"/>
      <c r="P304" s="430"/>
      <c r="Q304" s="444"/>
      <c r="R304" s="424"/>
      <c r="S304" s="430"/>
      <c r="T304" s="444"/>
      <c r="U304" s="430"/>
      <c r="V304" s="430"/>
      <c r="W304" s="444"/>
      <c r="X304" s="444"/>
      <c r="Y304" s="430"/>
      <c r="Z304" s="430"/>
      <c r="AA304" s="430"/>
      <c r="AB304" s="444"/>
      <c r="AC304" s="444"/>
      <c r="AD304" s="430"/>
      <c r="AE304" s="430"/>
      <c r="AF304" s="430"/>
      <c r="AG304" s="444"/>
      <c r="AH304" s="444"/>
      <c r="AI304" s="430"/>
      <c r="AJ304" s="430"/>
      <c r="AK304" s="430"/>
      <c r="AL304" s="476"/>
      <c r="AM304" s="430"/>
      <c r="AN304" s="430"/>
      <c r="AO304" s="430"/>
      <c r="AP304" s="430"/>
      <c r="AQ304" s="430"/>
      <c r="AR304" s="430"/>
      <c r="AS304" s="430"/>
      <c r="AT304" s="430"/>
      <c r="AU304" s="430"/>
      <c r="AV304" s="430"/>
      <c r="AW304" s="430"/>
      <c r="AX304" s="430"/>
    </row>
    <row r="305">
      <c r="B305" s="471"/>
      <c r="E305" s="471"/>
      <c r="H305" s="471"/>
      <c r="K305" s="471"/>
      <c r="M305" s="454"/>
      <c r="N305" s="424"/>
      <c r="O305" s="424"/>
      <c r="P305" s="430"/>
      <c r="Q305" s="444"/>
      <c r="R305" s="424"/>
      <c r="S305" s="430"/>
      <c r="T305" s="444"/>
      <c r="U305" s="430"/>
      <c r="V305" s="430"/>
      <c r="W305" s="444"/>
      <c r="X305" s="444"/>
      <c r="Y305" s="430"/>
      <c r="Z305" s="430"/>
      <c r="AA305" s="430"/>
      <c r="AB305" s="444"/>
      <c r="AC305" s="444"/>
      <c r="AD305" s="430"/>
      <c r="AE305" s="430"/>
      <c r="AF305" s="430"/>
      <c r="AG305" s="444"/>
      <c r="AH305" s="444"/>
      <c r="AI305" s="430"/>
      <c r="AJ305" s="430"/>
      <c r="AK305" s="430"/>
      <c r="AL305" s="476"/>
      <c r="AM305" s="430"/>
      <c r="AN305" s="430"/>
      <c r="AO305" s="430"/>
      <c r="AP305" s="430"/>
      <c r="AQ305" s="430"/>
      <c r="AR305" s="430"/>
      <c r="AS305" s="430"/>
      <c r="AT305" s="430"/>
      <c r="AU305" s="430"/>
      <c r="AV305" s="430"/>
      <c r="AW305" s="430"/>
      <c r="AX305" s="430"/>
    </row>
    <row r="306">
      <c r="B306" s="471"/>
      <c r="E306" s="471"/>
      <c r="H306" s="471"/>
      <c r="K306" s="471"/>
      <c r="M306" s="454"/>
      <c r="N306" s="424"/>
      <c r="O306" s="424"/>
      <c r="P306" s="430"/>
      <c r="Q306" s="444"/>
      <c r="R306" s="424"/>
      <c r="S306" s="430"/>
      <c r="T306" s="444"/>
      <c r="U306" s="430"/>
      <c r="V306" s="430"/>
      <c r="W306" s="444"/>
      <c r="X306" s="444"/>
      <c r="Y306" s="430"/>
      <c r="Z306" s="430"/>
      <c r="AA306" s="430"/>
      <c r="AB306" s="444"/>
      <c r="AC306" s="444"/>
      <c r="AD306" s="430"/>
      <c r="AE306" s="430"/>
      <c r="AF306" s="430"/>
      <c r="AG306" s="444"/>
      <c r="AH306" s="444"/>
      <c r="AI306" s="430"/>
      <c r="AJ306" s="430"/>
      <c r="AK306" s="430"/>
      <c r="AL306" s="476"/>
      <c r="AM306" s="430"/>
      <c r="AN306" s="430"/>
      <c r="AO306" s="430"/>
      <c r="AP306" s="430"/>
      <c r="AQ306" s="430"/>
      <c r="AR306" s="430"/>
      <c r="AS306" s="430"/>
      <c r="AT306" s="430"/>
      <c r="AU306" s="430"/>
      <c r="AV306" s="430"/>
      <c r="AW306" s="430"/>
      <c r="AX306" s="430"/>
    </row>
    <row r="307">
      <c r="B307" s="471"/>
      <c r="E307" s="471"/>
      <c r="H307" s="471"/>
      <c r="K307" s="471"/>
      <c r="M307" s="454"/>
      <c r="N307" s="424"/>
      <c r="O307" s="424"/>
      <c r="P307" s="430"/>
      <c r="Q307" s="444"/>
      <c r="R307" s="424"/>
      <c r="S307" s="430"/>
      <c r="T307" s="444"/>
      <c r="U307" s="430"/>
      <c r="V307" s="430"/>
      <c r="W307" s="444"/>
      <c r="X307" s="444"/>
      <c r="Y307" s="430"/>
      <c r="Z307" s="430"/>
      <c r="AA307" s="430"/>
      <c r="AB307" s="444"/>
      <c r="AC307" s="444"/>
      <c r="AD307" s="430"/>
      <c r="AE307" s="430"/>
      <c r="AF307" s="430"/>
      <c r="AG307" s="444"/>
      <c r="AH307" s="444"/>
      <c r="AI307" s="430"/>
      <c r="AJ307" s="430"/>
      <c r="AK307" s="430"/>
      <c r="AL307" s="476"/>
      <c r="AM307" s="430"/>
      <c r="AN307" s="430"/>
      <c r="AO307" s="430"/>
      <c r="AP307" s="430"/>
      <c r="AQ307" s="430"/>
      <c r="AR307" s="430"/>
      <c r="AS307" s="430"/>
      <c r="AT307" s="430"/>
      <c r="AU307" s="430"/>
      <c r="AV307" s="430"/>
      <c r="AW307" s="430"/>
      <c r="AX307" s="430"/>
    </row>
    <row r="308">
      <c r="B308" s="471"/>
      <c r="E308" s="471"/>
      <c r="H308" s="471"/>
      <c r="K308" s="471"/>
      <c r="M308" s="454"/>
      <c r="N308" s="424"/>
      <c r="O308" s="424"/>
      <c r="P308" s="430"/>
      <c r="Q308" s="444"/>
      <c r="R308" s="424"/>
      <c r="S308" s="430"/>
      <c r="T308" s="444"/>
      <c r="U308" s="430"/>
      <c r="V308" s="430"/>
      <c r="W308" s="444"/>
      <c r="X308" s="444"/>
      <c r="Y308" s="430"/>
      <c r="Z308" s="430"/>
      <c r="AA308" s="430"/>
      <c r="AB308" s="444"/>
      <c r="AC308" s="444"/>
      <c r="AD308" s="430"/>
      <c r="AE308" s="430"/>
      <c r="AF308" s="430"/>
      <c r="AG308" s="444"/>
      <c r="AH308" s="444"/>
      <c r="AI308" s="430"/>
      <c r="AJ308" s="430"/>
      <c r="AK308" s="430"/>
      <c r="AL308" s="476"/>
      <c r="AM308" s="430"/>
      <c r="AN308" s="430"/>
      <c r="AO308" s="430"/>
      <c r="AP308" s="430"/>
      <c r="AQ308" s="430"/>
      <c r="AR308" s="430"/>
      <c r="AS308" s="430"/>
      <c r="AT308" s="430"/>
      <c r="AU308" s="430"/>
      <c r="AV308" s="430"/>
      <c r="AW308" s="430"/>
      <c r="AX308" s="430"/>
    </row>
    <row r="309">
      <c r="B309" s="471"/>
      <c r="E309" s="471"/>
      <c r="H309" s="471"/>
      <c r="K309" s="471"/>
      <c r="M309" s="454"/>
      <c r="N309" s="424"/>
      <c r="O309" s="424"/>
      <c r="P309" s="430"/>
      <c r="Q309" s="444"/>
      <c r="R309" s="424"/>
      <c r="S309" s="430"/>
      <c r="T309" s="444"/>
      <c r="U309" s="430"/>
      <c r="V309" s="430"/>
      <c r="W309" s="444"/>
      <c r="X309" s="444"/>
      <c r="Y309" s="430"/>
      <c r="Z309" s="430"/>
      <c r="AA309" s="430"/>
      <c r="AB309" s="444"/>
      <c r="AC309" s="444"/>
      <c r="AD309" s="430"/>
      <c r="AE309" s="430"/>
      <c r="AF309" s="430"/>
      <c r="AG309" s="444"/>
      <c r="AH309" s="444"/>
      <c r="AI309" s="430"/>
      <c r="AJ309" s="430"/>
      <c r="AK309" s="430"/>
      <c r="AL309" s="476"/>
      <c r="AM309" s="430"/>
      <c r="AN309" s="430"/>
      <c r="AO309" s="430"/>
      <c r="AP309" s="430"/>
      <c r="AQ309" s="430"/>
      <c r="AR309" s="430"/>
      <c r="AS309" s="430"/>
      <c r="AT309" s="430"/>
      <c r="AU309" s="430"/>
      <c r="AV309" s="430"/>
      <c r="AW309" s="430"/>
      <c r="AX309" s="430"/>
    </row>
    <row r="310">
      <c r="B310" s="471"/>
      <c r="E310" s="471"/>
      <c r="H310" s="471"/>
      <c r="K310" s="471"/>
      <c r="M310" s="454"/>
      <c r="N310" s="424"/>
      <c r="O310" s="424"/>
      <c r="P310" s="430"/>
      <c r="Q310" s="444"/>
      <c r="R310" s="424"/>
      <c r="S310" s="430"/>
      <c r="T310" s="444"/>
      <c r="U310" s="430"/>
      <c r="V310" s="430"/>
      <c r="W310" s="444"/>
      <c r="X310" s="444"/>
      <c r="Y310" s="430"/>
      <c r="Z310" s="430"/>
      <c r="AA310" s="430"/>
      <c r="AB310" s="444"/>
      <c r="AC310" s="444"/>
      <c r="AD310" s="430"/>
      <c r="AE310" s="430"/>
      <c r="AF310" s="430"/>
      <c r="AG310" s="444"/>
      <c r="AH310" s="444"/>
      <c r="AI310" s="430"/>
      <c r="AJ310" s="430"/>
      <c r="AK310" s="430"/>
      <c r="AL310" s="476"/>
      <c r="AM310" s="430"/>
      <c r="AN310" s="430"/>
      <c r="AO310" s="430"/>
      <c r="AP310" s="430"/>
      <c r="AQ310" s="430"/>
      <c r="AR310" s="430"/>
      <c r="AS310" s="430"/>
      <c r="AT310" s="430"/>
      <c r="AU310" s="430"/>
      <c r="AV310" s="430"/>
      <c r="AW310" s="430"/>
      <c r="AX310" s="430"/>
    </row>
    <row r="311">
      <c r="B311" s="471"/>
      <c r="E311" s="471"/>
      <c r="H311" s="471"/>
      <c r="K311" s="471"/>
      <c r="M311" s="454"/>
      <c r="N311" s="424"/>
      <c r="O311" s="424"/>
      <c r="P311" s="430"/>
      <c r="Q311" s="444"/>
      <c r="R311" s="424"/>
      <c r="S311" s="430"/>
      <c r="T311" s="444"/>
      <c r="U311" s="430"/>
      <c r="V311" s="430"/>
      <c r="W311" s="444"/>
      <c r="X311" s="444"/>
      <c r="Y311" s="430"/>
      <c r="Z311" s="430"/>
      <c r="AA311" s="430"/>
      <c r="AB311" s="444"/>
      <c r="AC311" s="444"/>
      <c r="AD311" s="430"/>
      <c r="AE311" s="430"/>
      <c r="AF311" s="430"/>
      <c r="AG311" s="444"/>
      <c r="AH311" s="444"/>
      <c r="AI311" s="430"/>
      <c r="AJ311" s="430"/>
      <c r="AK311" s="430"/>
      <c r="AL311" s="476"/>
      <c r="AM311" s="430"/>
      <c r="AN311" s="430"/>
      <c r="AO311" s="430"/>
      <c r="AP311" s="430"/>
      <c r="AQ311" s="430"/>
      <c r="AR311" s="430"/>
      <c r="AS311" s="430"/>
      <c r="AT311" s="430"/>
      <c r="AU311" s="430"/>
      <c r="AV311" s="430"/>
      <c r="AW311" s="430"/>
      <c r="AX311" s="430"/>
    </row>
    <row r="312">
      <c r="B312" s="471"/>
      <c r="E312" s="471"/>
      <c r="H312" s="471"/>
      <c r="K312" s="471"/>
      <c r="M312" s="454"/>
      <c r="N312" s="424"/>
      <c r="O312" s="424"/>
      <c r="P312" s="430"/>
      <c r="Q312" s="444"/>
      <c r="R312" s="424"/>
      <c r="S312" s="430"/>
      <c r="T312" s="444"/>
      <c r="U312" s="430"/>
      <c r="V312" s="430"/>
      <c r="W312" s="444"/>
      <c r="X312" s="444"/>
      <c r="Y312" s="430"/>
      <c r="Z312" s="430"/>
      <c r="AA312" s="430"/>
      <c r="AB312" s="444"/>
      <c r="AC312" s="444"/>
      <c r="AD312" s="430"/>
      <c r="AE312" s="430"/>
      <c r="AF312" s="430"/>
      <c r="AG312" s="444"/>
      <c r="AH312" s="444"/>
      <c r="AI312" s="430"/>
      <c r="AJ312" s="430"/>
      <c r="AK312" s="430"/>
      <c r="AL312" s="476"/>
      <c r="AM312" s="430"/>
      <c r="AN312" s="430"/>
      <c r="AO312" s="430"/>
      <c r="AP312" s="430"/>
      <c r="AQ312" s="430"/>
      <c r="AR312" s="430"/>
      <c r="AS312" s="430"/>
      <c r="AT312" s="430"/>
      <c r="AU312" s="430"/>
      <c r="AV312" s="430"/>
      <c r="AW312" s="430"/>
      <c r="AX312" s="430"/>
    </row>
    <row r="313">
      <c r="B313" s="471"/>
      <c r="E313" s="471"/>
      <c r="H313" s="471"/>
      <c r="K313" s="471"/>
      <c r="M313" s="454"/>
      <c r="N313" s="424"/>
      <c r="O313" s="424"/>
      <c r="P313" s="430"/>
      <c r="Q313" s="444"/>
      <c r="R313" s="424"/>
      <c r="S313" s="430"/>
      <c r="T313" s="444"/>
      <c r="U313" s="430"/>
      <c r="V313" s="430"/>
      <c r="W313" s="444"/>
      <c r="X313" s="444"/>
      <c r="Y313" s="430"/>
      <c r="Z313" s="430"/>
      <c r="AA313" s="430"/>
      <c r="AB313" s="444"/>
      <c r="AC313" s="444"/>
      <c r="AD313" s="430"/>
      <c r="AE313" s="430"/>
      <c r="AF313" s="430"/>
      <c r="AG313" s="444"/>
      <c r="AH313" s="444"/>
      <c r="AI313" s="430"/>
      <c r="AJ313" s="430"/>
      <c r="AK313" s="430"/>
      <c r="AL313" s="476"/>
      <c r="AM313" s="430"/>
      <c r="AN313" s="430"/>
      <c r="AO313" s="430"/>
      <c r="AP313" s="430"/>
      <c r="AQ313" s="430"/>
      <c r="AR313" s="430"/>
      <c r="AS313" s="430"/>
      <c r="AT313" s="430"/>
      <c r="AU313" s="430"/>
      <c r="AV313" s="430"/>
      <c r="AW313" s="430"/>
      <c r="AX313" s="430"/>
    </row>
    <row r="314">
      <c r="B314" s="471"/>
      <c r="E314" s="471"/>
      <c r="H314" s="471"/>
      <c r="K314" s="471"/>
      <c r="M314" s="454"/>
      <c r="N314" s="424"/>
      <c r="O314" s="424"/>
      <c r="P314" s="430"/>
      <c r="Q314" s="444"/>
      <c r="R314" s="424"/>
      <c r="S314" s="430"/>
      <c r="T314" s="444"/>
      <c r="U314" s="430"/>
      <c r="V314" s="430"/>
      <c r="W314" s="444"/>
      <c r="X314" s="444"/>
      <c r="Y314" s="430"/>
      <c r="Z314" s="430"/>
      <c r="AA314" s="430"/>
      <c r="AB314" s="444"/>
      <c r="AC314" s="444"/>
      <c r="AD314" s="430"/>
      <c r="AE314" s="430"/>
      <c r="AF314" s="430"/>
      <c r="AG314" s="444"/>
      <c r="AH314" s="444"/>
      <c r="AI314" s="430"/>
      <c r="AJ314" s="430"/>
      <c r="AK314" s="430"/>
      <c r="AL314" s="476"/>
      <c r="AM314" s="430"/>
      <c r="AN314" s="430"/>
      <c r="AO314" s="430"/>
      <c r="AP314" s="430"/>
      <c r="AQ314" s="430"/>
      <c r="AR314" s="430"/>
      <c r="AS314" s="430"/>
      <c r="AT314" s="430"/>
      <c r="AU314" s="430"/>
      <c r="AV314" s="430"/>
      <c r="AW314" s="430"/>
      <c r="AX314" s="430"/>
    </row>
    <row r="315">
      <c r="B315" s="471"/>
      <c r="E315" s="471"/>
      <c r="H315" s="471"/>
      <c r="K315" s="471"/>
      <c r="M315" s="454"/>
      <c r="N315" s="424"/>
      <c r="O315" s="424"/>
      <c r="P315" s="430"/>
      <c r="Q315" s="444"/>
      <c r="R315" s="424"/>
      <c r="S315" s="430"/>
      <c r="T315" s="444"/>
      <c r="U315" s="430"/>
      <c r="V315" s="430"/>
      <c r="W315" s="444"/>
      <c r="X315" s="444"/>
      <c r="Y315" s="430"/>
      <c r="Z315" s="430"/>
      <c r="AA315" s="430"/>
      <c r="AB315" s="444"/>
      <c r="AC315" s="444"/>
      <c r="AD315" s="430"/>
      <c r="AE315" s="430"/>
      <c r="AF315" s="430"/>
      <c r="AG315" s="444"/>
      <c r="AH315" s="444"/>
      <c r="AI315" s="430"/>
      <c r="AJ315" s="430"/>
      <c r="AK315" s="430"/>
      <c r="AL315" s="476"/>
      <c r="AM315" s="430"/>
      <c r="AN315" s="430"/>
      <c r="AO315" s="430"/>
      <c r="AP315" s="430"/>
      <c r="AQ315" s="430"/>
      <c r="AR315" s="430"/>
      <c r="AS315" s="430"/>
      <c r="AT315" s="430"/>
      <c r="AU315" s="430"/>
      <c r="AV315" s="430"/>
      <c r="AW315" s="430"/>
      <c r="AX315" s="430"/>
    </row>
    <row r="316">
      <c r="B316" s="471"/>
      <c r="E316" s="471"/>
      <c r="H316" s="471"/>
      <c r="K316" s="471"/>
      <c r="M316" s="454"/>
      <c r="N316" s="424"/>
      <c r="O316" s="424"/>
      <c r="P316" s="430"/>
      <c r="Q316" s="444"/>
      <c r="R316" s="424"/>
      <c r="S316" s="430"/>
      <c r="T316" s="444"/>
      <c r="U316" s="430"/>
      <c r="V316" s="430"/>
      <c r="W316" s="444"/>
      <c r="X316" s="444"/>
      <c r="Y316" s="430"/>
      <c r="Z316" s="430"/>
      <c r="AA316" s="430"/>
      <c r="AB316" s="444"/>
      <c r="AC316" s="444"/>
      <c r="AD316" s="430"/>
      <c r="AE316" s="430"/>
      <c r="AF316" s="430"/>
      <c r="AG316" s="444"/>
      <c r="AH316" s="444"/>
      <c r="AI316" s="430"/>
      <c r="AJ316" s="430"/>
      <c r="AK316" s="430"/>
      <c r="AL316" s="476"/>
      <c r="AM316" s="430"/>
      <c r="AN316" s="430"/>
      <c r="AO316" s="430"/>
      <c r="AP316" s="430"/>
      <c r="AQ316" s="430"/>
      <c r="AR316" s="430"/>
      <c r="AS316" s="430"/>
      <c r="AT316" s="430"/>
      <c r="AU316" s="430"/>
      <c r="AV316" s="430"/>
      <c r="AW316" s="430"/>
      <c r="AX316" s="430"/>
    </row>
    <row r="317">
      <c r="B317" s="471"/>
      <c r="E317" s="471"/>
      <c r="H317" s="471"/>
      <c r="K317" s="471"/>
      <c r="M317" s="454"/>
      <c r="N317" s="424"/>
      <c r="O317" s="424"/>
      <c r="P317" s="430"/>
      <c r="Q317" s="444"/>
      <c r="R317" s="424"/>
      <c r="S317" s="430"/>
      <c r="T317" s="444"/>
      <c r="U317" s="430"/>
      <c r="V317" s="430"/>
      <c r="W317" s="444"/>
      <c r="X317" s="444"/>
      <c r="Y317" s="430"/>
      <c r="Z317" s="430"/>
      <c r="AA317" s="430"/>
      <c r="AB317" s="444"/>
      <c r="AC317" s="444"/>
      <c r="AD317" s="430"/>
      <c r="AE317" s="430"/>
      <c r="AF317" s="430"/>
      <c r="AG317" s="444"/>
      <c r="AH317" s="444"/>
      <c r="AI317" s="430"/>
      <c r="AJ317" s="430"/>
      <c r="AK317" s="430"/>
      <c r="AL317" s="476"/>
      <c r="AM317" s="430"/>
      <c r="AN317" s="430"/>
      <c r="AO317" s="430"/>
      <c r="AP317" s="430"/>
      <c r="AQ317" s="430"/>
      <c r="AR317" s="430"/>
      <c r="AS317" s="430"/>
      <c r="AT317" s="430"/>
      <c r="AU317" s="430"/>
      <c r="AV317" s="430"/>
      <c r="AW317" s="430"/>
      <c r="AX317" s="430"/>
    </row>
    <row r="318">
      <c r="B318" s="471"/>
      <c r="E318" s="471"/>
      <c r="H318" s="471"/>
      <c r="K318" s="471"/>
      <c r="M318" s="454"/>
      <c r="N318" s="424"/>
      <c r="O318" s="424"/>
      <c r="P318" s="430"/>
      <c r="Q318" s="444"/>
      <c r="R318" s="424"/>
      <c r="S318" s="430"/>
      <c r="T318" s="444"/>
      <c r="U318" s="430"/>
      <c r="V318" s="430"/>
      <c r="W318" s="444"/>
      <c r="X318" s="444"/>
      <c r="Y318" s="430"/>
      <c r="Z318" s="430"/>
      <c r="AA318" s="430"/>
      <c r="AB318" s="444"/>
      <c r="AC318" s="444"/>
      <c r="AD318" s="430"/>
      <c r="AE318" s="430"/>
      <c r="AF318" s="430"/>
      <c r="AG318" s="444"/>
      <c r="AH318" s="444"/>
      <c r="AI318" s="430"/>
      <c r="AJ318" s="430"/>
      <c r="AK318" s="430"/>
      <c r="AL318" s="476"/>
      <c r="AM318" s="430"/>
      <c r="AN318" s="430"/>
      <c r="AO318" s="430"/>
      <c r="AP318" s="430"/>
      <c r="AQ318" s="430"/>
      <c r="AR318" s="430"/>
      <c r="AS318" s="430"/>
      <c r="AT318" s="430"/>
      <c r="AU318" s="430"/>
      <c r="AV318" s="430"/>
      <c r="AW318" s="430"/>
      <c r="AX318" s="430"/>
    </row>
    <row r="319">
      <c r="B319" s="471"/>
      <c r="E319" s="471"/>
      <c r="H319" s="471"/>
      <c r="K319" s="471"/>
      <c r="M319" s="454"/>
      <c r="N319" s="424"/>
      <c r="O319" s="424"/>
      <c r="P319" s="430"/>
      <c r="Q319" s="444"/>
      <c r="R319" s="424"/>
      <c r="S319" s="430"/>
      <c r="T319" s="444"/>
      <c r="U319" s="430"/>
      <c r="V319" s="430"/>
      <c r="W319" s="444"/>
      <c r="X319" s="444"/>
      <c r="Y319" s="430"/>
      <c r="Z319" s="430"/>
      <c r="AA319" s="430"/>
      <c r="AB319" s="444"/>
      <c r="AC319" s="444"/>
      <c r="AD319" s="430"/>
      <c r="AE319" s="430"/>
      <c r="AF319" s="430"/>
      <c r="AG319" s="444"/>
      <c r="AH319" s="444"/>
      <c r="AI319" s="430"/>
      <c r="AJ319" s="430"/>
      <c r="AK319" s="430"/>
      <c r="AL319" s="476"/>
      <c r="AM319" s="430"/>
      <c r="AN319" s="430"/>
      <c r="AO319" s="430"/>
      <c r="AP319" s="430"/>
      <c r="AQ319" s="430"/>
      <c r="AR319" s="430"/>
      <c r="AS319" s="430"/>
      <c r="AT319" s="430"/>
      <c r="AU319" s="430"/>
      <c r="AV319" s="430"/>
      <c r="AW319" s="430"/>
      <c r="AX319" s="430"/>
    </row>
    <row r="320">
      <c r="B320" s="471"/>
      <c r="E320" s="471"/>
      <c r="H320" s="471"/>
      <c r="K320" s="471"/>
      <c r="M320" s="454"/>
      <c r="N320" s="424"/>
      <c r="O320" s="424"/>
      <c r="P320" s="430"/>
      <c r="Q320" s="444"/>
      <c r="R320" s="424"/>
      <c r="S320" s="430"/>
      <c r="T320" s="444"/>
      <c r="U320" s="430"/>
      <c r="V320" s="430"/>
      <c r="W320" s="444"/>
      <c r="X320" s="444"/>
      <c r="Y320" s="430"/>
      <c r="Z320" s="430"/>
      <c r="AA320" s="430"/>
      <c r="AB320" s="444"/>
      <c r="AC320" s="444"/>
      <c r="AD320" s="430"/>
      <c r="AE320" s="430"/>
      <c r="AF320" s="430"/>
      <c r="AG320" s="444"/>
      <c r="AH320" s="444"/>
      <c r="AI320" s="430"/>
      <c r="AJ320" s="430"/>
      <c r="AK320" s="430"/>
      <c r="AL320" s="476"/>
      <c r="AM320" s="430"/>
      <c r="AN320" s="430"/>
      <c r="AO320" s="430"/>
      <c r="AP320" s="430"/>
      <c r="AQ320" s="430"/>
      <c r="AR320" s="430"/>
      <c r="AS320" s="430"/>
      <c r="AT320" s="430"/>
      <c r="AU320" s="430"/>
      <c r="AV320" s="430"/>
      <c r="AW320" s="430"/>
      <c r="AX320" s="430"/>
    </row>
    <row r="321">
      <c r="B321" s="471"/>
      <c r="E321" s="471"/>
      <c r="H321" s="471"/>
      <c r="K321" s="471"/>
      <c r="M321" s="454"/>
      <c r="N321" s="424"/>
      <c r="O321" s="424"/>
      <c r="P321" s="430"/>
      <c r="Q321" s="444"/>
      <c r="R321" s="424"/>
      <c r="S321" s="430"/>
      <c r="T321" s="444"/>
      <c r="U321" s="430"/>
      <c r="V321" s="430"/>
      <c r="W321" s="444"/>
      <c r="X321" s="444"/>
      <c r="Y321" s="430"/>
      <c r="Z321" s="430"/>
      <c r="AA321" s="430"/>
      <c r="AB321" s="444"/>
      <c r="AC321" s="444"/>
      <c r="AD321" s="430"/>
      <c r="AE321" s="430"/>
      <c r="AF321" s="430"/>
      <c r="AG321" s="444"/>
      <c r="AH321" s="444"/>
      <c r="AI321" s="430"/>
      <c r="AJ321" s="430"/>
      <c r="AK321" s="430"/>
      <c r="AL321" s="476"/>
      <c r="AM321" s="430"/>
      <c r="AN321" s="430"/>
      <c r="AO321" s="430"/>
      <c r="AP321" s="430"/>
      <c r="AQ321" s="430"/>
      <c r="AR321" s="430"/>
      <c r="AS321" s="430"/>
      <c r="AT321" s="430"/>
      <c r="AU321" s="430"/>
      <c r="AV321" s="430"/>
      <c r="AW321" s="430"/>
      <c r="AX321" s="430"/>
    </row>
    <row r="322">
      <c r="B322" s="471"/>
      <c r="E322" s="471"/>
      <c r="H322" s="471"/>
      <c r="K322" s="471"/>
      <c r="M322" s="454"/>
      <c r="N322" s="424"/>
      <c r="O322" s="424"/>
      <c r="P322" s="430"/>
      <c r="Q322" s="444"/>
      <c r="R322" s="424"/>
      <c r="S322" s="430"/>
      <c r="T322" s="444"/>
      <c r="U322" s="430"/>
      <c r="V322" s="430"/>
      <c r="W322" s="444"/>
      <c r="X322" s="444"/>
      <c r="Y322" s="430"/>
      <c r="Z322" s="430"/>
      <c r="AA322" s="430"/>
      <c r="AB322" s="444"/>
      <c r="AC322" s="444"/>
      <c r="AD322" s="430"/>
      <c r="AE322" s="430"/>
      <c r="AF322" s="430"/>
      <c r="AG322" s="444"/>
      <c r="AH322" s="444"/>
      <c r="AI322" s="430"/>
      <c r="AJ322" s="430"/>
      <c r="AK322" s="430"/>
      <c r="AL322" s="476"/>
      <c r="AM322" s="430"/>
      <c r="AN322" s="430"/>
      <c r="AO322" s="430"/>
      <c r="AP322" s="430"/>
      <c r="AQ322" s="430"/>
      <c r="AR322" s="430"/>
      <c r="AS322" s="430"/>
      <c r="AT322" s="430"/>
      <c r="AU322" s="430"/>
      <c r="AV322" s="430"/>
      <c r="AW322" s="430"/>
      <c r="AX322" s="430"/>
    </row>
    <row r="323">
      <c r="B323" s="471"/>
      <c r="E323" s="471"/>
      <c r="H323" s="471"/>
      <c r="K323" s="471"/>
      <c r="M323" s="454"/>
      <c r="N323" s="424"/>
      <c r="O323" s="424"/>
      <c r="P323" s="430"/>
      <c r="Q323" s="444"/>
      <c r="R323" s="424"/>
      <c r="S323" s="430"/>
      <c r="T323" s="444"/>
      <c r="U323" s="430"/>
      <c r="V323" s="430"/>
      <c r="W323" s="444"/>
      <c r="X323" s="444"/>
      <c r="Y323" s="430"/>
      <c r="Z323" s="430"/>
      <c r="AA323" s="430"/>
      <c r="AB323" s="444"/>
      <c r="AC323" s="444"/>
      <c r="AD323" s="430"/>
      <c r="AE323" s="430"/>
      <c r="AF323" s="430"/>
      <c r="AG323" s="444"/>
      <c r="AH323" s="444"/>
      <c r="AI323" s="430"/>
      <c r="AJ323" s="430"/>
      <c r="AK323" s="430"/>
      <c r="AL323" s="476"/>
      <c r="AM323" s="430"/>
      <c r="AN323" s="430"/>
      <c r="AO323" s="430"/>
      <c r="AP323" s="430"/>
      <c r="AQ323" s="430"/>
      <c r="AR323" s="430"/>
      <c r="AS323" s="430"/>
      <c r="AT323" s="430"/>
      <c r="AU323" s="430"/>
      <c r="AV323" s="430"/>
      <c r="AW323" s="430"/>
      <c r="AX323" s="430"/>
    </row>
    <row r="324">
      <c r="B324" s="471"/>
      <c r="E324" s="471"/>
      <c r="H324" s="471"/>
      <c r="K324" s="471"/>
      <c r="M324" s="454"/>
      <c r="N324" s="424"/>
      <c r="O324" s="424"/>
      <c r="P324" s="430"/>
      <c r="Q324" s="444"/>
      <c r="R324" s="424"/>
      <c r="S324" s="430"/>
      <c r="T324" s="444"/>
      <c r="U324" s="430"/>
      <c r="V324" s="430"/>
      <c r="W324" s="444"/>
      <c r="X324" s="444"/>
      <c r="Y324" s="430"/>
      <c r="Z324" s="430"/>
      <c r="AA324" s="430"/>
      <c r="AB324" s="444"/>
      <c r="AC324" s="444"/>
      <c r="AD324" s="430"/>
      <c r="AE324" s="430"/>
      <c r="AF324" s="430"/>
      <c r="AG324" s="444"/>
      <c r="AH324" s="444"/>
      <c r="AI324" s="430"/>
      <c r="AJ324" s="430"/>
      <c r="AK324" s="430"/>
      <c r="AL324" s="476"/>
      <c r="AM324" s="430"/>
      <c r="AN324" s="430"/>
      <c r="AO324" s="430"/>
      <c r="AP324" s="430"/>
      <c r="AQ324" s="430"/>
      <c r="AR324" s="430"/>
      <c r="AS324" s="430"/>
      <c r="AT324" s="430"/>
      <c r="AU324" s="430"/>
      <c r="AV324" s="430"/>
      <c r="AW324" s="430"/>
      <c r="AX324" s="430"/>
    </row>
    <row r="325">
      <c r="B325" s="471"/>
      <c r="E325" s="471"/>
      <c r="H325" s="471"/>
      <c r="K325" s="471"/>
      <c r="M325" s="454"/>
      <c r="N325" s="424"/>
      <c r="O325" s="424"/>
      <c r="P325" s="430"/>
      <c r="Q325" s="444"/>
      <c r="R325" s="424"/>
      <c r="S325" s="430"/>
      <c r="T325" s="444"/>
      <c r="U325" s="430"/>
      <c r="V325" s="430"/>
      <c r="W325" s="444"/>
      <c r="X325" s="444"/>
      <c r="Y325" s="430"/>
      <c r="Z325" s="430"/>
      <c r="AA325" s="430"/>
      <c r="AB325" s="444"/>
      <c r="AC325" s="444"/>
      <c r="AD325" s="430"/>
      <c r="AE325" s="430"/>
      <c r="AF325" s="430"/>
      <c r="AG325" s="444"/>
      <c r="AH325" s="444"/>
      <c r="AI325" s="430"/>
      <c r="AJ325" s="430"/>
      <c r="AK325" s="430"/>
      <c r="AL325" s="476"/>
      <c r="AM325" s="430"/>
      <c r="AN325" s="430"/>
      <c r="AO325" s="430"/>
      <c r="AP325" s="430"/>
      <c r="AQ325" s="430"/>
      <c r="AR325" s="430"/>
      <c r="AS325" s="430"/>
      <c r="AT325" s="430"/>
      <c r="AU325" s="430"/>
      <c r="AV325" s="430"/>
      <c r="AW325" s="430"/>
      <c r="AX325" s="430"/>
    </row>
    <row r="326">
      <c r="B326" s="471"/>
      <c r="E326" s="471"/>
      <c r="H326" s="471"/>
      <c r="K326" s="471"/>
      <c r="M326" s="454"/>
      <c r="N326" s="424"/>
      <c r="O326" s="424"/>
      <c r="P326" s="430"/>
      <c r="Q326" s="444"/>
      <c r="R326" s="424"/>
      <c r="S326" s="430"/>
      <c r="T326" s="444"/>
      <c r="U326" s="430"/>
      <c r="V326" s="430"/>
      <c r="W326" s="444"/>
      <c r="X326" s="444"/>
      <c r="Y326" s="430"/>
      <c r="Z326" s="430"/>
      <c r="AA326" s="430"/>
      <c r="AB326" s="444"/>
      <c r="AC326" s="444"/>
      <c r="AD326" s="430"/>
      <c r="AE326" s="430"/>
      <c r="AF326" s="430"/>
      <c r="AG326" s="444"/>
      <c r="AH326" s="444"/>
      <c r="AI326" s="430"/>
      <c r="AJ326" s="430"/>
      <c r="AK326" s="430"/>
      <c r="AL326" s="476"/>
      <c r="AM326" s="430"/>
      <c r="AN326" s="430"/>
      <c r="AO326" s="430"/>
      <c r="AP326" s="430"/>
      <c r="AQ326" s="430"/>
      <c r="AR326" s="430"/>
      <c r="AS326" s="430"/>
      <c r="AT326" s="430"/>
      <c r="AU326" s="430"/>
      <c r="AV326" s="430"/>
      <c r="AW326" s="430"/>
      <c r="AX326" s="430"/>
    </row>
    <row r="327">
      <c r="B327" s="471"/>
      <c r="E327" s="471"/>
      <c r="H327" s="471"/>
      <c r="K327" s="471"/>
      <c r="M327" s="454"/>
      <c r="N327" s="424"/>
      <c r="O327" s="424"/>
      <c r="P327" s="430"/>
      <c r="Q327" s="444"/>
      <c r="R327" s="424"/>
      <c r="S327" s="430"/>
      <c r="T327" s="444"/>
      <c r="U327" s="430"/>
      <c r="V327" s="430"/>
      <c r="W327" s="444"/>
      <c r="X327" s="444"/>
      <c r="Y327" s="430"/>
      <c r="Z327" s="430"/>
      <c r="AA327" s="430"/>
      <c r="AB327" s="444"/>
      <c r="AC327" s="444"/>
      <c r="AD327" s="430"/>
      <c r="AE327" s="430"/>
      <c r="AF327" s="430"/>
      <c r="AG327" s="444"/>
      <c r="AH327" s="444"/>
      <c r="AI327" s="430"/>
      <c r="AJ327" s="430"/>
      <c r="AK327" s="430"/>
      <c r="AL327" s="476"/>
      <c r="AM327" s="430"/>
      <c r="AN327" s="430"/>
      <c r="AO327" s="430"/>
      <c r="AP327" s="430"/>
      <c r="AQ327" s="430"/>
      <c r="AR327" s="430"/>
      <c r="AS327" s="430"/>
      <c r="AT327" s="430"/>
      <c r="AU327" s="430"/>
      <c r="AV327" s="430"/>
      <c r="AW327" s="430"/>
      <c r="AX327" s="430"/>
    </row>
    <row r="328">
      <c r="B328" s="471"/>
      <c r="E328" s="471"/>
      <c r="H328" s="471"/>
      <c r="K328" s="471"/>
      <c r="M328" s="454"/>
      <c r="N328" s="424"/>
      <c r="O328" s="424"/>
      <c r="P328" s="430"/>
      <c r="Q328" s="444"/>
      <c r="R328" s="424"/>
      <c r="S328" s="430"/>
      <c r="T328" s="444"/>
      <c r="U328" s="430"/>
      <c r="V328" s="430"/>
      <c r="W328" s="444"/>
      <c r="X328" s="444"/>
      <c r="Y328" s="430"/>
      <c r="Z328" s="430"/>
      <c r="AA328" s="430"/>
      <c r="AB328" s="444"/>
      <c r="AC328" s="444"/>
      <c r="AD328" s="430"/>
      <c r="AE328" s="430"/>
      <c r="AF328" s="430"/>
      <c r="AG328" s="444"/>
      <c r="AH328" s="444"/>
      <c r="AI328" s="430"/>
      <c r="AJ328" s="430"/>
      <c r="AK328" s="430"/>
      <c r="AL328" s="476"/>
      <c r="AM328" s="430"/>
      <c r="AN328" s="430"/>
      <c r="AO328" s="430"/>
      <c r="AP328" s="430"/>
      <c r="AQ328" s="430"/>
      <c r="AR328" s="430"/>
      <c r="AS328" s="430"/>
      <c r="AT328" s="430"/>
      <c r="AU328" s="430"/>
      <c r="AV328" s="430"/>
      <c r="AW328" s="430"/>
      <c r="AX328" s="430"/>
    </row>
    <row r="329">
      <c r="B329" s="471"/>
      <c r="E329" s="471"/>
      <c r="H329" s="471"/>
      <c r="K329" s="471"/>
      <c r="M329" s="454"/>
      <c r="N329" s="424"/>
      <c r="O329" s="424"/>
      <c r="P329" s="430"/>
      <c r="Q329" s="444"/>
      <c r="R329" s="424"/>
      <c r="S329" s="430"/>
      <c r="T329" s="444"/>
      <c r="U329" s="430"/>
      <c r="V329" s="430"/>
      <c r="W329" s="444"/>
      <c r="X329" s="444"/>
      <c r="Y329" s="430"/>
      <c r="Z329" s="430"/>
      <c r="AA329" s="430"/>
      <c r="AB329" s="444"/>
      <c r="AC329" s="444"/>
      <c r="AD329" s="430"/>
      <c r="AE329" s="430"/>
      <c r="AF329" s="430"/>
      <c r="AG329" s="444"/>
      <c r="AH329" s="444"/>
      <c r="AI329" s="430"/>
      <c r="AJ329" s="430"/>
      <c r="AK329" s="430"/>
      <c r="AL329" s="476"/>
      <c r="AM329" s="430"/>
      <c r="AN329" s="430"/>
      <c r="AO329" s="430"/>
      <c r="AP329" s="430"/>
      <c r="AQ329" s="430"/>
      <c r="AR329" s="430"/>
      <c r="AS329" s="430"/>
      <c r="AT329" s="430"/>
      <c r="AU329" s="430"/>
      <c r="AV329" s="430"/>
      <c r="AW329" s="430"/>
      <c r="AX329" s="430"/>
    </row>
    <row r="330">
      <c r="B330" s="471"/>
      <c r="E330" s="471"/>
      <c r="H330" s="471"/>
      <c r="K330" s="471"/>
      <c r="M330" s="454"/>
      <c r="N330" s="424"/>
      <c r="O330" s="424"/>
      <c r="P330" s="430"/>
      <c r="Q330" s="444"/>
      <c r="R330" s="424"/>
      <c r="S330" s="430"/>
      <c r="T330" s="444"/>
      <c r="U330" s="430"/>
      <c r="V330" s="430"/>
      <c r="W330" s="444"/>
      <c r="X330" s="444"/>
      <c r="Y330" s="430"/>
      <c r="Z330" s="430"/>
      <c r="AA330" s="430"/>
      <c r="AB330" s="444"/>
      <c r="AC330" s="444"/>
      <c r="AD330" s="430"/>
      <c r="AE330" s="430"/>
      <c r="AF330" s="430"/>
      <c r="AG330" s="444"/>
      <c r="AH330" s="444"/>
      <c r="AI330" s="430"/>
      <c r="AJ330" s="430"/>
      <c r="AK330" s="430"/>
      <c r="AL330" s="476"/>
      <c r="AM330" s="430"/>
      <c r="AN330" s="430"/>
      <c r="AO330" s="430"/>
      <c r="AP330" s="430"/>
      <c r="AQ330" s="430"/>
      <c r="AR330" s="430"/>
      <c r="AS330" s="430"/>
      <c r="AT330" s="430"/>
      <c r="AU330" s="430"/>
      <c r="AV330" s="430"/>
      <c r="AW330" s="430"/>
      <c r="AX330" s="430"/>
    </row>
    <row r="331">
      <c r="B331" s="471"/>
      <c r="E331" s="471"/>
      <c r="H331" s="471"/>
      <c r="K331" s="471"/>
      <c r="M331" s="454"/>
      <c r="N331" s="424"/>
      <c r="O331" s="424"/>
      <c r="P331" s="430"/>
      <c r="Q331" s="444"/>
      <c r="R331" s="424"/>
      <c r="S331" s="430"/>
      <c r="T331" s="444"/>
      <c r="U331" s="430"/>
      <c r="V331" s="430"/>
      <c r="W331" s="444"/>
      <c r="X331" s="444"/>
      <c r="Y331" s="430"/>
      <c r="Z331" s="430"/>
      <c r="AA331" s="430"/>
      <c r="AB331" s="444"/>
      <c r="AC331" s="444"/>
      <c r="AD331" s="430"/>
      <c r="AE331" s="430"/>
      <c r="AF331" s="430"/>
      <c r="AG331" s="444"/>
      <c r="AH331" s="444"/>
      <c r="AI331" s="430"/>
      <c r="AJ331" s="430"/>
      <c r="AK331" s="430"/>
      <c r="AL331" s="476"/>
      <c r="AM331" s="430"/>
      <c r="AN331" s="430"/>
      <c r="AO331" s="430"/>
      <c r="AP331" s="430"/>
      <c r="AQ331" s="430"/>
      <c r="AR331" s="430"/>
      <c r="AS331" s="430"/>
      <c r="AT331" s="430"/>
      <c r="AU331" s="430"/>
      <c r="AV331" s="430"/>
      <c r="AW331" s="430"/>
      <c r="AX331" s="430"/>
    </row>
    <row r="332">
      <c r="B332" s="471"/>
      <c r="E332" s="471"/>
      <c r="H332" s="471"/>
      <c r="K332" s="471"/>
      <c r="M332" s="454"/>
      <c r="N332" s="424"/>
      <c r="O332" s="424"/>
      <c r="P332" s="430"/>
      <c r="Q332" s="444"/>
      <c r="R332" s="424"/>
      <c r="S332" s="430"/>
      <c r="T332" s="444"/>
      <c r="U332" s="430"/>
      <c r="V332" s="430"/>
      <c r="W332" s="444"/>
      <c r="X332" s="444"/>
      <c r="Y332" s="430"/>
      <c r="Z332" s="430"/>
      <c r="AA332" s="430"/>
      <c r="AB332" s="444"/>
      <c r="AC332" s="444"/>
      <c r="AD332" s="430"/>
      <c r="AE332" s="430"/>
      <c r="AF332" s="430"/>
      <c r="AG332" s="444"/>
      <c r="AH332" s="444"/>
      <c r="AI332" s="430"/>
      <c r="AJ332" s="430"/>
      <c r="AK332" s="430"/>
      <c r="AL332" s="476"/>
      <c r="AM332" s="430"/>
      <c r="AN332" s="430"/>
      <c r="AO332" s="430"/>
      <c r="AP332" s="430"/>
      <c r="AQ332" s="430"/>
      <c r="AR332" s="430"/>
      <c r="AS332" s="430"/>
      <c r="AT332" s="430"/>
      <c r="AU332" s="430"/>
      <c r="AV332" s="430"/>
      <c r="AW332" s="430"/>
      <c r="AX332" s="430"/>
    </row>
    <row r="333">
      <c r="B333" s="471"/>
      <c r="E333" s="471"/>
      <c r="H333" s="471"/>
      <c r="K333" s="471"/>
      <c r="M333" s="454"/>
      <c r="N333" s="424"/>
      <c r="O333" s="424"/>
      <c r="P333" s="430"/>
      <c r="Q333" s="444"/>
      <c r="R333" s="424"/>
      <c r="S333" s="430"/>
      <c r="T333" s="444"/>
      <c r="U333" s="430"/>
      <c r="V333" s="430"/>
      <c r="W333" s="444"/>
      <c r="X333" s="444"/>
      <c r="Y333" s="430"/>
      <c r="Z333" s="430"/>
      <c r="AA333" s="430"/>
      <c r="AB333" s="444"/>
      <c r="AC333" s="444"/>
      <c r="AD333" s="430"/>
      <c r="AE333" s="430"/>
      <c r="AF333" s="430"/>
      <c r="AG333" s="444"/>
      <c r="AH333" s="444"/>
      <c r="AI333" s="430"/>
      <c r="AJ333" s="430"/>
      <c r="AK333" s="430"/>
      <c r="AL333" s="476"/>
      <c r="AM333" s="430"/>
      <c r="AN333" s="430"/>
      <c r="AO333" s="430"/>
      <c r="AP333" s="430"/>
      <c r="AQ333" s="430"/>
      <c r="AR333" s="430"/>
      <c r="AS333" s="430"/>
      <c r="AT333" s="430"/>
      <c r="AU333" s="430"/>
      <c r="AV333" s="430"/>
      <c r="AW333" s="430"/>
      <c r="AX333" s="430"/>
    </row>
    <row r="334">
      <c r="B334" s="471"/>
      <c r="E334" s="471"/>
      <c r="H334" s="471"/>
      <c r="K334" s="471"/>
      <c r="M334" s="454"/>
      <c r="N334" s="424"/>
      <c r="O334" s="424"/>
      <c r="P334" s="430"/>
      <c r="Q334" s="444"/>
      <c r="R334" s="424"/>
      <c r="S334" s="430"/>
      <c r="T334" s="444"/>
      <c r="U334" s="430"/>
      <c r="V334" s="430"/>
      <c r="W334" s="444"/>
      <c r="X334" s="444"/>
      <c r="Y334" s="430"/>
      <c r="Z334" s="430"/>
      <c r="AA334" s="430"/>
      <c r="AB334" s="444"/>
      <c r="AC334" s="444"/>
      <c r="AD334" s="430"/>
      <c r="AE334" s="430"/>
      <c r="AF334" s="430"/>
      <c r="AG334" s="444"/>
      <c r="AH334" s="444"/>
      <c r="AI334" s="430"/>
      <c r="AJ334" s="430"/>
      <c r="AK334" s="430"/>
      <c r="AL334" s="476"/>
      <c r="AM334" s="430"/>
      <c r="AN334" s="430"/>
      <c r="AO334" s="430"/>
      <c r="AP334" s="430"/>
      <c r="AQ334" s="430"/>
      <c r="AR334" s="430"/>
      <c r="AS334" s="430"/>
      <c r="AT334" s="430"/>
      <c r="AU334" s="430"/>
      <c r="AV334" s="430"/>
      <c r="AW334" s="430"/>
      <c r="AX334" s="430"/>
    </row>
    <row r="335">
      <c r="B335" s="471"/>
      <c r="E335" s="471"/>
      <c r="H335" s="471"/>
      <c r="K335" s="471"/>
      <c r="M335" s="454"/>
      <c r="N335" s="424"/>
      <c r="O335" s="424"/>
      <c r="P335" s="430"/>
      <c r="Q335" s="444"/>
      <c r="R335" s="424"/>
      <c r="S335" s="430"/>
      <c r="T335" s="444"/>
      <c r="U335" s="430"/>
      <c r="V335" s="430"/>
      <c r="W335" s="444"/>
      <c r="X335" s="444"/>
      <c r="Y335" s="430"/>
      <c r="Z335" s="430"/>
      <c r="AA335" s="430"/>
      <c r="AB335" s="444"/>
      <c r="AC335" s="444"/>
      <c r="AD335" s="430"/>
      <c r="AE335" s="430"/>
      <c r="AF335" s="430"/>
      <c r="AG335" s="444"/>
      <c r="AH335" s="444"/>
      <c r="AI335" s="430"/>
      <c r="AJ335" s="430"/>
      <c r="AK335" s="430"/>
      <c r="AL335" s="476"/>
      <c r="AM335" s="430"/>
      <c r="AN335" s="430"/>
      <c r="AO335" s="430"/>
      <c r="AP335" s="430"/>
      <c r="AQ335" s="430"/>
      <c r="AR335" s="430"/>
      <c r="AS335" s="430"/>
      <c r="AT335" s="430"/>
      <c r="AU335" s="430"/>
      <c r="AV335" s="430"/>
      <c r="AW335" s="430"/>
      <c r="AX335" s="430"/>
    </row>
    <row r="336">
      <c r="B336" s="471"/>
      <c r="E336" s="471"/>
      <c r="H336" s="471"/>
      <c r="K336" s="471"/>
      <c r="M336" s="454"/>
      <c r="N336" s="424"/>
      <c r="O336" s="424"/>
      <c r="P336" s="430"/>
      <c r="Q336" s="444"/>
      <c r="R336" s="424"/>
      <c r="S336" s="430"/>
      <c r="T336" s="444"/>
      <c r="U336" s="430"/>
      <c r="V336" s="430"/>
      <c r="W336" s="444"/>
      <c r="X336" s="444"/>
      <c r="Y336" s="430"/>
      <c r="Z336" s="430"/>
      <c r="AA336" s="430"/>
      <c r="AB336" s="444"/>
      <c r="AC336" s="444"/>
      <c r="AD336" s="430"/>
      <c r="AE336" s="430"/>
      <c r="AF336" s="430"/>
      <c r="AG336" s="444"/>
      <c r="AH336" s="444"/>
      <c r="AI336" s="430"/>
      <c r="AJ336" s="430"/>
      <c r="AK336" s="430"/>
      <c r="AL336" s="476"/>
      <c r="AM336" s="430"/>
      <c r="AN336" s="430"/>
      <c r="AO336" s="430"/>
      <c r="AP336" s="430"/>
      <c r="AQ336" s="430"/>
      <c r="AR336" s="430"/>
      <c r="AS336" s="430"/>
      <c r="AT336" s="430"/>
      <c r="AU336" s="430"/>
      <c r="AV336" s="430"/>
      <c r="AW336" s="430"/>
      <c r="AX336" s="430"/>
    </row>
    <row r="337">
      <c r="B337" s="471"/>
      <c r="E337" s="471"/>
      <c r="H337" s="471"/>
      <c r="K337" s="471"/>
      <c r="M337" s="454"/>
      <c r="N337" s="424"/>
      <c r="O337" s="424"/>
      <c r="P337" s="430"/>
      <c r="Q337" s="444"/>
      <c r="R337" s="424"/>
      <c r="S337" s="430"/>
      <c r="T337" s="444"/>
      <c r="U337" s="430"/>
      <c r="V337" s="430"/>
      <c r="W337" s="444"/>
      <c r="X337" s="444"/>
      <c r="Y337" s="430"/>
      <c r="Z337" s="430"/>
      <c r="AA337" s="430"/>
      <c r="AB337" s="444"/>
      <c r="AC337" s="444"/>
      <c r="AD337" s="430"/>
      <c r="AE337" s="430"/>
      <c r="AF337" s="430"/>
      <c r="AG337" s="444"/>
      <c r="AH337" s="444"/>
      <c r="AI337" s="430"/>
      <c r="AJ337" s="430"/>
      <c r="AK337" s="430"/>
      <c r="AL337" s="476"/>
      <c r="AM337" s="430"/>
      <c r="AN337" s="430"/>
      <c r="AO337" s="430"/>
      <c r="AP337" s="430"/>
      <c r="AQ337" s="430"/>
      <c r="AR337" s="430"/>
      <c r="AS337" s="430"/>
      <c r="AT337" s="430"/>
      <c r="AU337" s="430"/>
      <c r="AV337" s="430"/>
      <c r="AW337" s="430"/>
      <c r="AX337" s="430"/>
    </row>
    <row r="338">
      <c r="B338" s="471"/>
      <c r="E338" s="471"/>
      <c r="H338" s="471"/>
      <c r="K338" s="471"/>
      <c r="M338" s="454"/>
      <c r="N338" s="424"/>
      <c r="O338" s="424"/>
      <c r="P338" s="430"/>
      <c r="Q338" s="444"/>
      <c r="R338" s="424"/>
      <c r="S338" s="430"/>
      <c r="T338" s="444"/>
      <c r="U338" s="430"/>
      <c r="V338" s="430"/>
      <c r="W338" s="444"/>
      <c r="X338" s="444"/>
      <c r="Y338" s="430"/>
      <c r="Z338" s="430"/>
      <c r="AA338" s="430"/>
      <c r="AB338" s="444"/>
      <c r="AC338" s="444"/>
      <c r="AD338" s="430"/>
      <c r="AE338" s="430"/>
      <c r="AF338" s="430"/>
      <c r="AG338" s="444"/>
      <c r="AH338" s="444"/>
      <c r="AI338" s="430"/>
      <c r="AJ338" s="430"/>
      <c r="AK338" s="430"/>
      <c r="AL338" s="476"/>
      <c r="AM338" s="430"/>
      <c r="AN338" s="430"/>
      <c r="AO338" s="430"/>
      <c r="AP338" s="430"/>
      <c r="AQ338" s="430"/>
      <c r="AR338" s="430"/>
      <c r="AS338" s="430"/>
      <c r="AT338" s="430"/>
      <c r="AU338" s="430"/>
      <c r="AV338" s="430"/>
      <c r="AW338" s="430"/>
      <c r="AX338" s="430"/>
    </row>
    <row r="339">
      <c r="B339" s="471"/>
      <c r="E339" s="471"/>
      <c r="H339" s="471"/>
      <c r="K339" s="471"/>
      <c r="M339" s="454"/>
      <c r="N339" s="424"/>
      <c r="O339" s="424"/>
      <c r="P339" s="430"/>
      <c r="Q339" s="444"/>
      <c r="R339" s="424"/>
      <c r="S339" s="430"/>
      <c r="T339" s="444"/>
      <c r="U339" s="430"/>
      <c r="V339" s="430"/>
      <c r="W339" s="444"/>
      <c r="X339" s="444"/>
      <c r="Y339" s="430"/>
      <c r="Z339" s="430"/>
      <c r="AA339" s="430"/>
      <c r="AB339" s="444"/>
      <c r="AC339" s="444"/>
      <c r="AD339" s="430"/>
      <c r="AE339" s="430"/>
      <c r="AF339" s="430"/>
      <c r="AG339" s="444"/>
      <c r="AH339" s="444"/>
      <c r="AI339" s="430"/>
      <c r="AJ339" s="430"/>
      <c r="AK339" s="430"/>
      <c r="AL339" s="476"/>
      <c r="AM339" s="430"/>
      <c r="AN339" s="430"/>
      <c r="AO339" s="430"/>
      <c r="AP339" s="430"/>
      <c r="AQ339" s="430"/>
      <c r="AR339" s="430"/>
      <c r="AS339" s="430"/>
      <c r="AT339" s="430"/>
      <c r="AU339" s="430"/>
      <c r="AV339" s="430"/>
      <c r="AW339" s="430"/>
      <c r="AX339" s="430"/>
    </row>
    <row r="340">
      <c r="B340" s="471"/>
      <c r="E340" s="471"/>
      <c r="H340" s="471"/>
      <c r="K340" s="471"/>
      <c r="M340" s="454"/>
      <c r="N340" s="424"/>
      <c r="O340" s="424"/>
      <c r="P340" s="430"/>
      <c r="Q340" s="444"/>
      <c r="R340" s="424"/>
      <c r="S340" s="430"/>
      <c r="T340" s="444"/>
      <c r="U340" s="430"/>
      <c r="V340" s="430"/>
      <c r="W340" s="444"/>
      <c r="X340" s="444"/>
      <c r="Y340" s="430"/>
      <c r="Z340" s="430"/>
      <c r="AA340" s="430"/>
      <c r="AB340" s="444"/>
      <c r="AC340" s="444"/>
      <c r="AD340" s="430"/>
      <c r="AE340" s="430"/>
      <c r="AF340" s="430"/>
      <c r="AG340" s="444"/>
      <c r="AH340" s="444"/>
      <c r="AI340" s="430"/>
      <c r="AJ340" s="430"/>
      <c r="AK340" s="430"/>
      <c r="AL340" s="476"/>
      <c r="AM340" s="430"/>
      <c r="AN340" s="430"/>
      <c r="AO340" s="430"/>
      <c r="AP340" s="430"/>
      <c r="AQ340" s="430"/>
      <c r="AR340" s="430"/>
      <c r="AS340" s="430"/>
      <c r="AT340" s="430"/>
      <c r="AU340" s="430"/>
      <c r="AV340" s="430"/>
      <c r="AW340" s="430"/>
      <c r="AX340" s="430"/>
    </row>
    <row r="341">
      <c r="B341" s="471"/>
      <c r="E341" s="471"/>
      <c r="H341" s="471"/>
      <c r="K341" s="471"/>
      <c r="M341" s="454"/>
      <c r="N341" s="424"/>
      <c r="O341" s="424"/>
      <c r="P341" s="430"/>
      <c r="Q341" s="444"/>
      <c r="R341" s="424"/>
      <c r="S341" s="430"/>
      <c r="T341" s="444"/>
      <c r="U341" s="430"/>
      <c r="V341" s="430"/>
      <c r="W341" s="444"/>
      <c r="X341" s="444"/>
      <c r="Y341" s="430"/>
      <c r="Z341" s="430"/>
      <c r="AA341" s="430"/>
      <c r="AB341" s="444"/>
      <c r="AC341" s="444"/>
      <c r="AD341" s="430"/>
      <c r="AE341" s="430"/>
      <c r="AF341" s="430"/>
      <c r="AG341" s="444"/>
      <c r="AH341" s="444"/>
      <c r="AI341" s="430"/>
      <c r="AJ341" s="430"/>
      <c r="AK341" s="430"/>
      <c r="AL341" s="476"/>
      <c r="AM341" s="430"/>
      <c r="AN341" s="430"/>
      <c r="AO341" s="430"/>
      <c r="AP341" s="430"/>
      <c r="AQ341" s="430"/>
      <c r="AR341" s="430"/>
      <c r="AS341" s="430"/>
      <c r="AT341" s="430"/>
      <c r="AU341" s="430"/>
      <c r="AV341" s="430"/>
      <c r="AW341" s="430"/>
      <c r="AX341" s="430"/>
    </row>
    <row r="342">
      <c r="B342" s="471"/>
      <c r="E342" s="471"/>
      <c r="H342" s="471"/>
      <c r="K342" s="471"/>
      <c r="M342" s="454"/>
      <c r="N342" s="424"/>
      <c r="O342" s="424"/>
      <c r="P342" s="430"/>
      <c r="Q342" s="444"/>
      <c r="R342" s="424"/>
      <c r="S342" s="430"/>
      <c r="T342" s="444"/>
      <c r="U342" s="430"/>
      <c r="V342" s="430"/>
      <c r="W342" s="444"/>
      <c r="X342" s="444"/>
      <c r="Y342" s="430"/>
      <c r="Z342" s="430"/>
      <c r="AA342" s="430"/>
      <c r="AB342" s="444"/>
      <c r="AC342" s="444"/>
      <c r="AD342" s="430"/>
      <c r="AE342" s="430"/>
      <c r="AF342" s="430"/>
      <c r="AG342" s="444"/>
      <c r="AH342" s="444"/>
      <c r="AI342" s="430"/>
      <c r="AJ342" s="430"/>
      <c r="AK342" s="430"/>
      <c r="AL342" s="476"/>
      <c r="AM342" s="430"/>
      <c r="AN342" s="430"/>
      <c r="AO342" s="430"/>
      <c r="AP342" s="430"/>
      <c r="AQ342" s="430"/>
      <c r="AR342" s="430"/>
      <c r="AS342" s="430"/>
      <c r="AT342" s="430"/>
      <c r="AU342" s="430"/>
      <c r="AV342" s="430"/>
      <c r="AW342" s="430"/>
      <c r="AX342" s="430"/>
    </row>
    <row r="343">
      <c r="B343" s="471"/>
      <c r="E343" s="471"/>
      <c r="H343" s="471"/>
      <c r="K343" s="471"/>
      <c r="M343" s="454"/>
      <c r="N343" s="424"/>
      <c r="O343" s="424"/>
      <c r="P343" s="430"/>
      <c r="Q343" s="444"/>
      <c r="R343" s="424"/>
      <c r="S343" s="430"/>
      <c r="T343" s="444"/>
      <c r="U343" s="430"/>
      <c r="V343" s="430"/>
      <c r="W343" s="444"/>
      <c r="X343" s="444"/>
      <c r="Y343" s="430"/>
      <c r="Z343" s="430"/>
      <c r="AA343" s="430"/>
      <c r="AB343" s="444"/>
      <c r="AC343" s="444"/>
      <c r="AD343" s="430"/>
      <c r="AE343" s="430"/>
      <c r="AF343" s="430"/>
      <c r="AG343" s="444"/>
      <c r="AH343" s="444"/>
      <c r="AI343" s="430"/>
      <c r="AJ343" s="430"/>
      <c r="AK343" s="430"/>
      <c r="AL343" s="476"/>
      <c r="AM343" s="430"/>
      <c r="AN343" s="430"/>
      <c r="AO343" s="430"/>
      <c r="AP343" s="430"/>
      <c r="AQ343" s="430"/>
      <c r="AR343" s="430"/>
      <c r="AS343" s="430"/>
      <c r="AT343" s="430"/>
      <c r="AU343" s="430"/>
      <c r="AV343" s="430"/>
      <c r="AW343" s="430"/>
      <c r="AX343" s="430"/>
    </row>
    <row r="344">
      <c r="B344" s="471"/>
      <c r="E344" s="471"/>
      <c r="H344" s="471"/>
      <c r="K344" s="471"/>
      <c r="M344" s="454"/>
      <c r="N344" s="424"/>
      <c r="O344" s="424"/>
      <c r="P344" s="430"/>
      <c r="Q344" s="444"/>
      <c r="R344" s="424"/>
      <c r="S344" s="430"/>
      <c r="T344" s="444"/>
      <c r="U344" s="430"/>
      <c r="V344" s="430"/>
      <c r="W344" s="444"/>
      <c r="X344" s="444"/>
      <c r="Y344" s="430"/>
      <c r="Z344" s="430"/>
      <c r="AA344" s="430"/>
      <c r="AB344" s="444"/>
      <c r="AC344" s="444"/>
      <c r="AD344" s="430"/>
      <c r="AE344" s="430"/>
      <c r="AF344" s="430"/>
      <c r="AG344" s="444"/>
      <c r="AH344" s="444"/>
      <c r="AI344" s="430"/>
      <c r="AJ344" s="430"/>
      <c r="AK344" s="430"/>
      <c r="AL344" s="476"/>
      <c r="AM344" s="430"/>
      <c r="AN344" s="430"/>
      <c r="AO344" s="430"/>
      <c r="AP344" s="430"/>
      <c r="AQ344" s="430"/>
      <c r="AR344" s="430"/>
      <c r="AS344" s="430"/>
      <c r="AT344" s="430"/>
      <c r="AU344" s="430"/>
      <c r="AV344" s="430"/>
      <c r="AW344" s="430"/>
      <c r="AX344" s="430"/>
    </row>
    <row r="345">
      <c r="B345" s="471"/>
      <c r="E345" s="471"/>
      <c r="H345" s="471"/>
      <c r="K345" s="471"/>
      <c r="M345" s="454"/>
      <c r="N345" s="424"/>
      <c r="O345" s="424"/>
      <c r="P345" s="430"/>
      <c r="Q345" s="444"/>
      <c r="R345" s="424"/>
      <c r="S345" s="430"/>
      <c r="T345" s="444"/>
      <c r="U345" s="430"/>
      <c r="V345" s="430"/>
      <c r="W345" s="444"/>
      <c r="X345" s="444"/>
      <c r="Y345" s="430"/>
      <c r="Z345" s="430"/>
      <c r="AA345" s="430"/>
      <c r="AB345" s="444"/>
      <c r="AC345" s="444"/>
      <c r="AD345" s="430"/>
      <c r="AE345" s="430"/>
      <c r="AF345" s="430"/>
      <c r="AG345" s="444"/>
      <c r="AH345" s="444"/>
      <c r="AI345" s="430"/>
      <c r="AJ345" s="430"/>
      <c r="AK345" s="430"/>
      <c r="AL345" s="476"/>
      <c r="AM345" s="430"/>
      <c r="AN345" s="430"/>
      <c r="AO345" s="430"/>
      <c r="AP345" s="430"/>
      <c r="AQ345" s="430"/>
      <c r="AR345" s="430"/>
      <c r="AS345" s="430"/>
      <c r="AT345" s="430"/>
      <c r="AU345" s="430"/>
      <c r="AV345" s="430"/>
      <c r="AW345" s="430"/>
      <c r="AX345" s="430"/>
    </row>
    <row r="346">
      <c r="B346" s="471"/>
      <c r="E346" s="471"/>
      <c r="H346" s="471"/>
      <c r="K346" s="471"/>
      <c r="M346" s="454"/>
      <c r="N346" s="424"/>
      <c r="O346" s="424"/>
      <c r="P346" s="430"/>
      <c r="Q346" s="444"/>
      <c r="R346" s="424"/>
      <c r="S346" s="430"/>
      <c r="T346" s="444"/>
      <c r="U346" s="430"/>
      <c r="V346" s="430"/>
      <c r="W346" s="444"/>
      <c r="X346" s="444"/>
      <c r="Y346" s="430"/>
      <c r="Z346" s="430"/>
      <c r="AA346" s="430"/>
      <c r="AB346" s="444"/>
      <c r="AC346" s="444"/>
      <c r="AD346" s="430"/>
      <c r="AE346" s="430"/>
      <c r="AF346" s="430"/>
      <c r="AG346" s="444"/>
      <c r="AH346" s="444"/>
      <c r="AI346" s="430"/>
      <c r="AJ346" s="430"/>
      <c r="AK346" s="430"/>
      <c r="AL346" s="476"/>
      <c r="AM346" s="430"/>
      <c r="AN346" s="430"/>
      <c r="AO346" s="430"/>
      <c r="AP346" s="430"/>
      <c r="AQ346" s="430"/>
      <c r="AR346" s="430"/>
      <c r="AS346" s="430"/>
      <c r="AT346" s="430"/>
      <c r="AU346" s="430"/>
      <c r="AV346" s="430"/>
      <c r="AW346" s="430"/>
      <c r="AX346" s="430"/>
    </row>
    <row r="347">
      <c r="B347" s="471"/>
      <c r="E347" s="471"/>
      <c r="H347" s="471"/>
      <c r="K347" s="471"/>
      <c r="M347" s="454"/>
      <c r="N347" s="424"/>
      <c r="O347" s="424"/>
      <c r="P347" s="430"/>
      <c r="Q347" s="444"/>
      <c r="R347" s="424"/>
      <c r="S347" s="430"/>
      <c r="T347" s="444"/>
      <c r="U347" s="430"/>
      <c r="V347" s="430"/>
      <c r="W347" s="444"/>
      <c r="X347" s="444"/>
      <c r="Y347" s="430"/>
      <c r="Z347" s="430"/>
      <c r="AA347" s="430"/>
      <c r="AB347" s="444"/>
      <c r="AC347" s="444"/>
      <c r="AD347" s="430"/>
      <c r="AE347" s="430"/>
      <c r="AF347" s="430"/>
      <c r="AG347" s="444"/>
      <c r="AH347" s="444"/>
      <c r="AI347" s="430"/>
      <c r="AJ347" s="430"/>
      <c r="AK347" s="430"/>
      <c r="AL347" s="476"/>
      <c r="AM347" s="430"/>
      <c r="AN347" s="430"/>
      <c r="AO347" s="430"/>
      <c r="AP347" s="430"/>
      <c r="AQ347" s="430"/>
      <c r="AR347" s="430"/>
      <c r="AS347" s="430"/>
      <c r="AT347" s="430"/>
      <c r="AU347" s="430"/>
      <c r="AV347" s="430"/>
      <c r="AW347" s="430"/>
      <c r="AX347" s="430"/>
    </row>
    <row r="348">
      <c r="B348" s="471"/>
      <c r="E348" s="471"/>
      <c r="H348" s="471"/>
      <c r="K348" s="471"/>
      <c r="M348" s="454"/>
      <c r="N348" s="424"/>
      <c r="O348" s="424"/>
      <c r="P348" s="430"/>
      <c r="Q348" s="444"/>
      <c r="R348" s="424"/>
      <c r="S348" s="430"/>
      <c r="T348" s="444"/>
      <c r="U348" s="430"/>
      <c r="V348" s="430"/>
      <c r="W348" s="444"/>
      <c r="X348" s="444"/>
      <c r="Y348" s="430"/>
      <c r="Z348" s="430"/>
      <c r="AA348" s="430"/>
      <c r="AB348" s="444"/>
      <c r="AC348" s="444"/>
      <c r="AD348" s="430"/>
      <c r="AE348" s="430"/>
      <c r="AF348" s="430"/>
      <c r="AG348" s="444"/>
      <c r="AH348" s="444"/>
      <c r="AI348" s="430"/>
      <c r="AJ348" s="430"/>
      <c r="AK348" s="430"/>
      <c r="AL348" s="476"/>
      <c r="AM348" s="430"/>
      <c r="AN348" s="430"/>
      <c r="AO348" s="430"/>
      <c r="AP348" s="430"/>
      <c r="AQ348" s="430"/>
      <c r="AR348" s="430"/>
      <c r="AS348" s="430"/>
      <c r="AT348" s="430"/>
      <c r="AU348" s="430"/>
      <c r="AV348" s="430"/>
      <c r="AW348" s="430"/>
      <c r="AX348" s="430"/>
    </row>
    <row r="349">
      <c r="B349" s="471"/>
      <c r="E349" s="471"/>
      <c r="H349" s="471"/>
      <c r="K349" s="471"/>
      <c r="M349" s="454"/>
      <c r="N349" s="424"/>
      <c r="O349" s="424"/>
      <c r="P349" s="430"/>
      <c r="Q349" s="444"/>
      <c r="R349" s="424"/>
      <c r="S349" s="430"/>
      <c r="T349" s="444"/>
      <c r="U349" s="430"/>
      <c r="V349" s="430"/>
      <c r="W349" s="444"/>
      <c r="X349" s="444"/>
      <c r="Y349" s="430"/>
      <c r="Z349" s="430"/>
      <c r="AA349" s="430"/>
      <c r="AB349" s="444"/>
      <c r="AC349" s="444"/>
      <c r="AD349" s="430"/>
      <c r="AE349" s="430"/>
      <c r="AF349" s="430"/>
      <c r="AG349" s="444"/>
      <c r="AH349" s="444"/>
      <c r="AI349" s="430"/>
      <c r="AJ349" s="430"/>
      <c r="AK349" s="430"/>
      <c r="AL349" s="476"/>
      <c r="AM349" s="430"/>
      <c r="AN349" s="430"/>
      <c r="AO349" s="430"/>
      <c r="AP349" s="430"/>
      <c r="AQ349" s="430"/>
      <c r="AR349" s="430"/>
      <c r="AS349" s="430"/>
      <c r="AT349" s="430"/>
      <c r="AU349" s="430"/>
      <c r="AV349" s="430"/>
      <c r="AW349" s="430"/>
      <c r="AX349" s="430"/>
    </row>
    <row r="350">
      <c r="B350" s="471"/>
      <c r="E350" s="471"/>
      <c r="H350" s="471"/>
      <c r="K350" s="471"/>
      <c r="M350" s="454"/>
      <c r="N350" s="424"/>
      <c r="O350" s="424"/>
      <c r="P350" s="430"/>
      <c r="Q350" s="444"/>
      <c r="R350" s="424"/>
      <c r="S350" s="430"/>
      <c r="T350" s="444"/>
      <c r="U350" s="430"/>
      <c r="V350" s="430"/>
      <c r="W350" s="444"/>
      <c r="X350" s="444"/>
      <c r="Y350" s="430"/>
      <c r="Z350" s="430"/>
      <c r="AA350" s="430"/>
      <c r="AB350" s="444"/>
      <c r="AC350" s="444"/>
      <c r="AD350" s="430"/>
      <c r="AE350" s="430"/>
      <c r="AF350" s="430"/>
      <c r="AG350" s="444"/>
      <c r="AH350" s="444"/>
      <c r="AI350" s="430"/>
      <c r="AJ350" s="430"/>
      <c r="AK350" s="430"/>
      <c r="AL350" s="476"/>
      <c r="AM350" s="430"/>
      <c r="AN350" s="430"/>
      <c r="AO350" s="430"/>
      <c r="AP350" s="430"/>
      <c r="AQ350" s="430"/>
      <c r="AR350" s="430"/>
      <c r="AS350" s="430"/>
      <c r="AT350" s="430"/>
      <c r="AU350" s="430"/>
      <c r="AV350" s="430"/>
      <c r="AW350" s="430"/>
      <c r="AX350" s="430"/>
    </row>
    <row r="351">
      <c r="B351" s="471"/>
      <c r="E351" s="471"/>
      <c r="H351" s="471"/>
      <c r="K351" s="471"/>
      <c r="M351" s="454"/>
      <c r="N351" s="424"/>
      <c r="O351" s="424"/>
      <c r="P351" s="430"/>
      <c r="Q351" s="444"/>
      <c r="R351" s="424"/>
      <c r="S351" s="430"/>
      <c r="T351" s="444"/>
      <c r="U351" s="430"/>
      <c r="V351" s="430"/>
      <c r="W351" s="444"/>
      <c r="X351" s="444"/>
      <c r="Y351" s="430"/>
      <c r="Z351" s="430"/>
      <c r="AA351" s="430"/>
      <c r="AB351" s="444"/>
      <c r="AC351" s="444"/>
      <c r="AD351" s="430"/>
      <c r="AE351" s="430"/>
      <c r="AF351" s="430"/>
      <c r="AG351" s="444"/>
      <c r="AH351" s="444"/>
      <c r="AI351" s="430"/>
      <c r="AJ351" s="430"/>
      <c r="AK351" s="430"/>
      <c r="AL351" s="476"/>
      <c r="AM351" s="430"/>
      <c r="AN351" s="430"/>
      <c r="AO351" s="430"/>
      <c r="AP351" s="430"/>
      <c r="AQ351" s="430"/>
      <c r="AR351" s="430"/>
      <c r="AS351" s="430"/>
      <c r="AT351" s="430"/>
      <c r="AU351" s="430"/>
      <c r="AV351" s="430"/>
      <c r="AW351" s="430"/>
      <c r="AX351" s="430"/>
    </row>
    <row r="352">
      <c r="B352" s="471"/>
      <c r="E352" s="471"/>
      <c r="H352" s="471"/>
      <c r="K352" s="471"/>
      <c r="M352" s="454"/>
      <c r="N352" s="424"/>
      <c r="O352" s="424"/>
      <c r="P352" s="430"/>
      <c r="Q352" s="444"/>
      <c r="R352" s="424"/>
      <c r="S352" s="430"/>
      <c r="T352" s="444"/>
      <c r="U352" s="430"/>
      <c r="V352" s="430"/>
      <c r="W352" s="444"/>
      <c r="X352" s="444"/>
      <c r="Y352" s="430"/>
      <c r="Z352" s="430"/>
      <c r="AA352" s="430"/>
      <c r="AB352" s="444"/>
      <c r="AC352" s="444"/>
      <c r="AD352" s="430"/>
      <c r="AE352" s="430"/>
      <c r="AF352" s="430"/>
      <c r="AG352" s="444"/>
      <c r="AH352" s="444"/>
      <c r="AI352" s="430"/>
      <c r="AJ352" s="430"/>
      <c r="AK352" s="430"/>
      <c r="AL352" s="476"/>
      <c r="AM352" s="430"/>
      <c r="AN352" s="430"/>
      <c r="AO352" s="430"/>
      <c r="AP352" s="430"/>
      <c r="AQ352" s="430"/>
      <c r="AR352" s="430"/>
      <c r="AS352" s="430"/>
      <c r="AT352" s="430"/>
      <c r="AU352" s="430"/>
      <c r="AV352" s="430"/>
      <c r="AW352" s="430"/>
      <c r="AX352" s="430"/>
    </row>
    <row r="353">
      <c r="B353" s="471"/>
      <c r="E353" s="471"/>
      <c r="H353" s="471"/>
      <c r="K353" s="471"/>
      <c r="M353" s="454"/>
      <c r="N353" s="424"/>
      <c r="O353" s="424"/>
      <c r="P353" s="430"/>
      <c r="Q353" s="444"/>
      <c r="R353" s="424"/>
      <c r="S353" s="430"/>
      <c r="T353" s="444"/>
      <c r="U353" s="430"/>
      <c r="V353" s="430"/>
      <c r="W353" s="444"/>
      <c r="X353" s="444"/>
      <c r="Y353" s="430"/>
      <c r="Z353" s="430"/>
      <c r="AA353" s="430"/>
      <c r="AB353" s="444"/>
      <c r="AC353" s="444"/>
      <c r="AD353" s="430"/>
      <c r="AE353" s="430"/>
      <c r="AF353" s="430"/>
      <c r="AG353" s="444"/>
      <c r="AH353" s="444"/>
      <c r="AI353" s="430"/>
      <c r="AJ353" s="430"/>
      <c r="AK353" s="430"/>
      <c r="AL353" s="476"/>
      <c r="AM353" s="430"/>
      <c r="AN353" s="430"/>
      <c r="AO353" s="430"/>
      <c r="AP353" s="430"/>
      <c r="AQ353" s="430"/>
      <c r="AR353" s="430"/>
      <c r="AS353" s="430"/>
      <c r="AT353" s="430"/>
      <c r="AU353" s="430"/>
      <c r="AV353" s="430"/>
      <c r="AW353" s="430"/>
      <c r="AX353" s="430"/>
    </row>
    <row r="354">
      <c r="B354" s="471"/>
      <c r="E354" s="471"/>
      <c r="H354" s="471"/>
      <c r="K354" s="471"/>
      <c r="M354" s="454"/>
      <c r="N354" s="424"/>
      <c r="O354" s="424"/>
      <c r="P354" s="430"/>
      <c r="Q354" s="444"/>
      <c r="R354" s="424"/>
      <c r="S354" s="430"/>
      <c r="T354" s="444"/>
      <c r="U354" s="430"/>
      <c r="V354" s="430"/>
      <c r="W354" s="444"/>
      <c r="X354" s="444"/>
      <c r="Y354" s="430"/>
      <c r="Z354" s="430"/>
      <c r="AA354" s="430"/>
      <c r="AB354" s="444"/>
      <c r="AC354" s="444"/>
      <c r="AD354" s="430"/>
      <c r="AE354" s="430"/>
      <c r="AF354" s="430"/>
      <c r="AG354" s="444"/>
      <c r="AH354" s="444"/>
      <c r="AI354" s="430"/>
      <c r="AJ354" s="430"/>
      <c r="AK354" s="430"/>
      <c r="AL354" s="476"/>
      <c r="AM354" s="430"/>
      <c r="AN354" s="430"/>
      <c r="AO354" s="430"/>
      <c r="AP354" s="430"/>
      <c r="AQ354" s="430"/>
      <c r="AR354" s="430"/>
      <c r="AS354" s="430"/>
      <c r="AT354" s="430"/>
      <c r="AU354" s="430"/>
      <c r="AV354" s="430"/>
      <c r="AW354" s="430"/>
      <c r="AX354" s="430"/>
    </row>
    <row r="355">
      <c r="B355" s="471"/>
      <c r="E355" s="471"/>
      <c r="H355" s="471"/>
      <c r="K355" s="471"/>
      <c r="M355" s="454"/>
      <c r="N355" s="424"/>
      <c r="O355" s="424"/>
      <c r="P355" s="430"/>
      <c r="Q355" s="444"/>
      <c r="R355" s="424"/>
      <c r="S355" s="430"/>
      <c r="T355" s="444"/>
      <c r="U355" s="430"/>
      <c r="V355" s="430"/>
      <c r="W355" s="444"/>
      <c r="X355" s="444"/>
      <c r="Y355" s="430"/>
      <c r="Z355" s="430"/>
      <c r="AA355" s="430"/>
      <c r="AB355" s="444"/>
      <c r="AC355" s="444"/>
      <c r="AD355" s="430"/>
      <c r="AE355" s="430"/>
      <c r="AF355" s="430"/>
      <c r="AG355" s="444"/>
      <c r="AH355" s="444"/>
      <c r="AI355" s="430"/>
      <c r="AJ355" s="430"/>
      <c r="AK355" s="430"/>
      <c r="AL355" s="476"/>
      <c r="AM355" s="430"/>
      <c r="AN355" s="430"/>
      <c r="AO355" s="430"/>
      <c r="AP355" s="430"/>
      <c r="AQ355" s="430"/>
      <c r="AR355" s="430"/>
      <c r="AS355" s="430"/>
      <c r="AT355" s="430"/>
      <c r="AU355" s="430"/>
      <c r="AV355" s="430"/>
      <c r="AW355" s="430"/>
      <c r="AX355" s="430"/>
    </row>
    <row r="356">
      <c r="B356" s="471"/>
      <c r="E356" s="471"/>
      <c r="H356" s="471"/>
      <c r="K356" s="471"/>
      <c r="M356" s="454"/>
      <c r="N356" s="424"/>
      <c r="O356" s="424"/>
      <c r="P356" s="430"/>
      <c r="Q356" s="444"/>
      <c r="R356" s="424"/>
      <c r="S356" s="430"/>
      <c r="T356" s="444"/>
      <c r="U356" s="430"/>
      <c r="V356" s="430"/>
      <c r="W356" s="444"/>
      <c r="X356" s="444"/>
      <c r="Y356" s="430"/>
      <c r="Z356" s="430"/>
      <c r="AA356" s="430"/>
      <c r="AB356" s="444"/>
      <c r="AC356" s="444"/>
      <c r="AD356" s="430"/>
      <c r="AE356" s="430"/>
      <c r="AF356" s="430"/>
      <c r="AG356" s="444"/>
      <c r="AH356" s="444"/>
      <c r="AI356" s="430"/>
      <c r="AJ356" s="430"/>
      <c r="AK356" s="430"/>
      <c r="AL356" s="476"/>
      <c r="AM356" s="430"/>
      <c r="AN356" s="430"/>
      <c r="AO356" s="430"/>
      <c r="AP356" s="430"/>
      <c r="AQ356" s="430"/>
      <c r="AR356" s="430"/>
      <c r="AS356" s="430"/>
      <c r="AT356" s="430"/>
      <c r="AU356" s="430"/>
      <c r="AV356" s="430"/>
      <c r="AW356" s="430"/>
      <c r="AX356" s="430"/>
    </row>
    <row r="357">
      <c r="B357" s="471"/>
      <c r="E357" s="471"/>
      <c r="H357" s="471"/>
      <c r="K357" s="471"/>
      <c r="M357" s="454"/>
      <c r="N357" s="424"/>
      <c r="O357" s="424"/>
      <c r="P357" s="430"/>
      <c r="Q357" s="444"/>
      <c r="R357" s="424"/>
      <c r="S357" s="430"/>
      <c r="T357" s="444"/>
      <c r="U357" s="430"/>
      <c r="V357" s="430"/>
      <c r="W357" s="444"/>
      <c r="X357" s="444"/>
      <c r="Y357" s="430"/>
      <c r="Z357" s="430"/>
      <c r="AA357" s="430"/>
      <c r="AB357" s="444"/>
      <c r="AC357" s="444"/>
      <c r="AD357" s="430"/>
      <c r="AE357" s="430"/>
      <c r="AF357" s="430"/>
      <c r="AG357" s="444"/>
      <c r="AH357" s="444"/>
      <c r="AI357" s="430"/>
      <c r="AJ357" s="430"/>
      <c r="AK357" s="430"/>
      <c r="AL357" s="476"/>
      <c r="AM357" s="430"/>
      <c r="AN357" s="430"/>
      <c r="AO357" s="430"/>
      <c r="AP357" s="430"/>
      <c r="AQ357" s="430"/>
      <c r="AR357" s="430"/>
      <c r="AS357" s="430"/>
      <c r="AT357" s="430"/>
      <c r="AU357" s="430"/>
      <c r="AV357" s="430"/>
      <c r="AW357" s="430"/>
      <c r="AX357" s="430"/>
    </row>
    <row r="358">
      <c r="B358" s="471"/>
      <c r="E358" s="471"/>
      <c r="H358" s="471"/>
      <c r="K358" s="471"/>
      <c r="M358" s="454"/>
      <c r="N358" s="424"/>
      <c r="O358" s="424"/>
      <c r="P358" s="430"/>
      <c r="Q358" s="444"/>
      <c r="R358" s="424"/>
      <c r="S358" s="430"/>
      <c r="T358" s="444"/>
      <c r="U358" s="430"/>
      <c r="V358" s="430"/>
      <c r="W358" s="444"/>
      <c r="X358" s="444"/>
      <c r="Y358" s="430"/>
      <c r="Z358" s="430"/>
      <c r="AA358" s="430"/>
      <c r="AB358" s="444"/>
      <c r="AC358" s="444"/>
      <c r="AD358" s="430"/>
      <c r="AE358" s="430"/>
      <c r="AF358" s="430"/>
      <c r="AG358" s="444"/>
      <c r="AH358" s="444"/>
      <c r="AI358" s="430"/>
      <c r="AJ358" s="430"/>
      <c r="AK358" s="430"/>
      <c r="AL358" s="476"/>
      <c r="AM358" s="430"/>
      <c r="AN358" s="430"/>
      <c r="AO358" s="430"/>
      <c r="AP358" s="430"/>
      <c r="AQ358" s="430"/>
      <c r="AR358" s="430"/>
      <c r="AS358" s="430"/>
      <c r="AT358" s="430"/>
      <c r="AU358" s="430"/>
      <c r="AV358" s="430"/>
      <c r="AW358" s="430"/>
      <c r="AX358" s="430"/>
    </row>
    <row r="359">
      <c r="B359" s="471"/>
      <c r="E359" s="471"/>
      <c r="H359" s="471"/>
      <c r="K359" s="471"/>
      <c r="M359" s="454"/>
      <c r="N359" s="424"/>
      <c r="O359" s="424"/>
      <c r="P359" s="430"/>
      <c r="Q359" s="444"/>
      <c r="R359" s="424"/>
      <c r="S359" s="430"/>
      <c r="T359" s="444"/>
      <c r="U359" s="430"/>
      <c r="V359" s="430"/>
      <c r="W359" s="444"/>
      <c r="X359" s="444"/>
      <c r="Y359" s="430"/>
      <c r="Z359" s="430"/>
      <c r="AA359" s="430"/>
      <c r="AB359" s="444"/>
      <c r="AC359" s="444"/>
      <c r="AD359" s="430"/>
      <c r="AE359" s="430"/>
      <c r="AF359" s="430"/>
      <c r="AG359" s="444"/>
      <c r="AH359" s="444"/>
      <c r="AI359" s="430"/>
      <c r="AJ359" s="430"/>
      <c r="AK359" s="430"/>
      <c r="AL359" s="476"/>
      <c r="AM359" s="430"/>
      <c r="AN359" s="430"/>
      <c r="AO359" s="430"/>
      <c r="AP359" s="430"/>
      <c r="AQ359" s="430"/>
      <c r="AR359" s="430"/>
      <c r="AS359" s="430"/>
      <c r="AT359" s="430"/>
      <c r="AU359" s="430"/>
      <c r="AV359" s="430"/>
      <c r="AW359" s="430"/>
      <c r="AX359" s="430"/>
    </row>
    <row r="360">
      <c r="B360" s="471"/>
      <c r="E360" s="471"/>
      <c r="H360" s="471"/>
      <c r="K360" s="471"/>
      <c r="M360" s="454"/>
      <c r="N360" s="424"/>
      <c r="O360" s="424"/>
      <c r="P360" s="430"/>
      <c r="Q360" s="444"/>
      <c r="R360" s="424"/>
      <c r="S360" s="430"/>
      <c r="T360" s="444"/>
      <c r="U360" s="430"/>
      <c r="V360" s="430"/>
      <c r="W360" s="444"/>
      <c r="X360" s="444"/>
      <c r="Y360" s="430"/>
      <c r="Z360" s="430"/>
      <c r="AA360" s="430"/>
      <c r="AB360" s="444"/>
      <c r="AC360" s="444"/>
      <c r="AD360" s="430"/>
      <c r="AE360" s="430"/>
      <c r="AF360" s="430"/>
      <c r="AG360" s="444"/>
      <c r="AH360" s="444"/>
      <c r="AI360" s="430"/>
      <c r="AJ360" s="430"/>
      <c r="AK360" s="430"/>
      <c r="AL360" s="476"/>
      <c r="AM360" s="430"/>
      <c r="AN360" s="430"/>
      <c r="AO360" s="430"/>
      <c r="AP360" s="430"/>
      <c r="AQ360" s="430"/>
      <c r="AR360" s="430"/>
      <c r="AS360" s="430"/>
      <c r="AT360" s="430"/>
      <c r="AU360" s="430"/>
      <c r="AV360" s="430"/>
      <c r="AW360" s="430"/>
      <c r="AX360" s="430"/>
    </row>
    <row r="361">
      <c r="B361" s="471"/>
      <c r="E361" s="471"/>
      <c r="H361" s="471"/>
      <c r="K361" s="471"/>
      <c r="M361" s="454"/>
      <c r="N361" s="424"/>
      <c r="O361" s="424"/>
      <c r="P361" s="430"/>
      <c r="Q361" s="444"/>
      <c r="R361" s="424"/>
      <c r="S361" s="430"/>
      <c r="T361" s="444"/>
      <c r="U361" s="430"/>
      <c r="V361" s="430"/>
      <c r="W361" s="444"/>
      <c r="X361" s="444"/>
      <c r="Y361" s="430"/>
      <c r="Z361" s="430"/>
      <c r="AA361" s="430"/>
      <c r="AB361" s="444"/>
      <c r="AC361" s="444"/>
      <c r="AD361" s="430"/>
      <c r="AE361" s="430"/>
      <c r="AF361" s="430"/>
      <c r="AG361" s="444"/>
      <c r="AH361" s="444"/>
      <c r="AI361" s="430"/>
      <c r="AJ361" s="430"/>
      <c r="AK361" s="430"/>
      <c r="AL361" s="476"/>
      <c r="AM361" s="430"/>
      <c r="AN361" s="430"/>
      <c r="AO361" s="430"/>
      <c r="AP361" s="430"/>
      <c r="AQ361" s="430"/>
      <c r="AR361" s="430"/>
      <c r="AS361" s="430"/>
      <c r="AT361" s="430"/>
      <c r="AU361" s="430"/>
      <c r="AV361" s="430"/>
      <c r="AW361" s="430"/>
      <c r="AX361" s="430"/>
    </row>
    <row r="362">
      <c r="B362" s="471"/>
      <c r="E362" s="471"/>
      <c r="H362" s="471"/>
      <c r="K362" s="471"/>
      <c r="M362" s="454"/>
      <c r="N362" s="424"/>
      <c r="O362" s="424"/>
      <c r="P362" s="430"/>
      <c r="Q362" s="444"/>
      <c r="R362" s="424"/>
      <c r="S362" s="430"/>
      <c r="T362" s="444"/>
      <c r="U362" s="430"/>
      <c r="V362" s="430"/>
      <c r="W362" s="444"/>
      <c r="X362" s="444"/>
      <c r="Y362" s="430"/>
      <c r="Z362" s="430"/>
      <c r="AA362" s="430"/>
      <c r="AB362" s="444"/>
      <c r="AC362" s="444"/>
      <c r="AD362" s="430"/>
      <c r="AE362" s="430"/>
      <c r="AF362" s="430"/>
      <c r="AG362" s="444"/>
      <c r="AH362" s="444"/>
      <c r="AI362" s="430"/>
      <c r="AJ362" s="430"/>
      <c r="AK362" s="430"/>
      <c r="AL362" s="476"/>
      <c r="AM362" s="430"/>
      <c r="AN362" s="430"/>
      <c r="AO362" s="430"/>
      <c r="AP362" s="430"/>
      <c r="AQ362" s="430"/>
      <c r="AR362" s="430"/>
      <c r="AS362" s="430"/>
      <c r="AT362" s="430"/>
      <c r="AU362" s="430"/>
      <c r="AV362" s="430"/>
      <c r="AW362" s="430"/>
      <c r="AX362" s="430"/>
    </row>
    <row r="363">
      <c r="B363" s="471"/>
      <c r="E363" s="471"/>
      <c r="H363" s="471"/>
      <c r="K363" s="471"/>
      <c r="M363" s="454"/>
      <c r="N363" s="424"/>
      <c r="O363" s="424"/>
      <c r="P363" s="430"/>
      <c r="Q363" s="444"/>
      <c r="R363" s="424"/>
      <c r="S363" s="430"/>
      <c r="T363" s="444"/>
      <c r="U363" s="430"/>
      <c r="V363" s="430"/>
      <c r="W363" s="444"/>
      <c r="X363" s="444"/>
      <c r="Y363" s="430"/>
      <c r="Z363" s="430"/>
      <c r="AA363" s="430"/>
      <c r="AB363" s="444"/>
      <c r="AC363" s="444"/>
      <c r="AD363" s="430"/>
      <c r="AE363" s="430"/>
      <c r="AF363" s="430"/>
      <c r="AG363" s="444"/>
      <c r="AH363" s="444"/>
      <c r="AI363" s="430"/>
      <c r="AJ363" s="430"/>
      <c r="AK363" s="430"/>
      <c r="AL363" s="476"/>
      <c r="AM363" s="430"/>
      <c r="AN363" s="430"/>
      <c r="AO363" s="430"/>
      <c r="AP363" s="430"/>
      <c r="AQ363" s="430"/>
      <c r="AR363" s="430"/>
      <c r="AS363" s="430"/>
      <c r="AT363" s="430"/>
      <c r="AU363" s="430"/>
      <c r="AV363" s="430"/>
      <c r="AW363" s="430"/>
      <c r="AX363" s="430"/>
    </row>
    <row r="364">
      <c r="B364" s="471"/>
      <c r="E364" s="471"/>
      <c r="H364" s="471"/>
      <c r="K364" s="471"/>
      <c r="M364" s="454"/>
      <c r="N364" s="424"/>
      <c r="O364" s="424"/>
      <c r="P364" s="430"/>
      <c r="Q364" s="444"/>
      <c r="R364" s="424"/>
      <c r="S364" s="430"/>
      <c r="T364" s="444"/>
      <c r="U364" s="430"/>
      <c r="V364" s="430"/>
      <c r="W364" s="444"/>
      <c r="X364" s="444"/>
      <c r="Y364" s="430"/>
      <c r="Z364" s="430"/>
      <c r="AA364" s="430"/>
      <c r="AB364" s="444"/>
      <c r="AC364" s="444"/>
      <c r="AD364" s="430"/>
      <c r="AE364" s="430"/>
      <c r="AF364" s="430"/>
      <c r="AG364" s="444"/>
      <c r="AH364" s="444"/>
      <c r="AI364" s="430"/>
      <c r="AJ364" s="430"/>
      <c r="AK364" s="430"/>
      <c r="AL364" s="476"/>
      <c r="AM364" s="430"/>
      <c r="AN364" s="430"/>
      <c r="AO364" s="430"/>
      <c r="AP364" s="430"/>
      <c r="AQ364" s="430"/>
      <c r="AR364" s="430"/>
      <c r="AS364" s="430"/>
      <c r="AT364" s="430"/>
      <c r="AU364" s="430"/>
      <c r="AV364" s="430"/>
      <c r="AW364" s="430"/>
      <c r="AX364" s="430"/>
    </row>
    <row r="365">
      <c r="B365" s="471"/>
      <c r="E365" s="471"/>
      <c r="H365" s="471"/>
      <c r="K365" s="471"/>
      <c r="M365" s="454"/>
      <c r="N365" s="424"/>
      <c r="O365" s="424"/>
      <c r="P365" s="430"/>
      <c r="Q365" s="444"/>
      <c r="R365" s="424"/>
      <c r="S365" s="430"/>
      <c r="T365" s="444"/>
      <c r="U365" s="430"/>
      <c r="V365" s="430"/>
      <c r="W365" s="444"/>
      <c r="X365" s="444"/>
      <c r="Y365" s="430"/>
      <c r="Z365" s="430"/>
      <c r="AA365" s="430"/>
      <c r="AB365" s="444"/>
      <c r="AC365" s="444"/>
      <c r="AD365" s="430"/>
      <c r="AE365" s="430"/>
      <c r="AF365" s="430"/>
      <c r="AG365" s="444"/>
      <c r="AH365" s="444"/>
      <c r="AI365" s="430"/>
      <c r="AJ365" s="430"/>
      <c r="AK365" s="430"/>
      <c r="AL365" s="476"/>
      <c r="AM365" s="430"/>
      <c r="AN365" s="430"/>
      <c r="AO365" s="430"/>
      <c r="AP365" s="430"/>
      <c r="AQ365" s="430"/>
      <c r="AR365" s="430"/>
      <c r="AS365" s="430"/>
      <c r="AT365" s="430"/>
      <c r="AU365" s="430"/>
      <c r="AV365" s="430"/>
      <c r="AW365" s="430"/>
      <c r="AX365" s="430"/>
    </row>
    <row r="366">
      <c r="B366" s="471"/>
      <c r="E366" s="471"/>
      <c r="H366" s="471"/>
      <c r="K366" s="471"/>
      <c r="M366" s="454"/>
      <c r="N366" s="424"/>
      <c r="O366" s="424"/>
      <c r="P366" s="430"/>
      <c r="Q366" s="444"/>
      <c r="R366" s="424"/>
      <c r="S366" s="430"/>
      <c r="T366" s="444"/>
      <c r="U366" s="430"/>
      <c r="V366" s="430"/>
      <c r="W366" s="444"/>
      <c r="X366" s="444"/>
      <c r="Y366" s="430"/>
      <c r="Z366" s="430"/>
      <c r="AA366" s="430"/>
      <c r="AB366" s="444"/>
      <c r="AC366" s="444"/>
      <c r="AD366" s="430"/>
      <c r="AE366" s="430"/>
      <c r="AF366" s="430"/>
      <c r="AG366" s="444"/>
      <c r="AH366" s="444"/>
      <c r="AI366" s="430"/>
      <c r="AJ366" s="430"/>
      <c r="AK366" s="430"/>
      <c r="AL366" s="476"/>
      <c r="AM366" s="430"/>
      <c r="AN366" s="430"/>
      <c r="AO366" s="430"/>
      <c r="AP366" s="430"/>
      <c r="AQ366" s="430"/>
      <c r="AR366" s="430"/>
      <c r="AS366" s="430"/>
      <c r="AT366" s="430"/>
      <c r="AU366" s="430"/>
      <c r="AV366" s="430"/>
      <c r="AW366" s="430"/>
      <c r="AX366" s="430"/>
    </row>
    <row r="367">
      <c r="B367" s="471"/>
      <c r="E367" s="471"/>
      <c r="H367" s="471"/>
      <c r="K367" s="471"/>
      <c r="M367" s="454"/>
      <c r="N367" s="424"/>
      <c r="O367" s="424"/>
      <c r="P367" s="430"/>
      <c r="Q367" s="444"/>
      <c r="R367" s="424"/>
      <c r="S367" s="430"/>
      <c r="T367" s="444"/>
      <c r="U367" s="430"/>
      <c r="V367" s="430"/>
      <c r="W367" s="444"/>
      <c r="X367" s="444"/>
      <c r="Y367" s="430"/>
      <c r="Z367" s="430"/>
      <c r="AA367" s="430"/>
      <c r="AB367" s="444"/>
      <c r="AC367" s="444"/>
      <c r="AD367" s="430"/>
      <c r="AE367" s="430"/>
      <c r="AF367" s="430"/>
      <c r="AG367" s="444"/>
      <c r="AH367" s="444"/>
      <c r="AI367" s="430"/>
      <c r="AJ367" s="430"/>
      <c r="AK367" s="430"/>
      <c r="AL367" s="476"/>
      <c r="AM367" s="430"/>
      <c r="AN367" s="430"/>
      <c r="AO367" s="430"/>
      <c r="AP367" s="430"/>
      <c r="AQ367" s="430"/>
      <c r="AR367" s="430"/>
      <c r="AS367" s="430"/>
      <c r="AT367" s="430"/>
      <c r="AU367" s="430"/>
      <c r="AV367" s="430"/>
      <c r="AW367" s="430"/>
      <c r="AX367" s="430"/>
    </row>
    <row r="368">
      <c r="B368" s="471"/>
      <c r="E368" s="471"/>
      <c r="H368" s="471"/>
      <c r="K368" s="471"/>
      <c r="M368" s="454"/>
      <c r="N368" s="424"/>
      <c r="O368" s="424"/>
      <c r="P368" s="430"/>
      <c r="Q368" s="444"/>
      <c r="R368" s="424"/>
      <c r="S368" s="430"/>
      <c r="T368" s="444"/>
      <c r="U368" s="430"/>
      <c r="V368" s="430"/>
      <c r="W368" s="444"/>
      <c r="X368" s="444"/>
      <c r="Y368" s="430"/>
      <c r="Z368" s="430"/>
      <c r="AA368" s="430"/>
      <c r="AB368" s="444"/>
      <c r="AC368" s="444"/>
      <c r="AD368" s="430"/>
      <c r="AE368" s="430"/>
      <c r="AF368" s="430"/>
      <c r="AG368" s="444"/>
      <c r="AH368" s="444"/>
      <c r="AI368" s="430"/>
      <c r="AJ368" s="430"/>
      <c r="AK368" s="430"/>
      <c r="AL368" s="476"/>
      <c r="AM368" s="430"/>
      <c r="AN368" s="430"/>
      <c r="AO368" s="430"/>
      <c r="AP368" s="430"/>
      <c r="AQ368" s="430"/>
      <c r="AR368" s="430"/>
      <c r="AS368" s="430"/>
      <c r="AT368" s="430"/>
      <c r="AU368" s="430"/>
      <c r="AV368" s="430"/>
      <c r="AW368" s="430"/>
      <c r="AX368" s="430"/>
    </row>
    <row r="369">
      <c r="B369" s="471"/>
      <c r="E369" s="471"/>
      <c r="H369" s="471"/>
      <c r="K369" s="471"/>
      <c r="M369" s="454"/>
      <c r="N369" s="424"/>
      <c r="O369" s="424"/>
      <c r="P369" s="430"/>
      <c r="Q369" s="444"/>
      <c r="R369" s="424"/>
      <c r="S369" s="430"/>
      <c r="T369" s="444"/>
      <c r="U369" s="430"/>
      <c r="V369" s="430"/>
      <c r="W369" s="444"/>
      <c r="X369" s="444"/>
      <c r="Y369" s="430"/>
      <c r="Z369" s="430"/>
      <c r="AA369" s="430"/>
      <c r="AB369" s="444"/>
      <c r="AC369" s="444"/>
      <c r="AD369" s="430"/>
      <c r="AE369" s="430"/>
      <c r="AF369" s="430"/>
      <c r="AG369" s="444"/>
      <c r="AH369" s="444"/>
      <c r="AI369" s="430"/>
      <c r="AJ369" s="430"/>
      <c r="AK369" s="430"/>
      <c r="AL369" s="476"/>
      <c r="AM369" s="430"/>
      <c r="AN369" s="430"/>
      <c r="AO369" s="430"/>
      <c r="AP369" s="430"/>
      <c r="AQ369" s="430"/>
      <c r="AR369" s="430"/>
      <c r="AS369" s="430"/>
      <c r="AT369" s="430"/>
      <c r="AU369" s="430"/>
      <c r="AV369" s="430"/>
      <c r="AW369" s="430"/>
      <c r="AX369" s="430"/>
    </row>
    <row r="370">
      <c r="B370" s="471"/>
      <c r="E370" s="471"/>
      <c r="H370" s="471"/>
      <c r="K370" s="471"/>
      <c r="M370" s="454"/>
      <c r="N370" s="424"/>
      <c r="O370" s="424"/>
      <c r="P370" s="430"/>
      <c r="Q370" s="444"/>
      <c r="R370" s="424"/>
      <c r="S370" s="430"/>
      <c r="T370" s="444"/>
      <c r="U370" s="430"/>
      <c r="V370" s="430"/>
      <c r="W370" s="444"/>
      <c r="X370" s="444"/>
      <c r="Y370" s="430"/>
      <c r="Z370" s="430"/>
      <c r="AA370" s="430"/>
      <c r="AB370" s="444"/>
      <c r="AC370" s="444"/>
      <c r="AD370" s="430"/>
      <c r="AE370" s="430"/>
      <c r="AF370" s="430"/>
      <c r="AG370" s="444"/>
      <c r="AH370" s="444"/>
      <c r="AI370" s="430"/>
      <c r="AJ370" s="430"/>
      <c r="AK370" s="430"/>
      <c r="AL370" s="476"/>
      <c r="AM370" s="430"/>
      <c r="AN370" s="430"/>
      <c r="AO370" s="430"/>
      <c r="AP370" s="430"/>
      <c r="AQ370" s="430"/>
      <c r="AR370" s="430"/>
      <c r="AS370" s="430"/>
      <c r="AT370" s="430"/>
      <c r="AU370" s="430"/>
      <c r="AV370" s="430"/>
      <c r="AW370" s="430"/>
      <c r="AX370" s="430"/>
    </row>
    <row r="371">
      <c r="B371" s="471"/>
      <c r="E371" s="471"/>
      <c r="H371" s="471"/>
      <c r="K371" s="471"/>
      <c r="M371" s="454"/>
      <c r="N371" s="424"/>
      <c r="O371" s="424"/>
      <c r="P371" s="430"/>
      <c r="Q371" s="444"/>
      <c r="R371" s="424"/>
      <c r="S371" s="430"/>
      <c r="T371" s="444"/>
      <c r="U371" s="430"/>
      <c r="V371" s="430"/>
      <c r="W371" s="444"/>
      <c r="X371" s="444"/>
      <c r="Y371" s="430"/>
      <c r="Z371" s="430"/>
      <c r="AA371" s="430"/>
      <c r="AB371" s="444"/>
      <c r="AC371" s="444"/>
      <c r="AD371" s="430"/>
      <c r="AE371" s="430"/>
      <c r="AF371" s="430"/>
      <c r="AG371" s="444"/>
      <c r="AH371" s="444"/>
      <c r="AI371" s="430"/>
      <c r="AJ371" s="430"/>
      <c r="AK371" s="430"/>
      <c r="AL371" s="476"/>
      <c r="AM371" s="430"/>
      <c r="AN371" s="430"/>
      <c r="AO371" s="430"/>
      <c r="AP371" s="430"/>
      <c r="AQ371" s="430"/>
      <c r="AR371" s="430"/>
      <c r="AS371" s="430"/>
      <c r="AT371" s="430"/>
      <c r="AU371" s="430"/>
      <c r="AV371" s="430"/>
      <c r="AW371" s="430"/>
      <c r="AX371" s="430"/>
    </row>
    <row r="372">
      <c r="B372" s="471"/>
      <c r="E372" s="471"/>
      <c r="H372" s="471"/>
      <c r="K372" s="471"/>
      <c r="M372" s="454"/>
      <c r="N372" s="424"/>
      <c r="O372" s="424"/>
      <c r="P372" s="430"/>
      <c r="Q372" s="444"/>
      <c r="R372" s="424"/>
      <c r="S372" s="430"/>
      <c r="T372" s="444"/>
      <c r="U372" s="430"/>
      <c r="V372" s="430"/>
      <c r="W372" s="444"/>
      <c r="X372" s="444"/>
      <c r="Y372" s="430"/>
      <c r="Z372" s="430"/>
      <c r="AA372" s="430"/>
      <c r="AB372" s="444"/>
      <c r="AC372" s="444"/>
      <c r="AD372" s="430"/>
      <c r="AE372" s="430"/>
      <c r="AF372" s="430"/>
      <c r="AG372" s="444"/>
      <c r="AH372" s="444"/>
      <c r="AI372" s="430"/>
      <c r="AJ372" s="430"/>
      <c r="AK372" s="430"/>
      <c r="AL372" s="476"/>
      <c r="AM372" s="430"/>
      <c r="AN372" s="430"/>
      <c r="AO372" s="430"/>
      <c r="AP372" s="430"/>
      <c r="AQ372" s="430"/>
      <c r="AR372" s="430"/>
      <c r="AS372" s="430"/>
      <c r="AT372" s="430"/>
      <c r="AU372" s="430"/>
      <c r="AV372" s="430"/>
      <c r="AW372" s="430"/>
      <c r="AX372" s="430"/>
    </row>
    <row r="373">
      <c r="B373" s="471"/>
      <c r="E373" s="471"/>
      <c r="H373" s="471"/>
      <c r="K373" s="471"/>
      <c r="M373" s="454"/>
      <c r="N373" s="424"/>
      <c r="O373" s="424"/>
      <c r="P373" s="430"/>
      <c r="Q373" s="444"/>
      <c r="R373" s="424"/>
      <c r="S373" s="430"/>
      <c r="T373" s="444"/>
      <c r="U373" s="430"/>
      <c r="V373" s="430"/>
      <c r="W373" s="444"/>
      <c r="X373" s="444"/>
      <c r="Y373" s="430"/>
      <c r="Z373" s="430"/>
      <c r="AA373" s="430"/>
      <c r="AB373" s="444"/>
      <c r="AC373" s="444"/>
      <c r="AD373" s="430"/>
      <c r="AE373" s="430"/>
      <c r="AF373" s="430"/>
      <c r="AG373" s="444"/>
      <c r="AH373" s="444"/>
      <c r="AI373" s="430"/>
      <c r="AJ373" s="430"/>
      <c r="AK373" s="430"/>
      <c r="AL373" s="476"/>
      <c r="AM373" s="430"/>
      <c r="AN373" s="430"/>
      <c r="AO373" s="430"/>
      <c r="AP373" s="430"/>
      <c r="AQ373" s="430"/>
      <c r="AR373" s="430"/>
      <c r="AS373" s="430"/>
      <c r="AT373" s="430"/>
      <c r="AU373" s="430"/>
      <c r="AV373" s="430"/>
      <c r="AW373" s="430"/>
      <c r="AX373" s="430"/>
    </row>
    <row r="374">
      <c r="B374" s="471"/>
      <c r="E374" s="471"/>
      <c r="H374" s="471"/>
      <c r="K374" s="471"/>
      <c r="M374" s="454"/>
      <c r="N374" s="424"/>
      <c r="O374" s="424"/>
      <c r="P374" s="430"/>
      <c r="Q374" s="444"/>
      <c r="R374" s="424"/>
      <c r="S374" s="430"/>
      <c r="T374" s="444"/>
      <c r="U374" s="430"/>
      <c r="V374" s="430"/>
      <c r="W374" s="444"/>
      <c r="X374" s="444"/>
      <c r="Y374" s="430"/>
      <c r="Z374" s="430"/>
      <c r="AA374" s="430"/>
      <c r="AB374" s="444"/>
      <c r="AC374" s="444"/>
      <c r="AD374" s="430"/>
      <c r="AE374" s="430"/>
      <c r="AF374" s="430"/>
      <c r="AG374" s="444"/>
      <c r="AH374" s="444"/>
      <c r="AI374" s="430"/>
      <c r="AJ374" s="430"/>
      <c r="AK374" s="430"/>
      <c r="AL374" s="476"/>
      <c r="AM374" s="430"/>
      <c r="AN374" s="430"/>
      <c r="AO374" s="430"/>
      <c r="AP374" s="430"/>
      <c r="AQ374" s="430"/>
      <c r="AR374" s="430"/>
      <c r="AS374" s="430"/>
      <c r="AT374" s="430"/>
      <c r="AU374" s="430"/>
      <c r="AV374" s="430"/>
      <c r="AW374" s="430"/>
      <c r="AX374" s="430"/>
    </row>
    <row r="375">
      <c r="B375" s="471"/>
      <c r="E375" s="471"/>
      <c r="H375" s="471"/>
      <c r="K375" s="471"/>
      <c r="M375" s="454"/>
      <c r="N375" s="424"/>
      <c r="O375" s="424"/>
      <c r="P375" s="430"/>
      <c r="Q375" s="444"/>
      <c r="R375" s="424"/>
      <c r="S375" s="430"/>
      <c r="T375" s="444"/>
      <c r="U375" s="430"/>
      <c r="V375" s="430"/>
      <c r="W375" s="444"/>
      <c r="X375" s="444"/>
      <c r="Y375" s="430"/>
      <c r="Z375" s="430"/>
      <c r="AA375" s="430"/>
      <c r="AB375" s="444"/>
      <c r="AC375" s="444"/>
      <c r="AD375" s="430"/>
      <c r="AE375" s="430"/>
      <c r="AF375" s="430"/>
      <c r="AG375" s="444"/>
      <c r="AH375" s="444"/>
      <c r="AI375" s="430"/>
      <c r="AJ375" s="430"/>
      <c r="AK375" s="430"/>
      <c r="AL375" s="476"/>
      <c r="AM375" s="430"/>
      <c r="AN375" s="430"/>
      <c r="AO375" s="430"/>
      <c r="AP375" s="430"/>
      <c r="AQ375" s="430"/>
      <c r="AR375" s="430"/>
      <c r="AS375" s="430"/>
      <c r="AT375" s="430"/>
      <c r="AU375" s="430"/>
      <c r="AV375" s="430"/>
      <c r="AW375" s="430"/>
      <c r="AX375" s="430"/>
    </row>
    <row r="376">
      <c r="B376" s="471"/>
      <c r="E376" s="471"/>
      <c r="H376" s="471"/>
      <c r="K376" s="471"/>
      <c r="M376" s="454"/>
      <c r="N376" s="424"/>
      <c r="O376" s="424"/>
      <c r="P376" s="430"/>
      <c r="Q376" s="444"/>
      <c r="R376" s="424"/>
      <c r="S376" s="430"/>
      <c r="T376" s="444"/>
      <c r="U376" s="430"/>
      <c r="V376" s="430"/>
      <c r="W376" s="444"/>
      <c r="X376" s="444"/>
      <c r="Y376" s="430"/>
      <c r="Z376" s="430"/>
      <c r="AA376" s="430"/>
      <c r="AB376" s="444"/>
      <c r="AC376" s="444"/>
      <c r="AD376" s="430"/>
      <c r="AE376" s="430"/>
      <c r="AF376" s="430"/>
      <c r="AG376" s="444"/>
      <c r="AH376" s="444"/>
      <c r="AI376" s="430"/>
      <c r="AJ376" s="430"/>
      <c r="AK376" s="430"/>
      <c r="AL376" s="476"/>
      <c r="AM376" s="430"/>
      <c r="AN376" s="430"/>
      <c r="AO376" s="430"/>
      <c r="AP376" s="430"/>
      <c r="AQ376" s="430"/>
      <c r="AR376" s="430"/>
      <c r="AS376" s="430"/>
      <c r="AT376" s="430"/>
      <c r="AU376" s="430"/>
      <c r="AV376" s="430"/>
      <c r="AW376" s="430"/>
      <c r="AX376" s="430"/>
    </row>
    <row r="377">
      <c r="B377" s="471"/>
      <c r="E377" s="471"/>
      <c r="H377" s="471"/>
      <c r="K377" s="471"/>
      <c r="M377" s="454"/>
      <c r="N377" s="424"/>
      <c r="O377" s="424"/>
      <c r="P377" s="430"/>
      <c r="Q377" s="444"/>
      <c r="R377" s="424"/>
      <c r="S377" s="430"/>
      <c r="T377" s="444"/>
      <c r="U377" s="430"/>
      <c r="V377" s="430"/>
      <c r="W377" s="444"/>
      <c r="X377" s="444"/>
      <c r="Y377" s="430"/>
      <c r="Z377" s="430"/>
      <c r="AA377" s="430"/>
      <c r="AB377" s="444"/>
      <c r="AC377" s="444"/>
      <c r="AD377" s="430"/>
      <c r="AE377" s="430"/>
      <c r="AF377" s="430"/>
      <c r="AG377" s="444"/>
      <c r="AH377" s="444"/>
      <c r="AI377" s="430"/>
      <c r="AJ377" s="430"/>
      <c r="AK377" s="430"/>
      <c r="AL377" s="476"/>
      <c r="AM377" s="430"/>
      <c r="AN377" s="430"/>
      <c r="AO377" s="430"/>
      <c r="AP377" s="430"/>
      <c r="AQ377" s="430"/>
      <c r="AR377" s="430"/>
      <c r="AS377" s="430"/>
      <c r="AT377" s="430"/>
      <c r="AU377" s="430"/>
      <c r="AV377" s="430"/>
      <c r="AW377" s="430"/>
      <c r="AX377" s="430"/>
    </row>
    <row r="378">
      <c r="B378" s="471"/>
      <c r="E378" s="471"/>
      <c r="H378" s="471"/>
      <c r="K378" s="471"/>
      <c r="M378" s="454"/>
      <c r="N378" s="424"/>
      <c r="O378" s="424"/>
      <c r="P378" s="430"/>
      <c r="Q378" s="444"/>
      <c r="R378" s="424"/>
      <c r="S378" s="430"/>
      <c r="T378" s="444"/>
      <c r="U378" s="430"/>
      <c r="V378" s="430"/>
      <c r="W378" s="444"/>
      <c r="X378" s="444"/>
      <c r="Y378" s="430"/>
      <c r="Z378" s="430"/>
      <c r="AA378" s="430"/>
      <c r="AB378" s="444"/>
      <c r="AC378" s="444"/>
      <c r="AD378" s="430"/>
      <c r="AE378" s="430"/>
      <c r="AF378" s="430"/>
      <c r="AG378" s="444"/>
      <c r="AH378" s="444"/>
      <c r="AI378" s="430"/>
      <c r="AJ378" s="430"/>
      <c r="AK378" s="430"/>
      <c r="AL378" s="476"/>
      <c r="AM378" s="430"/>
      <c r="AN378" s="430"/>
      <c r="AO378" s="430"/>
      <c r="AP378" s="430"/>
      <c r="AQ378" s="430"/>
      <c r="AR378" s="430"/>
      <c r="AS378" s="430"/>
      <c r="AT378" s="430"/>
      <c r="AU378" s="430"/>
      <c r="AV378" s="430"/>
      <c r="AW378" s="430"/>
      <c r="AX378" s="430"/>
    </row>
    <row r="379">
      <c r="B379" s="471"/>
      <c r="E379" s="471"/>
      <c r="H379" s="471"/>
      <c r="K379" s="471"/>
      <c r="M379" s="454"/>
      <c r="N379" s="424"/>
      <c r="O379" s="424"/>
      <c r="P379" s="430"/>
      <c r="Q379" s="444"/>
      <c r="R379" s="424"/>
      <c r="S379" s="430"/>
      <c r="T379" s="444"/>
      <c r="U379" s="430"/>
      <c r="V379" s="430"/>
      <c r="W379" s="444"/>
      <c r="X379" s="444"/>
      <c r="Y379" s="430"/>
      <c r="Z379" s="430"/>
      <c r="AA379" s="430"/>
      <c r="AB379" s="444"/>
      <c r="AC379" s="444"/>
      <c r="AD379" s="430"/>
      <c r="AE379" s="430"/>
      <c r="AF379" s="430"/>
      <c r="AG379" s="444"/>
      <c r="AH379" s="444"/>
      <c r="AI379" s="430"/>
      <c r="AJ379" s="430"/>
      <c r="AK379" s="430"/>
      <c r="AL379" s="476"/>
      <c r="AM379" s="430"/>
      <c r="AN379" s="430"/>
      <c r="AO379" s="430"/>
      <c r="AP379" s="430"/>
      <c r="AQ379" s="430"/>
      <c r="AR379" s="430"/>
      <c r="AS379" s="430"/>
      <c r="AT379" s="430"/>
      <c r="AU379" s="430"/>
      <c r="AV379" s="430"/>
      <c r="AW379" s="430"/>
      <c r="AX379" s="430"/>
    </row>
    <row r="380">
      <c r="B380" s="471"/>
      <c r="E380" s="471"/>
      <c r="H380" s="471"/>
      <c r="K380" s="471"/>
      <c r="M380" s="454"/>
      <c r="N380" s="424"/>
      <c r="O380" s="424"/>
      <c r="P380" s="430"/>
      <c r="Q380" s="444"/>
      <c r="R380" s="424"/>
      <c r="S380" s="430"/>
      <c r="T380" s="444"/>
      <c r="U380" s="430"/>
      <c r="V380" s="430"/>
      <c r="W380" s="444"/>
      <c r="X380" s="444"/>
      <c r="Y380" s="430"/>
      <c r="Z380" s="430"/>
      <c r="AA380" s="430"/>
      <c r="AB380" s="444"/>
      <c r="AC380" s="444"/>
      <c r="AD380" s="430"/>
      <c r="AE380" s="430"/>
      <c r="AF380" s="430"/>
      <c r="AG380" s="444"/>
      <c r="AH380" s="444"/>
      <c r="AI380" s="430"/>
      <c r="AJ380" s="430"/>
      <c r="AK380" s="430"/>
      <c r="AL380" s="476"/>
      <c r="AM380" s="430"/>
      <c r="AN380" s="430"/>
      <c r="AO380" s="430"/>
      <c r="AP380" s="430"/>
      <c r="AQ380" s="430"/>
      <c r="AR380" s="430"/>
      <c r="AS380" s="430"/>
      <c r="AT380" s="430"/>
      <c r="AU380" s="430"/>
      <c r="AV380" s="430"/>
      <c r="AW380" s="430"/>
      <c r="AX380" s="430"/>
    </row>
    <row r="381">
      <c r="B381" s="471"/>
      <c r="E381" s="471"/>
      <c r="H381" s="471"/>
      <c r="K381" s="471"/>
      <c r="M381" s="454"/>
      <c r="N381" s="424"/>
      <c r="O381" s="424"/>
      <c r="P381" s="430"/>
      <c r="Q381" s="444"/>
      <c r="R381" s="424"/>
      <c r="S381" s="430"/>
      <c r="T381" s="444"/>
      <c r="U381" s="430"/>
      <c r="V381" s="430"/>
      <c r="W381" s="444"/>
      <c r="X381" s="444"/>
      <c r="Y381" s="430"/>
      <c r="Z381" s="430"/>
      <c r="AA381" s="430"/>
      <c r="AB381" s="444"/>
      <c r="AC381" s="444"/>
      <c r="AD381" s="430"/>
      <c r="AE381" s="430"/>
      <c r="AF381" s="430"/>
      <c r="AG381" s="444"/>
      <c r="AH381" s="444"/>
      <c r="AI381" s="430"/>
      <c r="AJ381" s="430"/>
      <c r="AK381" s="430"/>
      <c r="AL381" s="476"/>
      <c r="AM381" s="430"/>
      <c r="AN381" s="430"/>
      <c r="AO381" s="430"/>
      <c r="AP381" s="430"/>
      <c r="AQ381" s="430"/>
      <c r="AR381" s="430"/>
      <c r="AS381" s="430"/>
      <c r="AT381" s="430"/>
      <c r="AU381" s="430"/>
      <c r="AV381" s="430"/>
      <c r="AW381" s="430"/>
      <c r="AX381" s="430"/>
    </row>
    <row r="382">
      <c r="B382" s="471"/>
      <c r="E382" s="471"/>
      <c r="H382" s="471"/>
      <c r="K382" s="471"/>
      <c r="M382" s="454"/>
      <c r="N382" s="424"/>
      <c r="O382" s="424"/>
      <c r="P382" s="430"/>
      <c r="Q382" s="444"/>
      <c r="R382" s="424"/>
      <c r="S382" s="430"/>
      <c r="T382" s="444"/>
      <c r="U382" s="430"/>
      <c r="V382" s="430"/>
      <c r="W382" s="444"/>
      <c r="X382" s="444"/>
      <c r="Y382" s="430"/>
      <c r="Z382" s="430"/>
      <c r="AA382" s="430"/>
      <c r="AB382" s="444"/>
      <c r="AC382" s="444"/>
      <c r="AD382" s="430"/>
      <c r="AE382" s="430"/>
      <c r="AF382" s="430"/>
      <c r="AG382" s="444"/>
      <c r="AH382" s="444"/>
      <c r="AI382" s="430"/>
      <c r="AJ382" s="430"/>
      <c r="AK382" s="430"/>
      <c r="AL382" s="476"/>
      <c r="AM382" s="430"/>
      <c r="AN382" s="430"/>
      <c r="AO382" s="430"/>
      <c r="AP382" s="430"/>
      <c r="AQ382" s="430"/>
      <c r="AR382" s="430"/>
      <c r="AS382" s="430"/>
      <c r="AT382" s="430"/>
      <c r="AU382" s="430"/>
      <c r="AV382" s="430"/>
      <c r="AW382" s="430"/>
      <c r="AX382" s="430"/>
    </row>
    <row r="383">
      <c r="B383" s="471"/>
      <c r="E383" s="471"/>
      <c r="H383" s="471"/>
      <c r="K383" s="471"/>
      <c r="M383" s="454"/>
      <c r="N383" s="424"/>
      <c r="O383" s="424"/>
      <c r="P383" s="430"/>
      <c r="Q383" s="444"/>
      <c r="R383" s="424"/>
      <c r="S383" s="430"/>
      <c r="T383" s="444"/>
      <c r="U383" s="430"/>
      <c r="V383" s="430"/>
      <c r="W383" s="444"/>
      <c r="X383" s="444"/>
      <c r="Y383" s="430"/>
      <c r="Z383" s="430"/>
      <c r="AA383" s="430"/>
      <c r="AB383" s="444"/>
      <c r="AC383" s="444"/>
      <c r="AD383" s="430"/>
      <c r="AE383" s="430"/>
      <c r="AF383" s="430"/>
      <c r="AG383" s="444"/>
      <c r="AH383" s="444"/>
      <c r="AI383" s="430"/>
      <c r="AJ383" s="430"/>
      <c r="AK383" s="430"/>
      <c r="AL383" s="476"/>
      <c r="AM383" s="430"/>
      <c r="AN383" s="430"/>
      <c r="AO383" s="430"/>
      <c r="AP383" s="430"/>
      <c r="AQ383" s="430"/>
      <c r="AR383" s="430"/>
      <c r="AS383" s="430"/>
      <c r="AT383" s="430"/>
      <c r="AU383" s="430"/>
      <c r="AV383" s="430"/>
      <c r="AW383" s="430"/>
      <c r="AX383" s="430"/>
    </row>
    <row r="384">
      <c r="B384" s="471"/>
      <c r="E384" s="471"/>
      <c r="H384" s="471"/>
      <c r="K384" s="471"/>
      <c r="M384" s="454"/>
      <c r="N384" s="424"/>
      <c r="O384" s="424"/>
      <c r="P384" s="430"/>
      <c r="Q384" s="444"/>
      <c r="R384" s="424"/>
      <c r="S384" s="430"/>
      <c r="T384" s="444"/>
      <c r="U384" s="430"/>
      <c r="V384" s="430"/>
      <c r="W384" s="444"/>
      <c r="X384" s="444"/>
      <c r="Y384" s="430"/>
      <c r="Z384" s="430"/>
      <c r="AA384" s="430"/>
      <c r="AB384" s="444"/>
      <c r="AC384" s="444"/>
      <c r="AD384" s="430"/>
      <c r="AE384" s="430"/>
      <c r="AF384" s="430"/>
      <c r="AG384" s="444"/>
      <c r="AH384" s="444"/>
      <c r="AI384" s="430"/>
      <c r="AJ384" s="430"/>
      <c r="AK384" s="430"/>
      <c r="AL384" s="476"/>
      <c r="AM384" s="430"/>
      <c r="AN384" s="430"/>
      <c r="AO384" s="430"/>
      <c r="AP384" s="430"/>
      <c r="AQ384" s="430"/>
      <c r="AR384" s="430"/>
      <c r="AS384" s="430"/>
      <c r="AT384" s="430"/>
      <c r="AU384" s="430"/>
      <c r="AV384" s="430"/>
      <c r="AW384" s="430"/>
      <c r="AX384" s="430"/>
    </row>
    <row r="385">
      <c r="B385" s="471"/>
      <c r="E385" s="471"/>
      <c r="H385" s="471"/>
      <c r="K385" s="471"/>
      <c r="M385" s="454"/>
      <c r="N385" s="424"/>
      <c r="O385" s="424"/>
      <c r="P385" s="430"/>
      <c r="Q385" s="444"/>
      <c r="R385" s="424"/>
      <c r="S385" s="430"/>
      <c r="T385" s="444"/>
      <c r="U385" s="430"/>
      <c r="V385" s="430"/>
      <c r="W385" s="444"/>
      <c r="X385" s="444"/>
      <c r="Y385" s="430"/>
      <c r="Z385" s="430"/>
      <c r="AA385" s="430"/>
      <c r="AB385" s="444"/>
      <c r="AC385" s="444"/>
      <c r="AD385" s="430"/>
      <c r="AE385" s="430"/>
      <c r="AF385" s="430"/>
      <c r="AG385" s="444"/>
      <c r="AH385" s="444"/>
      <c r="AI385" s="430"/>
      <c r="AJ385" s="430"/>
      <c r="AK385" s="430"/>
      <c r="AL385" s="476"/>
      <c r="AM385" s="430"/>
      <c r="AN385" s="430"/>
      <c r="AO385" s="430"/>
      <c r="AP385" s="430"/>
      <c r="AQ385" s="430"/>
      <c r="AR385" s="430"/>
      <c r="AS385" s="430"/>
      <c r="AT385" s="430"/>
      <c r="AU385" s="430"/>
      <c r="AV385" s="430"/>
      <c r="AW385" s="430"/>
      <c r="AX385" s="430"/>
    </row>
    <row r="386">
      <c r="B386" s="471"/>
      <c r="E386" s="471"/>
      <c r="H386" s="471"/>
      <c r="K386" s="471"/>
      <c r="M386" s="454"/>
      <c r="N386" s="424"/>
      <c r="O386" s="424"/>
      <c r="P386" s="430"/>
      <c r="Q386" s="444"/>
      <c r="R386" s="424"/>
      <c r="S386" s="430"/>
      <c r="T386" s="444"/>
      <c r="U386" s="430"/>
      <c r="V386" s="430"/>
      <c r="W386" s="444"/>
      <c r="X386" s="444"/>
      <c r="Y386" s="430"/>
      <c r="Z386" s="430"/>
      <c r="AA386" s="430"/>
      <c r="AB386" s="444"/>
      <c r="AC386" s="444"/>
      <c r="AD386" s="430"/>
      <c r="AE386" s="430"/>
      <c r="AF386" s="430"/>
      <c r="AG386" s="444"/>
      <c r="AH386" s="444"/>
      <c r="AI386" s="430"/>
      <c r="AJ386" s="430"/>
      <c r="AK386" s="430"/>
      <c r="AL386" s="476"/>
      <c r="AM386" s="430"/>
      <c r="AN386" s="430"/>
      <c r="AO386" s="430"/>
      <c r="AP386" s="430"/>
      <c r="AQ386" s="430"/>
      <c r="AR386" s="430"/>
      <c r="AS386" s="430"/>
      <c r="AT386" s="430"/>
      <c r="AU386" s="430"/>
      <c r="AV386" s="430"/>
      <c r="AW386" s="430"/>
      <c r="AX386" s="430"/>
    </row>
    <row r="387">
      <c r="B387" s="471"/>
      <c r="E387" s="471"/>
      <c r="H387" s="471"/>
      <c r="K387" s="471"/>
      <c r="M387" s="454"/>
      <c r="N387" s="424"/>
      <c r="O387" s="424"/>
      <c r="P387" s="430"/>
      <c r="Q387" s="444"/>
      <c r="R387" s="424"/>
      <c r="S387" s="430"/>
      <c r="T387" s="444"/>
      <c r="U387" s="430"/>
      <c r="V387" s="430"/>
      <c r="W387" s="444"/>
      <c r="X387" s="444"/>
      <c r="Y387" s="430"/>
      <c r="Z387" s="430"/>
      <c r="AA387" s="430"/>
      <c r="AB387" s="444"/>
      <c r="AC387" s="444"/>
      <c r="AD387" s="430"/>
      <c r="AE387" s="430"/>
      <c r="AF387" s="430"/>
      <c r="AG387" s="444"/>
      <c r="AH387" s="444"/>
      <c r="AI387" s="430"/>
      <c r="AJ387" s="430"/>
      <c r="AK387" s="430"/>
      <c r="AL387" s="476"/>
      <c r="AM387" s="430"/>
      <c r="AN387" s="430"/>
      <c r="AO387" s="430"/>
      <c r="AP387" s="430"/>
      <c r="AQ387" s="430"/>
      <c r="AR387" s="430"/>
      <c r="AS387" s="430"/>
      <c r="AT387" s="430"/>
      <c r="AU387" s="430"/>
      <c r="AV387" s="430"/>
      <c r="AW387" s="430"/>
      <c r="AX387" s="430"/>
    </row>
    <row r="388">
      <c r="B388" s="471"/>
      <c r="E388" s="471"/>
      <c r="H388" s="471"/>
      <c r="K388" s="471"/>
      <c r="M388" s="454"/>
      <c r="N388" s="424"/>
      <c r="O388" s="424"/>
      <c r="P388" s="430"/>
      <c r="Q388" s="444"/>
      <c r="R388" s="424"/>
      <c r="S388" s="430"/>
      <c r="T388" s="444"/>
      <c r="U388" s="430"/>
      <c r="V388" s="430"/>
      <c r="W388" s="444"/>
      <c r="X388" s="444"/>
      <c r="Y388" s="430"/>
      <c r="Z388" s="430"/>
      <c r="AA388" s="430"/>
      <c r="AB388" s="444"/>
      <c r="AC388" s="444"/>
      <c r="AD388" s="430"/>
      <c r="AE388" s="430"/>
      <c r="AF388" s="430"/>
      <c r="AG388" s="444"/>
      <c r="AH388" s="444"/>
      <c r="AI388" s="430"/>
      <c r="AJ388" s="430"/>
      <c r="AK388" s="430"/>
      <c r="AL388" s="476"/>
      <c r="AM388" s="430"/>
      <c r="AN388" s="430"/>
      <c r="AO388" s="430"/>
      <c r="AP388" s="430"/>
      <c r="AQ388" s="430"/>
      <c r="AR388" s="430"/>
      <c r="AS388" s="430"/>
      <c r="AT388" s="430"/>
      <c r="AU388" s="430"/>
      <c r="AV388" s="430"/>
      <c r="AW388" s="430"/>
      <c r="AX388" s="430"/>
    </row>
    <row r="389">
      <c r="B389" s="471"/>
      <c r="E389" s="471"/>
      <c r="H389" s="471"/>
      <c r="K389" s="471"/>
      <c r="M389" s="454"/>
      <c r="N389" s="424"/>
      <c r="O389" s="424"/>
      <c r="P389" s="430"/>
      <c r="Q389" s="444"/>
      <c r="R389" s="424"/>
      <c r="S389" s="430"/>
      <c r="T389" s="444"/>
      <c r="U389" s="430"/>
      <c r="V389" s="430"/>
      <c r="W389" s="444"/>
      <c r="X389" s="444"/>
      <c r="Y389" s="430"/>
      <c r="Z389" s="430"/>
      <c r="AA389" s="430"/>
      <c r="AB389" s="444"/>
      <c r="AC389" s="444"/>
      <c r="AD389" s="430"/>
      <c r="AE389" s="430"/>
      <c r="AF389" s="430"/>
      <c r="AG389" s="444"/>
      <c r="AH389" s="444"/>
      <c r="AI389" s="430"/>
      <c r="AJ389" s="430"/>
      <c r="AK389" s="430"/>
      <c r="AL389" s="476"/>
      <c r="AM389" s="430"/>
      <c r="AN389" s="430"/>
      <c r="AO389" s="430"/>
      <c r="AP389" s="430"/>
      <c r="AQ389" s="430"/>
      <c r="AR389" s="430"/>
      <c r="AS389" s="430"/>
      <c r="AT389" s="430"/>
      <c r="AU389" s="430"/>
      <c r="AV389" s="430"/>
      <c r="AW389" s="430"/>
      <c r="AX389" s="430"/>
    </row>
    <row r="390">
      <c r="B390" s="471"/>
      <c r="E390" s="471"/>
      <c r="H390" s="471"/>
      <c r="K390" s="471"/>
      <c r="M390" s="454"/>
      <c r="N390" s="424"/>
      <c r="O390" s="424"/>
      <c r="P390" s="430"/>
      <c r="Q390" s="444"/>
      <c r="R390" s="424"/>
      <c r="S390" s="430"/>
      <c r="T390" s="444"/>
      <c r="U390" s="430"/>
      <c r="V390" s="430"/>
      <c r="W390" s="444"/>
      <c r="X390" s="444"/>
      <c r="Y390" s="430"/>
      <c r="Z390" s="430"/>
      <c r="AA390" s="430"/>
      <c r="AB390" s="444"/>
      <c r="AC390" s="444"/>
      <c r="AD390" s="430"/>
      <c r="AE390" s="430"/>
      <c r="AF390" s="430"/>
      <c r="AG390" s="444"/>
      <c r="AH390" s="444"/>
      <c r="AI390" s="430"/>
      <c r="AJ390" s="430"/>
      <c r="AK390" s="430"/>
      <c r="AL390" s="476"/>
      <c r="AM390" s="430"/>
      <c r="AN390" s="430"/>
      <c r="AO390" s="430"/>
      <c r="AP390" s="430"/>
      <c r="AQ390" s="430"/>
      <c r="AR390" s="430"/>
      <c r="AS390" s="430"/>
      <c r="AT390" s="430"/>
      <c r="AU390" s="430"/>
      <c r="AV390" s="430"/>
      <c r="AW390" s="430"/>
      <c r="AX390" s="430"/>
    </row>
    <row r="391">
      <c r="B391" s="471"/>
      <c r="E391" s="471"/>
      <c r="H391" s="471"/>
      <c r="K391" s="471"/>
      <c r="M391" s="454"/>
      <c r="N391" s="424"/>
      <c r="O391" s="424"/>
      <c r="P391" s="430"/>
      <c r="Q391" s="444"/>
      <c r="R391" s="424"/>
      <c r="S391" s="430"/>
      <c r="T391" s="444"/>
      <c r="U391" s="430"/>
      <c r="V391" s="430"/>
      <c r="W391" s="444"/>
      <c r="X391" s="444"/>
      <c r="Y391" s="430"/>
      <c r="Z391" s="430"/>
      <c r="AA391" s="430"/>
      <c r="AB391" s="444"/>
      <c r="AC391" s="444"/>
      <c r="AD391" s="430"/>
      <c r="AE391" s="430"/>
      <c r="AF391" s="430"/>
      <c r="AG391" s="444"/>
      <c r="AH391" s="444"/>
      <c r="AI391" s="430"/>
      <c r="AJ391" s="430"/>
      <c r="AK391" s="430"/>
      <c r="AL391" s="476"/>
      <c r="AM391" s="430"/>
      <c r="AN391" s="430"/>
      <c r="AO391" s="430"/>
      <c r="AP391" s="430"/>
      <c r="AQ391" s="430"/>
      <c r="AR391" s="430"/>
      <c r="AS391" s="430"/>
      <c r="AT391" s="430"/>
      <c r="AU391" s="430"/>
      <c r="AV391" s="430"/>
      <c r="AW391" s="430"/>
      <c r="AX391" s="430"/>
    </row>
    <row r="392">
      <c r="B392" s="471"/>
      <c r="E392" s="471"/>
      <c r="H392" s="471"/>
      <c r="K392" s="471"/>
      <c r="M392" s="454"/>
      <c r="N392" s="424"/>
      <c r="O392" s="424"/>
      <c r="P392" s="430"/>
      <c r="Q392" s="444"/>
      <c r="R392" s="424"/>
      <c r="S392" s="430"/>
      <c r="T392" s="444"/>
      <c r="U392" s="430"/>
      <c r="V392" s="430"/>
      <c r="W392" s="444"/>
      <c r="X392" s="444"/>
      <c r="Y392" s="430"/>
      <c r="Z392" s="430"/>
      <c r="AA392" s="430"/>
      <c r="AB392" s="444"/>
      <c r="AC392" s="444"/>
      <c r="AD392" s="430"/>
      <c r="AE392" s="430"/>
      <c r="AF392" s="430"/>
      <c r="AG392" s="444"/>
      <c r="AH392" s="444"/>
      <c r="AI392" s="430"/>
      <c r="AJ392" s="430"/>
      <c r="AK392" s="430"/>
      <c r="AL392" s="476"/>
      <c r="AM392" s="430"/>
      <c r="AN392" s="430"/>
      <c r="AO392" s="430"/>
      <c r="AP392" s="430"/>
      <c r="AQ392" s="430"/>
      <c r="AR392" s="430"/>
      <c r="AS392" s="430"/>
      <c r="AT392" s="430"/>
      <c r="AU392" s="430"/>
      <c r="AV392" s="430"/>
      <c r="AW392" s="430"/>
      <c r="AX392" s="430"/>
    </row>
    <row r="393">
      <c r="B393" s="471"/>
      <c r="E393" s="471"/>
      <c r="H393" s="471"/>
      <c r="K393" s="471"/>
      <c r="M393" s="454"/>
      <c r="N393" s="424"/>
      <c r="O393" s="424"/>
      <c r="P393" s="430"/>
      <c r="Q393" s="444"/>
      <c r="R393" s="424"/>
      <c r="S393" s="430"/>
      <c r="T393" s="444"/>
      <c r="U393" s="430"/>
      <c r="V393" s="430"/>
      <c r="W393" s="444"/>
      <c r="X393" s="444"/>
      <c r="Y393" s="430"/>
      <c r="Z393" s="430"/>
      <c r="AA393" s="430"/>
      <c r="AB393" s="444"/>
      <c r="AC393" s="444"/>
      <c r="AD393" s="430"/>
      <c r="AE393" s="430"/>
      <c r="AF393" s="430"/>
      <c r="AG393" s="444"/>
      <c r="AH393" s="444"/>
      <c r="AI393" s="430"/>
      <c r="AJ393" s="430"/>
      <c r="AK393" s="430"/>
      <c r="AL393" s="476"/>
      <c r="AM393" s="430"/>
      <c r="AN393" s="430"/>
      <c r="AO393" s="430"/>
      <c r="AP393" s="430"/>
      <c r="AQ393" s="430"/>
      <c r="AR393" s="430"/>
      <c r="AS393" s="430"/>
      <c r="AT393" s="430"/>
      <c r="AU393" s="430"/>
      <c r="AV393" s="430"/>
      <c r="AW393" s="430"/>
      <c r="AX393" s="430"/>
    </row>
    <row r="394">
      <c r="B394" s="471"/>
      <c r="E394" s="471"/>
      <c r="H394" s="471"/>
      <c r="K394" s="471"/>
      <c r="M394" s="454"/>
      <c r="N394" s="424"/>
      <c r="O394" s="424"/>
      <c r="P394" s="430"/>
      <c r="Q394" s="444"/>
      <c r="R394" s="424"/>
      <c r="S394" s="430"/>
      <c r="T394" s="444"/>
      <c r="U394" s="430"/>
      <c r="V394" s="430"/>
      <c r="W394" s="444"/>
      <c r="X394" s="444"/>
      <c r="Y394" s="430"/>
      <c r="Z394" s="430"/>
      <c r="AA394" s="430"/>
      <c r="AB394" s="444"/>
      <c r="AC394" s="444"/>
      <c r="AD394" s="430"/>
      <c r="AE394" s="430"/>
      <c r="AF394" s="430"/>
      <c r="AG394" s="444"/>
      <c r="AH394" s="444"/>
      <c r="AI394" s="430"/>
      <c r="AJ394" s="430"/>
      <c r="AK394" s="430"/>
      <c r="AL394" s="476"/>
      <c r="AM394" s="430"/>
      <c r="AN394" s="430"/>
      <c r="AO394" s="430"/>
      <c r="AP394" s="430"/>
      <c r="AQ394" s="430"/>
      <c r="AR394" s="430"/>
      <c r="AS394" s="430"/>
      <c r="AT394" s="430"/>
      <c r="AU394" s="430"/>
      <c r="AV394" s="430"/>
      <c r="AW394" s="430"/>
      <c r="AX394" s="430"/>
    </row>
    <row r="395">
      <c r="B395" s="471"/>
      <c r="E395" s="471"/>
      <c r="H395" s="471"/>
      <c r="K395" s="471"/>
      <c r="M395" s="454"/>
      <c r="N395" s="424"/>
      <c r="O395" s="424"/>
      <c r="P395" s="430"/>
      <c r="Q395" s="444"/>
      <c r="R395" s="424"/>
      <c r="S395" s="430"/>
      <c r="T395" s="444"/>
      <c r="U395" s="430"/>
      <c r="V395" s="430"/>
      <c r="W395" s="444"/>
      <c r="X395" s="444"/>
      <c r="Y395" s="430"/>
      <c r="Z395" s="430"/>
      <c r="AA395" s="430"/>
      <c r="AB395" s="444"/>
      <c r="AC395" s="444"/>
      <c r="AD395" s="430"/>
      <c r="AE395" s="430"/>
      <c r="AF395" s="430"/>
      <c r="AG395" s="444"/>
      <c r="AH395" s="444"/>
      <c r="AI395" s="430"/>
      <c r="AJ395" s="430"/>
      <c r="AK395" s="430"/>
      <c r="AL395" s="476"/>
      <c r="AM395" s="430"/>
      <c r="AN395" s="430"/>
      <c r="AO395" s="430"/>
      <c r="AP395" s="430"/>
      <c r="AQ395" s="430"/>
      <c r="AR395" s="430"/>
      <c r="AS395" s="430"/>
      <c r="AT395" s="430"/>
      <c r="AU395" s="430"/>
      <c r="AV395" s="430"/>
      <c r="AW395" s="430"/>
      <c r="AX395" s="430"/>
    </row>
    <row r="396">
      <c r="B396" s="471"/>
      <c r="E396" s="471"/>
      <c r="H396" s="471"/>
      <c r="K396" s="471"/>
      <c r="M396" s="454"/>
      <c r="N396" s="424"/>
      <c r="O396" s="424"/>
      <c r="P396" s="430"/>
      <c r="Q396" s="444"/>
      <c r="R396" s="424"/>
      <c r="S396" s="430"/>
      <c r="T396" s="444"/>
      <c r="U396" s="430"/>
      <c r="V396" s="430"/>
      <c r="W396" s="444"/>
      <c r="X396" s="444"/>
      <c r="Y396" s="430"/>
      <c r="Z396" s="430"/>
      <c r="AA396" s="430"/>
      <c r="AB396" s="444"/>
      <c r="AC396" s="444"/>
      <c r="AD396" s="430"/>
      <c r="AE396" s="430"/>
      <c r="AF396" s="430"/>
      <c r="AG396" s="444"/>
      <c r="AH396" s="444"/>
      <c r="AI396" s="430"/>
      <c r="AJ396" s="430"/>
      <c r="AK396" s="430"/>
      <c r="AL396" s="476"/>
      <c r="AM396" s="430"/>
      <c r="AN396" s="430"/>
      <c r="AO396" s="430"/>
      <c r="AP396" s="430"/>
      <c r="AQ396" s="430"/>
      <c r="AR396" s="430"/>
      <c r="AS396" s="430"/>
      <c r="AT396" s="430"/>
      <c r="AU396" s="430"/>
      <c r="AV396" s="430"/>
      <c r="AW396" s="430"/>
      <c r="AX396" s="430"/>
    </row>
    <row r="397">
      <c r="B397" s="471"/>
      <c r="E397" s="471"/>
      <c r="H397" s="471"/>
      <c r="K397" s="471"/>
      <c r="M397" s="454"/>
      <c r="N397" s="424"/>
      <c r="O397" s="424"/>
      <c r="P397" s="430"/>
      <c r="Q397" s="444"/>
      <c r="R397" s="424"/>
      <c r="S397" s="430"/>
      <c r="T397" s="444"/>
      <c r="U397" s="430"/>
      <c r="V397" s="430"/>
      <c r="W397" s="444"/>
      <c r="X397" s="444"/>
      <c r="Y397" s="430"/>
      <c r="Z397" s="430"/>
      <c r="AA397" s="430"/>
      <c r="AB397" s="444"/>
      <c r="AC397" s="444"/>
      <c r="AD397" s="430"/>
      <c r="AE397" s="430"/>
      <c r="AF397" s="430"/>
      <c r="AG397" s="444"/>
      <c r="AH397" s="444"/>
      <c r="AI397" s="430"/>
      <c r="AJ397" s="430"/>
      <c r="AK397" s="430"/>
      <c r="AL397" s="476"/>
      <c r="AM397" s="430"/>
      <c r="AN397" s="430"/>
      <c r="AO397" s="430"/>
      <c r="AP397" s="430"/>
      <c r="AQ397" s="430"/>
      <c r="AR397" s="430"/>
      <c r="AS397" s="430"/>
      <c r="AT397" s="430"/>
      <c r="AU397" s="430"/>
      <c r="AV397" s="430"/>
      <c r="AW397" s="430"/>
      <c r="AX397" s="430"/>
    </row>
    <row r="398">
      <c r="B398" s="471"/>
      <c r="E398" s="471"/>
      <c r="H398" s="471"/>
      <c r="K398" s="471"/>
      <c r="M398" s="454"/>
      <c r="N398" s="424"/>
      <c r="O398" s="424"/>
      <c r="P398" s="430"/>
      <c r="Q398" s="444"/>
      <c r="R398" s="424"/>
      <c r="S398" s="430"/>
      <c r="T398" s="444"/>
      <c r="U398" s="430"/>
      <c r="V398" s="430"/>
      <c r="W398" s="444"/>
      <c r="X398" s="444"/>
      <c r="Y398" s="430"/>
      <c r="Z398" s="430"/>
      <c r="AA398" s="430"/>
      <c r="AB398" s="444"/>
      <c r="AC398" s="444"/>
      <c r="AD398" s="430"/>
      <c r="AE398" s="430"/>
      <c r="AF398" s="430"/>
      <c r="AG398" s="444"/>
      <c r="AH398" s="444"/>
      <c r="AI398" s="430"/>
      <c r="AJ398" s="430"/>
      <c r="AK398" s="430"/>
      <c r="AL398" s="476"/>
      <c r="AM398" s="430"/>
      <c r="AN398" s="430"/>
      <c r="AO398" s="430"/>
      <c r="AP398" s="430"/>
      <c r="AQ398" s="430"/>
      <c r="AR398" s="430"/>
      <c r="AS398" s="430"/>
      <c r="AT398" s="430"/>
      <c r="AU398" s="430"/>
      <c r="AV398" s="430"/>
      <c r="AW398" s="430"/>
      <c r="AX398" s="430"/>
    </row>
    <row r="399">
      <c r="B399" s="471"/>
      <c r="E399" s="471"/>
      <c r="H399" s="471"/>
      <c r="K399" s="471"/>
      <c r="M399" s="454"/>
      <c r="N399" s="424"/>
      <c r="O399" s="424"/>
      <c r="P399" s="430"/>
      <c r="Q399" s="444"/>
      <c r="R399" s="424"/>
      <c r="S399" s="430"/>
      <c r="T399" s="444"/>
      <c r="U399" s="430"/>
      <c r="V399" s="430"/>
      <c r="W399" s="444"/>
      <c r="X399" s="444"/>
      <c r="Y399" s="430"/>
      <c r="Z399" s="430"/>
      <c r="AA399" s="430"/>
      <c r="AB399" s="444"/>
      <c r="AC399" s="444"/>
      <c r="AD399" s="430"/>
      <c r="AE399" s="430"/>
      <c r="AF399" s="430"/>
      <c r="AG399" s="444"/>
      <c r="AH399" s="444"/>
      <c r="AI399" s="430"/>
      <c r="AJ399" s="430"/>
      <c r="AK399" s="430"/>
      <c r="AL399" s="476"/>
      <c r="AM399" s="430"/>
      <c r="AN399" s="430"/>
      <c r="AO399" s="430"/>
      <c r="AP399" s="430"/>
      <c r="AQ399" s="430"/>
      <c r="AR399" s="430"/>
      <c r="AS399" s="430"/>
      <c r="AT399" s="430"/>
      <c r="AU399" s="430"/>
      <c r="AV399" s="430"/>
      <c r="AW399" s="430"/>
      <c r="AX399" s="430"/>
    </row>
    <row r="400">
      <c r="B400" s="471"/>
      <c r="E400" s="471"/>
      <c r="H400" s="471"/>
      <c r="K400" s="471"/>
      <c r="M400" s="454"/>
      <c r="N400" s="424"/>
      <c r="O400" s="424"/>
      <c r="P400" s="430"/>
      <c r="Q400" s="444"/>
      <c r="R400" s="424"/>
      <c r="S400" s="430"/>
      <c r="T400" s="444"/>
      <c r="U400" s="430"/>
      <c r="V400" s="430"/>
      <c r="W400" s="444"/>
      <c r="X400" s="444"/>
      <c r="Y400" s="430"/>
      <c r="Z400" s="430"/>
      <c r="AA400" s="430"/>
      <c r="AB400" s="444"/>
      <c r="AC400" s="444"/>
      <c r="AD400" s="430"/>
      <c r="AE400" s="430"/>
      <c r="AF400" s="430"/>
      <c r="AG400" s="444"/>
      <c r="AH400" s="444"/>
      <c r="AI400" s="430"/>
      <c r="AJ400" s="430"/>
      <c r="AK400" s="430"/>
      <c r="AL400" s="476"/>
      <c r="AM400" s="430"/>
      <c r="AN400" s="430"/>
      <c r="AO400" s="430"/>
      <c r="AP400" s="430"/>
      <c r="AQ400" s="430"/>
      <c r="AR400" s="430"/>
      <c r="AS400" s="430"/>
      <c r="AT400" s="430"/>
      <c r="AU400" s="430"/>
      <c r="AV400" s="430"/>
      <c r="AW400" s="430"/>
      <c r="AX400" s="430"/>
    </row>
    <row r="401">
      <c r="B401" s="471"/>
      <c r="E401" s="471"/>
      <c r="H401" s="471"/>
      <c r="K401" s="471"/>
      <c r="M401" s="454"/>
      <c r="N401" s="424"/>
      <c r="O401" s="424"/>
      <c r="P401" s="430"/>
      <c r="Q401" s="444"/>
      <c r="R401" s="424"/>
      <c r="S401" s="430"/>
      <c r="T401" s="444"/>
      <c r="U401" s="430"/>
      <c r="V401" s="430"/>
      <c r="W401" s="444"/>
      <c r="X401" s="444"/>
      <c r="Y401" s="430"/>
      <c r="Z401" s="430"/>
      <c r="AA401" s="430"/>
      <c r="AB401" s="444"/>
      <c r="AC401" s="444"/>
      <c r="AD401" s="430"/>
      <c r="AE401" s="430"/>
      <c r="AF401" s="430"/>
      <c r="AG401" s="444"/>
      <c r="AH401" s="444"/>
      <c r="AI401" s="430"/>
      <c r="AJ401" s="430"/>
      <c r="AK401" s="430"/>
      <c r="AL401" s="476"/>
      <c r="AM401" s="430"/>
      <c r="AN401" s="430"/>
      <c r="AO401" s="430"/>
      <c r="AP401" s="430"/>
      <c r="AQ401" s="430"/>
      <c r="AR401" s="430"/>
      <c r="AS401" s="430"/>
      <c r="AT401" s="430"/>
      <c r="AU401" s="430"/>
      <c r="AV401" s="430"/>
      <c r="AW401" s="430"/>
      <c r="AX401" s="430"/>
    </row>
    <row r="402">
      <c r="B402" s="471"/>
      <c r="E402" s="471"/>
      <c r="H402" s="471"/>
      <c r="K402" s="471"/>
      <c r="M402" s="454"/>
      <c r="N402" s="424"/>
      <c r="O402" s="424"/>
      <c r="P402" s="430"/>
      <c r="Q402" s="444"/>
      <c r="R402" s="424"/>
      <c r="S402" s="430"/>
      <c r="T402" s="444"/>
      <c r="U402" s="430"/>
      <c r="V402" s="430"/>
      <c r="W402" s="444"/>
      <c r="X402" s="444"/>
      <c r="Y402" s="430"/>
      <c r="Z402" s="430"/>
      <c r="AA402" s="430"/>
      <c r="AB402" s="444"/>
      <c r="AC402" s="444"/>
      <c r="AD402" s="430"/>
      <c r="AE402" s="430"/>
      <c r="AF402" s="430"/>
      <c r="AG402" s="444"/>
      <c r="AH402" s="444"/>
      <c r="AI402" s="430"/>
      <c r="AJ402" s="430"/>
      <c r="AK402" s="430"/>
      <c r="AL402" s="476"/>
      <c r="AM402" s="430"/>
      <c r="AN402" s="430"/>
      <c r="AO402" s="430"/>
      <c r="AP402" s="430"/>
      <c r="AQ402" s="430"/>
      <c r="AR402" s="430"/>
      <c r="AS402" s="430"/>
      <c r="AT402" s="430"/>
      <c r="AU402" s="430"/>
      <c r="AV402" s="430"/>
      <c r="AW402" s="430"/>
      <c r="AX402" s="430"/>
    </row>
    <row r="403">
      <c r="B403" s="471"/>
      <c r="E403" s="471"/>
      <c r="H403" s="471"/>
      <c r="K403" s="471"/>
      <c r="M403" s="454"/>
      <c r="N403" s="424"/>
      <c r="O403" s="424"/>
      <c r="P403" s="430"/>
      <c r="Q403" s="444"/>
      <c r="R403" s="424"/>
      <c r="S403" s="430"/>
      <c r="T403" s="444"/>
      <c r="U403" s="430"/>
      <c r="V403" s="430"/>
      <c r="W403" s="444"/>
      <c r="X403" s="444"/>
      <c r="Y403" s="430"/>
      <c r="Z403" s="430"/>
      <c r="AA403" s="430"/>
      <c r="AB403" s="444"/>
      <c r="AC403" s="444"/>
      <c r="AD403" s="430"/>
      <c r="AE403" s="430"/>
      <c r="AF403" s="430"/>
      <c r="AG403" s="444"/>
      <c r="AH403" s="444"/>
      <c r="AI403" s="430"/>
      <c r="AJ403" s="430"/>
      <c r="AK403" s="430"/>
      <c r="AL403" s="476"/>
      <c r="AM403" s="430"/>
      <c r="AN403" s="430"/>
      <c r="AO403" s="430"/>
      <c r="AP403" s="430"/>
      <c r="AQ403" s="430"/>
      <c r="AR403" s="430"/>
      <c r="AS403" s="430"/>
      <c r="AT403" s="430"/>
      <c r="AU403" s="430"/>
      <c r="AV403" s="430"/>
      <c r="AW403" s="430"/>
      <c r="AX403" s="430"/>
    </row>
    <row r="404">
      <c r="B404" s="471"/>
      <c r="E404" s="471"/>
      <c r="H404" s="471"/>
      <c r="K404" s="471"/>
      <c r="M404" s="454"/>
      <c r="N404" s="424"/>
      <c r="O404" s="424"/>
      <c r="P404" s="430"/>
      <c r="Q404" s="444"/>
      <c r="R404" s="424"/>
      <c r="S404" s="430"/>
      <c r="T404" s="444"/>
      <c r="U404" s="430"/>
      <c r="V404" s="430"/>
      <c r="W404" s="444"/>
      <c r="X404" s="444"/>
      <c r="Y404" s="430"/>
      <c r="Z404" s="430"/>
      <c r="AA404" s="430"/>
      <c r="AB404" s="444"/>
      <c r="AC404" s="444"/>
      <c r="AD404" s="430"/>
      <c r="AE404" s="430"/>
      <c r="AF404" s="430"/>
      <c r="AG404" s="444"/>
      <c r="AH404" s="444"/>
      <c r="AI404" s="430"/>
      <c r="AJ404" s="430"/>
      <c r="AK404" s="430"/>
      <c r="AL404" s="476"/>
      <c r="AM404" s="430"/>
      <c r="AN404" s="430"/>
      <c r="AO404" s="430"/>
      <c r="AP404" s="430"/>
      <c r="AQ404" s="430"/>
      <c r="AR404" s="430"/>
      <c r="AS404" s="430"/>
      <c r="AT404" s="430"/>
      <c r="AU404" s="430"/>
      <c r="AV404" s="430"/>
      <c r="AW404" s="430"/>
      <c r="AX404" s="430"/>
    </row>
    <row r="405">
      <c r="B405" s="471"/>
      <c r="E405" s="471"/>
      <c r="H405" s="471"/>
      <c r="K405" s="471"/>
      <c r="M405" s="454"/>
      <c r="N405" s="424"/>
      <c r="O405" s="424"/>
      <c r="P405" s="430"/>
      <c r="Q405" s="444"/>
      <c r="R405" s="424"/>
      <c r="S405" s="430"/>
      <c r="T405" s="444"/>
      <c r="U405" s="430"/>
      <c r="V405" s="430"/>
      <c r="W405" s="444"/>
      <c r="X405" s="444"/>
      <c r="Y405" s="430"/>
      <c r="Z405" s="430"/>
      <c r="AA405" s="430"/>
      <c r="AB405" s="444"/>
      <c r="AC405" s="444"/>
      <c r="AD405" s="430"/>
      <c r="AE405" s="430"/>
      <c r="AF405" s="430"/>
      <c r="AG405" s="444"/>
      <c r="AH405" s="444"/>
      <c r="AI405" s="430"/>
      <c r="AJ405" s="430"/>
      <c r="AK405" s="430"/>
      <c r="AL405" s="476"/>
      <c r="AM405" s="430"/>
      <c r="AN405" s="430"/>
      <c r="AO405" s="430"/>
      <c r="AP405" s="430"/>
      <c r="AQ405" s="430"/>
      <c r="AR405" s="430"/>
      <c r="AS405" s="430"/>
      <c r="AT405" s="430"/>
      <c r="AU405" s="430"/>
      <c r="AV405" s="430"/>
      <c r="AW405" s="430"/>
      <c r="AX405" s="430"/>
    </row>
    <row r="406">
      <c r="B406" s="471"/>
      <c r="E406" s="471"/>
      <c r="H406" s="471"/>
      <c r="K406" s="471"/>
      <c r="M406" s="454"/>
      <c r="N406" s="424"/>
      <c r="O406" s="424"/>
      <c r="P406" s="430"/>
      <c r="Q406" s="444"/>
      <c r="R406" s="424"/>
      <c r="S406" s="430"/>
      <c r="T406" s="444"/>
      <c r="U406" s="430"/>
      <c r="V406" s="430"/>
      <c r="W406" s="444"/>
      <c r="X406" s="444"/>
      <c r="Y406" s="430"/>
      <c r="Z406" s="430"/>
      <c r="AA406" s="430"/>
      <c r="AB406" s="444"/>
      <c r="AC406" s="444"/>
      <c r="AD406" s="430"/>
      <c r="AE406" s="430"/>
      <c r="AF406" s="430"/>
      <c r="AG406" s="444"/>
      <c r="AH406" s="444"/>
      <c r="AI406" s="430"/>
      <c r="AJ406" s="430"/>
      <c r="AK406" s="430"/>
      <c r="AL406" s="476"/>
      <c r="AM406" s="430"/>
      <c r="AN406" s="430"/>
      <c r="AO406" s="430"/>
      <c r="AP406" s="430"/>
      <c r="AQ406" s="430"/>
      <c r="AR406" s="430"/>
      <c r="AS406" s="430"/>
      <c r="AT406" s="430"/>
      <c r="AU406" s="430"/>
      <c r="AV406" s="430"/>
      <c r="AW406" s="430"/>
      <c r="AX406" s="430"/>
    </row>
    <row r="407">
      <c r="B407" s="471"/>
      <c r="E407" s="471"/>
      <c r="H407" s="471"/>
      <c r="K407" s="471"/>
      <c r="M407" s="454"/>
      <c r="N407" s="424"/>
      <c r="O407" s="424"/>
      <c r="P407" s="430"/>
      <c r="Q407" s="444"/>
      <c r="R407" s="424"/>
      <c r="S407" s="430"/>
      <c r="T407" s="444"/>
      <c r="U407" s="430"/>
      <c r="V407" s="430"/>
      <c r="W407" s="444"/>
      <c r="X407" s="444"/>
      <c r="Y407" s="430"/>
      <c r="Z407" s="430"/>
      <c r="AA407" s="430"/>
      <c r="AB407" s="444"/>
      <c r="AC407" s="444"/>
      <c r="AD407" s="430"/>
      <c r="AE407" s="430"/>
      <c r="AF407" s="430"/>
      <c r="AG407" s="444"/>
      <c r="AH407" s="444"/>
      <c r="AI407" s="430"/>
      <c r="AJ407" s="430"/>
      <c r="AK407" s="430"/>
      <c r="AL407" s="476"/>
      <c r="AM407" s="430"/>
      <c r="AN407" s="430"/>
      <c r="AO407" s="430"/>
      <c r="AP407" s="430"/>
      <c r="AQ407" s="430"/>
      <c r="AR407" s="430"/>
      <c r="AS407" s="430"/>
      <c r="AT407" s="430"/>
      <c r="AU407" s="430"/>
      <c r="AV407" s="430"/>
      <c r="AW407" s="430"/>
      <c r="AX407" s="430"/>
    </row>
    <row r="408">
      <c r="B408" s="471"/>
      <c r="E408" s="471"/>
      <c r="H408" s="471"/>
      <c r="K408" s="471"/>
      <c r="M408" s="454"/>
      <c r="N408" s="424"/>
      <c r="O408" s="424"/>
      <c r="P408" s="430"/>
      <c r="Q408" s="444"/>
      <c r="R408" s="424"/>
      <c r="S408" s="430"/>
      <c r="T408" s="444"/>
      <c r="U408" s="430"/>
      <c r="V408" s="430"/>
      <c r="W408" s="444"/>
      <c r="X408" s="444"/>
      <c r="Y408" s="430"/>
      <c r="Z408" s="430"/>
      <c r="AA408" s="430"/>
      <c r="AB408" s="444"/>
      <c r="AC408" s="444"/>
      <c r="AD408" s="430"/>
      <c r="AE408" s="430"/>
      <c r="AF408" s="430"/>
      <c r="AG408" s="444"/>
      <c r="AH408" s="444"/>
      <c r="AI408" s="430"/>
      <c r="AJ408" s="430"/>
      <c r="AK408" s="430"/>
      <c r="AL408" s="476"/>
      <c r="AM408" s="430"/>
      <c r="AN408" s="430"/>
      <c r="AO408" s="430"/>
      <c r="AP408" s="430"/>
      <c r="AQ408" s="430"/>
      <c r="AR408" s="430"/>
      <c r="AS408" s="430"/>
      <c r="AT408" s="430"/>
      <c r="AU408" s="430"/>
      <c r="AV408" s="430"/>
      <c r="AW408" s="430"/>
      <c r="AX408" s="430"/>
    </row>
    <row r="409">
      <c r="B409" s="471"/>
      <c r="E409" s="471"/>
      <c r="H409" s="471"/>
      <c r="K409" s="471"/>
      <c r="M409" s="454"/>
      <c r="N409" s="424"/>
      <c r="O409" s="424"/>
      <c r="P409" s="430"/>
      <c r="Q409" s="444"/>
      <c r="R409" s="424"/>
      <c r="S409" s="430"/>
      <c r="T409" s="444"/>
      <c r="U409" s="430"/>
      <c r="V409" s="430"/>
      <c r="W409" s="444"/>
      <c r="X409" s="444"/>
      <c r="Y409" s="430"/>
      <c r="Z409" s="430"/>
      <c r="AA409" s="430"/>
      <c r="AB409" s="444"/>
      <c r="AC409" s="444"/>
      <c r="AD409" s="430"/>
      <c r="AE409" s="430"/>
      <c r="AF409" s="430"/>
      <c r="AG409" s="444"/>
      <c r="AH409" s="444"/>
      <c r="AI409" s="430"/>
      <c r="AJ409" s="430"/>
      <c r="AK409" s="430"/>
      <c r="AL409" s="476"/>
      <c r="AM409" s="430"/>
      <c r="AN409" s="430"/>
      <c r="AO409" s="430"/>
      <c r="AP409" s="430"/>
      <c r="AQ409" s="430"/>
      <c r="AR409" s="430"/>
      <c r="AS409" s="430"/>
      <c r="AT409" s="430"/>
      <c r="AU409" s="430"/>
      <c r="AV409" s="430"/>
      <c r="AW409" s="430"/>
      <c r="AX409" s="430"/>
    </row>
    <row r="410">
      <c r="B410" s="471"/>
      <c r="E410" s="471"/>
      <c r="H410" s="471"/>
      <c r="K410" s="471"/>
      <c r="M410" s="454"/>
      <c r="N410" s="424"/>
      <c r="O410" s="424"/>
      <c r="P410" s="430"/>
      <c r="Q410" s="444"/>
      <c r="R410" s="424"/>
      <c r="S410" s="430"/>
      <c r="T410" s="444"/>
      <c r="U410" s="430"/>
      <c r="V410" s="430"/>
      <c r="W410" s="444"/>
      <c r="X410" s="444"/>
      <c r="Y410" s="430"/>
      <c r="Z410" s="430"/>
      <c r="AA410" s="430"/>
      <c r="AB410" s="444"/>
      <c r="AC410" s="444"/>
      <c r="AD410" s="430"/>
      <c r="AE410" s="430"/>
      <c r="AF410" s="430"/>
      <c r="AG410" s="444"/>
      <c r="AH410" s="444"/>
      <c r="AI410" s="430"/>
      <c r="AJ410" s="430"/>
      <c r="AK410" s="430"/>
      <c r="AL410" s="476"/>
      <c r="AM410" s="430"/>
      <c r="AN410" s="430"/>
      <c r="AO410" s="430"/>
      <c r="AP410" s="430"/>
      <c r="AQ410" s="430"/>
      <c r="AR410" s="430"/>
      <c r="AS410" s="430"/>
      <c r="AT410" s="430"/>
      <c r="AU410" s="430"/>
      <c r="AV410" s="430"/>
      <c r="AW410" s="430"/>
      <c r="AX410" s="430"/>
    </row>
    <row r="411">
      <c r="B411" s="471"/>
      <c r="E411" s="471"/>
      <c r="H411" s="471"/>
      <c r="K411" s="471"/>
      <c r="M411" s="454"/>
      <c r="N411" s="424"/>
      <c r="O411" s="424"/>
      <c r="P411" s="430"/>
      <c r="Q411" s="444"/>
      <c r="R411" s="424"/>
      <c r="S411" s="430"/>
      <c r="T411" s="444"/>
      <c r="U411" s="430"/>
      <c r="V411" s="430"/>
      <c r="W411" s="444"/>
      <c r="X411" s="444"/>
      <c r="Y411" s="430"/>
      <c r="Z411" s="430"/>
      <c r="AA411" s="430"/>
      <c r="AB411" s="444"/>
      <c r="AC411" s="444"/>
      <c r="AD411" s="430"/>
      <c r="AE411" s="430"/>
      <c r="AF411" s="430"/>
      <c r="AG411" s="444"/>
      <c r="AH411" s="444"/>
      <c r="AI411" s="430"/>
      <c r="AJ411" s="430"/>
      <c r="AK411" s="430"/>
      <c r="AL411" s="476"/>
      <c r="AM411" s="430"/>
      <c r="AN411" s="430"/>
      <c r="AO411" s="430"/>
      <c r="AP411" s="430"/>
      <c r="AQ411" s="430"/>
      <c r="AR411" s="430"/>
      <c r="AS411" s="430"/>
      <c r="AT411" s="430"/>
      <c r="AU411" s="430"/>
      <c r="AV411" s="430"/>
      <c r="AW411" s="430"/>
      <c r="AX411" s="430"/>
    </row>
    <row r="412">
      <c r="B412" s="471"/>
      <c r="E412" s="471"/>
      <c r="H412" s="471"/>
      <c r="K412" s="471"/>
      <c r="M412" s="454"/>
      <c r="N412" s="424"/>
      <c r="O412" s="424"/>
      <c r="P412" s="430"/>
      <c r="Q412" s="444"/>
      <c r="R412" s="424"/>
      <c r="S412" s="430"/>
      <c r="T412" s="444"/>
      <c r="U412" s="430"/>
      <c r="V412" s="430"/>
      <c r="W412" s="444"/>
      <c r="X412" s="444"/>
      <c r="Y412" s="430"/>
      <c r="Z412" s="430"/>
      <c r="AA412" s="430"/>
      <c r="AB412" s="444"/>
      <c r="AC412" s="444"/>
      <c r="AD412" s="430"/>
      <c r="AE412" s="430"/>
      <c r="AF412" s="430"/>
      <c r="AG412" s="444"/>
      <c r="AH412" s="444"/>
      <c r="AI412" s="430"/>
      <c r="AJ412" s="430"/>
      <c r="AK412" s="430"/>
      <c r="AL412" s="476"/>
      <c r="AM412" s="430"/>
      <c r="AN412" s="430"/>
      <c r="AO412" s="430"/>
      <c r="AP412" s="430"/>
      <c r="AQ412" s="430"/>
      <c r="AR412" s="430"/>
      <c r="AS412" s="430"/>
      <c r="AT412" s="430"/>
      <c r="AU412" s="430"/>
      <c r="AV412" s="430"/>
      <c r="AW412" s="430"/>
      <c r="AX412" s="430"/>
    </row>
    <row r="413">
      <c r="B413" s="471"/>
      <c r="E413" s="471"/>
      <c r="H413" s="471"/>
      <c r="K413" s="471"/>
      <c r="M413" s="454"/>
      <c r="N413" s="424"/>
      <c r="O413" s="424"/>
      <c r="P413" s="430"/>
      <c r="Q413" s="444"/>
      <c r="R413" s="424"/>
      <c r="S413" s="430"/>
      <c r="T413" s="444"/>
      <c r="U413" s="430"/>
      <c r="V413" s="430"/>
      <c r="W413" s="444"/>
      <c r="X413" s="444"/>
      <c r="Y413" s="430"/>
      <c r="Z413" s="430"/>
      <c r="AA413" s="430"/>
      <c r="AB413" s="444"/>
      <c r="AC413" s="444"/>
      <c r="AD413" s="430"/>
      <c r="AE413" s="430"/>
      <c r="AF413" s="430"/>
      <c r="AG413" s="444"/>
      <c r="AH413" s="444"/>
      <c r="AI413" s="430"/>
      <c r="AJ413" s="430"/>
      <c r="AK413" s="430"/>
      <c r="AL413" s="476"/>
      <c r="AM413" s="430"/>
      <c r="AN413" s="430"/>
      <c r="AO413" s="430"/>
      <c r="AP413" s="430"/>
      <c r="AQ413" s="430"/>
      <c r="AR413" s="430"/>
      <c r="AS413" s="430"/>
      <c r="AT413" s="430"/>
      <c r="AU413" s="430"/>
      <c r="AV413" s="430"/>
      <c r="AW413" s="430"/>
      <c r="AX413" s="430"/>
    </row>
    <row r="414">
      <c r="B414" s="471"/>
      <c r="E414" s="471"/>
      <c r="H414" s="471"/>
      <c r="K414" s="471"/>
      <c r="M414" s="454"/>
      <c r="N414" s="424"/>
      <c r="O414" s="424"/>
      <c r="P414" s="430"/>
      <c r="Q414" s="444"/>
      <c r="R414" s="424"/>
      <c r="S414" s="430"/>
      <c r="T414" s="444"/>
      <c r="U414" s="430"/>
      <c r="V414" s="430"/>
      <c r="W414" s="444"/>
      <c r="X414" s="444"/>
      <c r="Y414" s="430"/>
      <c r="Z414" s="430"/>
      <c r="AA414" s="430"/>
      <c r="AB414" s="444"/>
      <c r="AC414" s="444"/>
      <c r="AD414" s="430"/>
      <c r="AE414" s="430"/>
      <c r="AF414" s="430"/>
      <c r="AG414" s="444"/>
      <c r="AH414" s="444"/>
      <c r="AI414" s="430"/>
      <c r="AJ414" s="430"/>
      <c r="AK414" s="430"/>
      <c r="AL414" s="476"/>
      <c r="AM414" s="430"/>
      <c r="AN414" s="430"/>
      <c r="AO414" s="430"/>
      <c r="AP414" s="430"/>
      <c r="AQ414" s="430"/>
      <c r="AR414" s="430"/>
      <c r="AS414" s="430"/>
      <c r="AT414" s="430"/>
      <c r="AU414" s="430"/>
      <c r="AV414" s="430"/>
      <c r="AW414" s="430"/>
      <c r="AX414" s="430"/>
    </row>
    <row r="415">
      <c r="B415" s="471"/>
      <c r="E415" s="471"/>
      <c r="H415" s="471"/>
      <c r="K415" s="471"/>
      <c r="M415" s="454"/>
      <c r="N415" s="424"/>
      <c r="O415" s="424"/>
      <c r="P415" s="430"/>
      <c r="Q415" s="444"/>
      <c r="R415" s="424"/>
      <c r="S415" s="430"/>
      <c r="T415" s="444"/>
      <c r="U415" s="430"/>
      <c r="V415" s="430"/>
      <c r="W415" s="444"/>
      <c r="X415" s="444"/>
      <c r="Y415" s="430"/>
      <c r="Z415" s="430"/>
      <c r="AA415" s="430"/>
      <c r="AB415" s="444"/>
      <c r="AC415" s="444"/>
      <c r="AD415" s="430"/>
      <c r="AE415" s="430"/>
      <c r="AF415" s="430"/>
      <c r="AG415" s="444"/>
      <c r="AH415" s="444"/>
      <c r="AI415" s="430"/>
      <c r="AJ415" s="430"/>
      <c r="AK415" s="430"/>
      <c r="AL415" s="476"/>
      <c r="AM415" s="430"/>
      <c r="AN415" s="430"/>
      <c r="AO415" s="430"/>
      <c r="AP415" s="430"/>
      <c r="AQ415" s="430"/>
      <c r="AR415" s="430"/>
      <c r="AS415" s="430"/>
      <c r="AT415" s="430"/>
      <c r="AU415" s="430"/>
      <c r="AV415" s="430"/>
      <c r="AW415" s="430"/>
      <c r="AX415" s="430"/>
    </row>
    <row r="416">
      <c r="B416" s="471"/>
      <c r="E416" s="471"/>
      <c r="H416" s="471"/>
      <c r="K416" s="471"/>
      <c r="M416" s="454"/>
      <c r="N416" s="424"/>
      <c r="O416" s="424"/>
      <c r="P416" s="430"/>
      <c r="Q416" s="444"/>
      <c r="R416" s="424"/>
      <c r="S416" s="430"/>
      <c r="T416" s="444"/>
      <c r="U416" s="430"/>
      <c r="V416" s="430"/>
      <c r="W416" s="444"/>
      <c r="X416" s="444"/>
      <c r="Y416" s="430"/>
      <c r="Z416" s="430"/>
      <c r="AA416" s="430"/>
      <c r="AB416" s="444"/>
      <c r="AC416" s="444"/>
      <c r="AD416" s="430"/>
      <c r="AE416" s="430"/>
      <c r="AF416" s="430"/>
      <c r="AG416" s="444"/>
      <c r="AH416" s="444"/>
      <c r="AI416" s="430"/>
      <c r="AJ416" s="430"/>
      <c r="AK416" s="430"/>
      <c r="AL416" s="476"/>
      <c r="AM416" s="430"/>
      <c r="AN416" s="430"/>
      <c r="AO416" s="430"/>
      <c r="AP416" s="430"/>
      <c r="AQ416" s="430"/>
      <c r="AR416" s="430"/>
      <c r="AS416" s="430"/>
      <c r="AT416" s="430"/>
      <c r="AU416" s="430"/>
      <c r="AV416" s="430"/>
      <c r="AW416" s="430"/>
      <c r="AX416" s="430"/>
    </row>
    <row r="417">
      <c r="B417" s="471"/>
      <c r="E417" s="471"/>
      <c r="H417" s="471"/>
      <c r="K417" s="471"/>
      <c r="M417" s="454"/>
      <c r="N417" s="424"/>
      <c r="O417" s="424"/>
      <c r="P417" s="430"/>
      <c r="Q417" s="444"/>
      <c r="R417" s="424"/>
      <c r="S417" s="430"/>
      <c r="T417" s="444"/>
      <c r="U417" s="430"/>
      <c r="V417" s="430"/>
      <c r="W417" s="444"/>
      <c r="X417" s="444"/>
      <c r="Y417" s="430"/>
      <c r="Z417" s="430"/>
      <c r="AA417" s="430"/>
      <c r="AB417" s="444"/>
      <c r="AC417" s="444"/>
      <c r="AD417" s="430"/>
      <c r="AE417" s="430"/>
      <c r="AF417" s="430"/>
      <c r="AG417" s="444"/>
      <c r="AH417" s="444"/>
      <c r="AI417" s="430"/>
      <c r="AJ417" s="430"/>
      <c r="AK417" s="430"/>
      <c r="AL417" s="476"/>
      <c r="AM417" s="430"/>
      <c r="AN417" s="430"/>
      <c r="AO417" s="430"/>
      <c r="AP417" s="430"/>
      <c r="AQ417" s="430"/>
      <c r="AR417" s="430"/>
      <c r="AS417" s="430"/>
      <c r="AT417" s="430"/>
      <c r="AU417" s="430"/>
      <c r="AV417" s="430"/>
      <c r="AW417" s="430"/>
      <c r="AX417" s="430"/>
    </row>
    <row r="418">
      <c r="B418" s="471"/>
      <c r="E418" s="471"/>
      <c r="H418" s="471"/>
      <c r="K418" s="471"/>
      <c r="M418" s="454"/>
      <c r="N418" s="424"/>
      <c r="O418" s="424"/>
      <c r="P418" s="430"/>
      <c r="Q418" s="444"/>
      <c r="R418" s="424"/>
      <c r="S418" s="430"/>
      <c r="T418" s="444"/>
      <c r="U418" s="430"/>
      <c r="V418" s="430"/>
      <c r="W418" s="444"/>
      <c r="X418" s="444"/>
      <c r="Y418" s="430"/>
      <c r="Z418" s="430"/>
      <c r="AA418" s="430"/>
      <c r="AB418" s="444"/>
      <c r="AC418" s="444"/>
      <c r="AD418" s="430"/>
      <c r="AE418" s="430"/>
      <c r="AF418" s="430"/>
      <c r="AG418" s="444"/>
      <c r="AH418" s="444"/>
      <c r="AI418" s="430"/>
      <c r="AJ418" s="430"/>
      <c r="AK418" s="430"/>
      <c r="AL418" s="476"/>
      <c r="AM418" s="430"/>
      <c r="AN418" s="430"/>
      <c r="AO418" s="430"/>
      <c r="AP418" s="430"/>
      <c r="AQ418" s="430"/>
      <c r="AR418" s="430"/>
      <c r="AS418" s="430"/>
      <c r="AT418" s="430"/>
      <c r="AU418" s="430"/>
      <c r="AV418" s="430"/>
      <c r="AW418" s="430"/>
      <c r="AX418" s="430"/>
    </row>
    <row r="419">
      <c r="B419" s="471"/>
      <c r="E419" s="471"/>
      <c r="H419" s="471"/>
      <c r="K419" s="471"/>
      <c r="M419" s="454"/>
      <c r="N419" s="424"/>
      <c r="O419" s="424"/>
      <c r="P419" s="430"/>
      <c r="Q419" s="444"/>
      <c r="R419" s="424"/>
      <c r="S419" s="430"/>
      <c r="T419" s="444"/>
      <c r="U419" s="430"/>
      <c r="V419" s="430"/>
      <c r="W419" s="444"/>
      <c r="X419" s="444"/>
      <c r="Y419" s="430"/>
      <c r="Z419" s="430"/>
      <c r="AA419" s="430"/>
      <c r="AB419" s="444"/>
      <c r="AC419" s="444"/>
      <c r="AD419" s="430"/>
      <c r="AE419" s="430"/>
      <c r="AF419" s="430"/>
      <c r="AG419" s="444"/>
      <c r="AH419" s="444"/>
      <c r="AI419" s="430"/>
      <c r="AJ419" s="430"/>
      <c r="AK419" s="430"/>
      <c r="AL419" s="476"/>
      <c r="AM419" s="430"/>
      <c r="AN419" s="430"/>
      <c r="AO419" s="430"/>
      <c r="AP419" s="430"/>
      <c r="AQ419" s="430"/>
      <c r="AR419" s="430"/>
      <c r="AS419" s="430"/>
      <c r="AT419" s="430"/>
      <c r="AU419" s="430"/>
      <c r="AV419" s="430"/>
      <c r="AW419" s="430"/>
      <c r="AX419" s="430"/>
    </row>
    <row r="420">
      <c r="B420" s="471"/>
      <c r="E420" s="471"/>
      <c r="H420" s="471"/>
      <c r="K420" s="471"/>
      <c r="M420" s="454"/>
      <c r="N420" s="424"/>
      <c r="O420" s="424"/>
      <c r="P420" s="430"/>
      <c r="Q420" s="444"/>
      <c r="R420" s="424"/>
      <c r="S420" s="430"/>
      <c r="T420" s="444"/>
      <c r="U420" s="430"/>
      <c r="V420" s="430"/>
      <c r="W420" s="444"/>
      <c r="X420" s="444"/>
      <c r="Y420" s="430"/>
      <c r="Z420" s="430"/>
      <c r="AA420" s="430"/>
      <c r="AB420" s="444"/>
      <c r="AC420" s="444"/>
      <c r="AD420" s="430"/>
      <c r="AE420" s="430"/>
      <c r="AF420" s="430"/>
      <c r="AG420" s="444"/>
      <c r="AH420" s="444"/>
      <c r="AI420" s="430"/>
      <c r="AJ420" s="430"/>
      <c r="AK420" s="430"/>
      <c r="AL420" s="476"/>
      <c r="AM420" s="430"/>
      <c r="AN420" s="430"/>
      <c r="AO420" s="430"/>
      <c r="AP420" s="430"/>
      <c r="AQ420" s="430"/>
      <c r="AR420" s="430"/>
      <c r="AS420" s="430"/>
      <c r="AT420" s="430"/>
      <c r="AU420" s="430"/>
      <c r="AV420" s="430"/>
      <c r="AW420" s="430"/>
      <c r="AX420" s="430"/>
    </row>
    <row r="421">
      <c r="B421" s="471"/>
      <c r="E421" s="471"/>
      <c r="H421" s="471"/>
      <c r="K421" s="471"/>
      <c r="M421" s="454"/>
      <c r="N421" s="424"/>
      <c r="O421" s="424"/>
      <c r="P421" s="430"/>
      <c r="Q421" s="444"/>
      <c r="R421" s="424"/>
      <c r="S421" s="430"/>
      <c r="T421" s="444"/>
      <c r="U421" s="430"/>
      <c r="V421" s="430"/>
      <c r="W421" s="444"/>
      <c r="X421" s="444"/>
      <c r="Y421" s="430"/>
      <c r="Z421" s="430"/>
      <c r="AA421" s="430"/>
      <c r="AB421" s="444"/>
      <c r="AC421" s="444"/>
      <c r="AD421" s="430"/>
      <c r="AE421" s="430"/>
      <c r="AF421" s="430"/>
      <c r="AG421" s="444"/>
      <c r="AH421" s="444"/>
      <c r="AI421" s="430"/>
      <c r="AJ421" s="430"/>
      <c r="AK421" s="430"/>
      <c r="AL421" s="476"/>
      <c r="AM421" s="430"/>
      <c r="AN421" s="430"/>
      <c r="AO421" s="430"/>
      <c r="AP421" s="430"/>
      <c r="AQ421" s="430"/>
      <c r="AR421" s="430"/>
      <c r="AS421" s="430"/>
      <c r="AT421" s="430"/>
      <c r="AU421" s="430"/>
      <c r="AV421" s="430"/>
      <c r="AW421" s="430"/>
      <c r="AX421" s="430"/>
    </row>
    <row r="422">
      <c r="B422" s="471"/>
      <c r="E422" s="471"/>
      <c r="H422" s="471"/>
      <c r="K422" s="471"/>
      <c r="M422" s="454"/>
      <c r="N422" s="424"/>
      <c r="O422" s="424"/>
      <c r="P422" s="430"/>
      <c r="Q422" s="444"/>
      <c r="R422" s="424"/>
      <c r="S422" s="430"/>
      <c r="T422" s="444"/>
      <c r="U422" s="430"/>
      <c r="V422" s="430"/>
      <c r="W422" s="444"/>
      <c r="X422" s="444"/>
      <c r="Y422" s="430"/>
      <c r="Z422" s="430"/>
      <c r="AA422" s="430"/>
      <c r="AB422" s="444"/>
      <c r="AC422" s="444"/>
      <c r="AD422" s="430"/>
      <c r="AE422" s="430"/>
      <c r="AF422" s="430"/>
      <c r="AG422" s="444"/>
      <c r="AH422" s="444"/>
      <c r="AI422" s="430"/>
      <c r="AJ422" s="430"/>
      <c r="AK422" s="430"/>
      <c r="AL422" s="476"/>
      <c r="AM422" s="430"/>
      <c r="AN422" s="430"/>
      <c r="AO422" s="430"/>
      <c r="AP422" s="430"/>
      <c r="AQ422" s="430"/>
      <c r="AR422" s="430"/>
      <c r="AS422" s="430"/>
      <c r="AT422" s="430"/>
      <c r="AU422" s="430"/>
      <c r="AV422" s="430"/>
      <c r="AW422" s="430"/>
      <c r="AX422" s="430"/>
    </row>
    <row r="423">
      <c r="B423" s="471"/>
      <c r="E423" s="471"/>
      <c r="H423" s="471"/>
      <c r="K423" s="471"/>
      <c r="M423" s="454"/>
      <c r="N423" s="424"/>
      <c r="O423" s="424"/>
      <c r="P423" s="430"/>
      <c r="Q423" s="444"/>
      <c r="R423" s="424"/>
      <c r="S423" s="430"/>
      <c r="T423" s="444"/>
      <c r="U423" s="430"/>
      <c r="V423" s="430"/>
      <c r="W423" s="444"/>
      <c r="X423" s="444"/>
      <c r="Y423" s="430"/>
      <c r="Z423" s="430"/>
      <c r="AA423" s="430"/>
      <c r="AB423" s="444"/>
      <c r="AC423" s="444"/>
      <c r="AD423" s="430"/>
      <c r="AE423" s="430"/>
      <c r="AF423" s="430"/>
      <c r="AG423" s="444"/>
      <c r="AH423" s="444"/>
      <c r="AI423" s="430"/>
      <c r="AJ423" s="430"/>
      <c r="AK423" s="430"/>
      <c r="AL423" s="476"/>
      <c r="AM423" s="430"/>
      <c r="AN423" s="430"/>
      <c r="AO423" s="430"/>
      <c r="AP423" s="430"/>
      <c r="AQ423" s="430"/>
      <c r="AR423" s="430"/>
      <c r="AS423" s="430"/>
      <c r="AT423" s="430"/>
      <c r="AU423" s="430"/>
      <c r="AV423" s="430"/>
      <c r="AW423" s="430"/>
      <c r="AX423" s="430"/>
    </row>
    <row r="424">
      <c r="B424" s="471"/>
      <c r="E424" s="471"/>
      <c r="H424" s="471"/>
      <c r="K424" s="471"/>
      <c r="M424" s="454"/>
      <c r="N424" s="424"/>
      <c r="O424" s="424"/>
      <c r="P424" s="430"/>
      <c r="Q424" s="444"/>
      <c r="R424" s="424"/>
      <c r="S424" s="430"/>
      <c r="T424" s="444"/>
      <c r="U424" s="430"/>
      <c r="V424" s="430"/>
      <c r="W424" s="444"/>
      <c r="X424" s="444"/>
      <c r="Y424" s="430"/>
      <c r="Z424" s="430"/>
      <c r="AA424" s="430"/>
      <c r="AB424" s="444"/>
      <c r="AC424" s="444"/>
      <c r="AD424" s="430"/>
      <c r="AE424" s="430"/>
      <c r="AF424" s="430"/>
      <c r="AG424" s="444"/>
      <c r="AH424" s="444"/>
      <c r="AI424" s="430"/>
      <c r="AJ424" s="430"/>
      <c r="AK424" s="430"/>
      <c r="AL424" s="476"/>
      <c r="AM424" s="430"/>
      <c r="AN424" s="430"/>
      <c r="AO424" s="430"/>
      <c r="AP424" s="430"/>
      <c r="AQ424" s="430"/>
      <c r="AR424" s="430"/>
      <c r="AS424" s="430"/>
      <c r="AT424" s="430"/>
      <c r="AU424" s="430"/>
      <c r="AV424" s="430"/>
      <c r="AW424" s="430"/>
      <c r="AX424" s="430"/>
    </row>
    <row r="425">
      <c r="B425" s="471"/>
      <c r="E425" s="471"/>
      <c r="H425" s="471"/>
      <c r="K425" s="471"/>
      <c r="M425" s="454"/>
      <c r="N425" s="424"/>
      <c r="O425" s="424"/>
      <c r="P425" s="430"/>
      <c r="Q425" s="444"/>
      <c r="R425" s="424"/>
      <c r="S425" s="430"/>
      <c r="T425" s="444"/>
      <c r="U425" s="430"/>
      <c r="V425" s="430"/>
      <c r="W425" s="444"/>
      <c r="X425" s="444"/>
      <c r="Y425" s="430"/>
      <c r="Z425" s="430"/>
      <c r="AA425" s="430"/>
      <c r="AB425" s="444"/>
      <c r="AC425" s="444"/>
      <c r="AD425" s="430"/>
      <c r="AE425" s="430"/>
      <c r="AF425" s="430"/>
      <c r="AG425" s="444"/>
      <c r="AH425" s="444"/>
      <c r="AI425" s="430"/>
      <c r="AJ425" s="430"/>
      <c r="AK425" s="430"/>
      <c r="AL425" s="476"/>
      <c r="AM425" s="430"/>
      <c r="AN425" s="430"/>
      <c r="AO425" s="430"/>
      <c r="AP425" s="430"/>
      <c r="AQ425" s="430"/>
      <c r="AR425" s="430"/>
      <c r="AS425" s="430"/>
      <c r="AT425" s="430"/>
      <c r="AU425" s="430"/>
      <c r="AV425" s="430"/>
      <c r="AW425" s="430"/>
      <c r="AX425" s="430"/>
    </row>
    <row r="426">
      <c r="B426" s="471"/>
      <c r="E426" s="471"/>
      <c r="H426" s="471"/>
      <c r="K426" s="471"/>
      <c r="M426" s="454"/>
      <c r="N426" s="424"/>
      <c r="O426" s="424"/>
      <c r="P426" s="430"/>
      <c r="Q426" s="444"/>
      <c r="R426" s="424"/>
      <c r="S426" s="430"/>
      <c r="T426" s="444"/>
      <c r="U426" s="430"/>
      <c r="V426" s="430"/>
      <c r="W426" s="444"/>
      <c r="X426" s="444"/>
      <c r="Y426" s="430"/>
      <c r="Z426" s="430"/>
      <c r="AA426" s="430"/>
      <c r="AB426" s="444"/>
      <c r="AC426" s="444"/>
      <c r="AD426" s="430"/>
      <c r="AE426" s="430"/>
      <c r="AF426" s="430"/>
      <c r="AG426" s="444"/>
      <c r="AH426" s="444"/>
      <c r="AI426" s="430"/>
      <c r="AJ426" s="430"/>
      <c r="AK426" s="430"/>
      <c r="AL426" s="476"/>
      <c r="AM426" s="430"/>
      <c r="AN426" s="430"/>
      <c r="AO426" s="430"/>
      <c r="AP426" s="430"/>
      <c r="AQ426" s="430"/>
      <c r="AR426" s="430"/>
      <c r="AS426" s="430"/>
      <c r="AT426" s="430"/>
      <c r="AU426" s="430"/>
      <c r="AV426" s="430"/>
      <c r="AW426" s="430"/>
      <c r="AX426" s="430"/>
    </row>
    <row r="427">
      <c r="B427" s="471"/>
      <c r="E427" s="471"/>
      <c r="H427" s="471"/>
      <c r="K427" s="471"/>
      <c r="M427" s="454"/>
      <c r="N427" s="424"/>
      <c r="O427" s="424"/>
      <c r="P427" s="430"/>
      <c r="Q427" s="444"/>
      <c r="R427" s="424"/>
      <c r="S427" s="430"/>
      <c r="T427" s="444"/>
      <c r="U427" s="430"/>
      <c r="V427" s="430"/>
      <c r="W427" s="444"/>
      <c r="X427" s="444"/>
      <c r="Y427" s="430"/>
      <c r="Z427" s="430"/>
      <c r="AA427" s="430"/>
      <c r="AB427" s="444"/>
      <c r="AC427" s="444"/>
      <c r="AD427" s="430"/>
      <c r="AE427" s="430"/>
      <c r="AF427" s="430"/>
      <c r="AG427" s="444"/>
      <c r="AH427" s="444"/>
      <c r="AI427" s="430"/>
      <c r="AJ427" s="430"/>
      <c r="AK427" s="430"/>
      <c r="AL427" s="476"/>
      <c r="AM427" s="430"/>
      <c r="AN427" s="430"/>
      <c r="AO427" s="430"/>
      <c r="AP427" s="430"/>
      <c r="AQ427" s="430"/>
      <c r="AR427" s="430"/>
      <c r="AS427" s="430"/>
      <c r="AT427" s="430"/>
      <c r="AU427" s="430"/>
      <c r="AV427" s="430"/>
      <c r="AW427" s="430"/>
      <c r="AX427" s="430"/>
    </row>
    <row r="428">
      <c r="B428" s="471"/>
      <c r="E428" s="471"/>
      <c r="H428" s="471"/>
      <c r="K428" s="471"/>
      <c r="M428" s="454"/>
      <c r="N428" s="424"/>
      <c r="O428" s="424"/>
      <c r="P428" s="430"/>
      <c r="Q428" s="444"/>
      <c r="R428" s="424"/>
      <c r="S428" s="430"/>
      <c r="T428" s="444"/>
      <c r="U428" s="430"/>
      <c r="V428" s="430"/>
      <c r="W428" s="444"/>
      <c r="X428" s="444"/>
      <c r="Y428" s="430"/>
      <c r="Z428" s="430"/>
      <c r="AA428" s="430"/>
      <c r="AB428" s="444"/>
      <c r="AC428" s="444"/>
      <c r="AD428" s="430"/>
      <c r="AE428" s="430"/>
      <c r="AF428" s="430"/>
      <c r="AG428" s="444"/>
      <c r="AH428" s="444"/>
      <c r="AI428" s="430"/>
      <c r="AJ428" s="430"/>
      <c r="AK428" s="430"/>
      <c r="AL428" s="476"/>
      <c r="AM428" s="430"/>
      <c r="AN428" s="430"/>
      <c r="AO428" s="430"/>
      <c r="AP428" s="430"/>
      <c r="AQ428" s="430"/>
      <c r="AR428" s="430"/>
      <c r="AS428" s="430"/>
      <c r="AT428" s="430"/>
      <c r="AU428" s="430"/>
      <c r="AV428" s="430"/>
      <c r="AW428" s="430"/>
      <c r="AX428" s="430"/>
    </row>
    <row r="429">
      <c r="B429" s="471"/>
      <c r="E429" s="471"/>
      <c r="H429" s="471"/>
      <c r="K429" s="471"/>
      <c r="M429" s="454"/>
      <c r="N429" s="424"/>
      <c r="O429" s="424"/>
      <c r="P429" s="430"/>
      <c r="Q429" s="444"/>
      <c r="R429" s="424"/>
      <c r="S429" s="430"/>
      <c r="T429" s="444"/>
      <c r="U429" s="430"/>
      <c r="V429" s="430"/>
      <c r="W429" s="444"/>
      <c r="X429" s="444"/>
      <c r="Y429" s="430"/>
      <c r="Z429" s="430"/>
      <c r="AA429" s="430"/>
      <c r="AB429" s="444"/>
      <c r="AC429" s="444"/>
      <c r="AD429" s="430"/>
      <c r="AE429" s="430"/>
      <c r="AF429" s="430"/>
      <c r="AG429" s="444"/>
      <c r="AH429" s="444"/>
      <c r="AI429" s="430"/>
      <c r="AJ429" s="430"/>
      <c r="AK429" s="430"/>
      <c r="AL429" s="476"/>
      <c r="AM429" s="430"/>
      <c r="AN429" s="430"/>
      <c r="AO429" s="430"/>
      <c r="AP429" s="430"/>
      <c r="AQ429" s="430"/>
      <c r="AR429" s="430"/>
      <c r="AS429" s="430"/>
      <c r="AT429" s="430"/>
      <c r="AU429" s="430"/>
      <c r="AV429" s="430"/>
      <c r="AW429" s="430"/>
      <c r="AX429" s="430"/>
    </row>
    <row r="430">
      <c r="B430" s="471"/>
      <c r="E430" s="471"/>
      <c r="H430" s="471"/>
      <c r="K430" s="471"/>
      <c r="M430" s="454"/>
      <c r="N430" s="424"/>
      <c r="O430" s="424"/>
      <c r="P430" s="430"/>
      <c r="Q430" s="444"/>
      <c r="R430" s="424"/>
      <c r="S430" s="430"/>
      <c r="T430" s="444"/>
      <c r="U430" s="430"/>
      <c r="V430" s="430"/>
      <c r="W430" s="444"/>
      <c r="X430" s="444"/>
      <c r="Y430" s="430"/>
      <c r="Z430" s="430"/>
      <c r="AA430" s="430"/>
      <c r="AB430" s="444"/>
      <c r="AC430" s="444"/>
      <c r="AD430" s="430"/>
      <c r="AE430" s="430"/>
      <c r="AF430" s="430"/>
      <c r="AG430" s="444"/>
      <c r="AH430" s="444"/>
      <c r="AI430" s="430"/>
      <c r="AJ430" s="430"/>
      <c r="AK430" s="430"/>
      <c r="AL430" s="476"/>
      <c r="AM430" s="430"/>
      <c r="AN430" s="430"/>
      <c r="AO430" s="430"/>
      <c r="AP430" s="430"/>
      <c r="AQ430" s="430"/>
      <c r="AR430" s="430"/>
      <c r="AS430" s="430"/>
      <c r="AT430" s="430"/>
      <c r="AU430" s="430"/>
      <c r="AV430" s="430"/>
      <c r="AW430" s="430"/>
      <c r="AX430" s="430"/>
    </row>
    <row r="431">
      <c r="B431" s="471"/>
      <c r="E431" s="471"/>
      <c r="H431" s="471"/>
      <c r="K431" s="471"/>
      <c r="M431" s="454"/>
      <c r="N431" s="424"/>
      <c r="O431" s="424"/>
      <c r="P431" s="430"/>
      <c r="Q431" s="444"/>
      <c r="R431" s="424"/>
      <c r="S431" s="430"/>
      <c r="T431" s="444"/>
      <c r="U431" s="430"/>
      <c r="V431" s="430"/>
      <c r="W431" s="444"/>
      <c r="X431" s="444"/>
      <c r="Y431" s="430"/>
      <c r="Z431" s="430"/>
      <c r="AA431" s="430"/>
      <c r="AB431" s="444"/>
      <c r="AC431" s="444"/>
      <c r="AD431" s="430"/>
      <c r="AE431" s="430"/>
      <c r="AF431" s="430"/>
      <c r="AG431" s="444"/>
      <c r="AH431" s="444"/>
      <c r="AI431" s="430"/>
      <c r="AJ431" s="430"/>
      <c r="AK431" s="430"/>
      <c r="AL431" s="476"/>
      <c r="AM431" s="430"/>
      <c r="AN431" s="430"/>
      <c r="AO431" s="430"/>
      <c r="AP431" s="430"/>
      <c r="AQ431" s="430"/>
      <c r="AR431" s="430"/>
      <c r="AS431" s="430"/>
      <c r="AT431" s="430"/>
      <c r="AU431" s="430"/>
      <c r="AV431" s="430"/>
      <c r="AW431" s="430"/>
      <c r="AX431" s="430"/>
    </row>
    <row r="432">
      <c r="B432" s="471"/>
      <c r="E432" s="471"/>
      <c r="H432" s="471"/>
      <c r="K432" s="471"/>
      <c r="M432" s="454"/>
      <c r="N432" s="424"/>
      <c r="O432" s="424"/>
      <c r="P432" s="430"/>
      <c r="Q432" s="444"/>
      <c r="R432" s="424"/>
      <c r="S432" s="430"/>
      <c r="T432" s="444"/>
      <c r="U432" s="430"/>
      <c r="V432" s="430"/>
      <c r="W432" s="444"/>
      <c r="X432" s="444"/>
      <c r="Y432" s="430"/>
      <c r="Z432" s="430"/>
      <c r="AA432" s="430"/>
      <c r="AB432" s="444"/>
      <c r="AC432" s="444"/>
      <c r="AD432" s="430"/>
      <c r="AE432" s="430"/>
      <c r="AF432" s="430"/>
      <c r="AG432" s="444"/>
      <c r="AH432" s="444"/>
      <c r="AI432" s="430"/>
      <c r="AJ432" s="430"/>
      <c r="AK432" s="430"/>
      <c r="AL432" s="476"/>
      <c r="AM432" s="430"/>
      <c r="AN432" s="430"/>
      <c r="AO432" s="430"/>
      <c r="AP432" s="430"/>
      <c r="AQ432" s="430"/>
      <c r="AR432" s="430"/>
      <c r="AS432" s="430"/>
      <c r="AT432" s="430"/>
      <c r="AU432" s="430"/>
      <c r="AV432" s="430"/>
      <c r="AW432" s="430"/>
      <c r="AX432" s="430"/>
    </row>
    <row r="433">
      <c r="B433" s="471"/>
      <c r="E433" s="471"/>
      <c r="H433" s="471"/>
      <c r="K433" s="471"/>
      <c r="M433" s="454"/>
      <c r="N433" s="424"/>
      <c r="O433" s="424"/>
      <c r="P433" s="430"/>
      <c r="Q433" s="444"/>
      <c r="R433" s="424"/>
      <c r="S433" s="430"/>
      <c r="T433" s="444"/>
      <c r="U433" s="430"/>
      <c r="V433" s="430"/>
      <c r="W433" s="444"/>
      <c r="X433" s="444"/>
      <c r="Y433" s="430"/>
      <c r="Z433" s="430"/>
      <c r="AA433" s="430"/>
      <c r="AB433" s="444"/>
      <c r="AC433" s="444"/>
      <c r="AD433" s="430"/>
      <c r="AE433" s="430"/>
      <c r="AF433" s="430"/>
      <c r="AG433" s="444"/>
      <c r="AH433" s="444"/>
      <c r="AI433" s="430"/>
      <c r="AJ433" s="430"/>
      <c r="AK433" s="430"/>
      <c r="AL433" s="476"/>
      <c r="AM433" s="430"/>
      <c r="AN433" s="430"/>
      <c r="AO433" s="430"/>
      <c r="AP433" s="430"/>
      <c r="AQ433" s="430"/>
      <c r="AR433" s="430"/>
      <c r="AS433" s="430"/>
      <c r="AT433" s="430"/>
      <c r="AU433" s="430"/>
      <c r="AV433" s="430"/>
      <c r="AW433" s="430"/>
      <c r="AX433" s="430"/>
    </row>
    <row r="434">
      <c r="B434" s="471"/>
      <c r="E434" s="471"/>
      <c r="H434" s="471"/>
      <c r="K434" s="471"/>
      <c r="M434" s="454"/>
      <c r="N434" s="424"/>
      <c r="O434" s="424"/>
      <c r="P434" s="430"/>
      <c r="Q434" s="444"/>
      <c r="R434" s="424"/>
      <c r="S434" s="430"/>
      <c r="T434" s="444"/>
      <c r="U434" s="430"/>
      <c r="V434" s="430"/>
      <c r="W434" s="444"/>
      <c r="X434" s="444"/>
      <c r="Y434" s="430"/>
      <c r="Z434" s="430"/>
      <c r="AA434" s="430"/>
      <c r="AB434" s="444"/>
      <c r="AC434" s="444"/>
      <c r="AD434" s="430"/>
      <c r="AE434" s="430"/>
      <c r="AF434" s="430"/>
      <c r="AG434" s="444"/>
      <c r="AH434" s="444"/>
      <c r="AI434" s="430"/>
      <c r="AJ434" s="430"/>
      <c r="AK434" s="430"/>
      <c r="AL434" s="476"/>
      <c r="AM434" s="430"/>
      <c r="AN434" s="430"/>
      <c r="AO434" s="430"/>
      <c r="AP434" s="430"/>
      <c r="AQ434" s="430"/>
      <c r="AR434" s="430"/>
      <c r="AS434" s="430"/>
      <c r="AT434" s="430"/>
      <c r="AU434" s="430"/>
      <c r="AV434" s="430"/>
      <c r="AW434" s="430"/>
      <c r="AX434" s="430"/>
    </row>
    <row r="435">
      <c r="B435" s="471"/>
      <c r="E435" s="471"/>
      <c r="H435" s="471"/>
      <c r="K435" s="471"/>
      <c r="M435" s="454"/>
      <c r="N435" s="424"/>
      <c r="O435" s="424"/>
      <c r="P435" s="430"/>
      <c r="Q435" s="444"/>
      <c r="R435" s="424"/>
      <c r="S435" s="430"/>
      <c r="T435" s="444"/>
      <c r="U435" s="430"/>
      <c r="V435" s="430"/>
      <c r="W435" s="444"/>
      <c r="X435" s="444"/>
      <c r="Y435" s="430"/>
      <c r="Z435" s="430"/>
      <c r="AA435" s="430"/>
      <c r="AB435" s="444"/>
      <c r="AC435" s="444"/>
      <c r="AD435" s="430"/>
      <c r="AE435" s="430"/>
      <c r="AF435" s="430"/>
      <c r="AG435" s="444"/>
      <c r="AH435" s="444"/>
      <c r="AI435" s="430"/>
      <c r="AJ435" s="430"/>
      <c r="AK435" s="430"/>
      <c r="AL435" s="476"/>
      <c r="AM435" s="430"/>
      <c r="AN435" s="430"/>
      <c r="AO435" s="430"/>
      <c r="AP435" s="430"/>
      <c r="AQ435" s="430"/>
      <c r="AR435" s="430"/>
      <c r="AS435" s="430"/>
      <c r="AT435" s="430"/>
      <c r="AU435" s="430"/>
      <c r="AV435" s="430"/>
      <c r="AW435" s="430"/>
      <c r="AX435" s="430"/>
    </row>
    <row r="436">
      <c r="B436" s="471"/>
      <c r="E436" s="471"/>
      <c r="H436" s="471"/>
      <c r="K436" s="471"/>
      <c r="M436" s="454"/>
      <c r="N436" s="424"/>
      <c r="O436" s="424"/>
      <c r="P436" s="430"/>
      <c r="Q436" s="444"/>
      <c r="R436" s="424"/>
      <c r="S436" s="430"/>
      <c r="T436" s="444"/>
      <c r="U436" s="430"/>
      <c r="V436" s="430"/>
      <c r="W436" s="444"/>
      <c r="X436" s="444"/>
      <c r="Y436" s="430"/>
      <c r="Z436" s="430"/>
      <c r="AA436" s="430"/>
      <c r="AB436" s="444"/>
      <c r="AC436" s="444"/>
      <c r="AD436" s="430"/>
      <c r="AE436" s="430"/>
      <c r="AF436" s="430"/>
      <c r="AG436" s="444"/>
      <c r="AH436" s="444"/>
      <c r="AI436" s="430"/>
      <c r="AJ436" s="430"/>
      <c r="AK436" s="430"/>
      <c r="AL436" s="476"/>
      <c r="AM436" s="430"/>
      <c r="AN436" s="430"/>
      <c r="AO436" s="430"/>
      <c r="AP436" s="430"/>
      <c r="AQ436" s="430"/>
      <c r="AR436" s="430"/>
      <c r="AS436" s="430"/>
      <c r="AT436" s="430"/>
      <c r="AU436" s="430"/>
      <c r="AV436" s="430"/>
      <c r="AW436" s="430"/>
      <c r="AX436" s="430"/>
    </row>
    <row r="437">
      <c r="B437" s="471"/>
      <c r="E437" s="471"/>
      <c r="H437" s="471"/>
      <c r="K437" s="471"/>
      <c r="M437" s="454"/>
      <c r="N437" s="424"/>
      <c r="O437" s="424"/>
      <c r="P437" s="430"/>
      <c r="Q437" s="444"/>
      <c r="R437" s="424"/>
      <c r="S437" s="430"/>
      <c r="T437" s="444"/>
      <c r="U437" s="430"/>
      <c r="V437" s="430"/>
      <c r="W437" s="444"/>
      <c r="X437" s="444"/>
      <c r="Y437" s="430"/>
      <c r="Z437" s="430"/>
      <c r="AA437" s="430"/>
      <c r="AB437" s="444"/>
      <c r="AC437" s="444"/>
      <c r="AD437" s="430"/>
      <c r="AE437" s="430"/>
      <c r="AF437" s="430"/>
      <c r="AG437" s="444"/>
      <c r="AH437" s="444"/>
      <c r="AI437" s="430"/>
      <c r="AJ437" s="430"/>
      <c r="AK437" s="430"/>
      <c r="AL437" s="476"/>
      <c r="AM437" s="430"/>
      <c r="AN437" s="430"/>
      <c r="AO437" s="430"/>
      <c r="AP437" s="430"/>
      <c r="AQ437" s="430"/>
      <c r="AR437" s="430"/>
      <c r="AS437" s="430"/>
      <c r="AT437" s="430"/>
      <c r="AU437" s="430"/>
      <c r="AV437" s="430"/>
      <c r="AW437" s="430"/>
      <c r="AX437" s="430"/>
    </row>
    <row r="438">
      <c r="B438" s="471"/>
      <c r="E438" s="471"/>
      <c r="H438" s="471"/>
      <c r="K438" s="471"/>
      <c r="M438" s="454"/>
      <c r="N438" s="424"/>
      <c r="O438" s="424"/>
      <c r="P438" s="430"/>
      <c r="Q438" s="444"/>
      <c r="R438" s="424"/>
      <c r="S438" s="430"/>
      <c r="T438" s="444"/>
      <c r="U438" s="430"/>
      <c r="V438" s="430"/>
      <c r="W438" s="444"/>
      <c r="X438" s="444"/>
      <c r="Y438" s="430"/>
      <c r="Z438" s="430"/>
      <c r="AA438" s="430"/>
      <c r="AB438" s="444"/>
      <c r="AC438" s="444"/>
      <c r="AD438" s="430"/>
      <c r="AE438" s="430"/>
      <c r="AF438" s="430"/>
      <c r="AG438" s="444"/>
      <c r="AH438" s="444"/>
      <c r="AI438" s="430"/>
      <c r="AJ438" s="430"/>
      <c r="AK438" s="430"/>
      <c r="AL438" s="476"/>
      <c r="AM438" s="430"/>
      <c r="AN438" s="430"/>
      <c r="AO438" s="430"/>
      <c r="AP438" s="430"/>
      <c r="AQ438" s="430"/>
      <c r="AR438" s="430"/>
      <c r="AS438" s="430"/>
      <c r="AT438" s="430"/>
      <c r="AU438" s="430"/>
      <c r="AV438" s="430"/>
      <c r="AW438" s="430"/>
      <c r="AX438" s="430"/>
    </row>
    <row r="439">
      <c r="B439" s="471"/>
      <c r="E439" s="471"/>
      <c r="H439" s="471"/>
      <c r="K439" s="471"/>
      <c r="M439" s="454"/>
      <c r="N439" s="424"/>
      <c r="O439" s="424"/>
      <c r="P439" s="430"/>
      <c r="Q439" s="444"/>
      <c r="R439" s="424"/>
      <c r="S439" s="430"/>
      <c r="T439" s="444"/>
      <c r="U439" s="430"/>
      <c r="V439" s="430"/>
      <c r="W439" s="444"/>
      <c r="X439" s="444"/>
      <c r="Y439" s="430"/>
      <c r="Z439" s="430"/>
      <c r="AA439" s="430"/>
      <c r="AB439" s="444"/>
      <c r="AC439" s="444"/>
      <c r="AD439" s="430"/>
      <c r="AE439" s="430"/>
      <c r="AF439" s="430"/>
      <c r="AG439" s="444"/>
      <c r="AH439" s="444"/>
      <c r="AI439" s="430"/>
      <c r="AJ439" s="430"/>
      <c r="AK439" s="430"/>
      <c r="AL439" s="476"/>
      <c r="AM439" s="430"/>
      <c r="AN439" s="430"/>
      <c r="AO439" s="430"/>
      <c r="AP439" s="430"/>
      <c r="AQ439" s="430"/>
      <c r="AR439" s="430"/>
      <c r="AS439" s="430"/>
      <c r="AT439" s="430"/>
      <c r="AU439" s="430"/>
      <c r="AV439" s="430"/>
      <c r="AW439" s="430"/>
      <c r="AX439" s="430"/>
    </row>
    <row r="440">
      <c r="B440" s="471"/>
      <c r="E440" s="471"/>
      <c r="H440" s="471"/>
      <c r="K440" s="471"/>
      <c r="M440" s="454"/>
      <c r="N440" s="424"/>
      <c r="O440" s="424"/>
      <c r="P440" s="430"/>
      <c r="Q440" s="444"/>
      <c r="R440" s="424"/>
      <c r="S440" s="430"/>
      <c r="T440" s="444"/>
      <c r="U440" s="430"/>
      <c r="V440" s="430"/>
      <c r="W440" s="444"/>
      <c r="X440" s="444"/>
      <c r="Y440" s="430"/>
      <c r="Z440" s="430"/>
      <c r="AA440" s="430"/>
      <c r="AB440" s="444"/>
      <c r="AC440" s="444"/>
      <c r="AD440" s="430"/>
      <c r="AE440" s="430"/>
      <c r="AF440" s="430"/>
      <c r="AG440" s="444"/>
      <c r="AH440" s="444"/>
      <c r="AI440" s="430"/>
      <c r="AJ440" s="430"/>
      <c r="AK440" s="430"/>
      <c r="AL440" s="476"/>
      <c r="AM440" s="430"/>
      <c r="AN440" s="430"/>
      <c r="AO440" s="430"/>
      <c r="AP440" s="430"/>
      <c r="AQ440" s="430"/>
      <c r="AR440" s="430"/>
      <c r="AS440" s="430"/>
      <c r="AT440" s="430"/>
      <c r="AU440" s="430"/>
      <c r="AV440" s="430"/>
      <c r="AW440" s="430"/>
      <c r="AX440" s="430"/>
    </row>
    <row r="441">
      <c r="B441" s="471"/>
      <c r="E441" s="471"/>
      <c r="H441" s="471"/>
      <c r="K441" s="471"/>
      <c r="M441" s="454"/>
      <c r="N441" s="424"/>
      <c r="O441" s="424"/>
      <c r="P441" s="430"/>
      <c r="Q441" s="444"/>
      <c r="R441" s="424"/>
      <c r="S441" s="430"/>
      <c r="T441" s="444"/>
      <c r="U441" s="430"/>
      <c r="V441" s="430"/>
      <c r="W441" s="444"/>
      <c r="X441" s="444"/>
      <c r="Y441" s="430"/>
      <c r="Z441" s="430"/>
      <c r="AA441" s="430"/>
      <c r="AB441" s="444"/>
      <c r="AC441" s="444"/>
      <c r="AD441" s="430"/>
      <c r="AE441" s="430"/>
      <c r="AF441" s="430"/>
      <c r="AG441" s="444"/>
      <c r="AH441" s="444"/>
      <c r="AI441" s="430"/>
      <c r="AJ441" s="430"/>
      <c r="AK441" s="430"/>
      <c r="AL441" s="476"/>
      <c r="AM441" s="430"/>
      <c r="AN441" s="430"/>
      <c r="AO441" s="430"/>
      <c r="AP441" s="430"/>
      <c r="AQ441" s="430"/>
      <c r="AR441" s="430"/>
      <c r="AS441" s="430"/>
      <c r="AT441" s="430"/>
      <c r="AU441" s="430"/>
      <c r="AV441" s="430"/>
      <c r="AW441" s="430"/>
      <c r="AX441" s="430"/>
    </row>
    <row r="442">
      <c r="B442" s="471"/>
      <c r="E442" s="471"/>
      <c r="H442" s="471"/>
      <c r="K442" s="471"/>
      <c r="M442" s="454"/>
      <c r="N442" s="424"/>
      <c r="O442" s="424"/>
      <c r="P442" s="430"/>
      <c r="Q442" s="444"/>
      <c r="R442" s="424"/>
      <c r="S442" s="430"/>
      <c r="T442" s="444"/>
      <c r="U442" s="430"/>
      <c r="V442" s="430"/>
      <c r="W442" s="444"/>
      <c r="X442" s="444"/>
      <c r="Y442" s="430"/>
      <c r="Z442" s="430"/>
      <c r="AA442" s="430"/>
      <c r="AB442" s="444"/>
      <c r="AC442" s="444"/>
      <c r="AD442" s="430"/>
      <c r="AE442" s="430"/>
      <c r="AF442" s="430"/>
      <c r="AG442" s="444"/>
      <c r="AH442" s="444"/>
      <c r="AI442" s="430"/>
      <c r="AJ442" s="430"/>
      <c r="AK442" s="430"/>
      <c r="AL442" s="476"/>
      <c r="AM442" s="430"/>
      <c r="AN442" s="430"/>
      <c r="AO442" s="430"/>
      <c r="AP442" s="430"/>
      <c r="AQ442" s="430"/>
      <c r="AR442" s="430"/>
      <c r="AS442" s="430"/>
      <c r="AT442" s="430"/>
      <c r="AU442" s="430"/>
      <c r="AV442" s="430"/>
      <c r="AW442" s="430"/>
      <c r="AX442" s="430"/>
    </row>
    <row r="443">
      <c r="B443" s="471"/>
      <c r="E443" s="471"/>
      <c r="H443" s="471"/>
      <c r="K443" s="471"/>
      <c r="M443" s="454"/>
      <c r="N443" s="424"/>
      <c r="O443" s="424"/>
      <c r="P443" s="430"/>
      <c r="Q443" s="444"/>
      <c r="R443" s="424"/>
      <c r="S443" s="430"/>
      <c r="T443" s="444"/>
      <c r="U443" s="430"/>
      <c r="V443" s="430"/>
      <c r="W443" s="444"/>
      <c r="X443" s="444"/>
      <c r="Y443" s="430"/>
      <c r="Z443" s="430"/>
      <c r="AA443" s="430"/>
      <c r="AB443" s="444"/>
      <c r="AC443" s="444"/>
      <c r="AD443" s="430"/>
      <c r="AE443" s="430"/>
      <c r="AF443" s="430"/>
      <c r="AG443" s="444"/>
      <c r="AH443" s="444"/>
      <c r="AI443" s="430"/>
      <c r="AJ443" s="430"/>
      <c r="AK443" s="430"/>
      <c r="AL443" s="476"/>
      <c r="AM443" s="430"/>
      <c r="AN443" s="430"/>
      <c r="AO443" s="430"/>
      <c r="AP443" s="430"/>
      <c r="AQ443" s="430"/>
      <c r="AR443" s="430"/>
      <c r="AS443" s="430"/>
      <c r="AT443" s="430"/>
      <c r="AU443" s="430"/>
      <c r="AV443" s="430"/>
      <c r="AW443" s="430"/>
      <c r="AX443" s="430"/>
    </row>
    <row r="444">
      <c r="B444" s="471"/>
      <c r="E444" s="471"/>
      <c r="H444" s="471"/>
      <c r="K444" s="471"/>
      <c r="M444" s="454"/>
      <c r="N444" s="424"/>
      <c r="O444" s="424"/>
      <c r="P444" s="430"/>
      <c r="Q444" s="444"/>
      <c r="R444" s="424"/>
      <c r="S444" s="430"/>
      <c r="T444" s="444"/>
      <c r="U444" s="430"/>
      <c r="V444" s="430"/>
      <c r="W444" s="444"/>
      <c r="X444" s="444"/>
      <c r="Y444" s="430"/>
      <c r="Z444" s="430"/>
      <c r="AA444" s="430"/>
      <c r="AB444" s="444"/>
      <c r="AC444" s="444"/>
      <c r="AD444" s="430"/>
      <c r="AE444" s="430"/>
      <c r="AF444" s="430"/>
      <c r="AG444" s="444"/>
      <c r="AH444" s="444"/>
      <c r="AI444" s="430"/>
      <c r="AJ444" s="430"/>
      <c r="AK444" s="430"/>
      <c r="AL444" s="476"/>
      <c r="AM444" s="430"/>
      <c r="AN444" s="430"/>
      <c r="AO444" s="430"/>
      <c r="AP444" s="430"/>
      <c r="AQ444" s="430"/>
      <c r="AR444" s="430"/>
      <c r="AS444" s="430"/>
      <c r="AT444" s="430"/>
      <c r="AU444" s="430"/>
      <c r="AV444" s="430"/>
      <c r="AW444" s="430"/>
      <c r="AX444" s="430"/>
    </row>
    <row r="445">
      <c r="B445" s="471"/>
      <c r="E445" s="471"/>
      <c r="H445" s="471"/>
      <c r="K445" s="471"/>
      <c r="M445" s="454"/>
      <c r="N445" s="424"/>
      <c r="O445" s="424"/>
      <c r="P445" s="430"/>
      <c r="Q445" s="444"/>
      <c r="R445" s="424"/>
      <c r="S445" s="430"/>
      <c r="T445" s="444"/>
      <c r="U445" s="430"/>
      <c r="V445" s="430"/>
      <c r="W445" s="444"/>
      <c r="X445" s="444"/>
      <c r="Y445" s="430"/>
      <c r="Z445" s="430"/>
      <c r="AA445" s="430"/>
      <c r="AB445" s="444"/>
      <c r="AC445" s="444"/>
      <c r="AD445" s="430"/>
      <c r="AE445" s="430"/>
      <c r="AF445" s="430"/>
      <c r="AG445" s="444"/>
      <c r="AH445" s="444"/>
      <c r="AI445" s="430"/>
      <c r="AJ445" s="430"/>
      <c r="AK445" s="430"/>
      <c r="AL445" s="476"/>
      <c r="AM445" s="430"/>
      <c r="AN445" s="430"/>
      <c r="AO445" s="430"/>
      <c r="AP445" s="430"/>
      <c r="AQ445" s="430"/>
      <c r="AR445" s="430"/>
      <c r="AS445" s="430"/>
      <c r="AT445" s="430"/>
      <c r="AU445" s="430"/>
      <c r="AV445" s="430"/>
      <c r="AW445" s="430"/>
      <c r="AX445" s="430"/>
    </row>
    <row r="446">
      <c r="B446" s="471"/>
      <c r="E446" s="471"/>
      <c r="H446" s="471"/>
      <c r="K446" s="471"/>
      <c r="M446" s="454"/>
      <c r="N446" s="424"/>
      <c r="O446" s="424"/>
      <c r="P446" s="430"/>
      <c r="Q446" s="444"/>
      <c r="R446" s="424"/>
      <c r="S446" s="430"/>
      <c r="T446" s="444"/>
      <c r="U446" s="430"/>
      <c r="V446" s="430"/>
      <c r="W446" s="444"/>
      <c r="X446" s="444"/>
      <c r="Y446" s="430"/>
      <c r="Z446" s="430"/>
      <c r="AA446" s="430"/>
      <c r="AB446" s="444"/>
      <c r="AC446" s="444"/>
      <c r="AD446" s="430"/>
      <c r="AE446" s="430"/>
      <c r="AF446" s="430"/>
      <c r="AG446" s="444"/>
      <c r="AH446" s="444"/>
      <c r="AI446" s="430"/>
      <c r="AJ446" s="430"/>
      <c r="AK446" s="430"/>
      <c r="AL446" s="476"/>
      <c r="AM446" s="430"/>
      <c r="AN446" s="430"/>
      <c r="AO446" s="430"/>
      <c r="AP446" s="430"/>
      <c r="AQ446" s="430"/>
      <c r="AR446" s="430"/>
      <c r="AS446" s="430"/>
      <c r="AT446" s="430"/>
      <c r="AU446" s="430"/>
      <c r="AV446" s="430"/>
      <c r="AW446" s="430"/>
      <c r="AX446" s="430"/>
    </row>
    <row r="447">
      <c r="B447" s="471"/>
      <c r="E447" s="471"/>
      <c r="H447" s="471"/>
      <c r="K447" s="471"/>
      <c r="M447" s="454"/>
      <c r="N447" s="424"/>
      <c r="O447" s="424"/>
      <c r="P447" s="430"/>
      <c r="Q447" s="444"/>
      <c r="R447" s="424"/>
      <c r="S447" s="430"/>
      <c r="T447" s="444"/>
      <c r="U447" s="430"/>
      <c r="V447" s="430"/>
      <c r="W447" s="444"/>
      <c r="X447" s="444"/>
      <c r="Y447" s="430"/>
      <c r="Z447" s="430"/>
      <c r="AA447" s="430"/>
      <c r="AB447" s="444"/>
      <c r="AC447" s="444"/>
      <c r="AD447" s="430"/>
      <c r="AE447" s="430"/>
      <c r="AF447" s="430"/>
      <c r="AG447" s="444"/>
      <c r="AH447" s="444"/>
      <c r="AI447" s="430"/>
      <c r="AJ447" s="430"/>
      <c r="AK447" s="430"/>
      <c r="AL447" s="476"/>
      <c r="AM447" s="430"/>
      <c r="AN447" s="430"/>
      <c r="AO447" s="430"/>
      <c r="AP447" s="430"/>
      <c r="AQ447" s="430"/>
      <c r="AR447" s="430"/>
      <c r="AS447" s="430"/>
      <c r="AT447" s="430"/>
      <c r="AU447" s="430"/>
      <c r="AV447" s="430"/>
      <c r="AW447" s="430"/>
      <c r="AX447" s="430"/>
    </row>
    <row r="448">
      <c r="B448" s="471"/>
      <c r="E448" s="471"/>
      <c r="H448" s="471"/>
      <c r="K448" s="471"/>
      <c r="M448" s="454"/>
      <c r="N448" s="424"/>
      <c r="O448" s="424"/>
      <c r="P448" s="430"/>
      <c r="Q448" s="444"/>
      <c r="R448" s="424"/>
      <c r="S448" s="430"/>
      <c r="T448" s="444"/>
      <c r="U448" s="430"/>
      <c r="V448" s="430"/>
      <c r="W448" s="444"/>
      <c r="X448" s="444"/>
      <c r="Y448" s="430"/>
      <c r="Z448" s="430"/>
      <c r="AA448" s="430"/>
      <c r="AB448" s="444"/>
      <c r="AC448" s="444"/>
      <c r="AD448" s="430"/>
      <c r="AE448" s="430"/>
      <c r="AF448" s="430"/>
      <c r="AG448" s="444"/>
      <c r="AH448" s="444"/>
      <c r="AI448" s="430"/>
      <c r="AJ448" s="430"/>
      <c r="AK448" s="430"/>
      <c r="AL448" s="476"/>
      <c r="AM448" s="430"/>
      <c r="AN448" s="430"/>
      <c r="AO448" s="430"/>
      <c r="AP448" s="430"/>
      <c r="AQ448" s="430"/>
      <c r="AR448" s="430"/>
      <c r="AS448" s="430"/>
      <c r="AT448" s="430"/>
      <c r="AU448" s="430"/>
      <c r="AV448" s="430"/>
      <c r="AW448" s="430"/>
      <c r="AX448" s="430"/>
    </row>
    <row r="449">
      <c r="B449" s="471"/>
      <c r="E449" s="471"/>
      <c r="H449" s="471"/>
      <c r="K449" s="471"/>
      <c r="M449" s="454"/>
      <c r="N449" s="424"/>
      <c r="O449" s="424"/>
      <c r="P449" s="430"/>
      <c r="Q449" s="444"/>
      <c r="R449" s="424"/>
      <c r="S449" s="430"/>
      <c r="T449" s="444"/>
      <c r="U449" s="430"/>
      <c r="V449" s="430"/>
      <c r="W449" s="444"/>
      <c r="X449" s="444"/>
      <c r="Y449" s="430"/>
      <c r="Z449" s="430"/>
      <c r="AA449" s="430"/>
      <c r="AB449" s="444"/>
      <c r="AC449" s="444"/>
      <c r="AD449" s="430"/>
      <c r="AE449" s="430"/>
      <c r="AF449" s="430"/>
      <c r="AG449" s="444"/>
      <c r="AH449" s="444"/>
      <c r="AI449" s="430"/>
      <c r="AJ449" s="430"/>
      <c r="AK449" s="430"/>
      <c r="AL449" s="476"/>
      <c r="AM449" s="430"/>
      <c r="AN449" s="430"/>
      <c r="AO449" s="430"/>
      <c r="AP449" s="430"/>
      <c r="AQ449" s="430"/>
      <c r="AR449" s="430"/>
      <c r="AS449" s="430"/>
      <c r="AT449" s="430"/>
      <c r="AU449" s="430"/>
      <c r="AV449" s="430"/>
      <c r="AW449" s="430"/>
      <c r="AX449" s="430"/>
    </row>
    <row r="450">
      <c r="B450" s="471"/>
      <c r="E450" s="471"/>
      <c r="H450" s="471"/>
      <c r="K450" s="471"/>
      <c r="M450" s="454"/>
      <c r="N450" s="424"/>
      <c r="O450" s="424"/>
      <c r="P450" s="430"/>
      <c r="Q450" s="444"/>
      <c r="R450" s="424"/>
      <c r="S450" s="430"/>
      <c r="T450" s="444"/>
      <c r="U450" s="430"/>
      <c r="V450" s="430"/>
      <c r="W450" s="444"/>
      <c r="X450" s="444"/>
      <c r="Y450" s="430"/>
      <c r="Z450" s="430"/>
      <c r="AA450" s="430"/>
      <c r="AB450" s="444"/>
      <c r="AC450" s="444"/>
      <c r="AD450" s="430"/>
      <c r="AE450" s="430"/>
      <c r="AF450" s="430"/>
      <c r="AG450" s="444"/>
      <c r="AH450" s="444"/>
      <c r="AI450" s="430"/>
      <c r="AJ450" s="430"/>
      <c r="AK450" s="430"/>
      <c r="AL450" s="476"/>
      <c r="AM450" s="430"/>
      <c r="AN450" s="430"/>
      <c r="AO450" s="430"/>
      <c r="AP450" s="430"/>
      <c r="AQ450" s="430"/>
      <c r="AR450" s="430"/>
      <c r="AS450" s="430"/>
      <c r="AT450" s="430"/>
      <c r="AU450" s="430"/>
      <c r="AV450" s="430"/>
      <c r="AW450" s="430"/>
      <c r="AX450" s="430"/>
    </row>
    <row r="451">
      <c r="B451" s="471"/>
      <c r="E451" s="471"/>
      <c r="H451" s="471"/>
      <c r="K451" s="471"/>
      <c r="M451" s="454"/>
      <c r="N451" s="424"/>
      <c r="O451" s="424"/>
      <c r="P451" s="430"/>
      <c r="Q451" s="444"/>
      <c r="R451" s="424"/>
      <c r="S451" s="430"/>
      <c r="T451" s="444"/>
      <c r="U451" s="430"/>
      <c r="V451" s="430"/>
      <c r="W451" s="444"/>
      <c r="X451" s="444"/>
      <c r="Y451" s="430"/>
      <c r="Z451" s="430"/>
      <c r="AA451" s="430"/>
      <c r="AB451" s="444"/>
      <c r="AC451" s="444"/>
      <c r="AD451" s="430"/>
      <c r="AE451" s="430"/>
      <c r="AF451" s="430"/>
      <c r="AG451" s="444"/>
      <c r="AH451" s="444"/>
      <c r="AI451" s="430"/>
      <c r="AJ451" s="430"/>
      <c r="AK451" s="430"/>
      <c r="AL451" s="476"/>
      <c r="AM451" s="430"/>
      <c r="AN451" s="430"/>
      <c r="AO451" s="430"/>
      <c r="AP451" s="430"/>
      <c r="AQ451" s="430"/>
      <c r="AR451" s="430"/>
      <c r="AS451" s="430"/>
      <c r="AT451" s="430"/>
      <c r="AU451" s="430"/>
      <c r="AV451" s="430"/>
      <c r="AW451" s="430"/>
      <c r="AX451" s="430"/>
    </row>
    <row r="452">
      <c r="B452" s="471"/>
      <c r="E452" s="471"/>
      <c r="H452" s="471"/>
      <c r="K452" s="471"/>
      <c r="M452" s="454"/>
      <c r="N452" s="424"/>
      <c r="O452" s="424"/>
      <c r="P452" s="430"/>
      <c r="Q452" s="444"/>
      <c r="R452" s="424"/>
      <c r="S452" s="430"/>
      <c r="T452" s="444"/>
      <c r="U452" s="430"/>
      <c r="V452" s="430"/>
      <c r="W452" s="444"/>
      <c r="X452" s="444"/>
      <c r="Y452" s="430"/>
      <c r="Z452" s="430"/>
      <c r="AA452" s="430"/>
      <c r="AB452" s="444"/>
      <c r="AC452" s="444"/>
      <c r="AD452" s="430"/>
      <c r="AE452" s="430"/>
      <c r="AF452" s="430"/>
      <c r="AG452" s="444"/>
      <c r="AH452" s="444"/>
      <c r="AI452" s="430"/>
      <c r="AJ452" s="430"/>
      <c r="AK452" s="430"/>
      <c r="AL452" s="476"/>
      <c r="AM452" s="430"/>
      <c r="AN452" s="430"/>
      <c r="AO452" s="430"/>
      <c r="AP452" s="430"/>
      <c r="AQ452" s="430"/>
      <c r="AR452" s="430"/>
      <c r="AS452" s="430"/>
      <c r="AT452" s="430"/>
      <c r="AU452" s="430"/>
      <c r="AV452" s="430"/>
      <c r="AW452" s="430"/>
      <c r="AX452" s="430"/>
    </row>
    <row r="453">
      <c r="B453" s="471"/>
      <c r="E453" s="471"/>
      <c r="H453" s="471"/>
      <c r="K453" s="471"/>
      <c r="M453" s="454"/>
      <c r="N453" s="424"/>
      <c r="O453" s="424"/>
      <c r="P453" s="430"/>
      <c r="Q453" s="444"/>
      <c r="R453" s="424"/>
      <c r="S453" s="430"/>
      <c r="T453" s="444"/>
      <c r="U453" s="430"/>
      <c r="V453" s="430"/>
      <c r="W453" s="444"/>
      <c r="X453" s="444"/>
      <c r="Y453" s="430"/>
      <c r="Z453" s="430"/>
      <c r="AA453" s="430"/>
      <c r="AB453" s="444"/>
      <c r="AC453" s="444"/>
      <c r="AD453" s="430"/>
      <c r="AE453" s="430"/>
      <c r="AF453" s="430"/>
      <c r="AG453" s="444"/>
      <c r="AH453" s="444"/>
      <c r="AI453" s="430"/>
      <c r="AJ453" s="430"/>
      <c r="AK453" s="430"/>
      <c r="AL453" s="476"/>
      <c r="AM453" s="430"/>
      <c r="AN453" s="430"/>
      <c r="AO453" s="430"/>
      <c r="AP453" s="430"/>
      <c r="AQ453" s="430"/>
      <c r="AR453" s="430"/>
      <c r="AS453" s="430"/>
      <c r="AT453" s="430"/>
      <c r="AU453" s="430"/>
      <c r="AV453" s="430"/>
      <c r="AW453" s="430"/>
      <c r="AX453" s="430"/>
    </row>
    <row r="454">
      <c r="B454" s="471"/>
      <c r="E454" s="471"/>
      <c r="H454" s="471"/>
      <c r="K454" s="471"/>
      <c r="M454" s="454"/>
      <c r="N454" s="424"/>
      <c r="O454" s="424"/>
      <c r="P454" s="430"/>
      <c r="Q454" s="444"/>
      <c r="R454" s="424"/>
      <c r="S454" s="430"/>
      <c r="T454" s="444"/>
      <c r="U454" s="430"/>
      <c r="V454" s="430"/>
      <c r="W454" s="444"/>
      <c r="X454" s="444"/>
      <c r="Y454" s="430"/>
      <c r="Z454" s="430"/>
      <c r="AA454" s="430"/>
      <c r="AB454" s="444"/>
      <c r="AC454" s="444"/>
      <c r="AD454" s="430"/>
      <c r="AE454" s="430"/>
      <c r="AF454" s="430"/>
      <c r="AG454" s="444"/>
      <c r="AH454" s="444"/>
      <c r="AI454" s="430"/>
      <c r="AJ454" s="430"/>
      <c r="AK454" s="430"/>
      <c r="AL454" s="476"/>
      <c r="AM454" s="430"/>
      <c r="AN454" s="430"/>
      <c r="AO454" s="430"/>
      <c r="AP454" s="430"/>
      <c r="AQ454" s="430"/>
      <c r="AR454" s="430"/>
      <c r="AS454" s="430"/>
      <c r="AT454" s="430"/>
      <c r="AU454" s="430"/>
      <c r="AV454" s="430"/>
      <c r="AW454" s="430"/>
      <c r="AX454" s="430"/>
    </row>
    <row r="455">
      <c r="B455" s="471"/>
      <c r="E455" s="471"/>
      <c r="H455" s="471"/>
      <c r="K455" s="471"/>
      <c r="M455" s="454"/>
      <c r="N455" s="424"/>
      <c r="O455" s="424"/>
      <c r="P455" s="430"/>
      <c r="Q455" s="444"/>
      <c r="R455" s="424"/>
      <c r="S455" s="430"/>
      <c r="T455" s="444"/>
      <c r="U455" s="430"/>
      <c r="V455" s="430"/>
      <c r="W455" s="444"/>
      <c r="X455" s="444"/>
      <c r="Y455" s="430"/>
      <c r="Z455" s="430"/>
      <c r="AA455" s="430"/>
      <c r="AB455" s="444"/>
      <c r="AC455" s="444"/>
      <c r="AD455" s="430"/>
      <c r="AE455" s="430"/>
      <c r="AF455" s="430"/>
      <c r="AG455" s="444"/>
      <c r="AH455" s="444"/>
      <c r="AI455" s="430"/>
      <c r="AJ455" s="430"/>
      <c r="AK455" s="430"/>
      <c r="AL455" s="476"/>
      <c r="AM455" s="430"/>
      <c r="AN455" s="430"/>
      <c r="AO455" s="430"/>
      <c r="AP455" s="430"/>
      <c r="AQ455" s="430"/>
      <c r="AR455" s="430"/>
      <c r="AS455" s="430"/>
      <c r="AT455" s="430"/>
      <c r="AU455" s="430"/>
      <c r="AV455" s="430"/>
      <c r="AW455" s="430"/>
      <c r="AX455" s="430"/>
    </row>
    <row r="456">
      <c r="B456" s="471"/>
      <c r="E456" s="471"/>
      <c r="H456" s="471"/>
      <c r="K456" s="471"/>
      <c r="M456" s="454"/>
      <c r="N456" s="424"/>
      <c r="O456" s="424"/>
      <c r="P456" s="430"/>
      <c r="Q456" s="444"/>
      <c r="R456" s="424"/>
      <c r="S456" s="430"/>
      <c r="T456" s="444"/>
      <c r="U456" s="430"/>
      <c r="V456" s="430"/>
      <c r="W456" s="444"/>
      <c r="X456" s="444"/>
      <c r="Y456" s="430"/>
      <c r="Z456" s="430"/>
      <c r="AA456" s="430"/>
      <c r="AB456" s="444"/>
      <c r="AC456" s="444"/>
      <c r="AD456" s="430"/>
      <c r="AE456" s="430"/>
      <c r="AF456" s="430"/>
      <c r="AG456" s="444"/>
      <c r="AH456" s="444"/>
      <c r="AI456" s="430"/>
      <c r="AJ456" s="430"/>
      <c r="AK456" s="430"/>
      <c r="AL456" s="476"/>
      <c r="AM456" s="430"/>
      <c r="AN456" s="430"/>
      <c r="AO456" s="430"/>
      <c r="AP456" s="430"/>
      <c r="AQ456" s="430"/>
      <c r="AR456" s="430"/>
      <c r="AS456" s="430"/>
      <c r="AT456" s="430"/>
      <c r="AU456" s="430"/>
      <c r="AV456" s="430"/>
      <c r="AW456" s="430"/>
      <c r="AX456" s="430"/>
    </row>
    <row r="457">
      <c r="B457" s="471"/>
      <c r="E457" s="471"/>
      <c r="H457" s="471"/>
      <c r="K457" s="471"/>
      <c r="M457" s="454"/>
      <c r="N457" s="424"/>
      <c r="O457" s="424"/>
      <c r="P457" s="430"/>
      <c r="Q457" s="444"/>
      <c r="R457" s="424"/>
      <c r="S457" s="430"/>
      <c r="T457" s="444"/>
      <c r="U457" s="430"/>
      <c r="V457" s="430"/>
      <c r="W457" s="444"/>
      <c r="X457" s="444"/>
      <c r="Y457" s="430"/>
      <c r="Z457" s="430"/>
      <c r="AA457" s="430"/>
      <c r="AB457" s="444"/>
      <c r="AC457" s="444"/>
      <c r="AD457" s="430"/>
      <c r="AE457" s="430"/>
      <c r="AF457" s="430"/>
      <c r="AG457" s="444"/>
      <c r="AH457" s="444"/>
      <c r="AI457" s="430"/>
      <c r="AJ457" s="430"/>
      <c r="AK457" s="430"/>
      <c r="AL457" s="476"/>
      <c r="AM457" s="430"/>
      <c r="AN457" s="430"/>
      <c r="AO457" s="430"/>
      <c r="AP457" s="430"/>
      <c r="AQ457" s="430"/>
      <c r="AR457" s="430"/>
      <c r="AS457" s="430"/>
      <c r="AT457" s="430"/>
      <c r="AU457" s="430"/>
      <c r="AV457" s="430"/>
      <c r="AW457" s="430"/>
      <c r="AX457" s="430"/>
    </row>
    <row r="458">
      <c r="B458" s="471"/>
      <c r="E458" s="471"/>
      <c r="H458" s="471"/>
      <c r="K458" s="471"/>
      <c r="M458" s="454"/>
      <c r="N458" s="424"/>
      <c r="O458" s="424"/>
      <c r="P458" s="430"/>
      <c r="Q458" s="444"/>
      <c r="R458" s="424"/>
      <c r="S458" s="430"/>
      <c r="T458" s="444"/>
      <c r="U458" s="430"/>
      <c r="V458" s="430"/>
      <c r="W458" s="444"/>
      <c r="X458" s="444"/>
      <c r="Y458" s="430"/>
      <c r="Z458" s="430"/>
      <c r="AA458" s="430"/>
      <c r="AB458" s="444"/>
      <c r="AC458" s="444"/>
      <c r="AD458" s="430"/>
      <c r="AE458" s="430"/>
      <c r="AF458" s="430"/>
      <c r="AG458" s="444"/>
      <c r="AH458" s="444"/>
      <c r="AI458" s="430"/>
      <c r="AJ458" s="430"/>
      <c r="AK458" s="430"/>
      <c r="AL458" s="476"/>
      <c r="AM458" s="430"/>
      <c r="AN458" s="430"/>
      <c r="AO458" s="430"/>
      <c r="AP458" s="430"/>
      <c r="AQ458" s="430"/>
      <c r="AR458" s="430"/>
      <c r="AS458" s="430"/>
      <c r="AT458" s="430"/>
      <c r="AU458" s="430"/>
      <c r="AV458" s="430"/>
      <c r="AW458" s="430"/>
      <c r="AX458" s="430"/>
    </row>
    <row r="459">
      <c r="B459" s="471"/>
      <c r="E459" s="471"/>
      <c r="H459" s="471"/>
      <c r="K459" s="471"/>
      <c r="M459" s="454"/>
      <c r="N459" s="424"/>
      <c r="O459" s="424"/>
      <c r="P459" s="430"/>
      <c r="Q459" s="444"/>
      <c r="R459" s="424"/>
      <c r="S459" s="430"/>
      <c r="T459" s="444"/>
      <c r="U459" s="430"/>
      <c r="V459" s="430"/>
      <c r="W459" s="444"/>
      <c r="X459" s="444"/>
      <c r="Y459" s="430"/>
      <c r="Z459" s="430"/>
      <c r="AA459" s="430"/>
      <c r="AB459" s="444"/>
      <c r="AC459" s="444"/>
      <c r="AD459" s="430"/>
      <c r="AE459" s="430"/>
      <c r="AF459" s="430"/>
      <c r="AG459" s="444"/>
      <c r="AH459" s="444"/>
      <c r="AI459" s="430"/>
      <c r="AJ459" s="430"/>
      <c r="AK459" s="430"/>
      <c r="AL459" s="476"/>
      <c r="AM459" s="430"/>
      <c r="AN459" s="430"/>
      <c r="AO459" s="430"/>
      <c r="AP459" s="430"/>
      <c r="AQ459" s="430"/>
      <c r="AR459" s="430"/>
      <c r="AS459" s="430"/>
      <c r="AT459" s="430"/>
      <c r="AU459" s="430"/>
      <c r="AV459" s="430"/>
      <c r="AW459" s="430"/>
      <c r="AX459" s="430"/>
    </row>
    <row r="460">
      <c r="B460" s="471"/>
      <c r="E460" s="471"/>
      <c r="H460" s="471"/>
      <c r="K460" s="471"/>
      <c r="M460" s="454"/>
      <c r="N460" s="424"/>
      <c r="O460" s="424"/>
      <c r="P460" s="430"/>
      <c r="Q460" s="444"/>
      <c r="R460" s="424"/>
      <c r="S460" s="430"/>
      <c r="T460" s="444"/>
      <c r="U460" s="430"/>
      <c r="V460" s="430"/>
      <c r="W460" s="444"/>
      <c r="X460" s="444"/>
      <c r="Y460" s="430"/>
      <c r="Z460" s="430"/>
      <c r="AA460" s="430"/>
      <c r="AB460" s="444"/>
      <c r="AC460" s="444"/>
      <c r="AD460" s="430"/>
      <c r="AE460" s="430"/>
      <c r="AF460" s="430"/>
      <c r="AG460" s="444"/>
      <c r="AH460" s="444"/>
      <c r="AI460" s="430"/>
      <c r="AJ460" s="430"/>
      <c r="AK460" s="430"/>
      <c r="AL460" s="476"/>
      <c r="AM460" s="430"/>
      <c r="AN460" s="430"/>
      <c r="AO460" s="430"/>
      <c r="AP460" s="430"/>
      <c r="AQ460" s="430"/>
      <c r="AR460" s="430"/>
      <c r="AS460" s="430"/>
      <c r="AT460" s="430"/>
      <c r="AU460" s="430"/>
      <c r="AV460" s="430"/>
      <c r="AW460" s="430"/>
      <c r="AX460" s="430"/>
    </row>
    <row r="461">
      <c r="B461" s="471"/>
      <c r="E461" s="471"/>
      <c r="H461" s="471"/>
      <c r="K461" s="471"/>
      <c r="M461" s="454"/>
      <c r="N461" s="424"/>
      <c r="O461" s="424"/>
      <c r="P461" s="430"/>
      <c r="Q461" s="444"/>
      <c r="R461" s="424"/>
      <c r="S461" s="430"/>
      <c r="T461" s="444"/>
      <c r="U461" s="430"/>
      <c r="V461" s="430"/>
      <c r="W461" s="444"/>
      <c r="X461" s="444"/>
      <c r="Y461" s="430"/>
      <c r="Z461" s="430"/>
      <c r="AA461" s="430"/>
      <c r="AB461" s="444"/>
      <c r="AC461" s="444"/>
      <c r="AD461" s="430"/>
      <c r="AE461" s="430"/>
      <c r="AF461" s="430"/>
      <c r="AG461" s="444"/>
      <c r="AH461" s="444"/>
      <c r="AI461" s="430"/>
      <c r="AJ461" s="430"/>
      <c r="AK461" s="430"/>
      <c r="AL461" s="476"/>
      <c r="AM461" s="430"/>
      <c r="AN461" s="430"/>
      <c r="AO461" s="430"/>
      <c r="AP461" s="430"/>
      <c r="AQ461" s="430"/>
      <c r="AR461" s="430"/>
      <c r="AS461" s="430"/>
      <c r="AT461" s="430"/>
      <c r="AU461" s="430"/>
      <c r="AV461" s="430"/>
      <c r="AW461" s="430"/>
      <c r="AX461" s="430"/>
    </row>
    <row r="462">
      <c r="B462" s="471"/>
      <c r="E462" s="471"/>
      <c r="H462" s="471"/>
      <c r="K462" s="471"/>
      <c r="M462" s="454"/>
      <c r="N462" s="424"/>
      <c r="O462" s="424"/>
      <c r="P462" s="430"/>
      <c r="Q462" s="444"/>
      <c r="R462" s="424"/>
      <c r="S462" s="430"/>
      <c r="T462" s="444"/>
      <c r="U462" s="430"/>
      <c r="V462" s="430"/>
      <c r="W462" s="444"/>
      <c r="X462" s="444"/>
      <c r="Y462" s="430"/>
      <c r="Z462" s="430"/>
      <c r="AA462" s="430"/>
      <c r="AB462" s="444"/>
      <c r="AC462" s="444"/>
      <c r="AD462" s="430"/>
      <c r="AE462" s="430"/>
      <c r="AF462" s="430"/>
      <c r="AG462" s="444"/>
      <c r="AH462" s="444"/>
      <c r="AI462" s="430"/>
      <c r="AJ462" s="430"/>
      <c r="AK462" s="430"/>
      <c r="AL462" s="476"/>
      <c r="AM462" s="430"/>
      <c r="AN462" s="430"/>
      <c r="AO462" s="430"/>
      <c r="AP462" s="430"/>
      <c r="AQ462" s="430"/>
      <c r="AR462" s="430"/>
      <c r="AS462" s="430"/>
      <c r="AT462" s="430"/>
      <c r="AU462" s="430"/>
      <c r="AV462" s="430"/>
      <c r="AW462" s="430"/>
      <c r="AX462" s="430"/>
    </row>
    <row r="463">
      <c r="B463" s="471"/>
      <c r="E463" s="471"/>
      <c r="H463" s="471"/>
      <c r="K463" s="471"/>
      <c r="M463" s="454"/>
      <c r="N463" s="424"/>
      <c r="O463" s="424"/>
      <c r="P463" s="430"/>
      <c r="Q463" s="444"/>
      <c r="R463" s="424"/>
      <c r="S463" s="430"/>
      <c r="T463" s="444"/>
      <c r="U463" s="430"/>
      <c r="V463" s="430"/>
      <c r="W463" s="444"/>
      <c r="X463" s="444"/>
      <c r="Y463" s="430"/>
      <c r="Z463" s="430"/>
      <c r="AA463" s="430"/>
      <c r="AB463" s="444"/>
      <c r="AC463" s="444"/>
      <c r="AD463" s="430"/>
      <c r="AE463" s="430"/>
      <c r="AF463" s="430"/>
      <c r="AG463" s="444"/>
      <c r="AH463" s="444"/>
      <c r="AI463" s="430"/>
      <c r="AJ463" s="430"/>
      <c r="AK463" s="430"/>
      <c r="AL463" s="476"/>
      <c r="AM463" s="430"/>
      <c r="AN463" s="430"/>
      <c r="AO463" s="430"/>
      <c r="AP463" s="430"/>
      <c r="AQ463" s="430"/>
      <c r="AR463" s="430"/>
      <c r="AS463" s="430"/>
      <c r="AT463" s="430"/>
      <c r="AU463" s="430"/>
      <c r="AV463" s="430"/>
      <c r="AW463" s="430"/>
      <c r="AX463" s="430"/>
    </row>
    <row r="464">
      <c r="B464" s="471"/>
      <c r="E464" s="471"/>
      <c r="H464" s="471"/>
      <c r="K464" s="471"/>
      <c r="M464" s="454"/>
      <c r="N464" s="424"/>
      <c r="O464" s="424"/>
      <c r="P464" s="430"/>
      <c r="Q464" s="444"/>
      <c r="R464" s="424"/>
      <c r="S464" s="430"/>
      <c r="T464" s="444"/>
      <c r="U464" s="430"/>
      <c r="V464" s="430"/>
      <c r="W464" s="444"/>
      <c r="X464" s="444"/>
      <c r="Y464" s="430"/>
      <c r="Z464" s="430"/>
      <c r="AA464" s="430"/>
      <c r="AB464" s="444"/>
      <c r="AC464" s="444"/>
      <c r="AD464" s="430"/>
      <c r="AE464" s="430"/>
      <c r="AF464" s="430"/>
      <c r="AG464" s="444"/>
      <c r="AH464" s="444"/>
      <c r="AI464" s="430"/>
      <c r="AJ464" s="430"/>
      <c r="AK464" s="430"/>
      <c r="AL464" s="476"/>
      <c r="AM464" s="430"/>
      <c r="AN464" s="430"/>
      <c r="AO464" s="430"/>
      <c r="AP464" s="430"/>
      <c r="AQ464" s="430"/>
      <c r="AR464" s="430"/>
      <c r="AS464" s="430"/>
      <c r="AT464" s="430"/>
      <c r="AU464" s="430"/>
      <c r="AV464" s="430"/>
      <c r="AW464" s="430"/>
      <c r="AX464" s="430"/>
    </row>
    <row r="465">
      <c r="B465" s="471"/>
      <c r="E465" s="471"/>
      <c r="H465" s="471"/>
      <c r="K465" s="471"/>
      <c r="M465" s="454"/>
      <c r="N465" s="424"/>
      <c r="O465" s="424"/>
      <c r="P465" s="430"/>
      <c r="Q465" s="444"/>
      <c r="R465" s="424"/>
      <c r="S465" s="430"/>
      <c r="T465" s="444"/>
      <c r="U465" s="430"/>
      <c r="V465" s="430"/>
      <c r="W465" s="444"/>
      <c r="X465" s="444"/>
      <c r="Y465" s="430"/>
      <c r="Z465" s="430"/>
      <c r="AA465" s="430"/>
      <c r="AB465" s="444"/>
      <c r="AC465" s="444"/>
      <c r="AD465" s="430"/>
      <c r="AE465" s="430"/>
      <c r="AF465" s="430"/>
      <c r="AG465" s="444"/>
      <c r="AH465" s="444"/>
      <c r="AI465" s="430"/>
      <c r="AJ465" s="430"/>
      <c r="AK465" s="430"/>
      <c r="AL465" s="476"/>
      <c r="AM465" s="430"/>
      <c r="AN465" s="430"/>
      <c r="AO465" s="430"/>
      <c r="AP465" s="430"/>
      <c r="AQ465" s="430"/>
      <c r="AR465" s="430"/>
      <c r="AS465" s="430"/>
      <c r="AT465" s="430"/>
      <c r="AU465" s="430"/>
      <c r="AV465" s="430"/>
      <c r="AW465" s="430"/>
      <c r="AX465" s="430"/>
    </row>
    <row r="466">
      <c r="B466" s="471"/>
      <c r="E466" s="471"/>
      <c r="H466" s="471"/>
      <c r="K466" s="471"/>
      <c r="M466" s="454"/>
      <c r="N466" s="424"/>
      <c r="O466" s="424"/>
      <c r="P466" s="430"/>
      <c r="Q466" s="444"/>
      <c r="R466" s="424"/>
      <c r="S466" s="430"/>
      <c r="T466" s="444"/>
      <c r="U466" s="430"/>
      <c r="V466" s="430"/>
      <c r="W466" s="444"/>
      <c r="X466" s="444"/>
      <c r="Y466" s="430"/>
      <c r="Z466" s="430"/>
      <c r="AA466" s="430"/>
      <c r="AB466" s="444"/>
      <c r="AC466" s="444"/>
      <c r="AD466" s="430"/>
      <c r="AE466" s="430"/>
      <c r="AF466" s="430"/>
      <c r="AG466" s="444"/>
      <c r="AH466" s="444"/>
      <c r="AI466" s="430"/>
      <c r="AJ466" s="430"/>
      <c r="AK466" s="430"/>
      <c r="AL466" s="476"/>
      <c r="AM466" s="430"/>
      <c r="AN466" s="430"/>
      <c r="AO466" s="430"/>
      <c r="AP466" s="430"/>
      <c r="AQ466" s="430"/>
      <c r="AR466" s="430"/>
      <c r="AS466" s="430"/>
      <c r="AT466" s="430"/>
      <c r="AU466" s="430"/>
      <c r="AV466" s="430"/>
      <c r="AW466" s="430"/>
      <c r="AX466" s="430"/>
    </row>
    <row r="467">
      <c r="B467" s="471"/>
      <c r="E467" s="471"/>
      <c r="H467" s="471"/>
      <c r="K467" s="471"/>
      <c r="M467" s="454"/>
      <c r="N467" s="424"/>
      <c r="O467" s="424"/>
      <c r="P467" s="430"/>
      <c r="Q467" s="444"/>
      <c r="R467" s="424"/>
      <c r="S467" s="430"/>
      <c r="T467" s="444"/>
      <c r="U467" s="430"/>
      <c r="V467" s="430"/>
      <c r="W467" s="444"/>
      <c r="X467" s="444"/>
      <c r="Y467" s="430"/>
      <c r="Z467" s="430"/>
      <c r="AA467" s="430"/>
      <c r="AB467" s="444"/>
      <c r="AC467" s="444"/>
      <c r="AD467" s="430"/>
      <c r="AE467" s="430"/>
      <c r="AF467" s="430"/>
      <c r="AG467" s="444"/>
      <c r="AH467" s="444"/>
      <c r="AI467" s="430"/>
      <c r="AJ467" s="430"/>
      <c r="AK467" s="430"/>
      <c r="AL467" s="476"/>
      <c r="AM467" s="430"/>
      <c r="AN467" s="430"/>
      <c r="AO467" s="430"/>
      <c r="AP467" s="430"/>
      <c r="AQ467" s="430"/>
      <c r="AR467" s="430"/>
      <c r="AS467" s="430"/>
      <c r="AT467" s="430"/>
      <c r="AU467" s="430"/>
      <c r="AV467" s="430"/>
      <c r="AW467" s="430"/>
      <c r="AX467" s="430"/>
    </row>
    <row r="468">
      <c r="B468" s="471"/>
      <c r="E468" s="471"/>
      <c r="H468" s="471"/>
      <c r="K468" s="471"/>
      <c r="M468" s="454"/>
      <c r="N468" s="424"/>
      <c r="O468" s="424"/>
      <c r="P468" s="430"/>
      <c r="Q468" s="444"/>
      <c r="R468" s="424"/>
      <c r="S468" s="430"/>
      <c r="T468" s="444"/>
      <c r="U468" s="430"/>
      <c r="V468" s="430"/>
      <c r="W468" s="444"/>
      <c r="X468" s="444"/>
      <c r="Y468" s="430"/>
      <c r="Z468" s="430"/>
      <c r="AA468" s="430"/>
      <c r="AB468" s="444"/>
      <c r="AC468" s="444"/>
      <c r="AD468" s="430"/>
      <c r="AE468" s="430"/>
      <c r="AF468" s="430"/>
      <c r="AG468" s="444"/>
      <c r="AH468" s="444"/>
      <c r="AI468" s="430"/>
      <c r="AJ468" s="430"/>
      <c r="AK468" s="430"/>
      <c r="AL468" s="476"/>
      <c r="AM468" s="430"/>
      <c r="AN468" s="430"/>
      <c r="AO468" s="430"/>
      <c r="AP468" s="430"/>
      <c r="AQ468" s="430"/>
      <c r="AR468" s="430"/>
      <c r="AS468" s="430"/>
      <c r="AT468" s="430"/>
      <c r="AU468" s="430"/>
      <c r="AV468" s="430"/>
      <c r="AW468" s="430"/>
      <c r="AX468" s="430"/>
    </row>
    <row r="469">
      <c r="B469" s="471"/>
      <c r="E469" s="471"/>
      <c r="H469" s="471"/>
      <c r="K469" s="471"/>
      <c r="M469" s="454"/>
      <c r="N469" s="424"/>
      <c r="O469" s="424"/>
      <c r="P469" s="430"/>
      <c r="Q469" s="444"/>
      <c r="R469" s="424"/>
      <c r="S469" s="430"/>
      <c r="T469" s="444"/>
      <c r="U469" s="430"/>
      <c r="V469" s="430"/>
      <c r="W469" s="444"/>
      <c r="X469" s="444"/>
      <c r="Y469" s="430"/>
      <c r="Z469" s="430"/>
      <c r="AA469" s="430"/>
      <c r="AB469" s="444"/>
      <c r="AC469" s="444"/>
      <c r="AD469" s="430"/>
      <c r="AE469" s="430"/>
      <c r="AF469" s="430"/>
      <c r="AG469" s="444"/>
      <c r="AH469" s="444"/>
      <c r="AI469" s="430"/>
      <c r="AJ469" s="430"/>
      <c r="AK469" s="430"/>
      <c r="AL469" s="476"/>
      <c r="AM469" s="430"/>
      <c r="AN469" s="430"/>
      <c r="AO469" s="430"/>
      <c r="AP469" s="430"/>
      <c r="AQ469" s="430"/>
      <c r="AR469" s="430"/>
      <c r="AS469" s="430"/>
      <c r="AT469" s="430"/>
      <c r="AU469" s="430"/>
      <c r="AV469" s="430"/>
      <c r="AW469" s="430"/>
      <c r="AX469" s="430"/>
    </row>
    <row r="470">
      <c r="B470" s="471"/>
      <c r="E470" s="471"/>
      <c r="H470" s="471"/>
      <c r="K470" s="471"/>
      <c r="M470" s="454"/>
      <c r="N470" s="424"/>
      <c r="O470" s="424"/>
      <c r="P470" s="430"/>
      <c r="Q470" s="444"/>
      <c r="R470" s="424"/>
      <c r="S470" s="430"/>
      <c r="T470" s="444"/>
      <c r="U470" s="430"/>
      <c r="V470" s="430"/>
      <c r="W470" s="444"/>
      <c r="X470" s="444"/>
      <c r="Y470" s="430"/>
      <c r="Z470" s="430"/>
      <c r="AA470" s="430"/>
      <c r="AB470" s="444"/>
      <c r="AC470" s="444"/>
      <c r="AD470" s="430"/>
      <c r="AE470" s="430"/>
      <c r="AF470" s="430"/>
      <c r="AG470" s="444"/>
      <c r="AH470" s="444"/>
      <c r="AI470" s="430"/>
      <c r="AJ470" s="430"/>
      <c r="AK470" s="430"/>
      <c r="AL470" s="476"/>
      <c r="AM470" s="430"/>
      <c r="AN470" s="430"/>
      <c r="AO470" s="430"/>
      <c r="AP470" s="430"/>
      <c r="AQ470" s="430"/>
      <c r="AR470" s="430"/>
      <c r="AS470" s="430"/>
      <c r="AT470" s="430"/>
      <c r="AU470" s="430"/>
      <c r="AV470" s="430"/>
      <c r="AW470" s="430"/>
      <c r="AX470" s="430"/>
    </row>
    <row r="471">
      <c r="B471" s="471"/>
      <c r="E471" s="471"/>
      <c r="H471" s="471"/>
      <c r="K471" s="471"/>
      <c r="M471" s="454"/>
      <c r="N471" s="424"/>
      <c r="O471" s="424"/>
      <c r="P471" s="430"/>
      <c r="Q471" s="444"/>
      <c r="R471" s="424"/>
      <c r="S471" s="430"/>
      <c r="T471" s="444"/>
      <c r="U471" s="430"/>
      <c r="V471" s="430"/>
      <c r="W471" s="444"/>
      <c r="X471" s="444"/>
      <c r="Y471" s="430"/>
      <c r="Z471" s="430"/>
      <c r="AA471" s="430"/>
      <c r="AB471" s="444"/>
      <c r="AC471" s="444"/>
      <c r="AD471" s="430"/>
      <c r="AE471" s="430"/>
      <c r="AF471" s="430"/>
      <c r="AG471" s="444"/>
      <c r="AH471" s="444"/>
      <c r="AI471" s="430"/>
      <c r="AJ471" s="430"/>
      <c r="AK471" s="430"/>
      <c r="AL471" s="476"/>
      <c r="AM471" s="430"/>
      <c r="AN471" s="430"/>
      <c r="AO471" s="430"/>
      <c r="AP471" s="430"/>
      <c r="AQ471" s="430"/>
      <c r="AR471" s="430"/>
      <c r="AS471" s="430"/>
      <c r="AT471" s="430"/>
      <c r="AU471" s="430"/>
      <c r="AV471" s="430"/>
      <c r="AW471" s="430"/>
      <c r="AX471" s="430"/>
    </row>
    <row r="472">
      <c r="B472" s="471"/>
      <c r="E472" s="471"/>
      <c r="H472" s="471"/>
      <c r="K472" s="471"/>
      <c r="M472" s="454"/>
      <c r="N472" s="424"/>
      <c r="O472" s="424"/>
      <c r="P472" s="430"/>
      <c r="Q472" s="444"/>
      <c r="R472" s="424"/>
      <c r="S472" s="430"/>
      <c r="T472" s="444"/>
      <c r="U472" s="430"/>
      <c r="V472" s="430"/>
      <c r="W472" s="444"/>
      <c r="X472" s="444"/>
      <c r="Y472" s="430"/>
      <c r="Z472" s="430"/>
      <c r="AA472" s="430"/>
      <c r="AB472" s="444"/>
      <c r="AC472" s="444"/>
      <c r="AD472" s="430"/>
      <c r="AE472" s="430"/>
      <c r="AF472" s="430"/>
      <c r="AG472" s="444"/>
      <c r="AH472" s="444"/>
      <c r="AI472" s="430"/>
      <c r="AJ472" s="430"/>
      <c r="AK472" s="430"/>
      <c r="AL472" s="476"/>
      <c r="AM472" s="430"/>
      <c r="AN472" s="430"/>
      <c r="AO472" s="430"/>
      <c r="AP472" s="430"/>
      <c r="AQ472" s="430"/>
      <c r="AR472" s="430"/>
      <c r="AS472" s="430"/>
      <c r="AT472" s="430"/>
      <c r="AU472" s="430"/>
      <c r="AV472" s="430"/>
      <c r="AW472" s="430"/>
      <c r="AX472" s="430"/>
    </row>
    <row r="473">
      <c r="B473" s="471"/>
      <c r="E473" s="471"/>
      <c r="H473" s="471"/>
      <c r="K473" s="471"/>
      <c r="M473" s="454"/>
      <c r="N473" s="424"/>
      <c r="O473" s="424"/>
      <c r="P473" s="430"/>
      <c r="Q473" s="444"/>
      <c r="R473" s="424"/>
      <c r="S473" s="430"/>
      <c r="T473" s="444"/>
      <c r="U473" s="430"/>
      <c r="V473" s="430"/>
      <c r="W473" s="444"/>
      <c r="X473" s="444"/>
      <c r="Y473" s="430"/>
      <c r="Z473" s="430"/>
      <c r="AA473" s="430"/>
      <c r="AB473" s="444"/>
      <c r="AC473" s="444"/>
      <c r="AD473" s="430"/>
      <c r="AE473" s="430"/>
      <c r="AF473" s="430"/>
      <c r="AG473" s="444"/>
      <c r="AH473" s="444"/>
      <c r="AI473" s="430"/>
      <c r="AJ473" s="430"/>
      <c r="AK473" s="430"/>
      <c r="AL473" s="476"/>
      <c r="AM473" s="430"/>
      <c r="AN473" s="430"/>
      <c r="AO473" s="430"/>
      <c r="AP473" s="430"/>
      <c r="AQ473" s="430"/>
      <c r="AR473" s="430"/>
      <c r="AS473" s="430"/>
      <c r="AT473" s="430"/>
      <c r="AU473" s="430"/>
      <c r="AV473" s="430"/>
      <c r="AW473" s="430"/>
      <c r="AX473" s="430"/>
    </row>
    <row r="474">
      <c r="B474" s="471"/>
      <c r="E474" s="471"/>
      <c r="H474" s="471"/>
      <c r="K474" s="471"/>
      <c r="M474" s="454"/>
      <c r="N474" s="424"/>
      <c r="O474" s="424"/>
      <c r="P474" s="430"/>
      <c r="Q474" s="444"/>
      <c r="R474" s="424"/>
      <c r="S474" s="430"/>
      <c r="T474" s="444"/>
      <c r="U474" s="430"/>
      <c r="V474" s="430"/>
      <c r="W474" s="444"/>
      <c r="X474" s="444"/>
      <c r="Y474" s="430"/>
      <c r="Z474" s="430"/>
      <c r="AA474" s="430"/>
      <c r="AB474" s="444"/>
      <c r="AC474" s="444"/>
      <c r="AD474" s="430"/>
      <c r="AE474" s="430"/>
      <c r="AF474" s="430"/>
      <c r="AG474" s="444"/>
      <c r="AH474" s="444"/>
      <c r="AI474" s="430"/>
      <c r="AJ474" s="430"/>
      <c r="AK474" s="430"/>
      <c r="AL474" s="476"/>
      <c r="AM474" s="430"/>
      <c r="AN474" s="430"/>
      <c r="AO474" s="430"/>
      <c r="AP474" s="430"/>
      <c r="AQ474" s="430"/>
      <c r="AR474" s="430"/>
      <c r="AS474" s="430"/>
      <c r="AT474" s="430"/>
      <c r="AU474" s="430"/>
      <c r="AV474" s="430"/>
      <c r="AW474" s="430"/>
      <c r="AX474" s="430"/>
    </row>
    <row r="475">
      <c r="B475" s="471"/>
      <c r="E475" s="471"/>
      <c r="H475" s="471"/>
      <c r="K475" s="471"/>
      <c r="M475" s="454"/>
      <c r="N475" s="424"/>
      <c r="O475" s="424"/>
      <c r="P475" s="430"/>
      <c r="Q475" s="444"/>
      <c r="R475" s="424"/>
      <c r="S475" s="430"/>
      <c r="T475" s="444"/>
      <c r="U475" s="430"/>
      <c r="V475" s="430"/>
      <c r="W475" s="444"/>
      <c r="X475" s="444"/>
      <c r="Y475" s="430"/>
      <c r="Z475" s="430"/>
      <c r="AA475" s="430"/>
      <c r="AB475" s="444"/>
      <c r="AC475" s="444"/>
      <c r="AD475" s="430"/>
      <c r="AE475" s="430"/>
      <c r="AF475" s="430"/>
      <c r="AG475" s="444"/>
      <c r="AH475" s="444"/>
      <c r="AI475" s="430"/>
      <c r="AJ475" s="430"/>
      <c r="AK475" s="430"/>
      <c r="AL475" s="476"/>
      <c r="AM475" s="430"/>
      <c r="AN475" s="430"/>
      <c r="AO475" s="430"/>
      <c r="AP475" s="430"/>
      <c r="AQ475" s="430"/>
      <c r="AR475" s="430"/>
      <c r="AS475" s="430"/>
      <c r="AT475" s="430"/>
      <c r="AU475" s="430"/>
      <c r="AV475" s="430"/>
      <c r="AW475" s="430"/>
      <c r="AX475" s="430"/>
    </row>
    <row r="476">
      <c r="B476" s="471"/>
      <c r="E476" s="471"/>
      <c r="H476" s="471"/>
      <c r="K476" s="471"/>
      <c r="M476" s="454"/>
      <c r="N476" s="424"/>
      <c r="O476" s="424"/>
      <c r="P476" s="430"/>
      <c r="Q476" s="444"/>
      <c r="R476" s="424"/>
      <c r="S476" s="430"/>
      <c r="T476" s="444"/>
      <c r="U476" s="430"/>
      <c r="V476" s="430"/>
      <c r="W476" s="444"/>
      <c r="X476" s="444"/>
      <c r="Y476" s="430"/>
      <c r="Z476" s="430"/>
      <c r="AA476" s="430"/>
      <c r="AB476" s="444"/>
      <c r="AC476" s="444"/>
      <c r="AD476" s="430"/>
      <c r="AE476" s="430"/>
      <c r="AF476" s="430"/>
      <c r="AG476" s="444"/>
      <c r="AH476" s="444"/>
      <c r="AI476" s="430"/>
      <c r="AJ476" s="430"/>
      <c r="AK476" s="430"/>
      <c r="AL476" s="476"/>
      <c r="AM476" s="430"/>
      <c r="AN476" s="430"/>
      <c r="AO476" s="430"/>
      <c r="AP476" s="430"/>
      <c r="AQ476" s="430"/>
      <c r="AR476" s="430"/>
      <c r="AS476" s="430"/>
      <c r="AT476" s="430"/>
      <c r="AU476" s="430"/>
      <c r="AV476" s="430"/>
      <c r="AW476" s="430"/>
      <c r="AX476" s="430"/>
    </row>
    <row r="477">
      <c r="B477" s="471"/>
      <c r="E477" s="471"/>
      <c r="H477" s="471"/>
      <c r="K477" s="471"/>
      <c r="M477" s="454"/>
      <c r="N477" s="424"/>
      <c r="O477" s="424"/>
      <c r="P477" s="430"/>
      <c r="Q477" s="444"/>
      <c r="R477" s="424"/>
      <c r="S477" s="430"/>
      <c r="T477" s="444"/>
      <c r="U477" s="430"/>
      <c r="V477" s="430"/>
      <c r="W477" s="444"/>
      <c r="X477" s="444"/>
      <c r="Y477" s="430"/>
      <c r="Z477" s="430"/>
      <c r="AA477" s="430"/>
      <c r="AB477" s="444"/>
      <c r="AC477" s="444"/>
      <c r="AD477" s="430"/>
      <c r="AE477" s="430"/>
      <c r="AF477" s="430"/>
      <c r="AG477" s="444"/>
      <c r="AH477" s="444"/>
      <c r="AI477" s="430"/>
      <c r="AJ477" s="430"/>
      <c r="AK477" s="430"/>
      <c r="AL477" s="476"/>
      <c r="AM477" s="430"/>
      <c r="AN477" s="430"/>
      <c r="AO477" s="430"/>
      <c r="AP477" s="430"/>
      <c r="AQ477" s="430"/>
      <c r="AR477" s="430"/>
      <c r="AS477" s="430"/>
      <c r="AT477" s="430"/>
      <c r="AU477" s="430"/>
      <c r="AV477" s="430"/>
      <c r="AW477" s="430"/>
      <c r="AX477" s="430"/>
    </row>
    <row r="478">
      <c r="B478" s="471"/>
      <c r="E478" s="471"/>
      <c r="H478" s="471"/>
      <c r="K478" s="471"/>
      <c r="M478" s="454"/>
      <c r="N478" s="424"/>
      <c r="O478" s="424"/>
      <c r="P478" s="430"/>
      <c r="Q478" s="444"/>
      <c r="R478" s="424"/>
      <c r="S478" s="430"/>
      <c r="T478" s="444"/>
      <c r="U478" s="430"/>
      <c r="V478" s="430"/>
      <c r="W478" s="444"/>
      <c r="X478" s="444"/>
      <c r="Y478" s="430"/>
      <c r="Z478" s="430"/>
      <c r="AA478" s="430"/>
      <c r="AB478" s="444"/>
      <c r="AC478" s="444"/>
      <c r="AD478" s="430"/>
      <c r="AE478" s="430"/>
      <c r="AF478" s="430"/>
      <c r="AG478" s="444"/>
      <c r="AH478" s="444"/>
      <c r="AI478" s="430"/>
      <c r="AJ478" s="430"/>
      <c r="AK478" s="430"/>
      <c r="AL478" s="476"/>
      <c r="AM478" s="430"/>
      <c r="AN478" s="430"/>
      <c r="AO478" s="430"/>
      <c r="AP478" s="430"/>
      <c r="AQ478" s="430"/>
      <c r="AR478" s="430"/>
      <c r="AS478" s="430"/>
      <c r="AT478" s="430"/>
      <c r="AU478" s="430"/>
      <c r="AV478" s="430"/>
      <c r="AW478" s="430"/>
      <c r="AX478" s="430"/>
    </row>
    <row r="479">
      <c r="B479" s="471"/>
      <c r="E479" s="471"/>
      <c r="H479" s="471"/>
      <c r="K479" s="471"/>
      <c r="M479" s="454"/>
      <c r="N479" s="424"/>
      <c r="O479" s="424"/>
      <c r="P479" s="430"/>
      <c r="Q479" s="444"/>
      <c r="R479" s="424"/>
      <c r="S479" s="430"/>
      <c r="T479" s="444"/>
      <c r="U479" s="430"/>
      <c r="V479" s="430"/>
      <c r="W479" s="444"/>
      <c r="X479" s="444"/>
      <c r="Y479" s="430"/>
      <c r="Z479" s="430"/>
      <c r="AA479" s="430"/>
      <c r="AB479" s="444"/>
      <c r="AC479" s="444"/>
      <c r="AD479" s="430"/>
      <c r="AE479" s="430"/>
      <c r="AF479" s="430"/>
      <c r="AG479" s="444"/>
      <c r="AH479" s="444"/>
      <c r="AI479" s="430"/>
      <c r="AJ479" s="430"/>
      <c r="AK479" s="430"/>
      <c r="AL479" s="476"/>
      <c r="AM479" s="430"/>
      <c r="AN479" s="430"/>
      <c r="AO479" s="430"/>
      <c r="AP479" s="430"/>
      <c r="AQ479" s="430"/>
      <c r="AR479" s="430"/>
      <c r="AS479" s="430"/>
      <c r="AT479" s="430"/>
      <c r="AU479" s="430"/>
      <c r="AV479" s="430"/>
      <c r="AW479" s="430"/>
      <c r="AX479" s="430"/>
    </row>
    <row r="480">
      <c r="B480" s="471"/>
      <c r="E480" s="471"/>
      <c r="H480" s="471"/>
      <c r="K480" s="471"/>
      <c r="M480" s="454"/>
      <c r="N480" s="424"/>
      <c r="O480" s="424"/>
      <c r="P480" s="430"/>
      <c r="Q480" s="444"/>
      <c r="R480" s="424"/>
      <c r="S480" s="430"/>
      <c r="T480" s="444"/>
      <c r="U480" s="430"/>
      <c r="V480" s="430"/>
      <c r="W480" s="444"/>
      <c r="X480" s="444"/>
      <c r="Y480" s="430"/>
      <c r="Z480" s="430"/>
      <c r="AA480" s="430"/>
      <c r="AB480" s="444"/>
      <c r="AC480" s="444"/>
      <c r="AD480" s="430"/>
      <c r="AE480" s="430"/>
      <c r="AF480" s="430"/>
      <c r="AG480" s="444"/>
      <c r="AH480" s="444"/>
      <c r="AI480" s="430"/>
      <c r="AJ480" s="430"/>
      <c r="AK480" s="430"/>
      <c r="AL480" s="476"/>
      <c r="AM480" s="430"/>
      <c r="AN480" s="430"/>
      <c r="AO480" s="430"/>
      <c r="AP480" s="430"/>
      <c r="AQ480" s="430"/>
      <c r="AR480" s="430"/>
      <c r="AS480" s="430"/>
      <c r="AT480" s="430"/>
      <c r="AU480" s="430"/>
      <c r="AV480" s="430"/>
      <c r="AW480" s="430"/>
      <c r="AX480" s="430"/>
    </row>
    <row r="481">
      <c r="B481" s="471"/>
      <c r="E481" s="471"/>
      <c r="H481" s="471"/>
      <c r="K481" s="471"/>
      <c r="M481" s="454"/>
      <c r="N481" s="424"/>
      <c r="O481" s="424"/>
      <c r="P481" s="430"/>
      <c r="Q481" s="444"/>
      <c r="R481" s="424"/>
      <c r="S481" s="430"/>
      <c r="T481" s="444"/>
      <c r="U481" s="430"/>
      <c r="V481" s="430"/>
      <c r="W481" s="444"/>
      <c r="X481" s="444"/>
      <c r="Y481" s="430"/>
      <c r="Z481" s="430"/>
      <c r="AA481" s="430"/>
      <c r="AB481" s="444"/>
      <c r="AC481" s="444"/>
      <c r="AD481" s="430"/>
      <c r="AE481" s="430"/>
      <c r="AF481" s="430"/>
      <c r="AG481" s="444"/>
      <c r="AH481" s="444"/>
      <c r="AI481" s="430"/>
      <c r="AJ481" s="430"/>
      <c r="AK481" s="430"/>
      <c r="AL481" s="476"/>
      <c r="AM481" s="430"/>
      <c r="AN481" s="430"/>
      <c r="AO481" s="430"/>
      <c r="AP481" s="430"/>
      <c r="AQ481" s="430"/>
      <c r="AR481" s="430"/>
      <c r="AS481" s="430"/>
      <c r="AT481" s="430"/>
      <c r="AU481" s="430"/>
      <c r="AV481" s="430"/>
      <c r="AW481" s="430"/>
      <c r="AX481" s="430"/>
    </row>
    <row r="482">
      <c r="B482" s="471"/>
      <c r="E482" s="471"/>
      <c r="H482" s="471"/>
      <c r="K482" s="471"/>
      <c r="M482" s="454"/>
      <c r="N482" s="424"/>
      <c r="O482" s="424"/>
      <c r="P482" s="430"/>
      <c r="Q482" s="444"/>
      <c r="R482" s="424"/>
      <c r="S482" s="430"/>
      <c r="T482" s="444"/>
      <c r="U482" s="430"/>
      <c r="V482" s="430"/>
      <c r="W482" s="444"/>
      <c r="X482" s="444"/>
      <c r="Y482" s="430"/>
      <c r="Z482" s="430"/>
      <c r="AA482" s="430"/>
      <c r="AB482" s="444"/>
      <c r="AC482" s="444"/>
      <c r="AD482" s="430"/>
      <c r="AE482" s="430"/>
      <c r="AF482" s="430"/>
      <c r="AG482" s="444"/>
      <c r="AH482" s="444"/>
      <c r="AI482" s="430"/>
      <c r="AJ482" s="430"/>
      <c r="AK482" s="430"/>
      <c r="AL482" s="476"/>
      <c r="AM482" s="430"/>
      <c r="AN482" s="430"/>
      <c r="AO482" s="430"/>
      <c r="AP482" s="430"/>
      <c r="AQ482" s="430"/>
      <c r="AR482" s="430"/>
      <c r="AS482" s="430"/>
      <c r="AT482" s="430"/>
      <c r="AU482" s="430"/>
      <c r="AV482" s="430"/>
      <c r="AW482" s="430"/>
      <c r="AX482" s="430"/>
    </row>
    <row r="483">
      <c r="B483" s="471"/>
      <c r="E483" s="471"/>
      <c r="H483" s="471"/>
      <c r="K483" s="471"/>
      <c r="M483" s="454"/>
      <c r="N483" s="424"/>
      <c r="O483" s="424"/>
      <c r="P483" s="430"/>
      <c r="Q483" s="444"/>
      <c r="R483" s="424"/>
      <c r="S483" s="430"/>
      <c r="T483" s="444"/>
      <c r="U483" s="430"/>
      <c r="V483" s="430"/>
      <c r="W483" s="444"/>
      <c r="X483" s="444"/>
      <c r="Y483" s="430"/>
      <c r="Z483" s="430"/>
      <c r="AA483" s="430"/>
      <c r="AB483" s="444"/>
      <c r="AC483" s="444"/>
      <c r="AD483" s="430"/>
      <c r="AE483" s="430"/>
      <c r="AF483" s="430"/>
      <c r="AG483" s="444"/>
      <c r="AH483" s="444"/>
      <c r="AI483" s="430"/>
      <c r="AJ483" s="430"/>
      <c r="AK483" s="430"/>
      <c r="AL483" s="476"/>
      <c r="AM483" s="430"/>
      <c r="AN483" s="430"/>
      <c r="AO483" s="430"/>
      <c r="AP483" s="430"/>
      <c r="AQ483" s="430"/>
      <c r="AR483" s="430"/>
      <c r="AS483" s="430"/>
      <c r="AT483" s="430"/>
      <c r="AU483" s="430"/>
      <c r="AV483" s="430"/>
      <c r="AW483" s="430"/>
      <c r="AX483" s="430"/>
    </row>
    <row r="484">
      <c r="B484" s="471"/>
      <c r="E484" s="471"/>
      <c r="H484" s="471"/>
      <c r="K484" s="471"/>
      <c r="M484" s="454"/>
      <c r="N484" s="424"/>
      <c r="O484" s="424"/>
      <c r="P484" s="430"/>
      <c r="Q484" s="444"/>
      <c r="R484" s="424"/>
      <c r="S484" s="430"/>
      <c r="T484" s="444"/>
      <c r="U484" s="430"/>
      <c r="V484" s="430"/>
      <c r="W484" s="444"/>
      <c r="X484" s="444"/>
      <c r="Y484" s="430"/>
      <c r="Z484" s="430"/>
      <c r="AA484" s="430"/>
      <c r="AB484" s="444"/>
      <c r="AC484" s="444"/>
      <c r="AD484" s="430"/>
      <c r="AE484" s="430"/>
      <c r="AF484" s="430"/>
      <c r="AG484" s="444"/>
      <c r="AH484" s="444"/>
      <c r="AI484" s="430"/>
      <c r="AJ484" s="430"/>
      <c r="AK484" s="430"/>
      <c r="AL484" s="476"/>
      <c r="AM484" s="430"/>
      <c r="AN484" s="430"/>
      <c r="AO484" s="430"/>
      <c r="AP484" s="430"/>
      <c r="AQ484" s="430"/>
      <c r="AR484" s="430"/>
      <c r="AS484" s="430"/>
      <c r="AT484" s="430"/>
      <c r="AU484" s="430"/>
      <c r="AV484" s="430"/>
      <c r="AW484" s="430"/>
      <c r="AX484" s="430"/>
    </row>
    <row r="485">
      <c r="B485" s="471"/>
      <c r="E485" s="471"/>
      <c r="H485" s="471"/>
      <c r="K485" s="471"/>
      <c r="M485" s="454"/>
      <c r="N485" s="424"/>
      <c r="O485" s="424"/>
      <c r="P485" s="430"/>
      <c r="Q485" s="444"/>
      <c r="R485" s="424"/>
      <c r="S485" s="430"/>
      <c r="T485" s="444"/>
      <c r="U485" s="430"/>
      <c r="V485" s="430"/>
      <c r="W485" s="444"/>
      <c r="X485" s="444"/>
      <c r="Y485" s="430"/>
      <c r="Z485" s="430"/>
      <c r="AA485" s="430"/>
      <c r="AB485" s="444"/>
      <c r="AC485" s="444"/>
      <c r="AD485" s="430"/>
      <c r="AE485" s="430"/>
      <c r="AF485" s="430"/>
      <c r="AG485" s="444"/>
      <c r="AH485" s="444"/>
      <c r="AI485" s="430"/>
      <c r="AJ485" s="430"/>
      <c r="AK485" s="430"/>
      <c r="AL485" s="476"/>
      <c r="AM485" s="430"/>
      <c r="AN485" s="430"/>
      <c r="AO485" s="430"/>
      <c r="AP485" s="430"/>
      <c r="AQ485" s="430"/>
      <c r="AR485" s="430"/>
      <c r="AS485" s="430"/>
      <c r="AT485" s="430"/>
      <c r="AU485" s="430"/>
      <c r="AV485" s="430"/>
      <c r="AW485" s="430"/>
      <c r="AX485" s="430"/>
    </row>
    <row r="486">
      <c r="B486" s="471"/>
      <c r="E486" s="471"/>
      <c r="H486" s="471"/>
      <c r="K486" s="471"/>
      <c r="M486" s="454"/>
      <c r="N486" s="424"/>
      <c r="O486" s="424"/>
      <c r="P486" s="430"/>
      <c r="Q486" s="444"/>
      <c r="R486" s="424"/>
      <c r="S486" s="430"/>
      <c r="T486" s="444"/>
      <c r="U486" s="430"/>
      <c r="V486" s="430"/>
      <c r="W486" s="444"/>
      <c r="X486" s="444"/>
      <c r="Y486" s="430"/>
      <c r="Z486" s="430"/>
      <c r="AA486" s="430"/>
      <c r="AB486" s="444"/>
      <c r="AC486" s="444"/>
      <c r="AD486" s="430"/>
      <c r="AE486" s="430"/>
      <c r="AF486" s="430"/>
      <c r="AG486" s="444"/>
      <c r="AH486" s="444"/>
      <c r="AI486" s="430"/>
      <c r="AJ486" s="430"/>
      <c r="AK486" s="430"/>
      <c r="AL486" s="476"/>
      <c r="AM486" s="430"/>
      <c r="AN486" s="430"/>
      <c r="AO486" s="430"/>
      <c r="AP486" s="430"/>
      <c r="AQ486" s="430"/>
      <c r="AR486" s="430"/>
      <c r="AS486" s="430"/>
      <c r="AT486" s="430"/>
      <c r="AU486" s="430"/>
      <c r="AV486" s="430"/>
      <c r="AW486" s="430"/>
      <c r="AX486" s="430"/>
    </row>
    <row r="487">
      <c r="B487" s="471"/>
      <c r="E487" s="471"/>
      <c r="H487" s="471"/>
      <c r="K487" s="471"/>
      <c r="M487" s="454"/>
      <c r="N487" s="424"/>
      <c r="O487" s="424"/>
      <c r="P487" s="430"/>
      <c r="Q487" s="444"/>
      <c r="R487" s="424"/>
      <c r="S487" s="430"/>
      <c r="T487" s="444"/>
      <c r="U487" s="430"/>
      <c r="V487" s="430"/>
      <c r="W487" s="444"/>
      <c r="X487" s="444"/>
      <c r="Y487" s="430"/>
      <c r="Z487" s="430"/>
      <c r="AA487" s="430"/>
      <c r="AB487" s="444"/>
      <c r="AC487" s="444"/>
      <c r="AD487" s="430"/>
      <c r="AE487" s="430"/>
      <c r="AF487" s="430"/>
      <c r="AG487" s="444"/>
      <c r="AH487" s="444"/>
      <c r="AI487" s="430"/>
      <c r="AJ487" s="430"/>
      <c r="AK487" s="430"/>
      <c r="AL487" s="476"/>
      <c r="AM487" s="430"/>
      <c r="AN487" s="430"/>
      <c r="AO487" s="430"/>
      <c r="AP487" s="430"/>
      <c r="AQ487" s="430"/>
      <c r="AR487" s="430"/>
      <c r="AS487" s="430"/>
      <c r="AT487" s="430"/>
      <c r="AU487" s="430"/>
      <c r="AV487" s="430"/>
      <c r="AW487" s="430"/>
      <c r="AX487" s="430"/>
    </row>
    <row r="488">
      <c r="B488" s="471"/>
      <c r="E488" s="471"/>
      <c r="H488" s="471"/>
      <c r="K488" s="471"/>
      <c r="M488" s="454"/>
      <c r="N488" s="424"/>
      <c r="O488" s="424"/>
      <c r="P488" s="430"/>
      <c r="Q488" s="444"/>
      <c r="R488" s="424"/>
      <c r="S488" s="430"/>
      <c r="T488" s="444"/>
      <c r="U488" s="430"/>
      <c r="V488" s="430"/>
      <c r="W488" s="444"/>
      <c r="X488" s="444"/>
      <c r="Y488" s="430"/>
      <c r="Z488" s="430"/>
      <c r="AA488" s="430"/>
      <c r="AB488" s="444"/>
      <c r="AC488" s="444"/>
      <c r="AD488" s="430"/>
      <c r="AE488" s="430"/>
      <c r="AF488" s="430"/>
      <c r="AG488" s="444"/>
      <c r="AH488" s="444"/>
      <c r="AI488" s="430"/>
      <c r="AJ488" s="430"/>
      <c r="AK488" s="430"/>
      <c r="AL488" s="476"/>
      <c r="AM488" s="430"/>
      <c r="AN488" s="430"/>
      <c r="AO488" s="430"/>
      <c r="AP488" s="430"/>
      <c r="AQ488" s="430"/>
      <c r="AR488" s="430"/>
      <c r="AS488" s="430"/>
      <c r="AT488" s="430"/>
      <c r="AU488" s="430"/>
      <c r="AV488" s="430"/>
      <c r="AW488" s="430"/>
      <c r="AX488" s="430"/>
    </row>
    <row r="489">
      <c r="B489" s="471"/>
      <c r="E489" s="471"/>
      <c r="H489" s="471"/>
      <c r="K489" s="471"/>
      <c r="M489" s="454"/>
      <c r="N489" s="424"/>
      <c r="O489" s="424"/>
      <c r="P489" s="430"/>
      <c r="Q489" s="444"/>
      <c r="R489" s="424"/>
      <c r="S489" s="430"/>
      <c r="T489" s="444"/>
      <c r="U489" s="430"/>
      <c r="V489" s="430"/>
      <c r="W489" s="444"/>
      <c r="X489" s="444"/>
      <c r="Y489" s="430"/>
      <c r="Z489" s="430"/>
      <c r="AA489" s="430"/>
      <c r="AB489" s="444"/>
      <c r="AC489" s="444"/>
      <c r="AD489" s="430"/>
      <c r="AE489" s="430"/>
      <c r="AF489" s="430"/>
      <c r="AG489" s="444"/>
      <c r="AH489" s="444"/>
      <c r="AI489" s="430"/>
      <c r="AJ489" s="430"/>
      <c r="AK489" s="430"/>
      <c r="AL489" s="476"/>
      <c r="AM489" s="430"/>
      <c r="AN489" s="430"/>
      <c r="AO489" s="430"/>
      <c r="AP489" s="430"/>
      <c r="AQ489" s="430"/>
      <c r="AR489" s="430"/>
      <c r="AS489" s="430"/>
      <c r="AT489" s="430"/>
      <c r="AU489" s="430"/>
      <c r="AV489" s="430"/>
      <c r="AW489" s="430"/>
      <c r="AX489" s="430"/>
    </row>
    <row r="490">
      <c r="B490" s="471"/>
      <c r="E490" s="471"/>
      <c r="H490" s="471"/>
      <c r="K490" s="471"/>
      <c r="M490" s="454"/>
      <c r="N490" s="424"/>
      <c r="O490" s="424"/>
      <c r="P490" s="430"/>
      <c r="Q490" s="444"/>
      <c r="R490" s="424"/>
      <c r="S490" s="430"/>
      <c r="T490" s="444"/>
      <c r="U490" s="430"/>
      <c r="V490" s="430"/>
      <c r="W490" s="444"/>
      <c r="X490" s="444"/>
      <c r="Y490" s="430"/>
      <c r="Z490" s="430"/>
      <c r="AA490" s="430"/>
      <c r="AB490" s="444"/>
      <c r="AC490" s="444"/>
      <c r="AD490" s="430"/>
      <c r="AE490" s="430"/>
      <c r="AF490" s="430"/>
      <c r="AG490" s="444"/>
      <c r="AH490" s="444"/>
      <c r="AI490" s="430"/>
      <c r="AJ490" s="430"/>
      <c r="AK490" s="430"/>
      <c r="AL490" s="476"/>
      <c r="AM490" s="430"/>
      <c r="AN490" s="430"/>
      <c r="AO490" s="430"/>
      <c r="AP490" s="430"/>
      <c r="AQ490" s="430"/>
      <c r="AR490" s="430"/>
      <c r="AS490" s="430"/>
      <c r="AT490" s="430"/>
      <c r="AU490" s="430"/>
      <c r="AV490" s="430"/>
      <c r="AW490" s="430"/>
      <c r="AX490" s="430"/>
    </row>
    <row r="491">
      <c r="B491" s="471"/>
      <c r="E491" s="471"/>
      <c r="H491" s="471"/>
      <c r="K491" s="471"/>
      <c r="M491" s="454"/>
      <c r="N491" s="424"/>
      <c r="O491" s="424"/>
      <c r="P491" s="430"/>
      <c r="Q491" s="444"/>
      <c r="R491" s="424"/>
      <c r="S491" s="430"/>
      <c r="T491" s="444"/>
      <c r="U491" s="430"/>
      <c r="V491" s="430"/>
      <c r="W491" s="444"/>
      <c r="X491" s="444"/>
      <c r="Y491" s="430"/>
      <c r="Z491" s="430"/>
      <c r="AA491" s="430"/>
      <c r="AB491" s="444"/>
      <c r="AC491" s="444"/>
      <c r="AD491" s="430"/>
      <c r="AE491" s="430"/>
      <c r="AF491" s="430"/>
      <c r="AG491" s="444"/>
      <c r="AH491" s="444"/>
      <c r="AI491" s="430"/>
      <c r="AJ491" s="430"/>
      <c r="AK491" s="430"/>
      <c r="AL491" s="476"/>
      <c r="AM491" s="430"/>
      <c r="AN491" s="430"/>
      <c r="AO491" s="430"/>
      <c r="AP491" s="430"/>
      <c r="AQ491" s="430"/>
      <c r="AR491" s="430"/>
      <c r="AS491" s="430"/>
      <c r="AT491" s="430"/>
      <c r="AU491" s="430"/>
      <c r="AV491" s="430"/>
      <c r="AW491" s="430"/>
      <c r="AX491" s="430"/>
    </row>
    <row r="492">
      <c r="B492" s="471"/>
      <c r="E492" s="471"/>
      <c r="H492" s="471"/>
      <c r="K492" s="471"/>
      <c r="M492" s="454"/>
      <c r="N492" s="424"/>
      <c r="O492" s="424"/>
      <c r="P492" s="430"/>
      <c r="Q492" s="444"/>
      <c r="R492" s="424"/>
      <c r="S492" s="430"/>
      <c r="T492" s="444"/>
      <c r="U492" s="430"/>
      <c r="V492" s="430"/>
      <c r="W492" s="444"/>
      <c r="X492" s="444"/>
      <c r="Y492" s="430"/>
      <c r="Z492" s="430"/>
      <c r="AA492" s="430"/>
      <c r="AB492" s="444"/>
      <c r="AC492" s="444"/>
      <c r="AD492" s="430"/>
      <c r="AE492" s="430"/>
      <c r="AF492" s="430"/>
      <c r="AG492" s="444"/>
      <c r="AH492" s="444"/>
      <c r="AI492" s="430"/>
      <c r="AJ492" s="430"/>
      <c r="AK492" s="430"/>
      <c r="AL492" s="476"/>
      <c r="AM492" s="430"/>
      <c r="AN492" s="430"/>
      <c r="AO492" s="430"/>
      <c r="AP492" s="430"/>
      <c r="AQ492" s="430"/>
      <c r="AR492" s="430"/>
      <c r="AS492" s="430"/>
      <c r="AT492" s="430"/>
      <c r="AU492" s="430"/>
      <c r="AV492" s="430"/>
      <c r="AW492" s="430"/>
      <c r="AX492" s="430"/>
    </row>
    <row r="493">
      <c r="B493" s="471"/>
      <c r="E493" s="471"/>
      <c r="H493" s="471"/>
      <c r="K493" s="471"/>
      <c r="M493" s="454"/>
      <c r="N493" s="424"/>
      <c r="O493" s="424"/>
      <c r="P493" s="430"/>
      <c r="Q493" s="444"/>
      <c r="R493" s="424"/>
      <c r="S493" s="430"/>
      <c r="T493" s="444"/>
      <c r="U493" s="430"/>
      <c r="V493" s="430"/>
      <c r="W493" s="444"/>
      <c r="X493" s="444"/>
      <c r="Y493" s="430"/>
      <c r="Z493" s="430"/>
      <c r="AA493" s="430"/>
      <c r="AB493" s="444"/>
      <c r="AC493" s="444"/>
      <c r="AD493" s="430"/>
      <c r="AE493" s="430"/>
      <c r="AF493" s="430"/>
      <c r="AG493" s="444"/>
      <c r="AH493" s="444"/>
      <c r="AI493" s="430"/>
      <c r="AJ493" s="430"/>
      <c r="AK493" s="430"/>
      <c r="AL493" s="476"/>
      <c r="AM493" s="430"/>
      <c r="AN493" s="430"/>
      <c r="AO493" s="430"/>
      <c r="AP493" s="430"/>
      <c r="AQ493" s="430"/>
      <c r="AR493" s="430"/>
      <c r="AS493" s="430"/>
      <c r="AT493" s="430"/>
      <c r="AU493" s="430"/>
      <c r="AV493" s="430"/>
      <c r="AW493" s="430"/>
      <c r="AX493" s="430"/>
    </row>
    <row r="494">
      <c r="B494" s="471"/>
      <c r="E494" s="471"/>
      <c r="H494" s="471"/>
      <c r="K494" s="471"/>
      <c r="M494" s="454"/>
      <c r="N494" s="424"/>
      <c r="O494" s="424"/>
      <c r="P494" s="430"/>
      <c r="Q494" s="444"/>
      <c r="R494" s="424"/>
      <c r="S494" s="430"/>
      <c r="T494" s="444"/>
      <c r="U494" s="430"/>
      <c r="V494" s="430"/>
      <c r="W494" s="444"/>
      <c r="X494" s="444"/>
      <c r="Y494" s="430"/>
      <c r="Z494" s="430"/>
      <c r="AA494" s="430"/>
      <c r="AB494" s="444"/>
      <c r="AC494" s="444"/>
      <c r="AD494" s="430"/>
      <c r="AE494" s="430"/>
      <c r="AF494" s="430"/>
      <c r="AG494" s="444"/>
      <c r="AH494" s="444"/>
      <c r="AI494" s="430"/>
      <c r="AJ494" s="430"/>
      <c r="AK494" s="430"/>
      <c r="AL494" s="476"/>
      <c r="AM494" s="430"/>
      <c r="AN494" s="430"/>
      <c r="AO494" s="430"/>
      <c r="AP494" s="430"/>
      <c r="AQ494" s="430"/>
      <c r="AR494" s="430"/>
      <c r="AS494" s="430"/>
      <c r="AT494" s="430"/>
      <c r="AU494" s="430"/>
      <c r="AV494" s="430"/>
      <c r="AW494" s="430"/>
      <c r="AX494" s="430"/>
    </row>
    <row r="495">
      <c r="B495" s="471"/>
      <c r="E495" s="471"/>
      <c r="H495" s="471"/>
      <c r="K495" s="471"/>
      <c r="M495" s="454"/>
      <c r="N495" s="424"/>
      <c r="O495" s="424"/>
      <c r="P495" s="430"/>
      <c r="Q495" s="444"/>
      <c r="R495" s="424"/>
      <c r="S495" s="430"/>
      <c r="T495" s="444"/>
      <c r="U495" s="430"/>
      <c r="V495" s="430"/>
      <c r="W495" s="444"/>
      <c r="X495" s="444"/>
      <c r="Y495" s="430"/>
      <c r="Z495" s="430"/>
      <c r="AA495" s="430"/>
      <c r="AB495" s="444"/>
      <c r="AC495" s="444"/>
      <c r="AD495" s="430"/>
      <c r="AE495" s="430"/>
      <c r="AF495" s="430"/>
      <c r="AG495" s="444"/>
      <c r="AH495" s="444"/>
      <c r="AI495" s="430"/>
      <c r="AJ495" s="430"/>
      <c r="AK495" s="430"/>
      <c r="AL495" s="476"/>
      <c r="AM495" s="430"/>
      <c r="AN495" s="430"/>
      <c r="AO495" s="430"/>
      <c r="AP495" s="430"/>
      <c r="AQ495" s="430"/>
      <c r="AR495" s="430"/>
      <c r="AS495" s="430"/>
      <c r="AT495" s="430"/>
      <c r="AU495" s="430"/>
      <c r="AV495" s="430"/>
      <c r="AW495" s="430"/>
      <c r="AX495" s="430"/>
    </row>
    <row r="496">
      <c r="B496" s="471"/>
      <c r="E496" s="471"/>
      <c r="H496" s="471"/>
      <c r="K496" s="471"/>
      <c r="M496" s="454"/>
      <c r="N496" s="424"/>
      <c r="O496" s="424"/>
      <c r="P496" s="430"/>
      <c r="Q496" s="444"/>
      <c r="R496" s="424"/>
      <c r="S496" s="430"/>
      <c r="T496" s="444"/>
      <c r="U496" s="430"/>
      <c r="V496" s="430"/>
      <c r="W496" s="444"/>
      <c r="X496" s="444"/>
      <c r="Y496" s="430"/>
      <c r="Z496" s="430"/>
      <c r="AA496" s="430"/>
      <c r="AB496" s="444"/>
      <c r="AC496" s="444"/>
      <c r="AD496" s="430"/>
      <c r="AE496" s="430"/>
      <c r="AF496" s="430"/>
      <c r="AG496" s="444"/>
      <c r="AH496" s="444"/>
      <c r="AI496" s="430"/>
      <c r="AJ496" s="430"/>
      <c r="AK496" s="430"/>
      <c r="AL496" s="476"/>
      <c r="AM496" s="430"/>
      <c r="AN496" s="430"/>
      <c r="AO496" s="430"/>
      <c r="AP496" s="430"/>
      <c r="AQ496" s="430"/>
      <c r="AR496" s="430"/>
      <c r="AS496" s="430"/>
      <c r="AT496" s="430"/>
      <c r="AU496" s="430"/>
      <c r="AV496" s="430"/>
      <c r="AW496" s="430"/>
      <c r="AX496" s="430"/>
    </row>
    <row r="497">
      <c r="B497" s="471"/>
      <c r="E497" s="471"/>
      <c r="H497" s="471"/>
      <c r="K497" s="471"/>
      <c r="M497" s="454"/>
      <c r="N497" s="424"/>
      <c r="O497" s="424"/>
      <c r="P497" s="430"/>
      <c r="Q497" s="444"/>
      <c r="R497" s="424"/>
      <c r="S497" s="430"/>
      <c r="T497" s="444"/>
      <c r="U497" s="430"/>
      <c r="V497" s="430"/>
      <c r="W497" s="444"/>
      <c r="X497" s="444"/>
      <c r="Y497" s="430"/>
      <c r="Z497" s="430"/>
      <c r="AA497" s="430"/>
      <c r="AB497" s="444"/>
      <c r="AC497" s="444"/>
      <c r="AD497" s="430"/>
      <c r="AE497" s="430"/>
      <c r="AF497" s="430"/>
      <c r="AG497" s="444"/>
      <c r="AH497" s="444"/>
      <c r="AI497" s="430"/>
      <c r="AJ497" s="430"/>
      <c r="AK497" s="430"/>
      <c r="AL497" s="476"/>
      <c r="AM497" s="430"/>
      <c r="AN497" s="430"/>
      <c r="AO497" s="430"/>
      <c r="AP497" s="430"/>
      <c r="AQ497" s="430"/>
      <c r="AR497" s="430"/>
      <c r="AS497" s="430"/>
      <c r="AT497" s="430"/>
      <c r="AU497" s="430"/>
      <c r="AV497" s="430"/>
      <c r="AW497" s="430"/>
      <c r="AX497" s="430"/>
    </row>
    <row r="498">
      <c r="B498" s="471"/>
      <c r="E498" s="471"/>
      <c r="H498" s="471"/>
      <c r="K498" s="471"/>
      <c r="M498" s="454"/>
      <c r="N498" s="424"/>
      <c r="O498" s="424"/>
      <c r="P498" s="430"/>
      <c r="Q498" s="444"/>
      <c r="R498" s="424"/>
      <c r="S498" s="430"/>
      <c r="T498" s="444"/>
      <c r="U498" s="430"/>
      <c r="V498" s="430"/>
      <c r="W498" s="444"/>
      <c r="X498" s="444"/>
      <c r="Y498" s="430"/>
      <c r="Z498" s="430"/>
      <c r="AA498" s="430"/>
      <c r="AB498" s="444"/>
      <c r="AC498" s="444"/>
      <c r="AD498" s="430"/>
      <c r="AE498" s="430"/>
      <c r="AF498" s="430"/>
      <c r="AG498" s="444"/>
      <c r="AH498" s="444"/>
      <c r="AI498" s="430"/>
      <c r="AJ498" s="430"/>
      <c r="AK498" s="430"/>
      <c r="AL498" s="476"/>
      <c r="AM498" s="430"/>
      <c r="AN498" s="430"/>
      <c r="AO498" s="430"/>
      <c r="AP498" s="430"/>
      <c r="AQ498" s="430"/>
      <c r="AR498" s="430"/>
      <c r="AS498" s="430"/>
      <c r="AT498" s="430"/>
      <c r="AU498" s="430"/>
      <c r="AV498" s="430"/>
      <c r="AW498" s="430"/>
      <c r="AX498" s="430"/>
    </row>
    <row r="499">
      <c r="B499" s="471"/>
      <c r="E499" s="471"/>
      <c r="H499" s="471"/>
      <c r="K499" s="471"/>
      <c r="M499" s="454"/>
      <c r="N499" s="424"/>
      <c r="O499" s="424"/>
      <c r="P499" s="430"/>
      <c r="Q499" s="444"/>
      <c r="R499" s="424"/>
      <c r="S499" s="430"/>
      <c r="T499" s="444"/>
      <c r="U499" s="430"/>
      <c r="V499" s="430"/>
      <c r="W499" s="444"/>
      <c r="X499" s="444"/>
      <c r="Y499" s="430"/>
      <c r="Z499" s="430"/>
      <c r="AA499" s="430"/>
      <c r="AB499" s="444"/>
      <c r="AC499" s="444"/>
      <c r="AD499" s="430"/>
      <c r="AE499" s="430"/>
      <c r="AF499" s="430"/>
      <c r="AG499" s="444"/>
      <c r="AH499" s="444"/>
      <c r="AI499" s="430"/>
      <c r="AJ499" s="430"/>
      <c r="AK499" s="430"/>
      <c r="AL499" s="476"/>
      <c r="AM499" s="430"/>
      <c r="AN499" s="430"/>
      <c r="AO499" s="430"/>
      <c r="AP499" s="430"/>
      <c r="AQ499" s="430"/>
      <c r="AR499" s="430"/>
      <c r="AS499" s="430"/>
      <c r="AT499" s="430"/>
      <c r="AU499" s="430"/>
      <c r="AV499" s="430"/>
      <c r="AW499" s="430"/>
      <c r="AX499" s="430"/>
    </row>
    <row r="500">
      <c r="B500" s="471"/>
      <c r="E500" s="471"/>
      <c r="H500" s="471"/>
      <c r="K500" s="471"/>
      <c r="M500" s="454"/>
      <c r="N500" s="424"/>
      <c r="O500" s="424"/>
      <c r="P500" s="430"/>
      <c r="Q500" s="444"/>
      <c r="R500" s="424"/>
      <c r="S500" s="430"/>
      <c r="T500" s="444"/>
      <c r="U500" s="430"/>
      <c r="V500" s="430"/>
      <c r="W500" s="444"/>
      <c r="X500" s="444"/>
      <c r="Y500" s="430"/>
      <c r="Z500" s="430"/>
      <c r="AA500" s="430"/>
      <c r="AB500" s="444"/>
      <c r="AC500" s="444"/>
      <c r="AD500" s="430"/>
      <c r="AE500" s="430"/>
      <c r="AF500" s="430"/>
      <c r="AG500" s="444"/>
      <c r="AH500" s="444"/>
      <c r="AI500" s="430"/>
      <c r="AJ500" s="430"/>
      <c r="AK500" s="430"/>
      <c r="AL500" s="476"/>
      <c r="AM500" s="430"/>
      <c r="AN500" s="430"/>
      <c r="AO500" s="430"/>
      <c r="AP500" s="430"/>
      <c r="AQ500" s="430"/>
      <c r="AR500" s="430"/>
      <c r="AS500" s="430"/>
      <c r="AT500" s="430"/>
      <c r="AU500" s="430"/>
      <c r="AV500" s="430"/>
      <c r="AW500" s="430"/>
      <c r="AX500" s="430"/>
    </row>
    <row r="501">
      <c r="B501" s="471"/>
      <c r="E501" s="471"/>
      <c r="H501" s="471"/>
      <c r="K501" s="471"/>
      <c r="M501" s="454"/>
      <c r="N501" s="424"/>
      <c r="O501" s="424"/>
      <c r="P501" s="430"/>
      <c r="Q501" s="444"/>
      <c r="R501" s="424"/>
      <c r="S501" s="430"/>
      <c r="T501" s="444"/>
      <c r="U501" s="430"/>
      <c r="V501" s="430"/>
      <c r="W501" s="444"/>
      <c r="X501" s="444"/>
      <c r="Y501" s="430"/>
      <c r="Z501" s="430"/>
      <c r="AA501" s="430"/>
      <c r="AB501" s="444"/>
      <c r="AC501" s="444"/>
      <c r="AD501" s="430"/>
      <c r="AE501" s="430"/>
      <c r="AF501" s="430"/>
      <c r="AG501" s="444"/>
      <c r="AH501" s="444"/>
      <c r="AI501" s="430"/>
      <c r="AJ501" s="430"/>
      <c r="AK501" s="430"/>
      <c r="AL501" s="476"/>
      <c r="AM501" s="430"/>
      <c r="AN501" s="430"/>
      <c r="AO501" s="430"/>
      <c r="AP501" s="430"/>
      <c r="AQ501" s="430"/>
      <c r="AR501" s="430"/>
      <c r="AS501" s="430"/>
      <c r="AT501" s="430"/>
      <c r="AU501" s="430"/>
      <c r="AV501" s="430"/>
      <c r="AW501" s="430"/>
      <c r="AX501" s="430"/>
    </row>
    <row r="502">
      <c r="B502" s="471"/>
      <c r="E502" s="471"/>
      <c r="H502" s="471"/>
      <c r="K502" s="471"/>
      <c r="M502" s="454"/>
      <c r="N502" s="424"/>
      <c r="O502" s="424"/>
      <c r="P502" s="430"/>
      <c r="Q502" s="444"/>
      <c r="R502" s="424"/>
      <c r="S502" s="430"/>
      <c r="T502" s="444"/>
      <c r="U502" s="430"/>
      <c r="V502" s="430"/>
      <c r="W502" s="444"/>
      <c r="X502" s="444"/>
      <c r="Y502" s="430"/>
      <c r="Z502" s="430"/>
      <c r="AA502" s="430"/>
      <c r="AB502" s="444"/>
      <c r="AC502" s="444"/>
      <c r="AD502" s="430"/>
      <c r="AE502" s="430"/>
      <c r="AF502" s="430"/>
      <c r="AG502" s="444"/>
      <c r="AH502" s="444"/>
      <c r="AI502" s="430"/>
      <c r="AJ502" s="430"/>
      <c r="AK502" s="430"/>
      <c r="AL502" s="476"/>
      <c r="AM502" s="430"/>
      <c r="AN502" s="430"/>
      <c r="AO502" s="430"/>
      <c r="AP502" s="430"/>
      <c r="AQ502" s="430"/>
      <c r="AR502" s="430"/>
      <c r="AS502" s="430"/>
      <c r="AT502" s="430"/>
      <c r="AU502" s="430"/>
      <c r="AV502" s="430"/>
      <c r="AW502" s="430"/>
      <c r="AX502" s="430"/>
    </row>
    <row r="503">
      <c r="B503" s="471"/>
      <c r="E503" s="471"/>
      <c r="H503" s="471"/>
      <c r="K503" s="471"/>
      <c r="M503" s="454"/>
      <c r="N503" s="424"/>
      <c r="O503" s="424"/>
      <c r="P503" s="430"/>
      <c r="Q503" s="444"/>
      <c r="R503" s="424"/>
      <c r="S503" s="430"/>
      <c r="T503" s="444"/>
      <c r="U503" s="430"/>
      <c r="V503" s="430"/>
      <c r="W503" s="444"/>
      <c r="X503" s="444"/>
      <c r="Y503" s="430"/>
      <c r="Z503" s="430"/>
      <c r="AA503" s="430"/>
      <c r="AB503" s="444"/>
      <c r="AC503" s="444"/>
      <c r="AD503" s="430"/>
      <c r="AE503" s="430"/>
      <c r="AF503" s="430"/>
      <c r="AG503" s="444"/>
      <c r="AH503" s="444"/>
      <c r="AI503" s="430"/>
      <c r="AJ503" s="430"/>
      <c r="AK503" s="430"/>
      <c r="AL503" s="476"/>
      <c r="AM503" s="430"/>
      <c r="AN503" s="430"/>
      <c r="AO503" s="430"/>
      <c r="AP503" s="430"/>
      <c r="AQ503" s="430"/>
      <c r="AR503" s="430"/>
      <c r="AS503" s="430"/>
      <c r="AT503" s="430"/>
      <c r="AU503" s="430"/>
      <c r="AV503" s="430"/>
      <c r="AW503" s="430"/>
      <c r="AX503" s="430"/>
    </row>
    <row r="504">
      <c r="B504" s="471"/>
      <c r="E504" s="471"/>
      <c r="H504" s="471"/>
      <c r="K504" s="471"/>
      <c r="M504" s="454"/>
      <c r="N504" s="424"/>
      <c r="O504" s="424"/>
      <c r="P504" s="430"/>
      <c r="Q504" s="444"/>
      <c r="R504" s="424"/>
      <c r="S504" s="430"/>
      <c r="T504" s="444"/>
      <c r="U504" s="430"/>
      <c r="V504" s="430"/>
      <c r="W504" s="444"/>
      <c r="X504" s="444"/>
      <c r="Y504" s="430"/>
      <c r="Z504" s="430"/>
      <c r="AA504" s="430"/>
      <c r="AB504" s="444"/>
      <c r="AC504" s="444"/>
      <c r="AD504" s="430"/>
      <c r="AE504" s="430"/>
      <c r="AF504" s="430"/>
      <c r="AG504" s="444"/>
      <c r="AH504" s="444"/>
      <c r="AI504" s="430"/>
      <c r="AJ504" s="430"/>
      <c r="AK504" s="430"/>
      <c r="AL504" s="476"/>
      <c r="AM504" s="430"/>
      <c r="AN504" s="430"/>
      <c r="AO504" s="430"/>
      <c r="AP504" s="430"/>
      <c r="AQ504" s="430"/>
      <c r="AR504" s="430"/>
      <c r="AS504" s="430"/>
      <c r="AT504" s="430"/>
      <c r="AU504" s="430"/>
      <c r="AV504" s="430"/>
      <c r="AW504" s="430"/>
      <c r="AX504" s="430"/>
    </row>
    <row r="505">
      <c r="B505" s="471"/>
      <c r="E505" s="471"/>
      <c r="H505" s="471"/>
      <c r="K505" s="471"/>
      <c r="M505" s="454"/>
      <c r="N505" s="424"/>
      <c r="O505" s="424"/>
      <c r="P505" s="430"/>
      <c r="Q505" s="444"/>
      <c r="R505" s="424"/>
      <c r="S505" s="430"/>
      <c r="T505" s="444"/>
      <c r="U505" s="430"/>
      <c r="V505" s="430"/>
      <c r="W505" s="444"/>
      <c r="X505" s="444"/>
      <c r="Y505" s="430"/>
      <c r="Z505" s="430"/>
      <c r="AA505" s="430"/>
      <c r="AB505" s="444"/>
      <c r="AC505" s="444"/>
      <c r="AD505" s="430"/>
      <c r="AE505" s="430"/>
      <c r="AF505" s="430"/>
      <c r="AG505" s="444"/>
      <c r="AH505" s="444"/>
      <c r="AI505" s="430"/>
      <c r="AJ505" s="430"/>
      <c r="AK505" s="430"/>
      <c r="AL505" s="476"/>
      <c r="AM505" s="430"/>
      <c r="AN505" s="430"/>
      <c r="AO505" s="430"/>
      <c r="AP505" s="430"/>
      <c r="AQ505" s="430"/>
      <c r="AR505" s="430"/>
      <c r="AS505" s="430"/>
      <c r="AT505" s="430"/>
      <c r="AU505" s="430"/>
      <c r="AV505" s="430"/>
      <c r="AW505" s="430"/>
      <c r="AX505" s="430"/>
    </row>
    <row r="506">
      <c r="B506" s="471"/>
      <c r="E506" s="471"/>
      <c r="H506" s="471"/>
      <c r="K506" s="471"/>
      <c r="M506" s="454"/>
      <c r="N506" s="424"/>
      <c r="O506" s="424"/>
      <c r="P506" s="430"/>
      <c r="Q506" s="444"/>
      <c r="R506" s="424"/>
      <c r="S506" s="430"/>
      <c r="T506" s="444"/>
      <c r="U506" s="430"/>
      <c r="V506" s="430"/>
      <c r="W506" s="444"/>
      <c r="X506" s="444"/>
      <c r="Y506" s="430"/>
      <c r="Z506" s="430"/>
      <c r="AA506" s="430"/>
      <c r="AB506" s="444"/>
      <c r="AC506" s="444"/>
      <c r="AD506" s="430"/>
      <c r="AE506" s="430"/>
      <c r="AF506" s="430"/>
      <c r="AG506" s="444"/>
      <c r="AH506" s="444"/>
      <c r="AI506" s="430"/>
      <c r="AJ506" s="430"/>
      <c r="AK506" s="430"/>
      <c r="AL506" s="476"/>
      <c r="AM506" s="430"/>
      <c r="AN506" s="430"/>
      <c r="AO506" s="430"/>
      <c r="AP506" s="430"/>
      <c r="AQ506" s="430"/>
      <c r="AR506" s="430"/>
      <c r="AS506" s="430"/>
      <c r="AT506" s="430"/>
      <c r="AU506" s="430"/>
      <c r="AV506" s="430"/>
      <c r="AW506" s="430"/>
      <c r="AX506" s="430"/>
    </row>
    <row r="507">
      <c r="B507" s="471"/>
      <c r="E507" s="471"/>
      <c r="H507" s="471"/>
      <c r="K507" s="471"/>
      <c r="M507" s="454"/>
      <c r="N507" s="424"/>
      <c r="O507" s="424"/>
      <c r="P507" s="430"/>
      <c r="Q507" s="444"/>
      <c r="R507" s="424"/>
      <c r="S507" s="430"/>
      <c r="T507" s="444"/>
      <c r="U507" s="430"/>
      <c r="V507" s="430"/>
      <c r="W507" s="444"/>
      <c r="X507" s="444"/>
      <c r="Y507" s="430"/>
      <c r="Z507" s="430"/>
      <c r="AA507" s="430"/>
      <c r="AB507" s="444"/>
      <c r="AC507" s="444"/>
      <c r="AD507" s="430"/>
      <c r="AE507" s="430"/>
      <c r="AF507" s="430"/>
      <c r="AG507" s="444"/>
      <c r="AH507" s="444"/>
      <c r="AI507" s="430"/>
      <c r="AJ507" s="430"/>
      <c r="AK507" s="430"/>
      <c r="AL507" s="476"/>
      <c r="AM507" s="430"/>
      <c r="AN507" s="430"/>
      <c r="AO507" s="430"/>
      <c r="AP507" s="430"/>
      <c r="AQ507" s="430"/>
      <c r="AR507" s="430"/>
      <c r="AS507" s="430"/>
      <c r="AT507" s="430"/>
      <c r="AU507" s="430"/>
      <c r="AV507" s="430"/>
      <c r="AW507" s="430"/>
      <c r="AX507" s="430"/>
    </row>
    <row r="508">
      <c r="B508" s="471"/>
      <c r="E508" s="471"/>
      <c r="H508" s="471"/>
      <c r="K508" s="471"/>
      <c r="M508" s="454"/>
      <c r="N508" s="424"/>
      <c r="O508" s="424"/>
      <c r="P508" s="430"/>
      <c r="Q508" s="444"/>
      <c r="R508" s="424"/>
      <c r="S508" s="430"/>
      <c r="T508" s="444"/>
      <c r="U508" s="430"/>
      <c r="V508" s="430"/>
      <c r="W508" s="444"/>
      <c r="X508" s="444"/>
      <c r="Y508" s="430"/>
      <c r="Z508" s="430"/>
      <c r="AA508" s="430"/>
      <c r="AB508" s="444"/>
      <c r="AC508" s="444"/>
      <c r="AD508" s="430"/>
      <c r="AE508" s="430"/>
      <c r="AF508" s="430"/>
      <c r="AG508" s="444"/>
      <c r="AH508" s="444"/>
      <c r="AI508" s="430"/>
      <c r="AJ508" s="430"/>
      <c r="AK508" s="430"/>
      <c r="AL508" s="476"/>
      <c r="AM508" s="430"/>
      <c r="AN508" s="430"/>
      <c r="AO508" s="430"/>
      <c r="AP508" s="430"/>
      <c r="AQ508" s="430"/>
      <c r="AR508" s="430"/>
      <c r="AS508" s="430"/>
      <c r="AT508" s="430"/>
      <c r="AU508" s="430"/>
      <c r="AV508" s="430"/>
      <c r="AW508" s="430"/>
      <c r="AX508" s="430"/>
    </row>
    <row r="509">
      <c r="B509" s="471"/>
      <c r="E509" s="471"/>
      <c r="H509" s="471"/>
      <c r="K509" s="471"/>
      <c r="M509" s="454"/>
      <c r="N509" s="424"/>
      <c r="O509" s="424"/>
      <c r="P509" s="430"/>
      <c r="Q509" s="444"/>
      <c r="R509" s="424"/>
      <c r="S509" s="430"/>
      <c r="T509" s="444"/>
      <c r="U509" s="430"/>
      <c r="V509" s="430"/>
      <c r="W509" s="444"/>
      <c r="X509" s="444"/>
      <c r="Y509" s="430"/>
      <c r="Z509" s="430"/>
      <c r="AA509" s="430"/>
      <c r="AB509" s="444"/>
      <c r="AC509" s="444"/>
      <c r="AD509" s="430"/>
      <c r="AE509" s="430"/>
      <c r="AF509" s="430"/>
      <c r="AG509" s="444"/>
      <c r="AH509" s="444"/>
      <c r="AI509" s="430"/>
      <c r="AJ509" s="430"/>
      <c r="AK509" s="430"/>
      <c r="AL509" s="476"/>
      <c r="AM509" s="430"/>
      <c r="AN509" s="430"/>
      <c r="AO509" s="430"/>
      <c r="AP509" s="430"/>
      <c r="AQ509" s="430"/>
      <c r="AR509" s="430"/>
      <c r="AS509" s="430"/>
      <c r="AT509" s="430"/>
      <c r="AU509" s="430"/>
      <c r="AV509" s="430"/>
      <c r="AW509" s="430"/>
      <c r="AX509" s="430"/>
    </row>
    <row r="510">
      <c r="B510" s="471"/>
      <c r="E510" s="471"/>
      <c r="H510" s="471"/>
      <c r="K510" s="471"/>
      <c r="M510" s="454"/>
      <c r="N510" s="424"/>
      <c r="O510" s="424"/>
      <c r="P510" s="430"/>
      <c r="Q510" s="444"/>
      <c r="R510" s="424"/>
      <c r="S510" s="430"/>
      <c r="T510" s="444"/>
      <c r="U510" s="430"/>
      <c r="V510" s="430"/>
      <c r="W510" s="444"/>
      <c r="X510" s="444"/>
      <c r="Y510" s="430"/>
      <c r="Z510" s="430"/>
      <c r="AA510" s="430"/>
      <c r="AB510" s="444"/>
      <c r="AC510" s="444"/>
      <c r="AD510" s="430"/>
      <c r="AE510" s="430"/>
      <c r="AF510" s="430"/>
      <c r="AG510" s="444"/>
      <c r="AH510" s="444"/>
      <c r="AI510" s="430"/>
      <c r="AJ510" s="430"/>
      <c r="AK510" s="430"/>
      <c r="AL510" s="476"/>
      <c r="AM510" s="430"/>
      <c r="AN510" s="430"/>
      <c r="AO510" s="430"/>
      <c r="AP510" s="430"/>
      <c r="AQ510" s="430"/>
      <c r="AR510" s="430"/>
      <c r="AS510" s="430"/>
      <c r="AT510" s="430"/>
      <c r="AU510" s="430"/>
      <c r="AV510" s="430"/>
      <c r="AW510" s="430"/>
      <c r="AX510" s="430"/>
    </row>
    <row r="511">
      <c r="B511" s="471"/>
      <c r="E511" s="471"/>
      <c r="H511" s="471"/>
      <c r="K511" s="471"/>
      <c r="M511" s="454"/>
      <c r="N511" s="424"/>
      <c r="O511" s="424"/>
      <c r="P511" s="430"/>
      <c r="Q511" s="444"/>
      <c r="R511" s="424"/>
      <c r="S511" s="430"/>
      <c r="T511" s="444"/>
      <c r="U511" s="430"/>
      <c r="V511" s="430"/>
      <c r="W511" s="444"/>
      <c r="X511" s="444"/>
      <c r="Y511" s="430"/>
      <c r="Z511" s="430"/>
      <c r="AA511" s="430"/>
      <c r="AB511" s="444"/>
      <c r="AC511" s="444"/>
      <c r="AD511" s="430"/>
      <c r="AE511" s="430"/>
      <c r="AF511" s="430"/>
      <c r="AG511" s="444"/>
      <c r="AH511" s="444"/>
      <c r="AI511" s="430"/>
      <c r="AJ511" s="430"/>
      <c r="AK511" s="430"/>
      <c r="AL511" s="476"/>
      <c r="AM511" s="430"/>
      <c r="AN511" s="430"/>
      <c r="AO511" s="430"/>
      <c r="AP511" s="430"/>
      <c r="AQ511" s="430"/>
      <c r="AR511" s="430"/>
      <c r="AS511" s="430"/>
      <c r="AT511" s="430"/>
      <c r="AU511" s="430"/>
      <c r="AV511" s="430"/>
      <c r="AW511" s="430"/>
      <c r="AX511" s="430"/>
    </row>
    <row r="512">
      <c r="B512" s="471"/>
      <c r="E512" s="471"/>
      <c r="H512" s="471"/>
      <c r="K512" s="471"/>
      <c r="M512" s="454"/>
      <c r="N512" s="424"/>
      <c r="O512" s="424"/>
      <c r="P512" s="430"/>
      <c r="Q512" s="444"/>
      <c r="R512" s="424"/>
      <c r="S512" s="430"/>
      <c r="T512" s="444"/>
      <c r="U512" s="430"/>
      <c r="V512" s="430"/>
      <c r="W512" s="444"/>
      <c r="X512" s="444"/>
      <c r="Y512" s="430"/>
      <c r="Z512" s="430"/>
      <c r="AA512" s="430"/>
      <c r="AB512" s="444"/>
      <c r="AC512" s="444"/>
      <c r="AD512" s="430"/>
      <c r="AE512" s="430"/>
      <c r="AF512" s="430"/>
      <c r="AG512" s="444"/>
      <c r="AH512" s="444"/>
      <c r="AI512" s="430"/>
      <c r="AJ512" s="430"/>
      <c r="AK512" s="430"/>
      <c r="AL512" s="476"/>
      <c r="AM512" s="430"/>
      <c r="AN512" s="430"/>
      <c r="AO512" s="430"/>
      <c r="AP512" s="430"/>
      <c r="AQ512" s="430"/>
      <c r="AR512" s="430"/>
      <c r="AS512" s="430"/>
      <c r="AT512" s="430"/>
      <c r="AU512" s="430"/>
      <c r="AV512" s="430"/>
      <c r="AW512" s="430"/>
      <c r="AX512" s="430"/>
    </row>
    <row r="513">
      <c r="B513" s="471"/>
      <c r="E513" s="471"/>
      <c r="H513" s="471"/>
      <c r="K513" s="471"/>
      <c r="M513" s="454"/>
      <c r="N513" s="424"/>
      <c r="O513" s="424"/>
      <c r="P513" s="430"/>
      <c r="Q513" s="444"/>
      <c r="R513" s="424"/>
      <c r="S513" s="430"/>
      <c r="T513" s="444"/>
      <c r="U513" s="430"/>
      <c r="V513" s="430"/>
      <c r="W513" s="444"/>
      <c r="X513" s="444"/>
      <c r="Y513" s="430"/>
      <c r="Z513" s="430"/>
      <c r="AA513" s="430"/>
      <c r="AB513" s="444"/>
      <c r="AC513" s="444"/>
      <c r="AD513" s="430"/>
      <c r="AE513" s="430"/>
      <c r="AF513" s="430"/>
      <c r="AG513" s="444"/>
      <c r="AH513" s="444"/>
      <c r="AI513" s="430"/>
      <c r="AJ513" s="430"/>
      <c r="AK513" s="430"/>
      <c r="AL513" s="476"/>
      <c r="AM513" s="430"/>
      <c r="AN513" s="430"/>
      <c r="AO513" s="430"/>
      <c r="AP513" s="430"/>
      <c r="AQ513" s="430"/>
      <c r="AR513" s="430"/>
      <c r="AS513" s="430"/>
      <c r="AT513" s="430"/>
      <c r="AU513" s="430"/>
      <c r="AV513" s="430"/>
      <c r="AW513" s="430"/>
      <c r="AX513" s="430"/>
    </row>
    <row r="514">
      <c r="B514" s="471"/>
      <c r="E514" s="471"/>
      <c r="H514" s="471"/>
      <c r="K514" s="471"/>
      <c r="M514" s="454"/>
      <c r="N514" s="424"/>
      <c r="O514" s="424"/>
      <c r="P514" s="430"/>
      <c r="Q514" s="444"/>
      <c r="R514" s="424"/>
      <c r="S514" s="430"/>
      <c r="T514" s="444"/>
      <c r="U514" s="430"/>
      <c r="V514" s="430"/>
      <c r="W514" s="444"/>
      <c r="X514" s="444"/>
      <c r="Y514" s="430"/>
      <c r="Z514" s="430"/>
      <c r="AA514" s="430"/>
      <c r="AB514" s="444"/>
      <c r="AC514" s="444"/>
      <c r="AD514" s="430"/>
      <c r="AE514" s="430"/>
      <c r="AF514" s="430"/>
      <c r="AG514" s="444"/>
      <c r="AH514" s="444"/>
      <c r="AI514" s="430"/>
      <c r="AJ514" s="430"/>
      <c r="AK514" s="430"/>
      <c r="AL514" s="476"/>
      <c r="AM514" s="430"/>
      <c r="AN514" s="430"/>
      <c r="AO514" s="430"/>
      <c r="AP514" s="430"/>
      <c r="AQ514" s="430"/>
      <c r="AR514" s="430"/>
      <c r="AS514" s="430"/>
      <c r="AT514" s="430"/>
      <c r="AU514" s="430"/>
      <c r="AV514" s="430"/>
      <c r="AW514" s="430"/>
      <c r="AX514" s="430"/>
    </row>
    <row r="515">
      <c r="B515" s="471"/>
      <c r="E515" s="471"/>
      <c r="H515" s="471"/>
      <c r="K515" s="471"/>
      <c r="M515" s="454"/>
      <c r="N515" s="424"/>
      <c r="O515" s="424"/>
      <c r="P515" s="430"/>
      <c r="Q515" s="444"/>
      <c r="R515" s="424"/>
      <c r="S515" s="430"/>
      <c r="T515" s="444"/>
      <c r="U515" s="430"/>
      <c r="V515" s="430"/>
      <c r="W515" s="444"/>
      <c r="X515" s="444"/>
      <c r="Y515" s="430"/>
      <c r="Z515" s="430"/>
      <c r="AA515" s="430"/>
      <c r="AB515" s="444"/>
      <c r="AC515" s="444"/>
      <c r="AD515" s="430"/>
      <c r="AE515" s="430"/>
      <c r="AF515" s="430"/>
      <c r="AG515" s="444"/>
      <c r="AH515" s="444"/>
      <c r="AI515" s="430"/>
      <c r="AJ515" s="430"/>
      <c r="AK515" s="430"/>
      <c r="AL515" s="476"/>
      <c r="AM515" s="430"/>
      <c r="AN515" s="430"/>
      <c r="AO515" s="430"/>
      <c r="AP515" s="430"/>
      <c r="AQ515" s="430"/>
      <c r="AR515" s="430"/>
      <c r="AS515" s="430"/>
      <c r="AT515" s="430"/>
      <c r="AU515" s="430"/>
      <c r="AV515" s="430"/>
      <c r="AW515" s="430"/>
      <c r="AX515" s="430"/>
    </row>
    <row r="516">
      <c r="B516" s="471"/>
      <c r="E516" s="471"/>
      <c r="H516" s="471"/>
      <c r="K516" s="471"/>
      <c r="M516" s="454"/>
      <c r="N516" s="424"/>
      <c r="O516" s="424"/>
      <c r="P516" s="430"/>
      <c r="Q516" s="444"/>
      <c r="R516" s="424"/>
      <c r="S516" s="430"/>
      <c r="T516" s="444"/>
      <c r="U516" s="430"/>
      <c r="V516" s="430"/>
      <c r="W516" s="444"/>
      <c r="X516" s="444"/>
      <c r="Y516" s="430"/>
      <c r="Z516" s="430"/>
      <c r="AA516" s="430"/>
      <c r="AB516" s="444"/>
      <c r="AC516" s="444"/>
      <c r="AD516" s="430"/>
      <c r="AE516" s="430"/>
      <c r="AF516" s="430"/>
      <c r="AG516" s="444"/>
      <c r="AH516" s="444"/>
      <c r="AI516" s="430"/>
      <c r="AJ516" s="430"/>
      <c r="AK516" s="430"/>
      <c r="AL516" s="476"/>
      <c r="AM516" s="430"/>
      <c r="AN516" s="430"/>
      <c r="AO516" s="430"/>
      <c r="AP516" s="430"/>
      <c r="AQ516" s="430"/>
      <c r="AR516" s="430"/>
      <c r="AS516" s="430"/>
      <c r="AT516" s="430"/>
      <c r="AU516" s="430"/>
      <c r="AV516" s="430"/>
      <c r="AW516" s="430"/>
      <c r="AX516" s="430"/>
    </row>
    <row r="517">
      <c r="B517" s="471"/>
      <c r="E517" s="471"/>
      <c r="H517" s="471"/>
      <c r="K517" s="471"/>
      <c r="M517" s="454"/>
      <c r="N517" s="424"/>
      <c r="O517" s="424"/>
      <c r="P517" s="430"/>
      <c r="Q517" s="444"/>
      <c r="R517" s="424"/>
      <c r="S517" s="430"/>
      <c r="T517" s="444"/>
      <c r="U517" s="430"/>
      <c r="V517" s="430"/>
      <c r="W517" s="444"/>
      <c r="X517" s="444"/>
      <c r="Y517" s="430"/>
      <c r="Z517" s="430"/>
      <c r="AA517" s="430"/>
      <c r="AB517" s="444"/>
      <c r="AC517" s="444"/>
      <c r="AD517" s="430"/>
      <c r="AE517" s="430"/>
      <c r="AF517" s="430"/>
      <c r="AG517" s="444"/>
      <c r="AH517" s="444"/>
      <c r="AI517" s="430"/>
      <c r="AJ517" s="430"/>
      <c r="AK517" s="430"/>
      <c r="AL517" s="476"/>
      <c r="AM517" s="430"/>
      <c r="AN517" s="430"/>
      <c r="AO517" s="430"/>
      <c r="AP517" s="430"/>
      <c r="AQ517" s="430"/>
      <c r="AR517" s="430"/>
      <c r="AS517" s="430"/>
      <c r="AT517" s="430"/>
      <c r="AU517" s="430"/>
      <c r="AV517" s="430"/>
      <c r="AW517" s="430"/>
      <c r="AX517" s="430"/>
    </row>
    <row r="518">
      <c r="B518" s="471"/>
      <c r="E518" s="471"/>
      <c r="H518" s="471"/>
      <c r="K518" s="471"/>
      <c r="M518" s="454"/>
      <c r="N518" s="424"/>
      <c r="O518" s="424"/>
      <c r="P518" s="430"/>
      <c r="Q518" s="444"/>
      <c r="R518" s="424"/>
      <c r="S518" s="430"/>
      <c r="T518" s="444"/>
      <c r="U518" s="430"/>
      <c r="V518" s="430"/>
      <c r="W518" s="444"/>
      <c r="X518" s="444"/>
      <c r="Y518" s="430"/>
      <c r="Z518" s="430"/>
      <c r="AA518" s="430"/>
      <c r="AB518" s="444"/>
      <c r="AC518" s="444"/>
      <c r="AD518" s="430"/>
      <c r="AE518" s="430"/>
      <c r="AF518" s="430"/>
      <c r="AG518" s="444"/>
      <c r="AH518" s="444"/>
      <c r="AI518" s="430"/>
      <c r="AJ518" s="430"/>
      <c r="AK518" s="430"/>
      <c r="AL518" s="476"/>
      <c r="AM518" s="430"/>
      <c r="AN518" s="430"/>
      <c r="AO518" s="430"/>
      <c r="AP518" s="430"/>
      <c r="AQ518" s="430"/>
      <c r="AR518" s="430"/>
      <c r="AS518" s="430"/>
      <c r="AT518" s="430"/>
      <c r="AU518" s="430"/>
      <c r="AV518" s="430"/>
      <c r="AW518" s="430"/>
      <c r="AX518" s="430"/>
    </row>
    <row r="519">
      <c r="B519" s="471"/>
      <c r="E519" s="471"/>
      <c r="H519" s="471"/>
      <c r="K519" s="471"/>
      <c r="M519" s="454"/>
      <c r="N519" s="424"/>
      <c r="O519" s="424"/>
      <c r="P519" s="430"/>
      <c r="Q519" s="444"/>
      <c r="R519" s="424"/>
      <c r="S519" s="430"/>
      <c r="T519" s="444"/>
      <c r="U519" s="430"/>
      <c r="V519" s="430"/>
      <c r="W519" s="444"/>
      <c r="X519" s="444"/>
      <c r="Y519" s="430"/>
      <c r="Z519" s="430"/>
      <c r="AA519" s="430"/>
      <c r="AB519" s="444"/>
      <c r="AC519" s="444"/>
      <c r="AD519" s="430"/>
      <c r="AE519" s="430"/>
      <c r="AF519" s="430"/>
      <c r="AG519" s="444"/>
      <c r="AH519" s="444"/>
      <c r="AI519" s="430"/>
      <c r="AJ519" s="430"/>
      <c r="AK519" s="430"/>
      <c r="AL519" s="476"/>
      <c r="AM519" s="430"/>
      <c r="AN519" s="430"/>
      <c r="AO519" s="430"/>
      <c r="AP519" s="430"/>
      <c r="AQ519" s="430"/>
      <c r="AR519" s="430"/>
      <c r="AS519" s="430"/>
      <c r="AT519" s="430"/>
      <c r="AU519" s="430"/>
      <c r="AV519" s="430"/>
      <c r="AW519" s="430"/>
      <c r="AX519" s="430"/>
    </row>
    <row r="520">
      <c r="B520" s="471"/>
      <c r="E520" s="471"/>
      <c r="H520" s="471"/>
      <c r="K520" s="471"/>
      <c r="M520" s="454"/>
      <c r="N520" s="424"/>
      <c r="O520" s="424"/>
      <c r="P520" s="430"/>
      <c r="Q520" s="444"/>
      <c r="R520" s="424"/>
      <c r="S520" s="430"/>
      <c r="T520" s="444"/>
      <c r="U520" s="430"/>
      <c r="V520" s="430"/>
      <c r="W520" s="444"/>
      <c r="X520" s="444"/>
      <c r="Y520" s="430"/>
      <c r="Z520" s="430"/>
      <c r="AA520" s="430"/>
      <c r="AB520" s="444"/>
      <c r="AC520" s="444"/>
      <c r="AD520" s="430"/>
      <c r="AE520" s="430"/>
      <c r="AF520" s="430"/>
      <c r="AG520" s="444"/>
      <c r="AH520" s="444"/>
      <c r="AI520" s="430"/>
      <c r="AJ520" s="430"/>
      <c r="AK520" s="430"/>
      <c r="AL520" s="476"/>
      <c r="AM520" s="430"/>
      <c r="AN520" s="430"/>
      <c r="AO520" s="430"/>
      <c r="AP520" s="430"/>
      <c r="AQ520" s="430"/>
      <c r="AR520" s="430"/>
      <c r="AS520" s="430"/>
      <c r="AT520" s="430"/>
      <c r="AU520" s="430"/>
      <c r="AV520" s="430"/>
      <c r="AW520" s="430"/>
      <c r="AX520" s="430"/>
    </row>
    <row r="521">
      <c r="B521" s="471"/>
      <c r="E521" s="471"/>
      <c r="H521" s="471"/>
      <c r="K521" s="471"/>
      <c r="M521" s="454"/>
      <c r="N521" s="424"/>
      <c r="O521" s="424"/>
      <c r="P521" s="430"/>
      <c r="Q521" s="444"/>
      <c r="R521" s="424"/>
      <c r="S521" s="430"/>
      <c r="T521" s="444"/>
      <c r="U521" s="430"/>
      <c r="V521" s="430"/>
      <c r="W521" s="444"/>
      <c r="X521" s="444"/>
      <c r="Y521" s="430"/>
      <c r="Z521" s="430"/>
      <c r="AA521" s="430"/>
      <c r="AB521" s="444"/>
      <c r="AC521" s="444"/>
      <c r="AD521" s="430"/>
      <c r="AE521" s="430"/>
      <c r="AF521" s="430"/>
      <c r="AG521" s="444"/>
      <c r="AH521" s="444"/>
      <c r="AI521" s="430"/>
      <c r="AJ521" s="430"/>
      <c r="AK521" s="430"/>
      <c r="AL521" s="476"/>
      <c r="AM521" s="430"/>
      <c r="AN521" s="430"/>
      <c r="AO521" s="430"/>
      <c r="AP521" s="430"/>
      <c r="AQ521" s="430"/>
      <c r="AR521" s="430"/>
      <c r="AS521" s="430"/>
      <c r="AT521" s="430"/>
      <c r="AU521" s="430"/>
      <c r="AV521" s="430"/>
      <c r="AW521" s="430"/>
      <c r="AX521" s="430"/>
    </row>
    <row r="522">
      <c r="B522" s="471"/>
      <c r="E522" s="471"/>
      <c r="H522" s="471"/>
      <c r="K522" s="471"/>
      <c r="M522" s="454"/>
      <c r="N522" s="424"/>
      <c r="O522" s="424"/>
      <c r="P522" s="430"/>
      <c r="Q522" s="444"/>
      <c r="R522" s="424"/>
      <c r="S522" s="430"/>
      <c r="T522" s="444"/>
      <c r="U522" s="430"/>
      <c r="V522" s="430"/>
      <c r="W522" s="444"/>
      <c r="X522" s="444"/>
      <c r="Y522" s="430"/>
      <c r="Z522" s="430"/>
      <c r="AA522" s="430"/>
      <c r="AB522" s="444"/>
      <c r="AC522" s="444"/>
      <c r="AD522" s="430"/>
      <c r="AE522" s="430"/>
      <c r="AF522" s="430"/>
      <c r="AG522" s="444"/>
      <c r="AH522" s="444"/>
      <c r="AI522" s="430"/>
      <c r="AJ522" s="430"/>
      <c r="AK522" s="430"/>
      <c r="AL522" s="476"/>
      <c r="AM522" s="430"/>
      <c r="AN522" s="430"/>
      <c r="AO522" s="430"/>
      <c r="AP522" s="430"/>
      <c r="AQ522" s="430"/>
      <c r="AR522" s="430"/>
      <c r="AS522" s="430"/>
      <c r="AT522" s="430"/>
      <c r="AU522" s="430"/>
      <c r="AV522" s="430"/>
      <c r="AW522" s="430"/>
      <c r="AX522" s="430"/>
    </row>
    <row r="523">
      <c r="B523" s="471"/>
      <c r="E523" s="471"/>
      <c r="H523" s="471"/>
      <c r="K523" s="471"/>
      <c r="M523" s="454"/>
      <c r="N523" s="424"/>
      <c r="O523" s="424"/>
      <c r="P523" s="430"/>
      <c r="Q523" s="444"/>
      <c r="R523" s="424"/>
      <c r="S523" s="430"/>
      <c r="T523" s="444"/>
      <c r="U523" s="430"/>
      <c r="V523" s="430"/>
      <c r="W523" s="444"/>
      <c r="X523" s="444"/>
      <c r="Y523" s="430"/>
      <c r="Z523" s="430"/>
      <c r="AA523" s="430"/>
      <c r="AB523" s="444"/>
      <c r="AC523" s="444"/>
      <c r="AD523" s="430"/>
      <c r="AE523" s="430"/>
      <c r="AF523" s="430"/>
      <c r="AG523" s="444"/>
      <c r="AH523" s="444"/>
      <c r="AI523" s="430"/>
      <c r="AJ523" s="430"/>
      <c r="AK523" s="430"/>
      <c r="AL523" s="476"/>
      <c r="AM523" s="430"/>
      <c r="AN523" s="430"/>
      <c r="AO523" s="430"/>
      <c r="AP523" s="430"/>
      <c r="AQ523" s="430"/>
      <c r="AR523" s="430"/>
      <c r="AS523" s="430"/>
      <c r="AT523" s="430"/>
      <c r="AU523" s="430"/>
      <c r="AV523" s="430"/>
      <c r="AW523" s="430"/>
      <c r="AX523" s="430"/>
    </row>
    <row r="524">
      <c r="B524" s="471"/>
      <c r="E524" s="471"/>
      <c r="H524" s="471"/>
      <c r="K524" s="471"/>
      <c r="M524" s="454"/>
      <c r="N524" s="424"/>
      <c r="O524" s="424"/>
      <c r="P524" s="430"/>
      <c r="Q524" s="444"/>
      <c r="R524" s="424"/>
      <c r="S524" s="430"/>
      <c r="T524" s="444"/>
      <c r="U524" s="430"/>
      <c r="V524" s="430"/>
      <c r="W524" s="444"/>
      <c r="X524" s="444"/>
      <c r="Y524" s="430"/>
      <c r="Z524" s="430"/>
      <c r="AA524" s="430"/>
      <c r="AB524" s="444"/>
      <c r="AC524" s="444"/>
      <c r="AD524" s="430"/>
      <c r="AE524" s="430"/>
      <c r="AF524" s="430"/>
      <c r="AG524" s="444"/>
      <c r="AH524" s="444"/>
      <c r="AI524" s="430"/>
      <c r="AJ524" s="430"/>
      <c r="AK524" s="430"/>
      <c r="AL524" s="476"/>
      <c r="AM524" s="430"/>
      <c r="AN524" s="430"/>
      <c r="AO524" s="430"/>
      <c r="AP524" s="430"/>
      <c r="AQ524" s="430"/>
      <c r="AR524" s="430"/>
      <c r="AS524" s="430"/>
      <c r="AT524" s="430"/>
      <c r="AU524" s="430"/>
      <c r="AV524" s="430"/>
      <c r="AW524" s="430"/>
      <c r="AX524" s="430"/>
    </row>
    <row r="525">
      <c r="B525" s="471"/>
      <c r="E525" s="471"/>
      <c r="H525" s="471"/>
      <c r="K525" s="471"/>
      <c r="M525" s="454"/>
      <c r="N525" s="424"/>
      <c r="O525" s="424"/>
      <c r="P525" s="430"/>
      <c r="Q525" s="444"/>
      <c r="R525" s="424"/>
      <c r="S525" s="430"/>
      <c r="T525" s="444"/>
      <c r="U525" s="430"/>
      <c r="V525" s="430"/>
      <c r="W525" s="444"/>
      <c r="X525" s="444"/>
      <c r="Y525" s="430"/>
      <c r="Z525" s="430"/>
      <c r="AA525" s="430"/>
      <c r="AB525" s="444"/>
      <c r="AC525" s="444"/>
      <c r="AD525" s="430"/>
      <c r="AE525" s="430"/>
      <c r="AF525" s="430"/>
      <c r="AG525" s="444"/>
      <c r="AH525" s="444"/>
      <c r="AI525" s="430"/>
      <c r="AJ525" s="430"/>
      <c r="AK525" s="430"/>
      <c r="AL525" s="476"/>
      <c r="AM525" s="430"/>
      <c r="AN525" s="430"/>
      <c r="AO525" s="430"/>
      <c r="AP525" s="430"/>
      <c r="AQ525" s="430"/>
      <c r="AR525" s="430"/>
      <c r="AS525" s="430"/>
      <c r="AT525" s="430"/>
      <c r="AU525" s="430"/>
      <c r="AV525" s="430"/>
      <c r="AW525" s="430"/>
      <c r="AX525" s="430"/>
    </row>
    <row r="526">
      <c r="B526" s="471"/>
      <c r="E526" s="471"/>
      <c r="H526" s="471"/>
      <c r="K526" s="471"/>
      <c r="M526" s="454"/>
      <c r="N526" s="424"/>
      <c r="O526" s="424"/>
      <c r="P526" s="430"/>
      <c r="Q526" s="444"/>
      <c r="R526" s="424"/>
      <c r="S526" s="430"/>
      <c r="T526" s="444"/>
      <c r="U526" s="430"/>
      <c r="V526" s="430"/>
      <c r="W526" s="444"/>
      <c r="X526" s="444"/>
      <c r="Y526" s="430"/>
      <c r="Z526" s="430"/>
      <c r="AA526" s="430"/>
      <c r="AB526" s="444"/>
      <c r="AC526" s="444"/>
      <c r="AD526" s="430"/>
      <c r="AE526" s="430"/>
      <c r="AF526" s="430"/>
      <c r="AG526" s="444"/>
      <c r="AH526" s="444"/>
      <c r="AI526" s="430"/>
      <c r="AJ526" s="430"/>
      <c r="AK526" s="430"/>
      <c r="AL526" s="476"/>
      <c r="AM526" s="430"/>
      <c r="AN526" s="430"/>
      <c r="AO526" s="430"/>
      <c r="AP526" s="430"/>
      <c r="AQ526" s="430"/>
      <c r="AR526" s="430"/>
      <c r="AS526" s="430"/>
      <c r="AT526" s="430"/>
      <c r="AU526" s="430"/>
      <c r="AV526" s="430"/>
      <c r="AW526" s="430"/>
      <c r="AX526" s="430"/>
    </row>
    <row r="527">
      <c r="B527" s="471"/>
      <c r="E527" s="471"/>
      <c r="H527" s="471"/>
      <c r="K527" s="471"/>
      <c r="M527" s="454"/>
      <c r="N527" s="424"/>
      <c r="O527" s="424"/>
      <c r="P527" s="430"/>
      <c r="Q527" s="444"/>
      <c r="R527" s="424"/>
      <c r="S527" s="430"/>
      <c r="T527" s="444"/>
      <c r="U527" s="430"/>
      <c r="V527" s="430"/>
      <c r="W527" s="444"/>
      <c r="X527" s="444"/>
      <c r="Y527" s="430"/>
      <c r="Z527" s="430"/>
      <c r="AA527" s="430"/>
      <c r="AB527" s="444"/>
      <c r="AC527" s="444"/>
      <c r="AD527" s="430"/>
      <c r="AE527" s="430"/>
      <c r="AF527" s="430"/>
      <c r="AG527" s="444"/>
      <c r="AH527" s="444"/>
      <c r="AI527" s="430"/>
      <c r="AJ527" s="430"/>
      <c r="AK527" s="430"/>
      <c r="AL527" s="476"/>
      <c r="AM527" s="430"/>
      <c r="AN527" s="430"/>
      <c r="AO527" s="430"/>
      <c r="AP527" s="430"/>
      <c r="AQ527" s="430"/>
      <c r="AR527" s="430"/>
      <c r="AS527" s="430"/>
      <c r="AT527" s="430"/>
      <c r="AU527" s="430"/>
      <c r="AV527" s="430"/>
      <c r="AW527" s="430"/>
      <c r="AX527" s="430"/>
    </row>
    <row r="528">
      <c r="B528" s="471"/>
      <c r="E528" s="471"/>
      <c r="H528" s="471"/>
      <c r="K528" s="471"/>
      <c r="M528" s="454"/>
      <c r="N528" s="424"/>
      <c r="O528" s="424"/>
      <c r="P528" s="430"/>
      <c r="Q528" s="444"/>
      <c r="R528" s="424"/>
      <c r="S528" s="430"/>
      <c r="T528" s="444"/>
      <c r="U528" s="430"/>
      <c r="V528" s="430"/>
      <c r="W528" s="444"/>
      <c r="X528" s="444"/>
      <c r="Y528" s="430"/>
      <c r="Z528" s="430"/>
      <c r="AA528" s="430"/>
      <c r="AB528" s="444"/>
      <c r="AC528" s="444"/>
      <c r="AD528" s="430"/>
      <c r="AE528" s="430"/>
      <c r="AF528" s="430"/>
      <c r="AG528" s="444"/>
      <c r="AH528" s="444"/>
      <c r="AI528" s="430"/>
      <c r="AJ528" s="430"/>
      <c r="AK528" s="430"/>
      <c r="AL528" s="476"/>
      <c r="AM528" s="430"/>
      <c r="AN528" s="430"/>
      <c r="AO528" s="430"/>
      <c r="AP528" s="430"/>
      <c r="AQ528" s="430"/>
      <c r="AR528" s="430"/>
      <c r="AS528" s="430"/>
      <c r="AT528" s="430"/>
      <c r="AU528" s="430"/>
      <c r="AV528" s="430"/>
      <c r="AW528" s="430"/>
      <c r="AX528" s="430"/>
    </row>
    <row r="529">
      <c r="B529" s="471"/>
      <c r="E529" s="471"/>
      <c r="H529" s="471"/>
      <c r="K529" s="471"/>
      <c r="M529" s="454"/>
      <c r="N529" s="424"/>
      <c r="O529" s="424"/>
      <c r="P529" s="430"/>
      <c r="Q529" s="444"/>
      <c r="R529" s="424"/>
      <c r="S529" s="430"/>
      <c r="T529" s="444"/>
      <c r="U529" s="430"/>
      <c r="V529" s="430"/>
      <c r="W529" s="444"/>
      <c r="X529" s="444"/>
      <c r="Y529" s="430"/>
      <c r="Z529" s="430"/>
      <c r="AA529" s="430"/>
      <c r="AB529" s="444"/>
      <c r="AC529" s="444"/>
      <c r="AD529" s="430"/>
      <c r="AE529" s="430"/>
      <c r="AF529" s="430"/>
      <c r="AG529" s="444"/>
      <c r="AH529" s="444"/>
      <c r="AI529" s="430"/>
      <c r="AJ529" s="430"/>
      <c r="AK529" s="430"/>
      <c r="AL529" s="476"/>
      <c r="AM529" s="430"/>
      <c r="AN529" s="430"/>
      <c r="AO529" s="430"/>
      <c r="AP529" s="430"/>
      <c r="AQ529" s="430"/>
      <c r="AR529" s="430"/>
      <c r="AS529" s="430"/>
      <c r="AT529" s="430"/>
      <c r="AU529" s="430"/>
      <c r="AV529" s="430"/>
      <c r="AW529" s="430"/>
      <c r="AX529" s="430"/>
    </row>
    <row r="530">
      <c r="B530" s="471"/>
      <c r="E530" s="471"/>
      <c r="H530" s="471"/>
      <c r="K530" s="471"/>
      <c r="M530" s="454"/>
      <c r="N530" s="424"/>
      <c r="O530" s="424"/>
      <c r="P530" s="430"/>
      <c r="Q530" s="444"/>
      <c r="R530" s="424"/>
      <c r="S530" s="430"/>
      <c r="T530" s="444"/>
      <c r="U530" s="430"/>
      <c r="V530" s="430"/>
      <c r="W530" s="444"/>
      <c r="X530" s="444"/>
      <c r="Y530" s="430"/>
      <c r="Z530" s="430"/>
      <c r="AA530" s="430"/>
      <c r="AB530" s="444"/>
      <c r="AC530" s="444"/>
      <c r="AD530" s="430"/>
      <c r="AE530" s="430"/>
      <c r="AF530" s="430"/>
      <c r="AG530" s="444"/>
      <c r="AH530" s="444"/>
      <c r="AI530" s="430"/>
      <c r="AJ530" s="430"/>
      <c r="AK530" s="430"/>
      <c r="AL530" s="476"/>
      <c r="AM530" s="430"/>
      <c r="AN530" s="430"/>
      <c r="AO530" s="430"/>
      <c r="AP530" s="430"/>
      <c r="AQ530" s="430"/>
      <c r="AR530" s="430"/>
      <c r="AS530" s="430"/>
      <c r="AT530" s="430"/>
      <c r="AU530" s="430"/>
      <c r="AV530" s="430"/>
      <c r="AW530" s="430"/>
      <c r="AX530" s="430"/>
    </row>
    <row r="531">
      <c r="B531" s="471"/>
      <c r="E531" s="471"/>
      <c r="H531" s="471"/>
      <c r="K531" s="471"/>
      <c r="M531" s="454"/>
      <c r="N531" s="424"/>
      <c r="O531" s="424"/>
      <c r="P531" s="430"/>
      <c r="Q531" s="444"/>
      <c r="R531" s="424"/>
      <c r="S531" s="430"/>
      <c r="T531" s="444"/>
      <c r="U531" s="430"/>
      <c r="V531" s="430"/>
      <c r="W531" s="444"/>
      <c r="X531" s="444"/>
      <c r="Y531" s="430"/>
      <c r="Z531" s="430"/>
      <c r="AA531" s="430"/>
      <c r="AB531" s="444"/>
      <c r="AC531" s="444"/>
      <c r="AD531" s="430"/>
      <c r="AE531" s="430"/>
      <c r="AF531" s="430"/>
      <c r="AG531" s="444"/>
      <c r="AH531" s="444"/>
      <c r="AI531" s="430"/>
      <c r="AJ531" s="430"/>
      <c r="AK531" s="430"/>
      <c r="AL531" s="476"/>
      <c r="AM531" s="430"/>
      <c r="AN531" s="430"/>
      <c r="AO531" s="430"/>
      <c r="AP531" s="430"/>
      <c r="AQ531" s="430"/>
      <c r="AR531" s="430"/>
      <c r="AS531" s="430"/>
      <c r="AT531" s="430"/>
      <c r="AU531" s="430"/>
      <c r="AV531" s="430"/>
      <c r="AW531" s="430"/>
      <c r="AX531" s="430"/>
    </row>
    <row r="532">
      <c r="B532" s="471"/>
      <c r="E532" s="471"/>
      <c r="H532" s="471"/>
      <c r="K532" s="471"/>
      <c r="M532" s="454"/>
      <c r="N532" s="424"/>
      <c r="O532" s="424"/>
      <c r="P532" s="430"/>
      <c r="Q532" s="444"/>
      <c r="R532" s="424"/>
      <c r="S532" s="430"/>
      <c r="T532" s="444"/>
      <c r="U532" s="430"/>
      <c r="V532" s="430"/>
      <c r="W532" s="444"/>
      <c r="X532" s="444"/>
      <c r="Y532" s="430"/>
      <c r="Z532" s="430"/>
      <c r="AA532" s="430"/>
      <c r="AB532" s="444"/>
      <c r="AC532" s="444"/>
      <c r="AD532" s="430"/>
      <c r="AE532" s="430"/>
      <c r="AF532" s="430"/>
      <c r="AG532" s="444"/>
      <c r="AH532" s="444"/>
      <c r="AI532" s="430"/>
      <c r="AJ532" s="430"/>
      <c r="AK532" s="430"/>
      <c r="AL532" s="476"/>
      <c r="AM532" s="430"/>
      <c r="AN532" s="430"/>
      <c r="AO532" s="430"/>
      <c r="AP532" s="430"/>
      <c r="AQ532" s="430"/>
      <c r="AR532" s="430"/>
      <c r="AS532" s="430"/>
      <c r="AT532" s="430"/>
      <c r="AU532" s="430"/>
      <c r="AV532" s="430"/>
      <c r="AW532" s="430"/>
      <c r="AX532" s="430"/>
    </row>
    <row r="533">
      <c r="B533" s="471"/>
      <c r="E533" s="471"/>
      <c r="H533" s="471"/>
      <c r="K533" s="471"/>
      <c r="M533" s="454"/>
      <c r="N533" s="424"/>
      <c r="O533" s="424"/>
      <c r="P533" s="430"/>
      <c r="Q533" s="444"/>
      <c r="R533" s="424"/>
      <c r="S533" s="430"/>
      <c r="T533" s="444"/>
      <c r="U533" s="430"/>
      <c r="V533" s="430"/>
      <c r="W533" s="444"/>
      <c r="X533" s="444"/>
      <c r="Y533" s="430"/>
      <c r="Z533" s="430"/>
      <c r="AA533" s="430"/>
      <c r="AB533" s="444"/>
      <c r="AC533" s="444"/>
      <c r="AD533" s="430"/>
      <c r="AE533" s="430"/>
      <c r="AF533" s="430"/>
      <c r="AG533" s="444"/>
      <c r="AH533" s="444"/>
      <c r="AI533" s="430"/>
      <c r="AJ533" s="430"/>
      <c r="AK533" s="430"/>
      <c r="AL533" s="476"/>
      <c r="AM533" s="430"/>
      <c r="AN533" s="430"/>
      <c r="AO533" s="430"/>
      <c r="AP533" s="430"/>
      <c r="AQ533" s="430"/>
      <c r="AR533" s="430"/>
      <c r="AS533" s="430"/>
      <c r="AT533" s="430"/>
      <c r="AU533" s="430"/>
      <c r="AV533" s="430"/>
      <c r="AW533" s="430"/>
      <c r="AX533" s="430"/>
    </row>
    <row r="534">
      <c r="B534" s="471"/>
      <c r="E534" s="471"/>
      <c r="H534" s="471"/>
      <c r="K534" s="471"/>
      <c r="M534" s="454"/>
      <c r="N534" s="424"/>
      <c r="O534" s="424"/>
      <c r="P534" s="430"/>
      <c r="Q534" s="444"/>
      <c r="R534" s="424"/>
      <c r="S534" s="430"/>
      <c r="T534" s="444"/>
      <c r="U534" s="430"/>
      <c r="V534" s="430"/>
      <c r="W534" s="444"/>
      <c r="X534" s="444"/>
      <c r="Y534" s="430"/>
      <c r="Z534" s="430"/>
      <c r="AA534" s="430"/>
      <c r="AB534" s="444"/>
      <c r="AC534" s="444"/>
      <c r="AD534" s="430"/>
      <c r="AE534" s="430"/>
      <c r="AF534" s="430"/>
      <c r="AG534" s="444"/>
      <c r="AH534" s="444"/>
      <c r="AI534" s="430"/>
      <c r="AJ534" s="430"/>
      <c r="AK534" s="430"/>
      <c r="AL534" s="476"/>
      <c r="AM534" s="430"/>
      <c r="AN534" s="430"/>
      <c r="AO534" s="430"/>
      <c r="AP534" s="430"/>
      <c r="AQ534" s="430"/>
      <c r="AR534" s="430"/>
      <c r="AS534" s="430"/>
      <c r="AT534" s="430"/>
      <c r="AU534" s="430"/>
      <c r="AV534" s="430"/>
      <c r="AW534" s="430"/>
      <c r="AX534" s="430"/>
    </row>
    <row r="535">
      <c r="B535" s="471"/>
      <c r="E535" s="471"/>
      <c r="H535" s="471"/>
      <c r="K535" s="471"/>
      <c r="M535" s="454"/>
      <c r="N535" s="424"/>
      <c r="O535" s="424"/>
      <c r="P535" s="430"/>
      <c r="Q535" s="444"/>
      <c r="R535" s="424"/>
      <c r="S535" s="430"/>
      <c r="T535" s="444"/>
      <c r="U535" s="430"/>
      <c r="V535" s="430"/>
      <c r="W535" s="444"/>
      <c r="X535" s="444"/>
      <c r="Y535" s="430"/>
      <c r="Z535" s="430"/>
      <c r="AA535" s="430"/>
      <c r="AB535" s="444"/>
      <c r="AC535" s="444"/>
      <c r="AD535" s="430"/>
      <c r="AE535" s="430"/>
      <c r="AF535" s="430"/>
      <c r="AG535" s="444"/>
      <c r="AH535" s="444"/>
      <c r="AI535" s="430"/>
      <c r="AJ535" s="430"/>
      <c r="AK535" s="430"/>
      <c r="AL535" s="476"/>
      <c r="AM535" s="430"/>
      <c r="AN535" s="430"/>
      <c r="AO535" s="430"/>
      <c r="AP535" s="430"/>
      <c r="AQ535" s="430"/>
      <c r="AR535" s="430"/>
      <c r="AS535" s="430"/>
      <c r="AT535" s="430"/>
      <c r="AU535" s="430"/>
      <c r="AV535" s="430"/>
      <c r="AW535" s="430"/>
      <c r="AX535" s="430"/>
    </row>
    <row r="536">
      <c r="B536" s="471"/>
      <c r="E536" s="471"/>
      <c r="H536" s="471"/>
      <c r="K536" s="471"/>
      <c r="M536" s="454"/>
      <c r="N536" s="424"/>
      <c r="O536" s="424"/>
      <c r="P536" s="430"/>
      <c r="Q536" s="444"/>
      <c r="R536" s="424"/>
      <c r="S536" s="430"/>
      <c r="T536" s="444"/>
      <c r="U536" s="430"/>
      <c r="V536" s="430"/>
      <c r="W536" s="444"/>
      <c r="X536" s="444"/>
      <c r="Y536" s="430"/>
      <c r="Z536" s="430"/>
      <c r="AA536" s="430"/>
      <c r="AB536" s="444"/>
      <c r="AC536" s="444"/>
      <c r="AD536" s="430"/>
      <c r="AE536" s="430"/>
      <c r="AF536" s="430"/>
      <c r="AG536" s="444"/>
      <c r="AH536" s="444"/>
      <c r="AI536" s="430"/>
      <c r="AJ536" s="430"/>
      <c r="AK536" s="430"/>
      <c r="AL536" s="476"/>
      <c r="AM536" s="430"/>
      <c r="AN536" s="430"/>
      <c r="AO536" s="430"/>
      <c r="AP536" s="430"/>
      <c r="AQ536" s="430"/>
      <c r="AR536" s="430"/>
      <c r="AS536" s="430"/>
      <c r="AT536" s="430"/>
      <c r="AU536" s="430"/>
      <c r="AV536" s="430"/>
      <c r="AW536" s="430"/>
      <c r="AX536" s="430"/>
    </row>
    <row r="537">
      <c r="B537" s="471"/>
      <c r="E537" s="471"/>
      <c r="H537" s="471"/>
      <c r="K537" s="471"/>
      <c r="M537" s="454"/>
      <c r="N537" s="424"/>
      <c r="O537" s="424"/>
      <c r="P537" s="430"/>
      <c r="Q537" s="444"/>
      <c r="R537" s="424"/>
      <c r="S537" s="430"/>
      <c r="T537" s="444"/>
      <c r="U537" s="430"/>
      <c r="V537" s="430"/>
      <c r="W537" s="444"/>
      <c r="X537" s="444"/>
      <c r="Y537" s="430"/>
      <c r="Z537" s="430"/>
      <c r="AA537" s="430"/>
      <c r="AB537" s="444"/>
      <c r="AC537" s="444"/>
      <c r="AD537" s="430"/>
      <c r="AE537" s="430"/>
      <c r="AF537" s="430"/>
      <c r="AG537" s="444"/>
      <c r="AH537" s="444"/>
      <c r="AI537" s="430"/>
      <c r="AJ537" s="430"/>
      <c r="AK537" s="430"/>
      <c r="AL537" s="476"/>
      <c r="AM537" s="430"/>
      <c r="AN537" s="430"/>
      <c r="AO537" s="430"/>
      <c r="AP537" s="430"/>
      <c r="AQ537" s="430"/>
      <c r="AR537" s="430"/>
      <c r="AS537" s="430"/>
      <c r="AT537" s="430"/>
      <c r="AU537" s="430"/>
      <c r="AV537" s="430"/>
      <c r="AW537" s="430"/>
      <c r="AX537" s="430"/>
    </row>
    <row r="538">
      <c r="B538" s="471"/>
      <c r="E538" s="471"/>
      <c r="H538" s="471"/>
      <c r="K538" s="471"/>
      <c r="M538" s="454"/>
      <c r="N538" s="424"/>
      <c r="O538" s="424"/>
      <c r="P538" s="430"/>
      <c r="Q538" s="444"/>
      <c r="R538" s="424"/>
      <c r="S538" s="430"/>
      <c r="T538" s="444"/>
      <c r="U538" s="430"/>
      <c r="V538" s="430"/>
      <c r="W538" s="444"/>
      <c r="X538" s="444"/>
      <c r="Y538" s="430"/>
      <c r="Z538" s="430"/>
      <c r="AA538" s="430"/>
      <c r="AB538" s="444"/>
      <c r="AC538" s="444"/>
      <c r="AD538" s="430"/>
      <c r="AE538" s="430"/>
      <c r="AF538" s="430"/>
      <c r="AG538" s="444"/>
      <c r="AH538" s="444"/>
      <c r="AI538" s="430"/>
      <c r="AJ538" s="430"/>
      <c r="AK538" s="430"/>
      <c r="AL538" s="476"/>
      <c r="AM538" s="430"/>
      <c r="AN538" s="430"/>
      <c r="AO538" s="430"/>
      <c r="AP538" s="430"/>
      <c r="AQ538" s="430"/>
      <c r="AR538" s="430"/>
      <c r="AS538" s="430"/>
      <c r="AT538" s="430"/>
      <c r="AU538" s="430"/>
      <c r="AV538" s="430"/>
      <c r="AW538" s="430"/>
      <c r="AX538" s="430"/>
    </row>
    <row r="539">
      <c r="B539" s="471"/>
      <c r="E539" s="471"/>
      <c r="H539" s="471"/>
      <c r="K539" s="471"/>
      <c r="M539" s="454"/>
      <c r="N539" s="424"/>
      <c r="O539" s="424"/>
      <c r="P539" s="430"/>
      <c r="Q539" s="444"/>
      <c r="R539" s="424"/>
      <c r="S539" s="430"/>
      <c r="T539" s="444"/>
      <c r="U539" s="430"/>
      <c r="V539" s="430"/>
      <c r="W539" s="444"/>
      <c r="X539" s="444"/>
      <c r="Y539" s="430"/>
      <c r="Z539" s="430"/>
      <c r="AA539" s="430"/>
      <c r="AB539" s="444"/>
      <c r="AC539" s="444"/>
      <c r="AD539" s="430"/>
      <c r="AE539" s="430"/>
      <c r="AF539" s="430"/>
      <c r="AG539" s="444"/>
      <c r="AH539" s="444"/>
      <c r="AI539" s="430"/>
      <c r="AJ539" s="430"/>
      <c r="AK539" s="430"/>
      <c r="AL539" s="476"/>
      <c r="AM539" s="430"/>
      <c r="AN539" s="430"/>
      <c r="AO539" s="430"/>
      <c r="AP539" s="430"/>
      <c r="AQ539" s="430"/>
      <c r="AR539" s="430"/>
      <c r="AS539" s="430"/>
      <c r="AT539" s="430"/>
      <c r="AU539" s="430"/>
      <c r="AV539" s="430"/>
      <c r="AW539" s="430"/>
      <c r="AX539" s="430"/>
    </row>
    <row r="540">
      <c r="B540" s="471"/>
      <c r="E540" s="471"/>
      <c r="H540" s="471"/>
      <c r="K540" s="471"/>
      <c r="M540" s="454"/>
      <c r="N540" s="424"/>
      <c r="O540" s="424"/>
      <c r="P540" s="430"/>
      <c r="Q540" s="444"/>
      <c r="R540" s="424"/>
      <c r="S540" s="430"/>
      <c r="T540" s="444"/>
      <c r="U540" s="430"/>
      <c r="V540" s="430"/>
      <c r="W540" s="444"/>
      <c r="X540" s="444"/>
      <c r="Y540" s="430"/>
      <c r="Z540" s="430"/>
      <c r="AA540" s="430"/>
      <c r="AB540" s="444"/>
      <c r="AC540" s="444"/>
      <c r="AD540" s="430"/>
      <c r="AE540" s="430"/>
      <c r="AF540" s="430"/>
      <c r="AG540" s="444"/>
      <c r="AH540" s="444"/>
      <c r="AI540" s="430"/>
      <c r="AJ540" s="430"/>
      <c r="AK540" s="430"/>
      <c r="AL540" s="476"/>
      <c r="AM540" s="430"/>
      <c r="AN540" s="430"/>
      <c r="AO540" s="430"/>
      <c r="AP540" s="430"/>
      <c r="AQ540" s="430"/>
      <c r="AR540" s="430"/>
      <c r="AS540" s="430"/>
      <c r="AT540" s="430"/>
      <c r="AU540" s="430"/>
      <c r="AV540" s="430"/>
      <c r="AW540" s="430"/>
      <c r="AX540" s="430"/>
    </row>
    <row r="541">
      <c r="B541" s="471"/>
      <c r="E541" s="471"/>
      <c r="H541" s="471"/>
      <c r="K541" s="471"/>
      <c r="M541" s="454"/>
      <c r="N541" s="424"/>
      <c r="O541" s="424"/>
      <c r="P541" s="430"/>
      <c r="Q541" s="444"/>
      <c r="R541" s="424"/>
      <c r="S541" s="430"/>
      <c r="T541" s="444"/>
      <c r="U541" s="430"/>
      <c r="V541" s="430"/>
      <c r="W541" s="444"/>
      <c r="X541" s="444"/>
      <c r="Y541" s="430"/>
      <c r="Z541" s="430"/>
      <c r="AA541" s="430"/>
      <c r="AB541" s="444"/>
      <c r="AC541" s="444"/>
      <c r="AD541" s="430"/>
      <c r="AE541" s="430"/>
      <c r="AF541" s="430"/>
      <c r="AG541" s="444"/>
      <c r="AH541" s="444"/>
      <c r="AI541" s="430"/>
      <c r="AJ541" s="430"/>
      <c r="AK541" s="430"/>
      <c r="AL541" s="476"/>
      <c r="AM541" s="430"/>
      <c r="AN541" s="430"/>
      <c r="AO541" s="430"/>
      <c r="AP541" s="430"/>
      <c r="AQ541" s="430"/>
      <c r="AR541" s="430"/>
      <c r="AS541" s="430"/>
      <c r="AT541" s="430"/>
      <c r="AU541" s="430"/>
      <c r="AV541" s="430"/>
      <c r="AW541" s="430"/>
      <c r="AX541" s="430"/>
    </row>
    <row r="542">
      <c r="B542" s="471"/>
      <c r="E542" s="471"/>
      <c r="H542" s="471"/>
      <c r="K542" s="471"/>
      <c r="M542" s="454"/>
      <c r="N542" s="424"/>
      <c r="O542" s="424"/>
      <c r="P542" s="430"/>
      <c r="Q542" s="444"/>
      <c r="R542" s="424"/>
      <c r="S542" s="430"/>
      <c r="T542" s="444"/>
      <c r="U542" s="430"/>
      <c r="V542" s="430"/>
      <c r="W542" s="444"/>
      <c r="X542" s="444"/>
      <c r="Y542" s="430"/>
      <c r="Z542" s="430"/>
      <c r="AA542" s="430"/>
      <c r="AB542" s="444"/>
      <c r="AC542" s="444"/>
      <c r="AD542" s="430"/>
      <c r="AE542" s="430"/>
      <c r="AF542" s="430"/>
      <c r="AG542" s="444"/>
      <c r="AH542" s="444"/>
      <c r="AI542" s="430"/>
      <c r="AJ542" s="430"/>
      <c r="AK542" s="430"/>
      <c r="AL542" s="476"/>
      <c r="AM542" s="430"/>
      <c r="AN542" s="430"/>
      <c r="AO542" s="430"/>
      <c r="AP542" s="430"/>
      <c r="AQ542" s="430"/>
      <c r="AR542" s="430"/>
      <c r="AS542" s="430"/>
      <c r="AT542" s="430"/>
      <c r="AU542" s="430"/>
      <c r="AV542" s="430"/>
      <c r="AW542" s="430"/>
      <c r="AX542" s="430"/>
    </row>
    <row r="543">
      <c r="B543" s="471"/>
      <c r="E543" s="471"/>
      <c r="H543" s="471"/>
      <c r="K543" s="471"/>
      <c r="M543" s="454"/>
      <c r="N543" s="424"/>
      <c r="O543" s="424"/>
      <c r="P543" s="430"/>
      <c r="Q543" s="444"/>
      <c r="R543" s="424"/>
      <c r="S543" s="430"/>
      <c r="T543" s="444"/>
      <c r="U543" s="430"/>
      <c r="V543" s="430"/>
      <c r="W543" s="444"/>
      <c r="X543" s="444"/>
      <c r="Y543" s="430"/>
      <c r="Z543" s="430"/>
      <c r="AA543" s="430"/>
      <c r="AB543" s="444"/>
      <c r="AC543" s="444"/>
      <c r="AD543" s="430"/>
      <c r="AE543" s="430"/>
      <c r="AF543" s="430"/>
      <c r="AG543" s="444"/>
      <c r="AH543" s="444"/>
      <c r="AI543" s="430"/>
      <c r="AJ543" s="430"/>
      <c r="AK543" s="430"/>
      <c r="AL543" s="476"/>
      <c r="AM543" s="430"/>
      <c r="AN543" s="430"/>
      <c r="AO543" s="430"/>
      <c r="AP543" s="430"/>
      <c r="AQ543" s="430"/>
      <c r="AR543" s="430"/>
      <c r="AS543" s="430"/>
      <c r="AT543" s="430"/>
      <c r="AU543" s="430"/>
      <c r="AV543" s="430"/>
      <c r="AW543" s="430"/>
      <c r="AX543" s="430"/>
    </row>
    <row r="544">
      <c r="B544" s="471"/>
      <c r="E544" s="471"/>
      <c r="H544" s="471"/>
      <c r="K544" s="471"/>
      <c r="M544" s="454"/>
      <c r="N544" s="424"/>
      <c r="O544" s="424"/>
      <c r="P544" s="430"/>
      <c r="Q544" s="444"/>
      <c r="R544" s="424"/>
      <c r="S544" s="430"/>
      <c r="T544" s="444"/>
      <c r="U544" s="430"/>
      <c r="V544" s="430"/>
      <c r="W544" s="444"/>
      <c r="X544" s="444"/>
      <c r="Y544" s="430"/>
      <c r="Z544" s="430"/>
      <c r="AA544" s="430"/>
      <c r="AB544" s="444"/>
      <c r="AC544" s="444"/>
      <c r="AD544" s="430"/>
      <c r="AE544" s="430"/>
      <c r="AF544" s="430"/>
      <c r="AG544" s="444"/>
      <c r="AH544" s="444"/>
      <c r="AI544" s="430"/>
      <c r="AJ544" s="430"/>
      <c r="AK544" s="430"/>
      <c r="AL544" s="476"/>
      <c r="AM544" s="430"/>
      <c r="AN544" s="430"/>
      <c r="AO544" s="430"/>
      <c r="AP544" s="430"/>
      <c r="AQ544" s="430"/>
      <c r="AR544" s="430"/>
      <c r="AS544" s="430"/>
      <c r="AT544" s="430"/>
      <c r="AU544" s="430"/>
      <c r="AV544" s="430"/>
      <c r="AW544" s="430"/>
      <c r="AX544" s="430"/>
    </row>
    <row r="545">
      <c r="B545" s="471"/>
      <c r="E545" s="471"/>
      <c r="H545" s="471"/>
      <c r="K545" s="471"/>
      <c r="M545" s="454"/>
      <c r="N545" s="424"/>
      <c r="O545" s="424"/>
      <c r="P545" s="430"/>
      <c r="Q545" s="444"/>
      <c r="R545" s="424"/>
      <c r="S545" s="430"/>
      <c r="T545" s="444"/>
      <c r="U545" s="430"/>
      <c r="V545" s="430"/>
      <c r="W545" s="444"/>
      <c r="X545" s="444"/>
      <c r="Y545" s="430"/>
      <c r="Z545" s="430"/>
      <c r="AA545" s="430"/>
      <c r="AB545" s="444"/>
      <c r="AC545" s="444"/>
      <c r="AD545" s="430"/>
      <c r="AE545" s="430"/>
      <c r="AF545" s="430"/>
      <c r="AG545" s="444"/>
      <c r="AH545" s="444"/>
      <c r="AI545" s="430"/>
      <c r="AJ545" s="430"/>
      <c r="AK545" s="430"/>
      <c r="AL545" s="476"/>
      <c r="AM545" s="430"/>
      <c r="AN545" s="430"/>
      <c r="AO545" s="430"/>
      <c r="AP545" s="430"/>
      <c r="AQ545" s="430"/>
      <c r="AR545" s="430"/>
      <c r="AS545" s="430"/>
      <c r="AT545" s="430"/>
      <c r="AU545" s="430"/>
      <c r="AV545" s="430"/>
      <c r="AW545" s="430"/>
      <c r="AX545" s="430"/>
    </row>
    <row r="546">
      <c r="B546" s="471"/>
      <c r="E546" s="471"/>
      <c r="H546" s="471"/>
      <c r="K546" s="471"/>
      <c r="M546" s="454"/>
      <c r="N546" s="424"/>
      <c r="O546" s="424"/>
      <c r="P546" s="430"/>
      <c r="Q546" s="444"/>
      <c r="R546" s="424"/>
      <c r="S546" s="430"/>
      <c r="T546" s="444"/>
      <c r="U546" s="430"/>
      <c r="V546" s="430"/>
      <c r="W546" s="444"/>
      <c r="X546" s="444"/>
      <c r="Y546" s="430"/>
      <c r="Z546" s="430"/>
      <c r="AA546" s="430"/>
      <c r="AB546" s="444"/>
      <c r="AC546" s="444"/>
      <c r="AD546" s="430"/>
      <c r="AE546" s="430"/>
      <c r="AF546" s="430"/>
      <c r="AG546" s="444"/>
      <c r="AH546" s="444"/>
      <c r="AI546" s="430"/>
      <c r="AJ546" s="430"/>
      <c r="AK546" s="430"/>
      <c r="AL546" s="476"/>
      <c r="AM546" s="430"/>
      <c r="AN546" s="430"/>
      <c r="AO546" s="430"/>
      <c r="AP546" s="430"/>
      <c r="AQ546" s="430"/>
      <c r="AR546" s="430"/>
      <c r="AS546" s="430"/>
      <c r="AT546" s="430"/>
      <c r="AU546" s="430"/>
      <c r="AV546" s="430"/>
      <c r="AW546" s="430"/>
      <c r="AX546" s="430"/>
    </row>
    <row r="547">
      <c r="B547" s="471"/>
      <c r="E547" s="471"/>
      <c r="H547" s="471"/>
      <c r="K547" s="471"/>
      <c r="M547" s="454"/>
      <c r="N547" s="424"/>
      <c r="O547" s="424"/>
      <c r="P547" s="430"/>
      <c r="Q547" s="444"/>
      <c r="R547" s="424"/>
      <c r="S547" s="430"/>
      <c r="T547" s="444"/>
      <c r="U547" s="430"/>
      <c r="V547" s="430"/>
      <c r="W547" s="444"/>
      <c r="X547" s="444"/>
      <c r="Y547" s="430"/>
      <c r="Z547" s="430"/>
      <c r="AA547" s="430"/>
      <c r="AB547" s="444"/>
      <c r="AC547" s="444"/>
      <c r="AD547" s="430"/>
      <c r="AE547" s="430"/>
      <c r="AF547" s="430"/>
      <c r="AG547" s="444"/>
      <c r="AH547" s="444"/>
      <c r="AI547" s="430"/>
      <c r="AJ547" s="430"/>
      <c r="AK547" s="430"/>
      <c r="AL547" s="476"/>
      <c r="AM547" s="430"/>
      <c r="AN547" s="430"/>
      <c r="AO547" s="430"/>
      <c r="AP547" s="430"/>
      <c r="AQ547" s="430"/>
      <c r="AR547" s="430"/>
      <c r="AS547" s="430"/>
      <c r="AT547" s="430"/>
      <c r="AU547" s="430"/>
      <c r="AV547" s="430"/>
      <c r="AW547" s="430"/>
      <c r="AX547" s="430"/>
    </row>
    <row r="548">
      <c r="B548" s="471"/>
      <c r="E548" s="471"/>
      <c r="H548" s="471"/>
      <c r="K548" s="471"/>
      <c r="M548" s="454"/>
      <c r="N548" s="424"/>
      <c r="O548" s="424"/>
      <c r="P548" s="430"/>
      <c r="Q548" s="444"/>
      <c r="R548" s="424"/>
      <c r="S548" s="430"/>
      <c r="T548" s="444"/>
      <c r="U548" s="430"/>
      <c r="V548" s="430"/>
      <c r="W548" s="444"/>
      <c r="X548" s="444"/>
      <c r="Y548" s="430"/>
      <c r="Z548" s="430"/>
      <c r="AA548" s="430"/>
      <c r="AB548" s="444"/>
      <c r="AC548" s="444"/>
      <c r="AD548" s="430"/>
      <c r="AE548" s="430"/>
      <c r="AF548" s="430"/>
      <c r="AG548" s="444"/>
      <c r="AH548" s="444"/>
      <c r="AI548" s="430"/>
      <c r="AJ548" s="430"/>
      <c r="AK548" s="430"/>
      <c r="AL548" s="476"/>
      <c r="AM548" s="430"/>
      <c r="AN548" s="430"/>
      <c r="AO548" s="430"/>
      <c r="AP548" s="430"/>
      <c r="AQ548" s="430"/>
      <c r="AR548" s="430"/>
      <c r="AS548" s="430"/>
      <c r="AT548" s="430"/>
      <c r="AU548" s="430"/>
      <c r="AV548" s="430"/>
      <c r="AW548" s="430"/>
      <c r="AX548" s="430"/>
    </row>
    <row r="549">
      <c r="B549" s="471"/>
      <c r="E549" s="471"/>
      <c r="H549" s="471"/>
      <c r="K549" s="471"/>
      <c r="M549" s="454"/>
      <c r="N549" s="424"/>
      <c r="O549" s="424"/>
      <c r="P549" s="430"/>
      <c r="Q549" s="444"/>
      <c r="R549" s="424"/>
      <c r="S549" s="430"/>
      <c r="T549" s="444"/>
      <c r="U549" s="430"/>
      <c r="V549" s="430"/>
      <c r="W549" s="444"/>
      <c r="X549" s="444"/>
      <c r="Y549" s="430"/>
      <c r="Z549" s="430"/>
      <c r="AA549" s="430"/>
      <c r="AB549" s="444"/>
      <c r="AC549" s="444"/>
      <c r="AD549" s="430"/>
      <c r="AE549" s="430"/>
      <c r="AF549" s="430"/>
      <c r="AG549" s="444"/>
      <c r="AH549" s="444"/>
      <c r="AI549" s="430"/>
      <c r="AJ549" s="430"/>
      <c r="AK549" s="430"/>
      <c r="AL549" s="476"/>
      <c r="AM549" s="430"/>
      <c r="AN549" s="430"/>
      <c r="AO549" s="430"/>
      <c r="AP549" s="430"/>
      <c r="AQ549" s="430"/>
      <c r="AR549" s="430"/>
      <c r="AS549" s="430"/>
      <c r="AT549" s="430"/>
      <c r="AU549" s="430"/>
      <c r="AV549" s="430"/>
      <c r="AW549" s="430"/>
      <c r="AX549" s="430"/>
    </row>
    <row r="550">
      <c r="B550" s="471"/>
      <c r="E550" s="471"/>
      <c r="H550" s="471"/>
      <c r="K550" s="471"/>
      <c r="M550" s="454"/>
      <c r="N550" s="424"/>
      <c r="O550" s="424"/>
      <c r="P550" s="430"/>
      <c r="Q550" s="444"/>
      <c r="R550" s="424"/>
      <c r="S550" s="430"/>
      <c r="T550" s="444"/>
      <c r="U550" s="430"/>
      <c r="V550" s="430"/>
      <c r="W550" s="444"/>
      <c r="X550" s="444"/>
      <c r="Y550" s="430"/>
      <c r="Z550" s="430"/>
      <c r="AA550" s="430"/>
      <c r="AB550" s="444"/>
      <c r="AC550" s="444"/>
      <c r="AD550" s="430"/>
      <c r="AE550" s="430"/>
      <c r="AF550" s="430"/>
      <c r="AG550" s="444"/>
      <c r="AH550" s="444"/>
      <c r="AI550" s="430"/>
      <c r="AJ550" s="430"/>
      <c r="AK550" s="430"/>
      <c r="AL550" s="476"/>
      <c r="AM550" s="430"/>
      <c r="AN550" s="430"/>
      <c r="AO550" s="430"/>
      <c r="AP550" s="430"/>
      <c r="AQ550" s="430"/>
      <c r="AR550" s="430"/>
      <c r="AS550" s="430"/>
      <c r="AT550" s="430"/>
      <c r="AU550" s="430"/>
      <c r="AV550" s="430"/>
      <c r="AW550" s="430"/>
      <c r="AX550" s="430"/>
    </row>
    <row r="551">
      <c r="B551" s="471"/>
      <c r="E551" s="471"/>
      <c r="H551" s="471"/>
      <c r="K551" s="471"/>
      <c r="M551" s="454"/>
      <c r="N551" s="424"/>
      <c r="O551" s="424"/>
      <c r="P551" s="430"/>
      <c r="Q551" s="444"/>
      <c r="R551" s="424"/>
      <c r="S551" s="430"/>
      <c r="T551" s="444"/>
      <c r="U551" s="430"/>
      <c r="V551" s="430"/>
      <c r="W551" s="444"/>
      <c r="X551" s="444"/>
      <c r="Y551" s="430"/>
      <c r="Z551" s="430"/>
      <c r="AA551" s="430"/>
      <c r="AB551" s="444"/>
      <c r="AC551" s="444"/>
      <c r="AD551" s="430"/>
      <c r="AE551" s="430"/>
      <c r="AF551" s="430"/>
      <c r="AG551" s="444"/>
      <c r="AH551" s="444"/>
      <c r="AI551" s="430"/>
      <c r="AJ551" s="430"/>
      <c r="AK551" s="430"/>
      <c r="AL551" s="476"/>
      <c r="AM551" s="430"/>
      <c r="AN551" s="430"/>
      <c r="AO551" s="430"/>
      <c r="AP551" s="430"/>
      <c r="AQ551" s="430"/>
      <c r="AR551" s="430"/>
      <c r="AS551" s="430"/>
      <c r="AT551" s="430"/>
      <c r="AU551" s="430"/>
      <c r="AV551" s="430"/>
      <c r="AW551" s="430"/>
      <c r="AX551" s="430"/>
    </row>
    <row r="552">
      <c r="B552" s="471"/>
      <c r="E552" s="471"/>
      <c r="H552" s="471"/>
      <c r="K552" s="471"/>
      <c r="M552" s="454"/>
      <c r="N552" s="424"/>
      <c r="O552" s="424"/>
      <c r="P552" s="430"/>
      <c r="Q552" s="444"/>
      <c r="R552" s="424"/>
      <c r="S552" s="430"/>
      <c r="T552" s="444"/>
      <c r="U552" s="430"/>
      <c r="V552" s="430"/>
      <c r="W552" s="444"/>
      <c r="X552" s="444"/>
      <c r="Y552" s="430"/>
      <c r="Z552" s="430"/>
      <c r="AA552" s="430"/>
      <c r="AB552" s="444"/>
      <c r="AC552" s="444"/>
      <c r="AD552" s="430"/>
      <c r="AE552" s="430"/>
      <c r="AF552" s="430"/>
      <c r="AG552" s="444"/>
      <c r="AH552" s="444"/>
      <c r="AI552" s="430"/>
      <c r="AJ552" s="430"/>
      <c r="AK552" s="430"/>
      <c r="AL552" s="476"/>
      <c r="AM552" s="430"/>
      <c r="AN552" s="430"/>
      <c r="AO552" s="430"/>
      <c r="AP552" s="430"/>
      <c r="AQ552" s="430"/>
      <c r="AR552" s="430"/>
      <c r="AS552" s="430"/>
      <c r="AT552" s="430"/>
      <c r="AU552" s="430"/>
      <c r="AV552" s="430"/>
      <c r="AW552" s="430"/>
      <c r="AX552" s="430"/>
    </row>
    <row r="553">
      <c r="B553" s="471"/>
      <c r="E553" s="471"/>
      <c r="H553" s="471"/>
      <c r="K553" s="471"/>
      <c r="M553" s="454"/>
      <c r="N553" s="424"/>
      <c r="O553" s="424"/>
      <c r="P553" s="430"/>
      <c r="Q553" s="444"/>
      <c r="R553" s="424"/>
      <c r="S553" s="430"/>
      <c r="T553" s="444"/>
      <c r="U553" s="430"/>
      <c r="V553" s="430"/>
      <c r="W553" s="444"/>
      <c r="X553" s="444"/>
      <c r="Y553" s="430"/>
      <c r="Z553" s="430"/>
      <c r="AA553" s="430"/>
      <c r="AB553" s="444"/>
      <c r="AC553" s="444"/>
      <c r="AD553" s="430"/>
      <c r="AE553" s="430"/>
      <c r="AF553" s="430"/>
      <c r="AG553" s="444"/>
      <c r="AH553" s="444"/>
      <c r="AI553" s="430"/>
      <c r="AJ553" s="430"/>
      <c r="AK553" s="430"/>
      <c r="AL553" s="476"/>
      <c r="AM553" s="430"/>
      <c r="AN553" s="430"/>
      <c r="AO553" s="430"/>
      <c r="AP553" s="430"/>
      <c r="AQ553" s="430"/>
      <c r="AR553" s="430"/>
      <c r="AS553" s="430"/>
      <c r="AT553" s="430"/>
      <c r="AU553" s="430"/>
      <c r="AV553" s="430"/>
      <c r="AW553" s="430"/>
      <c r="AX553" s="430"/>
    </row>
    <row r="554">
      <c r="B554" s="471"/>
      <c r="E554" s="471"/>
      <c r="H554" s="471"/>
      <c r="K554" s="471"/>
      <c r="M554" s="454"/>
      <c r="N554" s="424"/>
      <c r="O554" s="424"/>
      <c r="P554" s="430"/>
      <c r="Q554" s="444"/>
      <c r="R554" s="424"/>
      <c r="S554" s="430"/>
      <c r="T554" s="444"/>
      <c r="U554" s="430"/>
      <c r="V554" s="430"/>
      <c r="W554" s="444"/>
      <c r="X554" s="444"/>
      <c r="Y554" s="430"/>
      <c r="Z554" s="430"/>
      <c r="AA554" s="430"/>
      <c r="AB554" s="444"/>
      <c r="AC554" s="444"/>
      <c r="AD554" s="430"/>
      <c r="AE554" s="430"/>
      <c r="AF554" s="430"/>
      <c r="AG554" s="444"/>
      <c r="AH554" s="444"/>
      <c r="AI554" s="430"/>
      <c r="AJ554" s="430"/>
      <c r="AK554" s="430"/>
      <c r="AL554" s="476"/>
      <c r="AM554" s="430"/>
      <c r="AN554" s="430"/>
      <c r="AO554" s="430"/>
      <c r="AP554" s="430"/>
      <c r="AQ554" s="430"/>
      <c r="AR554" s="430"/>
      <c r="AS554" s="430"/>
      <c r="AT554" s="430"/>
      <c r="AU554" s="430"/>
      <c r="AV554" s="430"/>
      <c r="AW554" s="430"/>
      <c r="AX554" s="430"/>
    </row>
    <row r="555">
      <c r="B555" s="471"/>
      <c r="E555" s="471"/>
      <c r="H555" s="471"/>
      <c r="K555" s="471"/>
      <c r="M555" s="454"/>
      <c r="N555" s="424"/>
      <c r="O555" s="424"/>
      <c r="P555" s="430"/>
      <c r="Q555" s="444"/>
      <c r="R555" s="424"/>
      <c r="S555" s="430"/>
      <c r="T555" s="444"/>
      <c r="U555" s="430"/>
      <c r="V555" s="430"/>
      <c r="W555" s="444"/>
      <c r="X555" s="444"/>
      <c r="Y555" s="430"/>
      <c r="Z555" s="430"/>
      <c r="AA555" s="430"/>
      <c r="AB555" s="444"/>
      <c r="AC555" s="444"/>
      <c r="AD555" s="430"/>
      <c r="AE555" s="430"/>
      <c r="AF555" s="430"/>
      <c r="AG555" s="444"/>
      <c r="AH555" s="444"/>
      <c r="AI555" s="430"/>
      <c r="AJ555" s="430"/>
      <c r="AK555" s="430"/>
      <c r="AL555" s="476"/>
      <c r="AM555" s="430"/>
      <c r="AN555" s="430"/>
      <c r="AO555" s="430"/>
      <c r="AP555" s="430"/>
      <c r="AQ555" s="430"/>
      <c r="AR555" s="430"/>
      <c r="AS555" s="430"/>
      <c r="AT555" s="430"/>
      <c r="AU555" s="430"/>
      <c r="AV555" s="430"/>
      <c r="AW555" s="430"/>
      <c r="AX555" s="430"/>
    </row>
    <row r="556">
      <c r="B556" s="471"/>
      <c r="E556" s="471"/>
      <c r="H556" s="471"/>
      <c r="K556" s="471"/>
      <c r="M556" s="454"/>
      <c r="N556" s="424"/>
      <c r="O556" s="424"/>
      <c r="P556" s="430"/>
      <c r="Q556" s="444"/>
      <c r="R556" s="424"/>
      <c r="S556" s="430"/>
      <c r="T556" s="444"/>
      <c r="U556" s="430"/>
      <c r="V556" s="430"/>
      <c r="W556" s="444"/>
      <c r="X556" s="444"/>
      <c r="Y556" s="430"/>
      <c r="Z556" s="430"/>
      <c r="AA556" s="430"/>
      <c r="AB556" s="444"/>
      <c r="AC556" s="444"/>
      <c r="AD556" s="430"/>
      <c r="AE556" s="430"/>
      <c r="AF556" s="430"/>
      <c r="AG556" s="444"/>
      <c r="AH556" s="444"/>
      <c r="AI556" s="430"/>
      <c r="AJ556" s="430"/>
      <c r="AK556" s="430"/>
      <c r="AL556" s="476"/>
      <c r="AM556" s="430"/>
      <c r="AN556" s="430"/>
      <c r="AO556" s="430"/>
      <c r="AP556" s="430"/>
      <c r="AQ556" s="430"/>
      <c r="AR556" s="430"/>
      <c r="AS556" s="430"/>
      <c r="AT556" s="430"/>
      <c r="AU556" s="430"/>
      <c r="AV556" s="430"/>
      <c r="AW556" s="430"/>
      <c r="AX556" s="430"/>
    </row>
    <row r="557">
      <c r="B557" s="471"/>
      <c r="E557" s="471"/>
      <c r="H557" s="471"/>
      <c r="K557" s="471"/>
      <c r="M557" s="454"/>
      <c r="N557" s="424"/>
      <c r="O557" s="424"/>
      <c r="P557" s="430"/>
      <c r="Q557" s="444"/>
      <c r="R557" s="424"/>
      <c r="S557" s="430"/>
      <c r="T557" s="444"/>
      <c r="U557" s="430"/>
      <c r="V557" s="430"/>
      <c r="W557" s="444"/>
      <c r="X557" s="444"/>
      <c r="Y557" s="430"/>
      <c r="Z557" s="430"/>
      <c r="AA557" s="430"/>
      <c r="AB557" s="444"/>
      <c r="AC557" s="444"/>
      <c r="AD557" s="430"/>
      <c r="AE557" s="430"/>
      <c r="AF557" s="430"/>
      <c r="AG557" s="444"/>
      <c r="AH557" s="444"/>
      <c r="AI557" s="430"/>
      <c r="AJ557" s="430"/>
      <c r="AK557" s="430"/>
      <c r="AL557" s="476"/>
      <c r="AM557" s="430"/>
      <c r="AN557" s="430"/>
      <c r="AO557" s="430"/>
      <c r="AP557" s="430"/>
      <c r="AQ557" s="430"/>
      <c r="AR557" s="430"/>
      <c r="AS557" s="430"/>
      <c r="AT557" s="430"/>
      <c r="AU557" s="430"/>
      <c r="AV557" s="430"/>
      <c r="AW557" s="430"/>
      <c r="AX557" s="430"/>
    </row>
    <row r="558">
      <c r="B558" s="471"/>
      <c r="E558" s="471"/>
      <c r="H558" s="471"/>
      <c r="K558" s="471"/>
      <c r="M558" s="454"/>
      <c r="N558" s="424"/>
      <c r="O558" s="424"/>
      <c r="P558" s="430"/>
      <c r="Q558" s="444"/>
      <c r="R558" s="424"/>
      <c r="S558" s="430"/>
      <c r="T558" s="444"/>
      <c r="U558" s="430"/>
      <c r="V558" s="430"/>
      <c r="W558" s="444"/>
      <c r="X558" s="444"/>
      <c r="Y558" s="430"/>
      <c r="Z558" s="430"/>
      <c r="AA558" s="430"/>
      <c r="AB558" s="444"/>
      <c r="AC558" s="444"/>
      <c r="AD558" s="430"/>
      <c r="AE558" s="430"/>
      <c r="AF558" s="430"/>
      <c r="AG558" s="444"/>
      <c r="AH558" s="444"/>
      <c r="AI558" s="430"/>
      <c r="AJ558" s="430"/>
      <c r="AK558" s="430"/>
      <c r="AL558" s="476"/>
      <c r="AM558" s="430"/>
      <c r="AN558" s="430"/>
      <c r="AO558" s="430"/>
      <c r="AP558" s="430"/>
      <c r="AQ558" s="430"/>
      <c r="AR558" s="430"/>
      <c r="AS558" s="430"/>
      <c r="AT558" s="430"/>
      <c r="AU558" s="430"/>
      <c r="AV558" s="430"/>
      <c r="AW558" s="430"/>
      <c r="AX558" s="430"/>
    </row>
    <row r="559">
      <c r="B559" s="471"/>
      <c r="E559" s="471"/>
      <c r="H559" s="471"/>
      <c r="K559" s="471"/>
      <c r="M559" s="454"/>
      <c r="N559" s="424"/>
      <c r="O559" s="424"/>
      <c r="P559" s="430"/>
      <c r="Q559" s="444"/>
      <c r="R559" s="424"/>
      <c r="S559" s="430"/>
      <c r="T559" s="444"/>
      <c r="U559" s="430"/>
      <c r="V559" s="430"/>
      <c r="W559" s="444"/>
      <c r="X559" s="444"/>
      <c r="Y559" s="430"/>
      <c r="Z559" s="430"/>
      <c r="AA559" s="430"/>
      <c r="AB559" s="444"/>
      <c r="AC559" s="444"/>
      <c r="AD559" s="430"/>
      <c r="AE559" s="430"/>
      <c r="AF559" s="430"/>
      <c r="AG559" s="444"/>
      <c r="AH559" s="444"/>
      <c r="AI559" s="430"/>
      <c r="AJ559" s="430"/>
      <c r="AK559" s="430"/>
      <c r="AL559" s="476"/>
      <c r="AM559" s="430"/>
      <c r="AN559" s="430"/>
      <c r="AO559" s="430"/>
      <c r="AP559" s="430"/>
      <c r="AQ559" s="430"/>
      <c r="AR559" s="430"/>
      <c r="AS559" s="430"/>
      <c r="AT559" s="430"/>
      <c r="AU559" s="430"/>
      <c r="AV559" s="430"/>
      <c r="AW559" s="430"/>
      <c r="AX559" s="430"/>
    </row>
    <row r="560">
      <c r="B560" s="471"/>
      <c r="E560" s="471"/>
      <c r="H560" s="471"/>
      <c r="K560" s="471"/>
      <c r="M560" s="454"/>
      <c r="N560" s="424"/>
      <c r="O560" s="424"/>
      <c r="P560" s="430"/>
      <c r="Q560" s="444"/>
      <c r="R560" s="424"/>
      <c r="S560" s="430"/>
      <c r="T560" s="444"/>
      <c r="U560" s="430"/>
      <c r="V560" s="430"/>
      <c r="W560" s="444"/>
      <c r="X560" s="444"/>
      <c r="Y560" s="430"/>
      <c r="Z560" s="430"/>
      <c r="AA560" s="430"/>
      <c r="AB560" s="444"/>
      <c r="AC560" s="444"/>
      <c r="AD560" s="430"/>
      <c r="AE560" s="430"/>
      <c r="AF560" s="430"/>
      <c r="AG560" s="444"/>
      <c r="AH560" s="444"/>
      <c r="AI560" s="430"/>
      <c r="AJ560" s="430"/>
      <c r="AK560" s="430"/>
      <c r="AL560" s="476"/>
      <c r="AM560" s="430"/>
      <c r="AN560" s="430"/>
      <c r="AO560" s="430"/>
      <c r="AP560" s="430"/>
      <c r="AQ560" s="430"/>
      <c r="AR560" s="430"/>
      <c r="AS560" s="430"/>
      <c r="AT560" s="430"/>
      <c r="AU560" s="430"/>
      <c r="AV560" s="430"/>
      <c r="AW560" s="430"/>
      <c r="AX560" s="430"/>
    </row>
    <row r="561">
      <c r="B561" s="471"/>
      <c r="E561" s="471"/>
      <c r="H561" s="471"/>
      <c r="K561" s="471"/>
      <c r="M561" s="454"/>
      <c r="N561" s="424"/>
      <c r="O561" s="424"/>
      <c r="P561" s="430"/>
      <c r="Q561" s="444"/>
      <c r="R561" s="424"/>
      <c r="S561" s="430"/>
      <c r="T561" s="444"/>
      <c r="U561" s="430"/>
      <c r="V561" s="430"/>
      <c r="W561" s="444"/>
      <c r="X561" s="444"/>
      <c r="Y561" s="430"/>
      <c r="Z561" s="430"/>
      <c r="AA561" s="430"/>
      <c r="AB561" s="444"/>
      <c r="AC561" s="444"/>
      <c r="AD561" s="430"/>
      <c r="AE561" s="430"/>
      <c r="AF561" s="430"/>
      <c r="AG561" s="444"/>
      <c r="AH561" s="444"/>
      <c r="AI561" s="430"/>
      <c r="AJ561" s="430"/>
      <c r="AK561" s="430"/>
      <c r="AL561" s="476"/>
      <c r="AM561" s="430"/>
      <c r="AN561" s="430"/>
      <c r="AO561" s="430"/>
      <c r="AP561" s="430"/>
      <c r="AQ561" s="430"/>
      <c r="AR561" s="430"/>
      <c r="AS561" s="430"/>
      <c r="AT561" s="430"/>
      <c r="AU561" s="430"/>
      <c r="AV561" s="430"/>
      <c r="AW561" s="430"/>
      <c r="AX561" s="430"/>
    </row>
    <row r="562">
      <c r="B562" s="471"/>
      <c r="E562" s="471"/>
      <c r="H562" s="471"/>
      <c r="K562" s="471"/>
      <c r="M562" s="454"/>
      <c r="N562" s="424"/>
      <c r="O562" s="424"/>
      <c r="P562" s="430"/>
      <c r="Q562" s="444"/>
      <c r="R562" s="424"/>
      <c r="S562" s="430"/>
      <c r="T562" s="444"/>
      <c r="U562" s="430"/>
      <c r="V562" s="430"/>
      <c r="W562" s="444"/>
      <c r="X562" s="444"/>
      <c r="Y562" s="430"/>
      <c r="Z562" s="430"/>
      <c r="AA562" s="430"/>
      <c r="AB562" s="444"/>
      <c r="AC562" s="444"/>
      <c r="AD562" s="430"/>
      <c r="AE562" s="430"/>
      <c r="AF562" s="430"/>
      <c r="AG562" s="444"/>
      <c r="AH562" s="444"/>
      <c r="AI562" s="430"/>
      <c r="AJ562" s="430"/>
      <c r="AK562" s="430"/>
      <c r="AL562" s="476"/>
      <c r="AM562" s="430"/>
      <c r="AN562" s="430"/>
      <c r="AO562" s="430"/>
      <c r="AP562" s="430"/>
      <c r="AQ562" s="430"/>
      <c r="AR562" s="430"/>
      <c r="AS562" s="430"/>
      <c r="AT562" s="430"/>
      <c r="AU562" s="430"/>
      <c r="AV562" s="430"/>
      <c r="AW562" s="430"/>
      <c r="AX562" s="430"/>
    </row>
    <row r="563">
      <c r="B563" s="471"/>
      <c r="E563" s="471"/>
      <c r="H563" s="471"/>
      <c r="K563" s="471"/>
      <c r="M563" s="454"/>
      <c r="N563" s="424"/>
      <c r="O563" s="424"/>
      <c r="P563" s="430"/>
      <c r="Q563" s="444"/>
      <c r="R563" s="424"/>
      <c r="S563" s="430"/>
      <c r="T563" s="444"/>
      <c r="U563" s="430"/>
      <c r="V563" s="430"/>
      <c r="W563" s="444"/>
      <c r="X563" s="444"/>
      <c r="Y563" s="430"/>
      <c r="Z563" s="430"/>
      <c r="AA563" s="430"/>
      <c r="AB563" s="444"/>
      <c r="AC563" s="444"/>
      <c r="AD563" s="430"/>
      <c r="AE563" s="430"/>
      <c r="AF563" s="430"/>
      <c r="AG563" s="444"/>
      <c r="AH563" s="444"/>
      <c r="AI563" s="430"/>
      <c r="AJ563" s="430"/>
      <c r="AK563" s="430"/>
      <c r="AL563" s="476"/>
      <c r="AM563" s="430"/>
      <c r="AN563" s="430"/>
      <c r="AO563" s="430"/>
      <c r="AP563" s="430"/>
      <c r="AQ563" s="430"/>
      <c r="AR563" s="430"/>
      <c r="AS563" s="430"/>
      <c r="AT563" s="430"/>
      <c r="AU563" s="430"/>
      <c r="AV563" s="430"/>
      <c r="AW563" s="430"/>
      <c r="AX563" s="430"/>
    </row>
    <row r="564">
      <c r="B564" s="471"/>
      <c r="E564" s="471"/>
      <c r="H564" s="471"/>
      <c r="K564" s="471"/>
      <c r="M564" s="454"/>
      <c r="N564" s="424"/>
      <c r="O564" s="424"/>
      <c r="P564" s="430"/>
      <c r="Q564" s="444"/>
      <c r="R564" s="424"/>
      <c r="S564" s="430"/>
      <c r="T564" s="444"/>
      <c r="U564" s="430"/>
      <c r="V564" s="430"/>
      <c r="W564" s="444"/>
      <c r="X564" s="444"/>
      <c r="Y564" s="430"/>
      <c r="Z564" s="430"/>
      <c r="AA564" s="430"/>
      <c r="AB564" s="444"/>
      <c r="AC564" s="444"/>
      <c r="AD564" s="430"/>
      <c r="AE564" s="430"/>
      <c r="AF564" s="430"/>
      <c r="AG564" s="444"/>
      <c r="AH564" s="444"/>
      <c r="AI564" s="430"/>
      <c r="AJ564" s="430"/>
      <c r="AK564" s="430"/>
      <c r="AL564" s="476"/>
      <c r="AM564" s="430"/>
      <c r="AN564" s="430"/>
      <c r="AO564" s="430"/>
      <c r="AP564" s="430"/>
      <c r="AQ564" s="430"/>
      <c r="AR564" s="430"/>
      <c r="AS564" s="430"/>
      <c r="AT564" s="430"/>
      <c r="AU564" s="430"/>
      <c r="AV564" s="430"/>
      <c r="AW564" s="430"/>
      <c r="AX564" s="430"/>
    </row>
    <row r="565">
      <c r="B565" s="471"/>
      <c r="E565" s="471"/>
      <c r="H565" s="471"/>
      <c r="K565" s="471"/>
      <c r="M565" s="454"/>
      <c r="N565" s="424"/>
      <c r="O565" s="424"/>
      <c r="P565" s="430"/>
      <c r="Q565" s="444"/>
      <c r="R565" s="424"/>
      <c r="S565" s="430"/>
      <c r="T565" s="444"/>
      <c r="U565" s="430"/>
      <c r="V565" s="430"/>
      <c r="W565" s="444"/>
      <c r="X565" s="444"/>
      <c r="Y565" s="430"/>
      <c r="Z565" s="430"/>
      <c r="AA565" s="430"/>
      <c r="AB565" s="444"/>
      <c r="AC565" s="444"/>
      <c r="AD565" s="430"/>
      <c r="AE565" s="430"/>
      <c r="AF565" s="430"/>
      <c r="AG565" s="444"/>
      <c r="AH565" s="444"/>
      <c r="AI565" s="430"/>
      <c r="AJ565" s="430"/>
      <c r="AK565" s="430"/>
      <c r="AL565" s="476"/>
      <c r="AM565" s="430"/>
      <c r="AN565" s="430"/>
      <c r="AO565" s="430"/>
      <c r="AP565" s="430"/>
      <c r="AQ565" s="430"/>
      <c r="AR565" s="430"/>
      <c r="AS565" s="430"/>
      <c r="AT565" s="430"/>
      <c r="AU565" s="430"/>
      <c r="AV565" s="430"/>
      <c r="AW565" s="430"/>
      <c r="AX565" s="430"/>
    </row>
    <row r="566">
      <c r="B566" s="471"/>
      <c r="E566" s="471"/>
      <c r="H566" s="471"/>
      <c r="K566" s="471"/>
      <c r="M566" s="454"/>
      <c r="N566" s="424"/>
      <c r="O566" s="424"/>
      <c r="P566" s="430"/>
      <c r="Q566" s="444"/>
      <c r="R566" s="424"/>
      <c r="S566" s="430"/>
      <c r="T566" s="444"/>
      <c r="U566" s="430"/>
      <c r="V566" s="430"/>
      <c r="W566" s="444"/>
      <c r="X566" s="444"/>
      <c r="Y566" s="430"/>
      <c r="Z566" s="430"/>
      <c r="AA566" s="430"/>
      <c r="AB566" s="444"/>
      <c r="AC566" s="444"/>
      <c r="AD566" s="430"/>
      <c r="AE566" s="430"/>
      <c r="AF566" s="430"/>
      <c r="AG566" s="444"/>
      <c r="AH566" s="444"/>
      <c r="AI566" s="430"/>
      <c r="AJ566" s="430"/>
      <c r="AK566" s="430"/>
      <c r="AL566" s="476"/>
      <c r="AM566" s="430"/>
      <c r="AN566" s="430"/>
      <c r="AO566" s="430"/>
      <c r="AP566" s="430"/>
      <c r="AQ566" s="430"/>
      <c r="AR566" s="430"/>
      <c r="AS566" s="430"/>
      <c r="AT566" s="430"/>
      <c r="AU566" s="430"/>
      <c r="AV566" s="430"/>
      <c r="AW566" s="430"/>
      <c r="AX566" s="430"/>
    </row>
    <row r="567">
      <c r="B567" s="471"/>
      <c r="E567" s="471"/>
      <c r="H567" s="471"/>
      <c r="K567" s="471"/>
      <c r="M567" s="454"/>
      <c r="N567" s="424"/>
      <c r="O567" s="424"/>
      <c r="P567" s="430"/>
      <c r="Q567" s="444"/>
      <c r="R567" s="424"/>
      <c r="S567" s="430"/>
      <c r="T567" s="444"/>
      <c r="U567" s="430"/>
      <c r="V567" s="430"/>
      <c r="W567" s="444"/>
      <c r="X567" s="444"/>
      <c r="Y567" s="430"/>
      <c r="Z567" s="430"/>
      <c r="AA567" s="430"/>
      <c r="AB567" s="444"/>
      <c r="AC567" s="444"/>
      <c r="AD567" s="430"/>
      <c r="AE567" s="430"/>
      <c r="AF567" s="430"/>
      <c r="AG567" s="444"/>
      <c r="AH567" s="444"/>
      <c r="AI567" s="430"/>
      <c r="AJ567" s="430"/>
      <c r="AK567" s="430"/>
      <c r="AL567" s="476"/>
      <c r="AM567" s="430"/>
      <c r="AN567" s="430"/>
      <c r="AO567" s="430"/>
      <c r="AP567" s="430"/>
      <c r="AQ567" s="430"/>
      <c r="AR567" s="430"/>
      <c r="AS567" s="430"/>
      <c r="AT567" s="430"/>
      <c r="AU567" s="430"/>
      <c r="AV567" s="430"/>
      <c r="AW567" s="430"/>
      <c r="AX567" s="430"/>
    </row>
    <row r="568">
      <c r="B568" s="471"/>
      <c r="E568" s="471"/>
      <c r="H568" s="471"/>
      <c r="K568" s="471"/>
      <c r="M568" s="454"/>
      <c r="N568" s="424"/>
      <c r="O568" s="424"/>
      <c r="P568" s="430"/>
      <c r="Q568" s="444"/>
      <c r="R568" s="424"/>
      <c r="S568" s="430"/>
      <c r="T568" s="444"/>
      <c r="U568" s="430"/>
      <c r="V568" s="430"/>
      <c r="W568" s="444"/>
      <c r="X568" s="444"/>
      <c r="Y568" s="430"/>
      <c r="Z568" s="430"/>
      <c r="AA568" s="430"/>
      <c r="AB568" s="444"/>
      <c r="AC568" s="444"/>
      <c r="AD568" s="430"/>
      <c r="AE568" s="430"/>
      <c r="AF568" s="430"/>
      <c r="AG568" s="444"/>
      <c r="AH568" s="444"/>
      <c r="AI568" s="430"/>
      <c r="AJ568" s="430"/>
      <c r="AK568" s="430"/>
      <c r="AL568" s="476"/>
      <c r="AM568" s="430"/>
      <c r="AN568" s="430"/>
      <c r="AO568" s="430"/>
      <c r="AP568" s="430"/>
      <c r="AQ568" s="430"/>
      <c r="AR568" s="430"/>
      <c r="AS568" s="430"/>
      <c r="AT568" s="430"/>
      <c r="AU568" s="430"/>
      <c r="AV568" s="430"/>
      <c r="AW568" s="430"/>
      <c r="AX568" s="430"/>
    </row>
    <row r="569">
      <c r="B569" s="471"/>
      <c r="E569" s="471"/>
      <c r="H569" s="471"/>
      <c r="K569" s="471"/>
      <c r="M569" s="454"/>
      <c r="N569" s="424"/>
      <c r="O569" s="424"/>
      <c r="P569" s="430"/>
      <c r="Q569" s="444"/>
      <c r="R569" s="424"/>
      <c r="S569" s="430"/>
      <c r="T569" s="444"/>
      <c r="U569" s="430"/>
      <c r="V569" s="430"/>
      <c r="W569" s="444"/>
      <c r="X569" s="444"/>
      <c r="Y569" s="430"/>
      <c r="Z569" s="430"/>
      <c r="AA569" s="430"/>
      <c r="AB569" s="444"/>
      <c r="AC569" s="444"/>
      <c r="AD569" s="430"/>
      <c r="AE569" s="430"/>
      <c r="AF569" s="430"/>
      <c r="AG569" s="444"/>
      <c r="AH569" s="444"/>
      <c r="AI569" s="430"/>
      <c r="AJ569" s="430"/>
      <c r="AK569" s="430"/>
      <c r="AL569" s="476"/>
      <c r="AM569" s="430"/>
      <c r="AN569" s="430"/>
      <c r="AO569" s="430"/>
      <c r="AP569" s="430"/>
      <c r="AQ569" s="430"/>
      <c r="AR569" s="430"/>
      <c r="AS569" s="430"/>
      <c r="AT569" s="430"/>
      <c r="AU569" s="430"/>
      <c r="AV569" s="430"/>
      <c r="AW569" s="430"/>
      <c r="AX569" s="430"/>
    </row>
    <row r="570">
      <c r="B570" s="471"/>
      <c r="E570" s="471"/>
      <c r="H570" s="471"/>
      <c r="K570" s="471"/>
      <c r="M570" s="454"/>
      <c r="N570" s="424"/>
      <c r="O570" s="424"/>
      <c r="P570" s="430"/>
      <c r="Q570" s="444"/>
      <c r="R570" s="424"/>
      <c r="S570" s="430"/>
      <c r="T570" s="444"/>
      <c r="U570" s="430"/>
      <c r="V570" s="430"/>
      <c r="W570" s="444"/>
      <c r="X570" s="444"/>
      <c r="Y570" s="430"/>
      <c r="Z570" s="430"/>
      <c r="AA570" s="430"/>
      <c r="AB570" s="444"/>
      <c r="AC570" s="444"/>
      <c r="AD570" s="430"/>
      <c r="AE570" s="430"/>
      <c r="AF570" s="430"/>
      <c r="AG570" s="444"/>
      <c r="AH570" s="444"/>
      <c r="AI570" s="430"/>
      <c r="AJ570" s="430"/>
      <c r="AK570" s="430"/>
      <c r="AL570" s="476"/>
      <c r="AM570" s="430"/>
      <c r="AN570" s="430"/>
      <c r="AO570" s="430"/>
      <c r="AP570" s="430"/>
      <c r="AQ570" s="430"/>
      <c r="AR570" s="430"/>
      <c r="AS570" s="430"/>
      <c r="AT570" s="430"/>
      <c r="AU570" s="430"/>
      <c r="AV570" s="430"/>
      <c r="AW570" s="430"/>
      <c r="AX570" s="430"/>
    </row>
    <row r="571">
      <c r="B571" s="471"/>
      <c r="E571" s="471"/>
      <c r="H571" s="471"/>
      <c r="K571" s="471"/>
      <c r="M571" s="454"/>
      <c r="N571" s="424"/>
      <c r="O571" s="424"/>
      <c r="P571" s="430"/>
      <c r="Q571" s="444"/>
      <c r="R571" s="424"/>
      <c r="S571" s="430"/>
      <c r="T571" s="444"/>
      <c r="U571" s="430"/>
      <c r="V571" s="430"/>
      <c r="W571" s="444"/>
      <c r="X571" s="444"/>
      <c r="Y571" s="430"/>
      <c r="Z571" s="430"/>
      <c r="AA571" s="430"/>
      <c r="AB571" s="444"/>
      <c r="AC571" s="444"/>
      <c r="AD571" s="430"/>
      <c r="AE571" s="430"/>
      <c r="AF571" s="430"/>
      <c r="AG571" s="444"/>
      <c r="AH571" s="444"/>
      <c r="AI571" s="430"/>
      <c r="AJ571" s="430"/>
      <c r="AK571" s="430"/>
      <c r="AL571" s="476"/>
      <c r="AM571" s="430"/>
      <c r="AN571" s="430"/>
      <c r="AO571" s="430"/>
      <c r="AP571" s="430"/>
      <c r="AQ571" s="430"/>
      <c r="AR571" s="430"/>
      <c r="AS571" s="430"/>
      <c r="AT571" s="430"/>
      <c r="AU571" s="430"/>
      <c r="AV571" s="430"/>
      <c r="AW571" s="430"/>
      <c r="AX571" s="430"/>
    </row>
    <row r="572">
      <c r="B572" s="471"/>
      <c r="E572" s="471"/>
      <c r="H572" s="471"/>
      <c r="K572" s="471"/>
      <c r="M572" s="454"/>
      <c r="N572" s="424"/>
      <c r="O572" s="424"/>
      <c r="P572" s="430"/>
      <c r="Q572" s="444"/>
      <c r="R572" s="424"/>
      <c r="S572" s="430"/>
      <c r="T572" s="444"/>
      <c r="U572" s="430"/>
      <c r="V572" s="430"/>
      <c r="W572" s="444"/>
      <c r="X572" s="444"/>
      <c r="Y572" s="430"/>
      <c r="Z572" s="430"/>
      <c r="AA572" s="430"/>
      <c r="AB572" s="444"/>
      <c r="AC572" s="444"/>
      <c r="AD572" s="430"/>
      <c r="AE572" s="430"/>
      <c r="AF572" s="430"/>
      <c r="AG572" s="444"/>
      <c r="AH572" s="444"/>
      <c r="AI572" s="430"/>
      <c r="AJ572" s="430"/>
      <c r="AK572" s="430"/>
      <c r="AL572" s="476"/>
      <c r="AM572" s="430"/>
      <c r="AN572" s="430"/>
      <c r="AO572" s="430"/>
      <c r="AP572" s="430"/>
      <c r="AQ572" s="430"/>
      <c r="AR572" s="430"/>
      <c r="AS572" s="430"/>
      <c r="AT572" s="430"/>
      <c r="AU572" s="430"/>
      <c r="AV572" s="430"/>
      <c r="AW572" s="430"/>
      <c r="AX572" s="430"/>
    </row>
    <row r="573">
      <c r="B573" s="471"/>
      <c r="E573" s="471"/>
      <c r="H573" s="471"/>
      <c r="K573" s="471"/>
      <c r="M573" s="454"/>
      <c r="N573" s="424"/>
      <c r="O573" s="424"/>
      <c r="P573" s="430"/>
      <c r="Q573" s="444"/>
      <c r="R573" s="424"/>
      <c r="S573" s="430"/>
      <c r="T573" s="444"/>
      <c r="U573" s="430"/>
      <c r="V573" s="430"/>
      <c r="W573" s="444"/>
      <c r="X573" s="444"/>
      <c r="Y573" s="430"/>
      <c r="Z573" s="430"/>
      <c r="AA573" s="430"/>
      <c r="AB573" s="444"/>
      <c r="AC573" s="444"/>
      <c r="AD573" s="430"/>
      <c r="AE573" s="430"/>
      <c r="AF573" s="430"/>
      <c r="AG573" s="444"/>
      <c r="AH573" s="444"/>
      <c r="AI573" s="430"/>
      <c r="AJ573" s="430"/>
      <c r="AK573" s="430"/>
      <c r="AL573" s="476"/>
      <c r="AM573" s="430"/>
      <c r="AN573" s="430"/>
      <c r="AO573" s="430"/>
      <c r="AP573" s="430"/>
      <c r="AQ573" s="430"/>
      <c r="AR573" s="430"/>
      <c r="AS573" s="430"/>
      <c r="AT573" s="430"/>
      <c r="AU573" s="430"/>
      <c r="AV573" s="430"/>
      <c r="AW573" s="430"/>
      <c r="AX573" s="430"/>
    </row>
    <row r="574">
      <c r="B574" s="471"/>
      <c r="E574" s="471"/>
      <c r="H574" s="471"/>
      <c r="K574" s="471"/>
      <c r="M574" s="454"/>
      <c r="N574" s="424"/>
      <c r="O574" s="424"/>
      <c r="P574" s="430"/>
      <c r="Q574" s="444"/>
      <c r="R574" s="424"/>
      <c r="S574" s="430"/>
      <c r="T574" s="444"/>
      <c r="U574" s="430"/>
      <c r="V574" s="430"/>
      <c r="W574" s="444"/>
      <c r="X574" s="444"/>
      <c r="Y574" s="430"/>
      <c r="Z574" s="430"/>
      <c r="AA574" s="430"/>
      <c r="AB574" s="444"/>
      <c r="AC574" s="444"/>
      <c r="AD574" s="430"/>
      <c r="AE574" s="430"/>
      <c r="AF574" s="430"/>
      <c r="AG574" s="444"/>
      <c r="AH574" s="444"/>
      <c r="AI574" s="430"/>
      <c r="AJ574" s="430"/>
      <c r="AK574" s="430"/>
      <c r="AL574" s="476"/>
      <c r="AM574" s="430"/>
      <c r="AN574" s="430"/>
      <c r="AO574" s="430"/>
      <c r="AP574" s="430"/>
      <c r="AQ574" s="430"/>
      <c r="AR574" s="430"/>
      <c r="AS574" s="430"/>
      <c r="AT574" s="430"/>
      <c r="AU574" s="430"/>
      <c r="AV574" s="430"/>
      <c r="AW574" s="430"/>
      <c r="AX574" s="430"/>
    </row>
    <row r="575">
      <c r="B575" s="471"/>
      <c r="E575" s="471"/>
      <c r="H575" s="471"/>
      <c r="K575" s="471"/>
      <c r="M575" s="454"/>
      <c r="N575" s="424"/>
      <c r="O575" s="424"/>
      <c r="P575" s="430"/>
      <c r="Q575" s="444"/>
      <c r="R575" s="424"/>
      <c r="S575" s="430"/>
      <c r="T575" s="444"/>
      <c r="U575" s="430"/>
      <c r="V575" s="430"/>
      <c r="W575" s="444"/>
      <c r="X575" s="444"/>
      <c r="Y575" s="430"/>
      <c r="Z575" s="430"/>
      <c r="AA575" s="430"/>
      <c r="AB575" s="444"/>
      <c r="AC575" s="444"/>
      <c r="AD575" s="430"/>
      <c r="AE575" s="430"/>
      <c r="AF575" s="430"/>
      <c r="AG575" s="444"/>
      <c r="AH575" s="444"/>
      <c r="AI575" s="430"/>
      <c r="AJ575" s="430"/>
      <c r="AK575" s="430"/>
      <c r="AL575" s="476"/>
      <c r="AM575" s="430"/>
      <c r="AN575" s="430"/>
      <c r="AO575" s="430"/>
      <c r="AP575" s="430"/>
      <c r="AQ575" s="430"/>
      <c r="AR575" s="430"/>
      <c r="AS575" s="430"/>
      <c r="AT575" s="430"/>
      <c r="AU575" s="430"/>
      <c r="AV575" s="430"/>
      <c r="AW575" s="430"/>
      <c r="AX575" s="430"/>
    </row>
    <row r="576">
      <c r="B576" s="471"/>
      <c r="E576" s="471"/>
      <c r="H576" s="471"/>
      <c r="K576" s="471"/>
      <c r="M576" s="454"/>
      <c r="N576" s="424"/>
      <c r="O576" s="424"/>
      <c r="P576" s="430"/>
      <c r="Q576" s="444"/>
      <c r="R576" s="424"/>
      <c r="S576" s="430"/>
      <c r="T576" s="444"/>
      <c r="U576" s="430"/>
      <c r="V576" s="430"/>
      <c r="W576" s="444"/>
      <c r="X576" s="444"/>
      <c r="Y576" s="430"/>
      <c r="Z576" s="430"/>
      <c r="AA576" s="430"/>
      <c r="AB576" s="444"/>
      <c r="AC576" s="444"/>
      <c r="AD576" s="430"/>
      <c r="AE576" s="430"/>
      <c r="AF576" s="430"/>
      <c r="AG576" s="444"/>
      <c r="AH576" s="444"/>
      <c r="AI576" s="430"/>
      <c r="AJ576" s="430"/>
      <c r="AK576" s="430"/>
      <c r="AL576" s="476"/>
      <c r="AM576" s="430"/>
      <c r="AN576" s="430"/>
      <c r="AO576" s="430"/>
      <c r="AP576" s="430"/>
      <c r="AQ576" s="430"/>
      <c r="AR576" s="430"/>
      <c r="AS576" s="430"/>
      <c r="AT576" s="430"/>
      <c r="AU576" s="430"/>
      <c r="AV576" s="430"/>
      <c r="AW576" s="430"/>
      <c r="AX576" s="430"/>
    </row>
    <row r="577">
      <c r="B577" s="471"/>
      <c r="E577" s="471"/>
      <c r="H577" s="471"/>
      <c r="K577" s="471"/>
      <c r="M577" s="454"/>
      <c r="N577" s="424"/>
      <c r="O577" s="424"/>
      <c r="P577" s="430"/>
      <c r="Q577" s="444"/>
      <c r="R577" s="424"/>
      <c r="S577" s="430"/>
      <c r="T577" s="444"/>
      <c r="U577" s="430"/>
      <c r="V577" s="430"/>
      <c r="W577" s="444"/>
      <c r="X577" s="444"/>
      <c r="Y577" s="430"/>
      <c r="Z577" s="430"/>
      <c r="AA577" s="430"/>
      <c r="AB577" s="444"/>
      <c r="AC577" s="444"/>
      <c r="AD577" s="430"/>
      <c r="AE577" s="430"/>
      <c r="AF577" s="430"/>
      <c r="AG577" s="444"/>
      <c r="AH577" s="444"/>
      <c r="AI577" s="430"/>
      <c r="AJ577" s="430"/>
      <c r="AK577" s="430"/>
      <c r="AL577" s="476"/>
      <c r="AM577" s="430"/>
      <c r="AN577" s="430"/>
      <c r="AO577" s="430"/>
      <c r="AP577" s="430"/>
      <c r="AQ577" s="430"/>
      <c r="AR577" s="430"/>
      <c r="AS577" s="430"/>
      <c r="AT577" s="430"/>
      <c r="AU577" s="430"/>
      <c r="AV577" s="430"/>
      <c r="AW577" s="430"/>
      <c r="AX577" s="430"/>
    </row>
    <row r="578">
      <c r="B578" s="471"/>
      <c r="E578" s="471"/>
      <c r="H578" s="471"/>
      <c r="K578" s="471"/>
      <c r="M578" s="454"/>
      <c r="N578" s="424"/>
      <c r="O578" s="424"/>
      <c r="P578" s="430"/>
      <c r="Q578" s="444"/>
      <c r="R578" s="424"/>
      <c r="S578" s="430"/>
      <c r="T578" s="444"/>
      <c r="U578" s="430"/>
      <c r="V578" s="430"/>
      <c r="W578" s="444"/>
      <c r="X578" s="444"/>
      <c r="Y578" s="430"/>
      <c r="Z578" s="430"/>
      <c r="AA578" s="430"/>
      <c r="AB578" s="444"/>
      <c r="AC578" s="444"/>
      <c r="AD578" s="430"/>
      <c r="AE578" s="430"/>
      <c r="AF578" s="430"/>
      <c r="AG578" s="444"/>
      <c r="AH578" s="444"/>
      <c r="AI578" s="430"/>
      <c r="AJ578" s="430"/>
      <c r="AK578" s="430"/>
      <c r="AL578" s="476"/>
      <c r="AM578" s="430"/>
      <c r="AN578" s="430"/>
      <c r="AO578" s="430"/>
      <c r="AP578" s="430"/>
      <c r="AQ578" s="430"/>
      <c r="AR578" s="430"/>
      <c r="AS578" s="430"/>
      <c r="AT578" s="430"/>
      <c r="AU578" s="430"/>
      <c r="AV578" s="430"/>
      <c r="AW578" s="430"/>
      <c r="AX578" s="430"/>
    </row>
    <row r="579">
      <c r="B579" s="471"/>
      <c r="E579" s="471"/>
      <c r="H579" s="471"/>
      <c r="K579" s="471"/>
      <c r="M579" s="454"/>
      <c r="N579" s="424"/>
      <c r="O579" s="424"/>
      <c r="P579" s="430"/>
      <c r="Q579" s="444"/>
      <c r="R579" s="424"/>
      <c r="S579" s="430"/>
      <c r="T579" s="444"/>
      <c r="U579" s="430"/>
      <c r="V579" s="430"/>
      <c r="W579" s="444"/>
      <c r="X579" s="444"/>
      <c r="Y579" s="430"/>
      <c r="Z579" s="430"/>
      <c r="AA579" s="430"/>
      <c r="AB579" s="444"/>
      <c r="AC579" s="444"/>
      <c r="AD579" s="430"/>
      <c r="AE579" s="430"/>
      <c r="AF579" s="430"/>
      <c r="AG579" s="444"/>
      <c r="AH579" s="444"/>
      <c r="AI579" s="430"/>
      <c r="AJ579" s="430"/>
      <c r="AK579" s="430"/>
      <c r="AL579" s="476"/>
      <c r="AM579" s="430"/>
      <c r="AN579" s="430"/>
      <c r="AO579" s="430"/>
      <c r="AP579" s="430"/>
      <c r="AQ579" s="430"/>
      <c r="AR579" s="430"/>
      <c r="AS579" s="430"/>
      <c r="AT579" s="430"/>
      <c r="AU579" s="430"/>
      <c r="AV579" s="430"/>
      <c r="AW579" s="430"/>
      <c r="AX579" s="430"/>
    </row>
    <row r="580">
      <c r="B580" s="471"/>
      <c r="E580" s="471"/>
      <c r="H580" s="471"/>
      <c r="K580" s="471"/>
      <c r="M580" s="454"/>
      <c r="N580" s="424"/>
      <c r="O580" s="424"/>
      <c r="P580" s="430"/>
      <c r="Q580" s="444"/>
      <c r="R580" s="424"/>
      <c r="S580" s="430"/>
      <c r="T580" s="444"/>
      <c r="U580" s="430"/>
      <c r="V580" s="430"/>
      <c r="W580" s="444"/>
      <c r="X580" s="444"/>
      <c r="Y580" s="430"/>
      <c r="Z580" s="430"/>
      <c r="AA580" s="430"/>
      <c r="AB580" s="444"/>
      <c r="AC580" s="444"/>
      <c r="AD580" s="430"/>
      <c r="AE580" s="430"/>
      <c r="AF580" s="430"/>
      <c r="AG580" s="444"/>
      <c r="AH580" s="444"/>
      <c r="AI580" s="430"/>
      <c r="AJ580" s="430"/>
      <c r="AK580" s="430"/>
      <c r="AL580" s="476"/>
      <c r="AM580" s="430"/>
      <c r="AN580" s="430"/>
      <c r="AO580" s="430"/>
      <c r="AP580" s="430"/>
      <c r="AQ580" s="430"/>
      <c r="AR580" s="430"/>
      <c r="AS580" s="430"/>
      <c r="AT580" s="430"/>
      <c r="AU580" s="430"/>
      <c r="AV580" s="430"/>
      <c r="AW580" s="430"/>
      <c r="AX580" s="430"/>
    </row>
    <row r="581">
      <c r="B581" s="471"/>
      <c r="E581" s="471"/>
      <c r="H581" s="471"/>
      <c r="K581" s="471"/>
      <c r="M581" s="454"/>
      <c r="N581" s="424"/>
      <c r="O581" s="424"/>
      <c r="P581" s="430"/>
      <c r="Q581" s="444"/>
      <c r="R581" s="424"/>
      <c r="S581" s="430"/>
      <c r="T581" s="444"/>
      <c r="U581" s="430"/>
      <c r="V581" s="430"/>
      <c r="W581" s="444"/>
      <c r="X581" s="444"/>
      <c r="Y581" s="430"/>
      <c r="Z581" s="430"/>
      <c r="AA581" s="430"/>
      <c r="AB581" s="444"/>
      <c r="AC581" s="444"/>
      <c r="AD581" s="430"/>
      <c r="AE581" s="430"/>
      <c r="AF581" s="430"/>
      <c r="AG581" s="444"/>
      <c r="AH581" s="444"/>
      <c r="AI581" s="430"/>
      <c r="AJ581" s="430"/>
      <c r="AK581" s="430"/>
      <c r="AL581" s="476"/>
      <c r="AM581" s="430"/>
      <c r="AN581" s="430"/>
      <c r="AO581" s="430"/>
      <c r="AP581" s="430"/>
      <c r="AQ581" s="430"/>
      <c r="AR581" s="430"/>
      <c r="AS581" s="430"/>
      <c r="AT581" s="430"/>
      <c r="AU581" s="430"/>
      <c r="AV581" s="430"/>
      <c r="AW581" s="430"/>
      <c r="AX581" s="430"/>
    </row>
    <row r="582">
      <c r="B582" s="471"/>
      <c r="E582" s="471"/>
      <c r="H582" s="471"/>
      <c r="K582" s="471"/>
      <c r="M582" s="454"/>
      <c r="N582" s="424"/>
      <c r="O582" s="424"/>
      <c r="P582" s="430"/>
      <c r="Q582" s="444"/>
      <c r="R582" s="424"/>
      <c r="S582" s="430"/>
      <c r="T582" s="444"/>
      <c r="U582" s="430"/>
      <c r="V582" s="430"/>
      <c r="W582" s="444"/>
      <c r="X582" s="444"/>
      <c r="Y582" s="430"/>
      <c r="Z582" s="430"/>
      <c r="AA582" s="430"/>
      <c r="AB582" s="444"/>
      <c r="AC582" s="444"/>
      <c r="AD582" s="430"/>
      <c r="AE582" s="430"/>
      <c r="AF582" s="430"/>
      <c r="AG582" s="444"/>
      <c r="AH582" s="444"/>
      <c r="AI582" s="430"/>
      <c r="AJ582" s="430"/>
      <c r="AK582" s="430"/>
      <c r="AL582" s="476"/>
      <c r="AM582" s="430"/>
      <c r="AN582" s="430"/>
      <c r="AO582" s="430"/>
      <c r="AP582" s="430"/>
      <c r="AQ582" s="430"/>
      <c r="AR582" s="430"/>
      <c r="AS582" s="430"/>
      <c r="AT582" s="430"/>
      <c r="AU582" s="430"/>
      <c r="AV582" s="430"/>
      <c r="AW582" s="430"/>
      <c r="AX582" s="430"/>
    </row>
    <row r="583">
      <c r="B583" s="471"/>
      <c r="E583" s="471"/>
      <c r="H583" s="471"/>
      <c r="K583" s="471"/>
      <c r="M583" s="454"/>
      <c r="N583" s="424"/>
      <c r="O583" s="424"/>
      <c r="P583" s="430"/>
      <c r="Q583" s="444"/>
      <c r="R583" s="424"/>
      <c r="S583" s="430"/>
      <c r="T583" s="444"/>
      <c r="U583" s="430"/>
      <c r="V583" s="430"/>
      <c r="W583" s="444"/>
      <c r="X583" s="444"/>
      <c r="Y583" s="430"/>
      <c r="Z583" s="430"/>
      <c r="AA583" s="430"/>
      <c r="AB583" s="444"/>
      <c r="AC583" s="444"/>
      <c r="AD583" s="430"/>
      <c r="AE583" s="430"/>
      <c r="AF583" s="430"/>
      <c r="AG583" s="444"/>
      <c r="AH583" s="444"/>
      <c r="AI583" s="430"/>
      <c r="AJ583" s="430"/>
      <c r="AK583" s="430"/>
      <c r="AL583" s="476"/>
      <c r="AM583" s="430"/>
      <c r="AN583" s="430"/>
      <c r="AO583" s="430"/>
      <c r="AP583" s="430"/>
      <c r="AQ583" s="430"/>
      <c r="AR583" s="430"/>
      <c r="AS583" s="430"/>
      <c r="AT583" s="430"/>
      <c r="AU583" s="430"/>
      <c r="AV583" s="430"/>
      <c r="AW583" s="430"/>
      <c r="AX583" s="430"/>
    </row>
    <row r="584">
      <c r="B584" s="471"/>
      <c r="E584" s="471"/>
      <c r="H584" s="471"/>
      <c r="K584" s="471"/>
      <c r="M584" s="454"/>
      <c r="N584" s="424"/>
      <c r="O584" s="424"/>
      <c r="P584" s="430"/>
      <c r="Q584" s="444"/>
      <c r="R584" s="424"/>
      <c r="S584" s="430"/>
      <c r="T584" s="444"/>
      <c r="U584" s="430"/>
      <c r="V584" s="430"/>
      <c r="W584" s="444"/>
      <c r="X584" s="444"/>
      <c r="Y584" s="430"/>
      <c r="Z584" s="430"/>
      <c r="AA584" s="430"/>
      <c r="AB584" s="444"/>
      <c r="AC584" s="444"/>
      <c r="AD584" s="430"/>
      <c r="AE584" s="430"/>
      <c r="AF584" s="430"/>
      <c r="AG584" s="444"/>
      <c r="AH584" s="444"/>
      <c r="AI584" s="430"/>
      <c r="AJ584" s="430"/>
      <c r="AK584" s="430"/>
      <c r="AL584" s="476"/>
      <c r="AM584" s="430"/>
      <c r="AN584" s="430"/>
      <c r="AO584" s="430"/>
      <c r="AP584" s="430"/>
      <c r="AQ584" s="430"/>
      <c r="AR584" s="430"/>
      <c r="AS584" s="430"/>
      <c r="AT584" s="430"/>
      <c r="AU584" s="430"/>
      <c r="AV584" s="430"/>
      <c r="AW584" s="430"/>
      <c r="AX584" s="430"/>
    </row>
    <row r="585">
      <c r="B585" s="471"/>
      <c r="E585" s="471"/>
      <c r="H585" s="471"/>
      <c r="K585" s="471"/>
      <c r="M585" s="454"/>
      <c r="N585" s="424"/>
      <c r="O585" s="424"/>
      <c r="P585" s="430"/>
      <c r="Q585" s="444"/>
      <c r="R585" s="424"/>
      <c r="S585" s="430"/>
      <c r="T585" s="444"/>
      <c r="U585" s="430"/>
      <c r="V585" s="430"/>
      <c r="W585" s="444"/>
      <c r="X585" s="444"/>
      <c r="Y585" s="430"/>
      <c r="Z585" s="430"/>
      <c r="AA585" s="430"/>
      <c r="AB585" s="444"/>
      <c r="AC585" s="444"/>
      <c r="AD585" s="430"/>
      <c r="AE585" s="430"/>
      <c r="AF585" s="430"/>
      <c r="AG585" s="444"/>
      <c r="AH585" s="444"/>
      <c r="AI585" s="430"/>
      <c r="AJ585" s="430"/>
      <c r="AK585" s="430"/>
      <c r="AL585" s="476"/>
      <c r="AM585" s="430"/>
      <c r="AN585" s="430"/>
      <c r="AO585" s="430"/>
      <c r="AP585" s="430"/>
      <c r="AQ585" s="430"/>
      <c r="AR585" s="430"/>
      <c r="AS585" s="430"/>
      <c r="AT585" s="430"/>
      <c r="AU585" s="430"/>
      <c r="AV585" s="430"/>
      <c r="AW585" s="430"/>
      <c r="AX585" s="430"/>
    </row>
    <row r="586">
      <c r="B586" s="471"/>
      <c r="E586" s="471"/>
      <c r="H586" s="471"/>
      <c r="K586" s="471"/>
      <c r="M586" s="454"/>
      <c r="N586" s="424"/>
      <c r="O586" s="424"/>
      <c r="P586" s="430"/>
      <c r="Q586" s="444"/>
      <c r="R586" s="424"/>
      <c r="S586" s="430"/>
      <c r="T586" s="444"/>
      <c r="U586" s="430"/>
      <c r="V586" s="430"/>
      <c r="W586" s="444"/>
      <c r="X586" s="444"/>
      <c r="Y586" s="430"/>
      <c r="Z586" s="430"/>
      <c r="AA586" s="430"/>
      <c r="AB586" s="444"/>
      <c r="AC586" s="444"/>
      <c r="AD586" s="430"/>
      <c r="AE586" s="430"/>
      <c r="AF586" s="430"/>
      <c r="AG586" s="444"/>
      <c r="AH586" s="444"/>
      <c r="AI586" s="430"/>
      <c r="AJ586" s="430"/>
      <c r="AK586" s="430"/>
      <c r="AL586" s="476"/>
      <c r="AM586" s="430"/>
      <c r="AN586" s="430"/>
      <c r="AO586" s="430"/>
      <c r="AP586" s="430"/>
      <c r="AQ586" s="430"/>
      <c r="AR586" s="430"/>
      <c r="AS586" s="430"/>
      <c r="AT586" s="430"/>
      <c r="AU586" s="430"/>
      <c r="AV586" s="430"/>
      <c r="AW586" s="430"/>
      <c r="AX586" s="430"/>
    </row>
    <row r="587">
      <c r="B587" s="471"/>
      <c r="E587" s="471"/>
      <c r="H587" s="471"/>
      <c r="K587" s="471"/>
      <c r="M587" s="454"/>
      <c r="N587" s="424"/>
      <c r="O587" s="424"/>
      <c r="P587" s="430"/>
      <c r="Q587" s="444"/>
      <c r="R587" s="424"/>
      <c r="S587" s="430"/>
      <c r="T587" s="444"/>
      <c r="U587" s="430"/>
      <c r="V587" s="430"/>
      <c r="W587" s="444"/>
      <c r="X587" s="444"/>
      <c r="Y587" s="430"/>
      <c r="Z587" s="430"/>
      <c r="AA587" s="430"/>
      <c r="AB587" s="444"/>
      <c r="AC587" s="444"/>
      <c r="AD587" s="430"/>
      <c r="AE587" s="430"/>
      <c r="AF587" s="430"/>
      <c r="AG587" s="444"/>
      <c r="AH587" s="444"/>
      <c r="AI587" s="430"/>
      <c r="AJ587" s="430"/>
      <c r="AK587" s="430"/>
      <c r="AL587" s="476"/>
      <c r="AM587" s="430"/>
      <c r="AN587" s="430"/>
      <c r="AO587" s="430"/>
      <c r="AP587" s="430"/>
      <c r="AQ587" s="430"/>
      <c r="AR587" s="430"/>
      <c r="AS587" s="430"/>
      <c r="AT587" s="430"/>
      <c r="AU587" s="430"/>
      <c r="AV587" s="430"/>
      <c r="AW587" s="430"/>
      <c r="AX587" s="430"/>
    </row>
    <row r="588">
      <c r="B588" s="471"/>
      <c r="E588" s="471"/>
      <c r="H588" s="471"/>
      <c r="K588" s="471"/>
      <c r="M588" s="454"/>
      <c r="N588" s="424"/>
      <c r="O588" s="424"/>
      <c r="P588" s="430"/>
      <c r="Q588" s="444"/>
      <c r="R588" s="424"/>
      <c r="S588" s="430"/>
      <c r="T588" s="444"/>
      <c r="U588" s="430"/>
      <c r="V588" s="430"/>
      <c r="W588" s="444"/>
      <c r="X588" s="444"/>
      <c r="Y588" s="430"/>
      <c r="Z588" s="430"/>
      <c r="AA588" s="430"/>
      <c r="AB588" s="444"/>
      <c r="AC588" s="444"/>
      <c r="AD588" s="430"/>
      <c r="AE588" s="430"/>
      <c r="AF588" s="430"/>
      <c r="AG588" s="444"/>
      <c r="AH588" s="444"/>
      <c r="AI588" s="430"/>
      <c r="AJ588" s="430"/>
      <c r="AK588" s="430"/>
      <c r="AL588" s="476"/>
      <c r="AM588" s="430"/>
      <c r="AN588" s="430"/>
      <c r="AO588" s="430"/>
      <c r="AP588" s="430"/>
      <c r="AQ588" s="430"/>
      <c r="AR588" s="430"/>
      <c r="AS588" s="430"/>
      <c r="AT588" s="430"/>
      <c r="AU588" s="430"/>
      <c r="AV588" s="430"/>
      <c r="AW588" s="430"/>
      <c r="AX588" s="430"/>
    </row>
    <row r="589">
      <c r="B589" s="471"/>
      <c r="E589" s="471"/>
      <c r="H589" s="471"/>
      <c r="K589" s="471"/>
      <c r="M589" s="454"/>
      <c r="N589" s="424"/>
      <c r="O589" s="424"/>
      <c r="P589" s="430"/>
      <c r="Q589" s="444"/>
      <c r="R589" s="424"/>
      <c r="S589" s="430"/>
      <c r="T589" s="444"/>
      <c r="U589" s="430"/>
      <c r="V589" s="430"/>
      <c r="W589" s="444"/>
      <c r="X589" s="444"/>
      <c r="Y589" s="430"/>
      <c r="Z589" s="430"/>
      <c r="AA589" s="430"/>
      <c r="AB589" s="444"/>
      <c r="AC589" s="444"/>
      <c r="AD589" s="430"/>
      <c r="AE589" s="430"/>
      <c r="AF589" s="430"/>
      <c r="AG589" s="444"/>
      <c r="AH589" s="444"/>
      <c r="AI589" s="430"/>
      <c r="AJ589" s="430"/>
      <c r="AK589" s="430"/>
      <c r="AL589" s="476"/>
      <c r="AM589" s="430"/>
      <c r="AN589" s="430"/>
      <c r="AO589" s="430"/>
      <c r="AP589" s="430"/>
      <c r="AQ589" s="430"/>
      <c r="AR589" s="430"/>
      <c r="AS589" s="430"/>
      <c r="AT589" s="430"/>
      <c r="AU589" s="430"/>
      <c r="AV589" s="430"/>
      <c r="AW589" s="430"/>
      <c r="AX589" s="430"/>
    </row>
    <row r="590">
      <c r="B590" s="471"/>
      <c r="E590" s="471"/>
      <c r="H590" s="471"/>
      <c r="K590" s="471"/>
      <c r="M590" s="454"/>
      <c r="N590" s="424"/>
      <c r="O590" s="424"/>
      <c r="P590" s="430"/>
      <c r="Q590" s="444"/>
      <c r="R590" s="424"/>
      <c r="S590" s="430"/>
      <c r="T590" s="444"/>
      <c r="U590" s="430"/>
      <c r="V590" s="430"/>
      <c r="W590" s="444"/>
      <c r="X590" s="444"/>
      <c r="Y590" s="430"/>
      <c r="Z590" s="430"/>
      <c r="AA590" s="430"/>
      <c r="AB590" s="444"/>
      <c r="AC590" s="444"/>
      <c r="AD590" s="430"/>
      <c r="AE590" s="430"/>
      <c r="AF590" s="430"/>
      <c r="AG590" s="444"/>
      <c r="AH590" s="444"/>
      <c r="AI590" s="430"/>
      <c r="AJ590" s="430"/>
      <c r="AK590" s="430"/>
      <c r="AL590" s="476"/>
      <c r="AM590" s="430"/>
      <c r="AN590" s="430"/>
      <c r="AO590" s="430"/>
      <c r="AP590" s="430"/>
      <c r="AQ590" s="430"/>
      <c r="AR590" s="430"/>
      <c r="AS590" s="430"/>
      <c r="AT590" s="430"/>
      <c r="AU590" s="430"/>
      <c r="AV590" s="430"/>
      <c r="AW590" s="430"/>
      <c r="AX590" s="430"/>
    </row>
    <row r="591">
      <c r="B591" s="471"/>
      <c r="E591" s="471"/>
      <c r="H591" s="471"/>
      <c r="K591" s="471"/>
      <c r="M591" s="454"/>
      <c r="N591" s="424"/>
      <c r="O591" s="424"/>
      <c r="P591" s="430"/>
      <c r="Q591" s="444"/>
      <c r="R591" s="424"/>
      <c r="S591" s="430"/>
      <c r="T591" s="444"/>
      <c r="U591" s="430"/>
      <c r="V591" s="430"/>
      <c r="W591" s="444"/>
      <c r="X591" s="444"/>
      <c r="Y591" s="430"/>
      <c r="Z591" s="430"/>
      <c r="AA591" s="430"/>
      <c r="AB591" s="444"/>
      <c r="AC591" s="444"/>
      <c r="AD591" s="430"/>
      <c r="AE591" s="430"/>
      <c r="AF591" s="430"/>
      <c r="AG591" s="444"/>
      <c r="AH591" s="444"/>
      <c r="AI591" s="430"/>
      <c r="AJ591" s="430"/>
      <c r="AK591" s="430"/>
      <c r="AL591" s="476"/>
      <c r="AM591" s="430"/>
      <c r="AN591" s="430"/>
      <c r="AO591" s="430"/>
      <c r="AP591" s="430"/>
      <c r="AQ591" s="430"/>
      <c r="AR591" s="430"/>
      <c r="AS591" s="430"/>
      <c r="AT591" s="430"/>
      <c r="AU591" s="430"/>
      <c r="AV591" s="430"/>
      <c r="AW591" s="430"/>
      <c r="AX591" s="430"/>
    </row>
    <row r="592">
      <c r="B592" s="471"/>
      <c r="E592" s="471"/>
      <c r="H592" s="471"/>
      <c r="K592" s="471"/>
      <c r="M592" s="454"/>
      <c r="N592" s="424"/>
      <c r="O592" s="424"/>
      <c r="P592" s="430"/>
      <c r="Q592" s="444"/>
      <c r="R592" s="424"/>
      <c r="S592" s="430"/>
      <c r="T592" s="444"/>
      <c r="U592" s="430"/>
      <c r="V592" s="430"/>
      <c r="W592" s="444"/>
      <c r="X592" s="444"/>
      <c r="Y592" s="430"/>
      <c r="Z592" s="430"/>
      <c r="AA592" s="430"/>
      <c r="AB592" s="444"/>
      <c r="AC592" s="444"/>
      <c r="AD592" s="430"/>
      <c r="AE592" s="430"/>
      <c r="AF592" s="430"/>
      <c r="AG592" s="444"/>
      <c r="AH592" s="444"/>
      <c r="AI592" s="430"/>
      <c r="AJ592" s="430"/>
      <c r="AK592" s="430"/>
      <c r="AL592" s="476"/>
      <c r="AM592" s="430"/>
      <c r="AN592" s="430"/>
      <c r="AO592" s="430"/>
      <c r="AP592" s="430"/>
      <c r="AQ592" s="430"/>
      <c r="AR592" s="430"/>
      <c r="AS592" s="430"/>
      <c r="AT592" s="430"/>
      <c r="AU592" s="430"/>
      <c r="AV592" s="430"/>
      <c r="AW592" s="430"/>
      <c r="AX592" s="430"/>
    </row>
    <row r="593">
      <c r="B593" s="471"/>
      <c r="E593" s="471"/>
      <c r="H593" s="471"/>
      <c r="K593" s="471"/>
      <c r="M593" s="454"/>
      <c r="N593" s="424"/>
      <c r="O593" s="424"/>
      <c r="P593" s="430"/>
      <c r="Q593" s="444"/>
      <c r="R593" s="424"/>
      <c r="S593" s="430"/>
      <c r="T593" s="444"/>
      <c r="U593" s="430"/>
      <c r="V593" s="430"/>
      <c r="W593" s="444"/>
      <c r="X593" s="444"/>
      <c r="Y593" s="430"/>
      <c r="Z593" s="430"/>
      <c r="AA593" s="430"/>
      <c r="AB593" s="444"/>
      <c r="AC593" s="444"/>
      <c r="AD593" s="430"/>
      <c r="AE593" s="430"/>
      <c r="AF593" s="430"/>
      <c r="AG593" s="444"/>
      <c r="AH593" s="444"/>
      <c r="AI593" s="430"/>
      <c r="AJ593" s="430"/>
      <c r="AK593" s="430"/>
      <c r="AL593" s="476"/>
      <c r="AM593" s="430"/>
      <c r="AN593" s="430"/>
      <c r="AO593" s="430"/>
      <c r="AP593" s="430"/>
      <c r="AQ593" s="430"/>
      <c r="AR593" s="430"/>
      <c r="AS593" s="430"/>
      <c r="AT593" s="430"/>
      <c r="AU593" s="430"/>
      <c r="AV593" s="430"/>
      <c r="AW593" s="430"/>
      <c r="AX593" s="430"/>
    </row>
    <row r="594">
      <c r="B594" s="471"/>
      <c r="E594" s="471"/>
      <c r="H594" s="471"/>
      <c r="K594" s="471"/>
      <c r="M594" s="454"/>
      <c r="N594" s="424"/>
      <c r="O594" s="424"/>
      <c r="P594" s="430"/>
      <c r="Q594" s="444"/>
      <c r="R594" s="424"/>
      <c r="S594" s="430"/>
      <c r="T594" s="444"/>
      <c r="U594" s="430"/>
      <c r="V594" s="430"/>
      <c r="W594" s="444"/>
      <c r="X594" s="444"/>
      <c r="Y594" s="430"/>
      <c r="Z594" s="430"/>
      <c r="AA594" s="430"/>
      <c r="AB594" s="444"/>
      <c r="AC594" s="444"/>
      <c r="AD594" s="430"/>
      <c r="AE594" s="430"/>
      <c r="AF594" s="430"/>
      <c r="AG594" s="444"/>
      <c r="AH594" s="444"/>
      <c r="AI594" s="430"/>
      <c r="AJ594" s="430"/>
      <c r="AK594" s="430"/>
      <c r="AL594" s="476"/>
      <c r="AM594" s="430"/>
      <c r="AN594" s="430"/>
      <c r="AO594" s="430"/>
      <c r="AP594" s="430"/>
      <c r="AQ594" s="430"/>
      <c r="AR594" s="430"/>
      <c r="AS594" s="430"/>
      <c r="AT594" s="430"/>
      <c r="AU594" s="430"/>
      <c r="AV594" s="430"/>
      <c r="AW594" s="430"/>
      <c r="AX594" s="430"/>
    </row>
    <row r="595">
      <c r="B595" s="471"/>
      <c r="E595" s="471"/>
      <c r="H595" s="471"/>
      <c r="K595" s="471"/>
      <c r="M595" s="454"/>
      <c r="N595" s="424"/>
      <c r="O595" s="424"/>
      <c r="P595" s="430"/>
      <c r="Q595" s="444"/>
      <c r="R595" s="424"/>
      <c r="S595" s="430"/>
      <c r="T595" s="444"/>
      <c r="U595" s="430"/>
      <c r="V595" s="430"/>
      <c r="W595" s="444"/>
      <c r="X595" s="444"/>
      <c r="Y595" s="430"/>
      <c r="Z595" s="430"/>
      <c r="AA595" s="430"/>
      <c r="AB595" s="444"/>
      <c r="AC595" s="444"/>
      <c r="AD595" s="430"/>
      <c r="AE595" s="430"/>
      <c r="AF595" s="430"/>
      <c r="AG595" s="444"/>
      <c r="AH595" s="444"/>
      <c r="AI595" s="430"/>
      <c r="AJ595" s="430"/>
      <c r="AK595" s="430"/>
      <c r="AL595" s="476"/>
      <c r="AM595" s="430"/>
      <c r="AN595" s="430"/>
      <c r="AO595" s="430"/>
      <c r="AP595" s="430"/>
      <c r="AQ595" s="430"/>
      <c r="AR595" s="430"/>
      <c r="AS595" s="430"/>
      <c r="AT595" s="430"/>
      <c r="AU595" s="430"/>
      <c r="AV595" s="430"/>
      <c r="AW595" s="430"/>
      <c r="AX595" s="430"/>
    </row>
    <row r="596">
      <c r="B596" s="471"/>
      <c r="E596" s="471"/>
      <c r="H596" s="471"/>
      <c r="K596" s="471"/>
      <c r="M596" s="454"/>
      <c r="N596" s="424"/>
      <c r="O596" s="424"/>
      <c r="P596" s="430"/>
      <c r="Q596" s="444"/>
      <c r="R596" s="424"/>
      <c r="S596" s="430"/>
      <c r="T596" s="444"/>
      <c r="U596" s="430"/>
      <c r="V596" s="430"/>
      <c r="W596" s="444"/>
      <c r="X596" s="444"/>
      <c r="Y596" s="430"/>
      <c r="Z596" s="430"/>
      <c r="AA596" s="430"/>
      <c r="AB596" s="444"/>
      <c r="AC596" s="444"/>
      <c r="AD596" s="430"/>
      <c r="AE596" s="430"/>
      <c r="AF596" s="430"/>
      <c r="AG596" s="444"/>
      <c r="AH596" s="444"/>
      <c r="AI596" s="430"/>
      <c r="AJ596" s="430"/>
      <c r="AK596" s="430"/>
      <c r="AL596" s="476"/>
      <c r="AM596" s="430"/>
      <c r="AN596" s="430"/>
      <c r="AO596" s="430"/>
      <c r="AP596" s="430"/>
      <c r="AQ596" s="430"/>
      <c r="AR596" s="430"/>
      <c r="AS596" s="430"/>
      <c r="AT596" s="430"/>
      <c r="AU596" s="430"/>
      <c r="AV596" s="430"/>
      <c r="AW596" s="430"/>
      <c r="AX596" s="430"/>
    </row>
    <row r="597">
      <c r="B597" s="471"/>
      <c r="E597" s="471"/>
      <c r="H597" s="471"/>
      <c r="K597" s="471"/>
      <c r="M597" s="454"/>
      <c r="N597" s="424"/>
      <c r="O597" s="424"/>
      <c r="P597" s="430"/>
      <c r="Q597" s="444"/>
      <c r="R597" s="424"/>
      <c r="S597" s="430"/>
      <c r="T597" s="444"/>
      <c r="U597" s="430"/>
      <c r="V597" s="430"/>
      <c r="W597" s="444"/>
      <c r="X597" s="444"/>
      <c r="Y597" s="430"/>
      <c r="Z597" s="430"/>
      <c r="AA597" s="430"/>
      <c r="AB597" s="444"/>
      <c r="AC597" s="444"/>
      <c r="AD597" s="430"/>
      <c r="AE597" s="430"/>
      <c r="AF597" s="430"/>
      <c r="AG597" s="444"/>
      <c r="AH597" s="444"/>
      <c r="AI597" s="430"/>
      <c r="AJ597" s="430"/>
      <c r="AK597" s="430"/>
      <c r="AL597" s="476"/>
      <c r="AM597" s="430"/>
      <c r="AN597" s="430"/>
      <c r="AO597" s="430"/>
      <c r="AP597" s="430"/>
      <c r="AQ597" s="430"/>
      <c r="AR597" s="430"/>
      <c r="AS597" s="430"/>
      <c r="AT597" s="430"/>
      <c r="AU597" s="430"/>
      <c r="AV597" s="430"/>
      <c r="AW597" s="430"/>
      <c r="AX597" s="430"/>
    </row>
    <row r="598">
      <c r="B598" s="471"/>
      <c r="E598" s="471"/>
      <c r="H598" s="471"/>
      <c r="K598" s="471"/>
      <c r="M598" s="454"/>
      <c r="N598" s="424"/>
      <c r="O598" s="424"/>
      <c r="P598" s="430"/>
      <c r="Q598" s="444"/>
      <c r="R598" s="424"/>
      <c r="S598" s="430"/>
      <c r="T598" s="444"/>
      <c r="U598" s="430"/>
      <c r="V598" s="430"/>
      <c r="W598" s="444"/>
      <c r="X598" s="444"/>
      <c r="Y598" s="430"/>
      <c r="Z598" s="430"/>
      <c r="AA598" s="430"/>
      <c r="AB598" s="444"/>
      <c r="AC598" s="444"/>
      <c r="AD598" s="430"/>
      <c r="AE598" s="430"/>
      <c r="AF598" s="430"/>
      <c r="AG598" s="444"/>
      <c r="AH598" s="444"/>
      <c r="AI598" s="430"/>
      <c r="AJ598" s="430"/>
      <c r="AK598" s="430"/>
      <c r="AL598" s="476"/>
      <c r="AM598" s="430"/>
      <c r="AN598" s="430"/>
      <c r="AO598" s="430"/>
      <c r="AP598" s="430"/>
      <c r="AQ598" s="430"/>
      <c r="AR598" s="430"/>
      <c r="AS598" s="430"/>
      <c r="AT598" s="430"/>
      <c r="AU598" s="430"/>
      <c r="AV598" s="430"/>
      <c r="AW598" s="430"/>
      <c r="AX598" s="430"/>
    </row>
    <row r="599">
      <c r="B599" s="471"/>
      <c r="E599" s="471"/>
      <c r="H599" s="471"/>
      <c r="K599" s="471"/>
      <c r="M599" s="454"/>
      <c r="N599" s="424"/>
      <c r="O599" s="424"/>
      <c r="P599" s="430"/>
      <c r="Q599" s="444"/>
      <c r="R599" s="424"/>
      <c r="S599" s="430"/>
      <c r="T599" s="444"/>
      <c r="U599" s="430"/>
      <c r="V599" s="430"/>
      <c r="W599" s="444"/>
      <c r="X599" s="444"/>
      <c r="Y599" s="430"/>
      <c r="Z599" s="430"/>
      <c r="AA599" s="430"/>
      <c r="AB599" s="444"/>
      <c r="AC599" s="444"/>
      <c r="AD599" s="430"/>
      <c r="AE599" s="430"/>
      <c r="AF599" s="430"/>
      <c r="AG599" s="444"/>
      <c r="AH599" s="444"/>
      <c r="AI599" s="430"/>
      <c r="AJ599" s="430"/>
      <c r="AK599" s="430"/>
      <c r="AL599" s="476"/>
      <c r="AM599" s="430"/>
      <c r="AN599" s="430"/>
      <c r="AO599" s="430"/>
      <c r="AP599" s="430"/>
      <c r="AQ599" s="430"/>
      <c r="AR599" s="430"/>
      <c r="AS599" s="430"/>
      <c r="AT599" s="430"/>
      <c r="AU599" s="430"/>
      <c r="AV599" s="430"/>
      <c r="AW599" s="430"/>
      <c r="AX599" s="430"/>
    </row>
    <row r="600">
      <c r="B600" s="471"/>
      <c r="E600" s="471"/>
      <c r="H600" s="471"/>
      <c r="K600" s="471"/>
      <c r="M600" s="454"/>
      <c r="N600" s="424"/>
      <c r="O600" s="424"/>
      <c r="P600" s="430"/>
      <c r="Q600" s="444"/>
      <c r="R600" s="424"/>
      <c r="S600" s="430"/>
      <c r="T600" s="444"/>
      <c r="U600" s="430"/>
      <c r="V600" s="430"/>
      <c r="W600" s="444"/>
      <c r="X600" s="444"/>
      <c r="Y600" s="430"/>
      <c r="Z600" s="430"/>
      <c r="AA600" s="430"/>
      <c r="AB600" s="444"/>
      <c r="AC600" s="444"/>
      <c r="AD600" s="430"/>
      <c r="AE600" s="430"/>
      <c r="AF600" s="430"/>
      <c r="AG600" s="444"/>
      <c r="AH600" s="444"/>
      <c r="AI600" s="430"/>
      <c r="AJ600" s="430"/>
      <c r="AK600" s="430"/>
      <c r="AL600" s="476"/>
      <c r="AM600" s="430"/>
      <c r="AN600" s="430"/>
      <c r="AO600" s="430"/>
      <c r="AP600" s="430"/>
      <c r="AQ600" s="430"/>
      <c r="AR600" s="430"/>
      <c r="AS600" s="430"/>
      <c r="AT600" s="430"/>
      <c r="AU600" s="430"/>
      <c r="AV600" s="430"/>
      <c r="AW600" s="430"/>
      <c r="AX600" s="430"/>
    </row>
    <row r="601">
      <c r="B601" s="471"/>
      <c r="E601" s="471"/>
      <c r="H601" s="471"/>
      <c r="K601" s="471"/>
      <c r="M601" s="454"/>
      <c r="N601" s="424"/>
      <c r="O601" s="424"/>
      <c r="P601" s="430"/>
      <c r="Q601" s="444"/>
      <c r="R601" s="424"/>
      <c r="S601" s="430"/>
      <c r="T601" s="444"/>
      <c r="U601" s="430"/>
      <c r="V601" s="430"/>
      <c r="W601" s="444"/>
      <c r="X601" s="444"/>
      <c r="Y601" s="430"/>
      <c r="Z601" s="430"/>
      <c r="AA601" s="430"/>
      <c r="AB601" s="444"/>
      <c r="AC601" s="444"/>
      <c r="AD601" s="430"/>
      <c r="AE601" s="430"/>
      <c r="AF601" s="430"/>
      <c r="AG601" s="444"/>
      <c r="AH601" s="444"/>
      <c r="AI601" s="430"/>
      <c r="AJ601" s="430"/>
      <c r="AK601" s="430"/>
      <c r="AL601" s="476"/>
      <c r="AM601" s="430"/>
      <c r="AN601" s="430"/>
      <c r="AO601" s="430"/>
      <c r="AP601" s="430"/>
      <c r="AQ601" s="430"/>
      <c r="AR601" s="430"/>
      <c r="AS601" s="430"/>
      <c r="AT601" s="430"/>
      <c r="AU601" s="430"/>
      <c r="AV601" s="430"/>
      <c r="AW601" s="430"/>
      <c r="AX601" s="430"/>
    </row>
    <row r="602">
      <c r="B602" s="471"/>
      <c r="E602" s="471"/>
      <c r="H602" s="471"/>
      <c r="K602" s="471"/>
      <c r="M602" s="454"/>
      <c r="N602" s="424"/>
      <c r="O602" s="424"/>
      <c r="P602" s="430"/>
      <c r="Q602" s="444"/>
      <c r="R602" s="424"/>
      <c r="S602" s="430"/>
      <c r="T602" s="444"/>
      <c r="U602" s="430"/>
      <c r="V602" s="430"/>
      <c r="W602" s="444"/>
      <c r="X602" s="444"/>
      <c r="Y602" s="430"/>
      <c r="Z602" s="430"/>
      <c r="AA602" s="430"/>
      <c r="AB602" s="444"/>
      <c r="AC602" s="444"/>
      <c r="AD602" s="430"/>
      <c r="AE602" s="430"/>
      <c r="AF602" s="430"/>
      <c r="AG602" s="444"/>
      <c r="AH602" s="444"/>
      <c r="AI602" s="430"/>
      <c r="AJ602" s="430"/>
      <c r="AK602" s="430"/>
      <c r="AL602" s="476"/>
      <c r="AM602" s="430"/>
      <c r="AN602" s="430"/>
      <c r="AO602" s="430"/>
      <c r="AP602" s="430"/>
      <c r="AQ602" s="430"/>
      <c r="AR602" s="430"/>
      <c r="AS602" s="430"/>
      <c r="AT602" s="430"/>
      <c r="AU602" s="430"/>
      <c r="AV602" s="430"/>
      <c r="AW602" s="430"/>
      <c r="AX602" s="430"/>
    </row>
    <row r="603">
      <c r="B603" s="471"/>
      <c r="E603" s="471"/>
      <c r="H603" s="471"/>
      <c r="K603" s="471"/>
      <c r="M603" s="454"/>
      <c r="N603" s="424"/>
      <c r="O603" s="424"/>
      <c r="P603" s="430"/>
      <c r="Q603" s="444"/>
      <c r="R603" s="424"/>
      <c r="S603" s="430"/>
      <c r="T603" s="444"/>
      <c r="U603" s="430"/>
      <c r="V603" s="430"/>
      <c r="W603" s="444"/>
      <c r="X603" s="444"/>
      <c r="Y603" s="430"/>
      <c r="Z603" s="430"/>
      <c r="AA603" s="430"/>
      <c r="AB603" s="444"/>
      <c r="AC603" s="444"/>
      <c r="AD603" s="430"/>
      <c r="AE603" s="430"/>
      <c r="AF603" s="430"/>
      <c r="AG603" s="444"/>
      <c r="AH603" s="444"/>
      <c r="AI603" s="430"/>
      <c r="AJ603" s="430"/>
      <c r="AK603" s="430"/>
      <c r="AL603" s="476"/>
      <c r="AM603" s="430"/>
      <c r="AN603" s="430"/>
      <c r="AO603" s="430"/>
      <c r="AP603" s="430"/>
      <c r="AQ603" s="430"/>
      <c r="AR603" s="430"/>
      <c r="AS603" s="430"/>
      <c r="AT603" s="430"/>
      <c r="AU603" s="430"/>
      <c r="AV603" s="430"/>
      <c r="AW603" s="430"/>
      <c r="AX603" s="430"/>
    </row>
    <row r="604">
      <c r="B604" s="471"/>
      <c r="E604" s="471"/>
      <c r="H604" s="471"/>
      <c r="K604" s="471"/>
      <c r="M604" s="454"/>
      <c r="N604" s="424"/>
      <c r="O604" s="424"/>
      <c r="P604" s="430"/>
      <c r="Q604" s="444"/>
      <c r="R604" s="424"/>
      <c r="S604" s="430"/>
      <c r="T604" s="444"/>
      <c r="U604" s="430"/>
      <c r="V604" s="430"/>
      <c r="W604" s="444"/>
      <c r="X604" s="444"/>
      <c r="Y604" s="430"/>
      <c r="Z604" s="430"/>
      <c r="AA604" s="430"/>
      <c r="AB604" s="444"/>
      <c r="AC604" s="444"/>
      <c r="AD604" s="430"/>
      <c r="AE604" s="430"/>
      <c r="AF604" s="430"/>
      <c r="AG604" s="444"/>
      <c r="AH604" s="444"/>
      <c r="AI604" s="430"/>
      <c r="AJ604" s="430"/>
      <c r="AK604" s="430"/>
      <c r="AL604" s="476"/>
      <c r="AM604" s="430"/>
      <c r="AN604" s="430"/>
      <c r="AO604" s="430"/>
      <c r="AP604" s="430"/>
      <c r="AQ604" s="430"/>
      <c r="AR604" s="430"/>
      <c r="AS604" s="430"/>
      <c r="AT604" s="430"/>
      <c r="AU604" s="430"/>
      <c r="AV604" s="430"/>
      <c r="AW604" s="430"/>
      <c r="AX604" s="430"/>
    </row>
    <row r="605">
      <c r="B605" s="471"/>
      <c r="E605" s="471"/>
      <c r="H605" s="471"/>
      <c r="K605" s="471"/>
      <c r="M605" s="454"/>
      <c r="N605" s="424"/>
      <c r="O605" s="424"/>
      <c r="P605" s="430"/>
      <c r="Q605" s="444"/>
      <c r="R605" s="424"/>
      <c r="S605" s="430"/>
      <c r="T605" s="444"/>
      <c r="U605" s="430"/>
      <c r="V605" s="430"/>
      <c r="W605" s="444"/>
      <c r="X605" s="444"/>
      <c r="Y605" s="430"/>
      <c r="Z605" s="430"/>
      <c r="AA605" s="430"/>
      <c r="AB605" s="444"/>
      <c r="AC605" s="444"/>
      <c r="AD605" s="430"/>
      <c r="AE605" s="430"/>
      <c r="AF605" s="430"/>
      <c r="AG605" s="444"/>
      <c r="AH605" s="444"/>
      <c r="AI605" s="430"/>
      <c r="AJ605" s="430"/>
      <c r="AK605" s="430"/>
      <c r="AL605" s="476"/>
      <c r="AM605" s="430"/>
      <c r="AN605" s="430"/>
      <c r="AO605" s="430"/>
      <c r="AP605" s="430"/>
      <c r="AQ605" s="430"/>
      <c r="AR605" s="430"/>
      <c r="AS605" s="430"/>
      <c r="AT605" s="430"/>
      <c r="AU605" s="430"/>
      <c r="AV605" s="430"/>
      <c r="AW605" s="430"/>
      <c r="AX605" s="430"/>
    </row>
    <row r="606">
      <c r="B606" s="471"/>
      <c r="E606" s="471"/>
      <c r="H606" s="471"/>
      <c r="K606" s="471"/>
      <c r="M606" s="454"/>
      <c r="N606" s="424"/>
      <c r="O606" s="424"/>
      <c r="P606" s="430"/>
      <c r="Q606" s="444"/>
      <c r="R606" s="424"/>
      <c r="S606" s="430"/>
      <c r="T606" s="444"/>
      <c r="U606" s="430"/>
      <c r="V606" s="430"/>
      <c r="W606" s="444"/>
      <c r="X606" s="444"/>
      <c r="Y606" s="430"/>
      <c r="Z606" s="430"/>
      <c r="AA606" s="430"/>
      <c r="AB606" s="444"/>
      <c r="AC606" s="444"/>
      <c r="AD606" s="430"/>
      <c r="AE606" s="430"/>
      <c r="AF606" s="430"/>
      <c r="AG606" s="444"/>
      <c r="AH606" s="444"/>
      <c r="AI606" s="430"/>
      <c r="AJ606" s="430"/>
      <c r="AK606" s="430"/>
      <c r="AL606" s="476"/>
      <c r="AM606" s="430"/>
      <c r="AN606" s="430"/>
      <c r="AO606" s="430"/>
      <c r="AP606" s="430"/>
      <c r="AQ606" s="430"/>
      <c r="AR606" s="430"/>
      <c r="AS606" s="430"/>
      <c r="AT606" s="430"/>
      <c r="AU606" s="430"/>
      <c r="AV606" s="430"/>
      <c r="AW606" s="430"/>
      <c r="AX606" s="430"/>
    </row>
    <row r="607">
      <c r="B607" s="471"/>
      <c r="E607" s="471"/>
      <c r="H607" s="471"/>
      <c r="K607" s="471"/>
      <c r="M607" s="454"/>
      <c r="N607" s="424"/>
      <c r="O607" s="424"/>
      <c r="P607" s="430"/>
      <c r="Q607" s="444"/>
      <c r="R607" s="424"/>
      <c r="S607" s="430"/>
      <c r="T607" s="444"/>
      <c r="U607" s="430"/>
      <c r="V607" s="430"/>
      <c r="W607" s="444"/>
      <c r="X607" s="444"/>
      <c r="Y607" s="430"/>
      <c r="Z607" s="430"/>
      <c r="AA607" s="430"/>
      <c r="AB607" s="444"/>
      <c r="AC607" s="444"/>
      <c r="AD607" s="430"/>
      <c r="AE607" s="430"/>
      <c r="AF607" s="430"/>
      <c r="AG607" s="444"/>
      <c r="AH607" s="444"/>
      <c r="AI607" s="430"/>
      <c r="AJ607" s="430"/>
      <c r="AK607" s="430"/>
      <c r="AL607" s="476"/>
      <c r="AM607" s="430"/>
      <c r="AN607" s="430"/>
      <c r="AO607" s="430"/>
      <c r="AP607" s="430"/>
      <c r="AQ607" s="430"/>
      <c r="AR607" s="430"/>
      <c r="AS607" s="430"/>
      <c r="AT607" s="430"/>
      <c r="AU607" s="430"/>
      <c r="AV607" s="430"/>
      <c r="AW607" s="430"/>
      <c r="AX607" s="430"/>
    </row>
    <row r="608">
      <c r="B608" s="471"/>
      <c r="E608" s="471"/>
      <c r="H608" s="471"/>
      <c r="K608" s="471"/>
      <c r="M608" s="454"/>
      <c r="N608" s="424"/>
      <c r="O608" s="424"/>
      <c r="P608" s="430"/>
      <c r="Q608" s="444"/>
      <c r="R608" s="424"/>
      <c r="S608" s="430"/>
      <c r="T608" s="444"/>
      <c r="U608" s="430"/>
      <c r="V608" s="430"/>
      <c r="W608" s="444"/>
      <c r="X608" s="444"/>
      <c r="Y608" s="430"/>
      <c r="Z608" s="430"/>
      <c r="AA608" s="430"/>
      <c r="AB608" s="444"/>
      <c r="AC608" s="444"/>
      <c r="AD608" s="430"/>
      <c r="AE608" s="430"/>
      <c r="AF608" s="430"/>
      <c r="AG608" s="444"/>
      <c r="AH608" s="444"/>
      <c r="AI608" s="430"/>
      <c r="AJ608" s="430"/>
      <c r="AK608" s="430"/>
      <c r="AL608" s="476"/>
      <c r="AM608" s="430"/>
      <c r="AN608" s="430"/>
      <c r="AO608" s="430"/>
      <c r="AP608" s="430"/>
      <c r="AQ608" s="430"/>
      <c r="AR608" s="430"/>
      <c r="AS608" s="430"/>
      <c r="AT608" s="430"/>
      <c r="AU608" s="430"/>
      <c r="AV608" s="430"/>
      <c r="AW608" s="430"/>
      <c r="AX608" s="430"/>
    </row>
    <row r="609">
      <c r="B609" s="471"/>
      <c r="E609" s="471"/>
      <c r="H609" s="471"/>
      <c r="K609" s="471"/>
      <c r="M609" s="454"/>
      <c r="N609" s="424"/>
      <c r="O609" s="424"/>
      <c r="P609" s="430"/>
      <c r="Q609" s="444"/>
      <c r="R609" s="424"/>
      <c r="S609" s="430"/>
      <c r="T609" s="444"/>
      <c r="U609" s="430"/>
      <c r="V609" s="430"/>
      <c r="W609" s="444"/>
      <c r="X609" s="444"/>
      <c r="Y609" s="430"/>
      <c r="Z609" s="430"/>
      <c r="AA609" s="430"/>
      <c r="AB609" s="444"/>
      <c r="AC609" s="444"/>
      <c r="AD609" s="430"/>
      <c r="AE609" s="430"/>
      <c r="AF609" s="430"/>
      <c r="AG609" s="444"/>
      <c r="AH609" s="444"/>
      <c r="AI609" s="430"/>
      <c r="AJ609" s="430"/>
      <c r="AK609" s="430"/>
      <c r="AL609" s="476"/>
      <c r="AM609" s="430"/>
      <c r="AN609" s="430"/>
      <c r="AO609" s="430"/>
      <c r="AP609" s="430"/>
      <c r="AQ609" s="430"/>
      <c r="AR609" s="430"/>
      <c r="AS609" s="430"/>
      <c r="AT609" s="430"/>
      <c r="AU609" s="430"/>
      <c r="AV609" s="430"/>
      <c r="AW609" s="430"/>
      <c r="AX609" s="430"/>
    </row>
    <row r="610">
      <c r="B610" s="471"/>
      <c r="E610" s="471"/>
      <c r="H610" s="471"/>
      <c r="K610" s="471"/>
      <c r="M610" s="454"/>
      <c r="N610" s="424"/>
      <c r="O610" s="424"/>
      <c r="P610" s="430"/>
      <c r="Q610" s="444"/>
      <c r="R610" s="424"/>
      <c r="S610" s="430"/>
      <c r="T610" s="444"/>
      <c r="U610" s="430"/>
      <c r="V610" s="430"/>
      <c r="W610" s="444"/>
      <c r="X610" s="444"/>
      <c r="Y610" s="430"/>
      <c r="Z610" s="430"/>
      <c r="AA610" s="430"/>
      <c r="AB610" s="444"/>
      <c r="AC610" s="444"/>
      <c r="AD610" s="430"/>
      <c r="AE610" s="430"/>
      <c r="AF610" s="430"/>
      <c r="AG610" s="444"/>
      <c r="AH610" s="444"/>
      <c r="AI610" s="430"/>
      <c r="AJ610" s="430"/>
      <c r="AK610" s="430"/>
      <c r="AL610" s="476"/>
      <c r="AM610" s="430"/>
      <c r="AN610" s="430"/>
      <c r="AO610" s="430"/>
      <c r="AP610" s="430"/>
      <c r="AQ610" s="430"/>
      <c r="AR610" s="430"/>
      <c r="AS610" s="430"/>
      <c r="AT610" s="430"/>
      <c r="AU610" s="430"/>
      <c r="AV610" s="430"/>
      <c r="AW610" s="430"/>
      <c r="AX610" s="430"/>
    </row>
    <row r="611">
      <c r="B611" s="471"/>
      <c r="E611" s="471"/>
      <c r="H611" s="471"/>
      <c r="K611" s="471"/>
      <c r="M611" s="454"/>
      <c r="N611" s="424"/>
      <c r="O611" s="424"/>
      <c r="P611" s="430"/>
      <c r="Q611" s="444"/>
      <c r="R611" s="424"/>
      <c r="S611" s="430"/>
      <c r="T611" s="444"/>
      <c r="U611" s="430"/>
      <c r="V611" s="430"/>
      <c r="W611" s="444"/>
      <c r="X611" s="444"/>
      <c r="Y611" s="430"/>
      <c r="Z611" s="430"/>
      <c r="AA611" s="430"/>
      <c r="AB611" s="444"/>
      <c r="AC611" s="444"/>
      <c r="AD611" s="430"/>
      <c r="AE611" s="430"/>
      <c r="AF611" s="430"/>
      <c r="AG611" s="444"/>
      <c r="AH611" s="444"/>
      <c r="AI611" s="430"/>
      <c r="AJ611" s="430"/>
      <c r="AK611" s="430"/>
      <c r="AL611" s="476"/>
      <c r="AM611" s="430"/>
      <c r="AN611" s="430"/>
      <c r="AO611" s="430"/>
      <c r="AP611" s="430"/>
      <c r="AQ611" s="430"/>
      <c r="AR611" s="430"/>
      <c r="AS611" s="430"/>
      <c r="AT611" s="430"/>
      <c r="AU611" s="430"/>
      <c r="AV611" s="430"/>
      <c r="AW611" s="430"/>
      <c r="AX611" s="430"/>
    </row>
    <row r="612">
      <c r="B612" s="471"/>
      <c r="E612" s="471"/>
      <c r="H612" s="471"/>
      <c r="K612" s="471"/>
      <c r="M612" s="454"/>
      <c r="N612" s="424"/>
      <c r="O612" s="424"/>
      <c r="P612" s="430"/>
      <c r="Q612" s="444"/>
      <c r="R612" s="424"/>
      <c r="S612" s="430"/>
      <c r="T612" s="444"/>
      <c r="U612" s="430"/>
      <c r="V612" s="430"/>
      <c r="W612" s="444"/>
      <c r="X612" s="444"/>
      <c r="Y612" s="430"/>
      <c r="Z612" s="430"/>
      <c r="AA612" s="430"/>
      <c r="AB612" s="444"/>
      <c r="AC612" s="444"/>
      <c r="AD612" s="430"/>
      <c r="AE612" s="430"/>
      <c r="AF612" s="430"/>
      <c r="AG612" s="444"/>
      <c r="AH612" s="444"/>
      <c r="AI612" s="430"/>
      <c r="AJ612" s="430"/>
      <c r="AK612" s="430"/>
      <c r="AL612" s="476"/>
      <c r="AM612" s="430"/>
      <c r="AN612" s="430"/>
      <c r="AO612" s="430"/>
      <c r="AP612" s="430"/>
      <c r="AQ612" s="430"/>
      <c r="AR612" s="430"/>
      <c r="AS612" s="430"/>
      <c r="AT612" s="430"/>
      <c r="AU612" s="430"/>
      <c r="AV612" s="430"/>
      <c r="AW612" s="430"/>
      <c r="AX612" s="430"/>
    </row>
    <row r="613">
      <c r="B613" s="471"/>
      <c r="E613" s="471"/>
      <c r="H613" s="471"/>
      <c r="K613" s="471"/>
      <c r="M613" s="454"/>
      <c r="N613" s="424"/>
      <c r="O613" s="424"/>
      <c r="P613" s="430"/>
      <c r="Q613" s="444"/>
      <c r="R613" s="424"/>
      <c r="S613" s="430"/>
      <c r="T613" s="444"/>
      <c r="U613" s="430"/>
      <c r="V613" s="430"/>
      <c r="W613" s="444"/>
      <c r="X613" s="444"/>
      <c r="Y613" s="430"/>
      <c r="Z613" s="430"/>
      <c r="AA613" s="430"/>
      <c r="AB613" s="444"/>
      <c r="AC613" s="444"/>
      <c r="AD613" s="430"/>
      <c r="AE613" s="430"/>
      <c r="AF613" s="430"/>
      <c r="AG613" s="444"/>
      <c r="AH613" s="444"/>
      <c r="AI613" s="430"/>
      <c r="AJ613" s="430"/>
      <c r="AK613" s="430"/>
      <c r="AL613" s="476"/>
      <c r="AM613" s="430"/>
      <c r="AN613" s="430"/>
      <c r="AO613" s="430"/>
      <c r="AP613" s="430"/>
      <c r="AQ613" s="430"/>
      <c r="AR613" s="430"/>
      <c r="AS613" s="430"/>
      <c r="AT613" s="430"/>
      <c r="AU613" s="430"/>
      <c r="AV613" s="430"/>
      <c r="AW613" s="430"/>
      <c r="AX613" s="430"/>
    </row>
    <row r="614">
      <c r="B614" s="471"/>
      <c r="E614" s="471"/>
      <c r="H614" s="471"/>
      <c r="K614" s="471"/>
      <c r="M614" s="454"/>
      <c r="N614" s="424"/>
      <c r="O614" s="424"/>
      <c r="P614" s="430"/>
      <c r="Q614" s="444"/>
      <c r="R614" s="424"/>
      <c r="S614" s="430"/>
      <c r="T614" s="444"/>
      <c r="U614" s="430"/>
      <c r="V614" s="430"/>
      <c r="W614" s="444"/>
      <c r="X614" s="444"/>
      <c r="Y614" s="430"/>
      <c r="Z614" s="430"/>
      <c r="AA614" s="430"/>
      <c r="AB614" s="444"/>
      <c r="AC614" s="444"/>
      <c r="AD614" s="430"/>
      <c r="AE614" s="430"/>
      <c r="AF614" s="430"/>
      <c r="AG614" s="444"/>
      <c r="AH614" s="444"/>
      <c r="AI614" s="430"/>
      <c r="AJ614" s="430"/>
      <c r="AK614" s="430"/>
      <c r="AL614" s="476"/>
      <c r="AM614" s="430"/>
      <c r="AN614" s="430"/>
      <c r="AO614" s="430"/>
      <c r="AP614" s="430"/>
      <c r="AQ614" s="430"/>
      <c r="AR614" s="430"/>
      <c r="AS614" s="430"/>
      <c r="AT614" s="430"/>
      <c r="AU614" s="430"/>
      <c r="AV614" s="430"/>
      <c r="AW614" s="430"/>
      <c r="AX614" s="430"/>
    </row>
    <row r="615">
      <c r="B615" s="471"/>
      <c r="E615" s="471"/>
      <c r="H615" s="471"/>
      <c r="K615" s="471"/>
      <c r="M615" s="454"/>
      <c r="N615" s="424"/>
      <c r="O615" s="424"/>
      <c r="P615" s="430"/>
      <c r="Q615" s="444"/>
      <c r="R615" s="424"/>
      <c r="S615" s="430"/>
      <c r="T615" s="444"/>
      <c r="U615" s="430"/>
      <c r="V615" s="430"/>
      <c r="W615" s="444"/>
      <c r="X615" s="444"/>
      <c r="Y615" s="430"/>
      <c r="Z615" s="430"/>
      <c r="AA615" s="430"/>
      <c r="AB615" s="444"/>
      <c r="AC615" s="444"/>
      <c r="AD615" s="430"/>
      <c r="AE615" s="430"/>
      <c r="AF615" s="430"/>
      <c r="AG615" s="444"/>
      <c r="AH615" s="444"/>
      <c r="AI615" s="430"/>
      <c r="AJ615" s="430"/>
      <c r="AK615" s="430"/>
      <c r="AL615" s="476"/>
      <c r="AM615" s="430"/>
      <c r="AN615" s="430"/>
      <c r="AO615" s="430"/>
      <c r="AP615" s="430"/>
      <c r="AQ615" s="430"/>
      <c r="AR615" s="430"/>
      <c r="AS615" s="430"/>
      <c r="AT615" s="430"/>
      <c r="AU615" s="430"/>
      <c r="AV615" s="430"/>
      <c r="AW615" s="430"/>
      <c r="AX615" s="430"/>
    </row>
    <row r="616">
      <c r="B616" s="471"/>
      <c r="E616" s="471"/>
      <c r="H616" s="471"/>
      <c r="K616" s="471"/>
      <c r="M616" s="454"/>
      <c r="N616" s="424"/>
      <c r="O616" s="424"/>
      <c r="P616" s="430"/>
      <c r="Q616" s="444"/>
      <c r="R616" s="424"/>
      <c r="S616" s="430"/>
      <c r="T616" s="444"/>
      <c r="U616" s="430"/>
      <c r="V616" s="430"/>
      <c r="W616" s="444"/>
      <c r="X616" s="444"/>
      <c r="Y616" s="430"/>
      <c r="Z616" s="430"/>
      <c r="AA616" s="430"/>
      <c r="AB616" s="444"/>
      <c r="AC616" s="444"/>
      <c r="AD616" s="430"/>
      <c r="AE616" s="430"/>
      <c r="AF616" s="430"/>
      <c r="AG616" s="444"/>
      <c r="AH616" s="444"/>
      <c r="AI616" s="430"/>
      <c r="AJ616" s="430"/>
      <c r="AK616" s="430"/>
      <c r="AL616" s="476"/>
      <c r="AM616" s="430"/>
      <c r="AN616" s="430"/>
      <c r="AO616" s="430"/>
      <c r="AP616" s="430"/>
      <c r="AQ616" s="430"/>
      <c r="AR616" s="430"/>
      <c r="AS616" s="430"/>
      <c r="AT616" s="430"/>
      <c r="AU616" s="430"/>
      <c r="AV616" s="430"/>
      <c r="AW616" s="430"/>
      <c r="AX616" s="430"/>
    </row>
    <row r="617">
      <c r="B617" s="471"/>
      <c r="E617" s="471"/>
      <c r="H617" s="471"/>
      <c r="K617" s="471"/>
      <c r="M617" s="454"/>
      <c r="N617" s="424"/>
      <c r="O617" s="424"/>
      <c r="P617" s="430"/>
      <c r="Q617" s="444"/>
      <c r="R617" s="424"/>
      <c r="S617" s="430"/>
      <c r="T617" s="444"/>
      <c r="U617" s="430"/>
      <c r="V617" s="430"/>
      <c r="W617" s="444"/>
      <c r="X617" s="444"/>
      <c r="Y617" s="430"/>
      <c r="Z617" s="430"/>
      <c r="AA617" s="430"/>
      <c r="AB617" s="444"/>
      <c r="AC617" s="444"/>
      <c r="AD617" s="430"/>
      <c r="AE617" s="430"/>
      <c r="AF617" s="430"/>
      <c r="AG617" s="444"/>
      <c r="AH617" s="444"/>
      <c r="AI617" s="430"/>
      <c r="AJ617" s="430"/>
      <c r="AK617" s="430"/>
      <c r="AL617" s="476"/>
      <c r="AM617" s="430"/>
      <c r="AN617" s="430"/>
      <c r="AO617" s="430"/>
      <c r="AP617" s="430"/>
      <c r="AQ617" s="430"/>
      <c r="AR617" s="430"/>
      <c r="AS617" s="430"/>
      <c r="AT617" s="430"/>
      <c r="AU617" s="430"/>
      <c r="AV617" s="430"/>
      <c r="AW617" s="430"/>
      <c r="AX617" s="430"/>
    </row>
    <row r="618">
      <c r="B618" s="471"/>
      <c r="E618" s="471"/>
      <c r="H618" s="471"/>
      <c r="K618" s="471"/>
      <c r="M618" s="454"/>
      <c r="N618" s="424"/>
      <c r="O618" s="424"/>
      <c r="P618" s="430"/>
      <c r="Q618" s="444"/>
      <c r="R618" s="424"/>
      <c r="S618" s="430"/>
      <c r="T618" s="444"/>
      <c r="U618" s="430"/>
      <c r="V618" s="430"/>
      <c r="W618" s="444"/>
      <c r="X618" s="444"/>
      <c r="Y618" s="430"/>
      <c r="Z618" s="430"/>
      <c r="AA618" s="430"/>
      <c r="AB618" s="444"/>
      <c r="AC618" s="444"/>
      <c r="AD618" s="430"/>
      <c r="AE618" s="430"/>
      <c r="AF618" s="430"/>
      <c r="AG618" s="444"/>
      <c r="AH618" s="444"/>
      <c r="AI618" s="430"/>
      <c r="AJ618" s="430"/>
      <c r="AK618" s="430"/>
      <c r="AL618" s="476"/>
      <c r="AM618" s="430"/>
      <c r="AN618" s="430"/>
      <c r="AO618" s="430"/>
      <c r="AP618" s="430"/>
      <c r="AQ618" s="430"/>
      <c r="AR618" s="430"/>
      <c r="AS618" s="430"/>
      <c r="AT618" s="430"/>
      <c r="AU618" s="430"/>
      <c r="AV618" s="430"/>
      <c r="AW618" s="430"/>
      <c r="AX618" s="430"/>
    </row>
    <row r="619">
      <c r="B619" s="471"/>
      <c r="E619" s="471"/>
      <c r="H619" s="471"/>
      <c r="K619" s="471"/>
      <c r="M619" s="454"/>
      <c r="N619" s="424"/>
      <c r="O619" s="424"/>
      <c r="P619" s="430"/>
      <c r="Q619" s="444"/>
      <c r="R619" s="424"/>
      <c r="S619" s="430"/>
      <c r="T619" s="444"/>
      <c r="U619" s="430"/>
      <c r="V619" s="430"/>
      <c r="W619" s="444"/>
      <c r="X619" s="444"/>
      <c r="Y619" s="430"/>
      <c r="Z619" s="430"/>
      <c r="AA619" s="430"/>
      <c r="AB619" s="444"/>
      <c r="AC619" s="444"/>
      <c r="AD619" s="430"/>
      <c r="AE619" s="430"/>
      <c r="AF619" s="430"/>
      <c r="AG619" s="444"/>
      <c r="AH619" s="444"/>
      <c r="AI619" s="430"/>
      <c r="AJ619" s="430"/>
      <c r="AK619" s="430"/>
      <c r="AL619" s="476"/>
      <c r="AM619" s="430"/>
      <c r="AN619" s="430"/>
      <c r="AO619" s="430"/>
      <c r="AP619" s="430"/>
      <c r="AQ619" s="430"/>
      <c r="AR619" s="430"/>
      <c r="AS619" s="430"/>
      <c r="AT619" s="430"/>
      <c r="AU619" s="430"/>
      <c r="AV619" s="430"/>
      <c r="AW619" s="430"/>
      <c r="AX619" s="430"/>
    </row>
    <row r="620">
      <c r="B620" s="471"/>
      <c r="E620" s="471"/>
      <c r="H620" s="471"/>
      <c r="K620" s="471"/>
      <c r="M620" s="454"/>
      <c r="N620" s="424"/>
      <c r="O620" s="424"/>
      <c r="P620" s="430"/>
      <c r="Q620" s="444"/>
      <c r="R620" s="424"/>
      <c r="S620" s="430"/>
      <c r="T620" s="444"/>
      <c r="U620" s="430"/>
      <c r="V620" s="430"/>
      <c r="W620" s="444"/>
      <c r="X620" s="444"/>
      <c r="Y620" s="430"/>
      <c r="Z620" s="430"/>
      <c r="AA620" s="430"/>
      <c r="AB620" s="444"/>
      <c r="AC620" s="444"/>
      <c r="AD620" s="430"/>
      <c r="AE620" s="430"/>
      <c r="AF620" s="430"/>
      <c r="AG620" s="444"/>
      <c r="AH620" s="444"/>
      <c r="AI620" s="430"/>
      <c r="AJ620" s="430"/>
      <c r="AK620" s="430"/>
      <c r="AL620" s="476"/>
      <c r="AM620" s="430"/>
      <c r="AN620" s="430"/>
      <c r="AO620" s="430"/>
      <c r="AP620" s="430"/>
      <c r="AQ620" s="430"/>
      <c r="AR620" s="430"/>
      <c r="AS620" s="430"/>
      <c r="AT620" s="430"/>
      <c r="AU620" s="430"/>
      <c r="AV620" s="430"/>
      <c r="AW620" s="430"/>
      <c r="AX620" s="430"/>
    </row>
    <row r="621">
      <c r="B621" s="471"/>
      <c r="E621" s="471"/>
      <c r="H621" s="471"/>
      <c r="K621" s="471"/>
      <c r="M621" s="454"/>
      <c r="N621" s="424"/>
      <c r="O621" s="424"/>
      <c r="P621" s="430"/>
      <c r="Q621" s="444"/>
      <c r="R621" s="424"/>
      <c r="S621" s="430"/>
      <c r="T621" s="444"/>
      <c r="U621" s="430"/>
      <c r="V621" s="430"/>
      <c r="W621" s="444"/>
      <c r="X621" s="444"/>
      <c r="Y621" s="430"/>
      <c r="Z621" s="430"/>
      <c r="AA621" s="430"/>
      <c r="AB621" s="444"/>
      <c r="AC621" s="444"/>
      <c r="AD621" s="430"/>
      <c r="AE621" s="430"/>
      <c r="AF621" s="430"/>
      <c r="AG621" s="444"/>
      <c r="AH621" s="444"/>
      <c r="AI621" s="430"/>
      <c r="AJ621" s="430"/>
      <c r="AK621" s="430"/>
      <c r="AL621" s="476"/>
      <c r="AM621" s="430"/>
      <c r="AN621" s="430"/>
      <c r="AO621" s="430"/>
      <c r="AP621" s="430"/>
      <c r="AQ621" s="430"/>
      <c r="AR621" s="430"/>
      <c r="AS621" s="430"/>
      <c r="AT621" s="430"/>
      <c r="AU621" s="430"/>
      <c r="AV621" s="430"/>
      <c r="AW621" s="430"/>
      <c r="AX621" s="430"/>
    </row>
    <row r="622">
      <c r="B622" s="471"/>
      <c r="E622" s="471"/>
      <c r="H622" s="471"/>
      <c r="K622" s="471"/>
      <c r="M622" s="454"/>
      <c r="N622" s="424"/>
      <c r="O622" s="424"/>
      <c r="P622" s="430"/>
      <c r="Q622" s="444"/>
      <c r="R622" s="424"/>
      <c r="S622" s="430"/>
      <c r="T622" s="444"/>
      <c r="U622" s="430"/>
      <c r="V622" s="430"/>
      <c r="W622" s="444"/>
      <c r="X622" s="444"/>
      <c r="Y622" s="430"/>
      <c r="Z622" s="430"/>
      <c r="AA622" s="430"/>
      <c r="AB622" s="444"/>
      <c r="AC622" s="444"/>
      <c r="AD622" s="430"/>
      <c r="AE622" s="430"/>
      <c r="AF622" s="430"/>
      <c r="AG622" s="444"/>
      <c r="AH622" s="444"/>
      <c r="AI622" s="430"/>
      <c r="AJ622" s="430"/>
      <c r="AK622" s="430"/>
      <c r="AL622" s="476"/>
      <c r="AM622" s="430"/>
      <c r="AN622" s="430"/>
      <c r="AO622" s="430"/>
      <c r="AP622" s="430"/>
      <c r="AQ622" s="430"/>
      <c r="AR622" s="430"/>
      <c r="AS622" s="430"/>
      <c r="AT622" s="430"/>
      <c r="AU622" s="430"/>
      <c r="AV622" s="430"/>
      <c r="AW622" s="430"/>
      <c r="AX622" s="430"/>
    </row>
    <row r="623">
      <c r="B623" s="471"/>
      <c r="E623" s="471"/>
      <c r="H623" s="471"/>
      <c r="K623" s="471"/>
      <c r="M623" s="454"/>
      <c r="N623" s="424"/>
      <c r="O623" s="424"/>
      <c r="P623" s="430"/>
      <c r="Q623" s="444"/>
      <c r="R623" s="424"/>
      <c r="S623" s="430"/>
      <c r="T623" s="444"/>
      <c r="U623" s="430"/>
      <c r="V623" s="430"/>
      <c r="W623" s="444"/>
      <c r="X623" s="444"/>
      <c r="Y623" s="430"/>
      <c r="Z623" s="430"/>
      <c r="AA623" s="430"/>
      <c r="AB623" s="444"/>
      <c r="AC623" s="444"/>
      <c r="AD623" s="430"/>
      <c r="AE623" s="430"/>
      <c r="AF623" s="430"/>
      <c r="AG623" s="444"/>
      <c r="AH623" s="444"/>
      <c r="AI623" s="430"/>
      <c r="AJ623" s="430"/>
      <c r="AK623" s="430"/>
      <c r="AL623" s="476"/>
      <c r="AM623" s="430"/>
      <c r="AN623" s="430"/>
      <c r="AO623" s="430"/>
      <c r="AP623" s="430"/>
      <c r="AQ623" s="430"/>
      <c r="AR623" s="430"/>
      <c r="AS623" s="430"/>
      <c r="AT623" s="430"/>
      <c r="AU623" s="430"/>
      <c r="AV623" s="430"/>
      <c r="AW623" s="430"/>
      <c r="AX623" s="430"/>
    </row>
    <row r="624">
      <c r="B624" s="471"/>
      <c r="E624" s="471"/>
      <c r="H624" s="471"/>
      <c r="K624" s="471"/>
      <c r="M624" s="454"/>
      <c r="N624" s="424"/>
      <c r="O624" s="424"/>
      <c r="P624" s="430"/>
      <c r="Q624" s="444"/>
      <c r="R624" s="424"/>
      <c r="S624" s="430"/>
      <c r="T624" s="444"/>
      <c r="U624" s="430"/>
      <c r="V624" s="430"/>
      <c r="W624" s="444"/>
      <c r="X624" s="444"/>
      <c r="Y624" s="430"/>
      <c r="Z624" s="430"/>
      <c r="AA624" s="430"/>
      <c r="AB624" s="444"/>
      <c r="AC624" s="444"/>
      <c r="AD624" s="430"/>
      <c r="AE624" s="430"/>
      <c r="AF624" s="430"/>
      <c r="AG624" s="444"/>
      <c r="AH624" s="444"/>
      <c r="AI624" s="430"/>
      <c r="AJ624" s="430"/>
      <c r="AK624" s="430"/>
      <c r="AL624" s="476"/>
      <c r="AM624" s="430"/>
      <c r="AN624" s="430"/>
      <c r="AO624" s="430"/>
      <c r="AP624" s="430"/>
      <c r="AQ624" s="430"/>
      <c r="AR624" s="430"/>
      <c r="AS624" s="430"/>
      <c r="AT624" s="430"/>
      <c r="AU624" s="430"/>
      <c r="AV624" s="430"/>
      <c r="AW624" s="430"/>
      <c r="AX624" s="430"/>
    </row>
    <row r="625">
      <c r="B625" s="471"/>
      <c r="E625" s="471"/>
      <c r="H625" s="471"/>
      <c r="K625" s="471"/>
      <c r="M625" s="454"/>
      <c r="N625" s="424"/>
      <c r="O625" s="424"/>
      <c r="P625" s="430"/>
      <c r="Q625" s="444"/>
      <c r="R625" s="424"/>
      <c r="S625" s="430"/>
      <c r="T625" s="444"/>
      <c r="U625" s="430"/>
      <c r="V625" s="430"/>
      <c r="W625" s="444"/>
      <c r="X625" s="444"/>
      <c r="Y625" s="430"/>
      <c r="Z625" s="430"/>
      <c r="AA625" s="430"/>
      <c r="AB625" s="444"/>
      <c r="AC625" s="444"/>
      <c r="AD625" s="430"/>
      <c r="AE625" s="430"/>
      <c r="AF625" s="430"/>
      <c r="AG625" s="444"/>
      <c r="AH625" s="444"/>
      <c r="AI625" s="430"/>
      <c r="AJ625" s="430"/>
      <c r="AK625" s="430"/>
      <c r="AL625" s="476"/>
      <c r="AM625" s="430"/>
      <c r="AN625" s="430"/>
      <c r="AO625" s="430"/>
      <c r="AP625" s="430"/>
      <c r="AQ625" s="430"/>
      <c r="AR625" s="430"/>
      <c r="AS625" s="430"/>
      <c r="AT625" s="430"/>
      <c r="AU625" s="430"/>
      <c r="AV625" s="430"/>
      <c r="AW625" s="430"/>
      <c r="AX625" s="430"/>
    </row>
    <row r="626">
      <c r="B626" s="471"/>
      <c r="E626" s="471"/>
      <c r="H626" s="471"/>
      <c r="K626" s="471"/>
      <c r="M626" s="454"/>
      <c r="N626" s="424"/>
      <c r="O626" s="424"/>
      <c r="P626" s="430"/>
      <c r="Q626" s="444"/>
      <c r="R626" s="424"/>
      <c r="S626" s="430"/>
      <c r="T626" s="444"/>
      <c r="U626" s="430"/>
      <c r="V626" s="430"/>
      <c r="W626" s="444"/>
      <c r="X626" s="444"/>
      <c r="Y626" s="430"/>
      <c r="Z626" s="430"/>
      <c r="AA626" s="430"/>
      <c r="AB626" s="444"/>
      <c r="AC626" s="444"/>
      <c r="AD626" s="430"/>
      <c r="AE626" s="430"/>
      <c r="AF626" s="430"/>
      <c r="AG626" s="444"/>
      <c r="AH626" s="444"/>
      <c r="AI626" s="430"/>
      <c r="AJ626" s="430"/>
      <c r="AK626" s="430"/>
      <c r="AL626" s="476"/>
      <c r="AM626" s="430"/>
      <c r="AN626" s="430"/>
      <c r="AO626" s="430"/>
      <c r="AP626" s="430"/>
      <c r="AQ626" s="430"/>
      <c r="AR626" s="430"/>
      <c r="AS626" s="430"/>
      <c r="AT626" s="430"/>
      <c r="AU626" s="430"/>
      <c r="AV626" s="430"/>
      <c r="AW626" s="430"/>
      <c r="AX626" s="430"/>
    </row>
    <row r="627">
      <c r="B627" s="471"/>
      <c r="E627" s="471"/>
      <c r="H627" s="471"/>
      <c r="K627" s="471"/>
      <c r="M627" s="454"/>
      <c r="N627" s="424"/>
      <c r="O627" s="424"/>
      <c r="P627" s="430"/>
      <c r="Q627" s="444"/>
      <c r="R627" s="424"/>
      <c r="S627" s="430"/>
      <c r="T627" s="444"/>
      <c r="U627" s="430"/>
      <c r="V627" s="430"/>
      <c r="W627" s="444"/>
      <c r="X627" s="444"/>
      <c r="Y627" s="430"/>
      <c r="Z627" s="430"/>
      <c r="AA627" s="430"/>
      <c r="AB627" s="444"/>
      <c r="AC627" s="444"/>
      <c r="AD627" s="430"/>
      <c r="AE627" s="430"/>
      <c r="AF627" s="430"/>
      <c r="AG627" s="444"/>
      <c r="AH627" s="444"/>
      <c r="AI627" s="430"/>
      <c r="AJ627" s="430"/>
      <c r="AK627" s="430"/>
      <c r="AL627" s="476"/>
      <c r="AM627" s="430"/>
      <c r="AN627" s="430"/>
      <c r="AO627" s="430"/>
      <c r="AP627" s="430"/>
      <c r="AQ627" s="430"/>
      <c r="AR627" s="430"/>
      <c r="AS627" s="430"/>
      <c r="AT627" s="430"/>
      <c r="AU627" s="430"/>
      <c r="AV627" s="430"/>
      <c r="AW627" s="430"/>
      <c r="AX627" s="430"/>
    </row>
    <row r="628">
      <c r="B628" s="471"/>
      <c r="E628" s="471"/>
      <c r="H628" s="471"/>
      <c r="K628" s="471"/>
      <c r="M628" s="454"/>
      <c r="N628" s="424"/>
      <c r="O628" s="424"/>
      <c r="P628" s="430"/>
      <c r="Q628" s="444"/>
      <c r="R628" s="424"/>
      <c r="S628" s="430"/>
      <c r="T628" s="444"/>
      <c r="U628" s="430"/>
      <c r="V628" s="430"/>
      <c r="W628" s="444"/>
      <c r="X628" s="444"/>
      <c r="Y628" s="430"/>
      <c r="Z628" s="430"/>
      <c r="AA628" s="430"/>
      <c r="AB628" s="444"/>
      <c r="AC628" s="444"/>
      <c r="AD628" s="430"/>
      <c r="AE628" s="430"/>
      <c r="AF628" s="430"/>
      <c r="AG628" s="444"/>
      <c r="AH628" s="444"/>
      <c r="AI628" s="430"/>
      <c r="AJ628" s="430"/>
      <c r="AK628" s="430"/>
      <c r="AL628" s="476"/>
      <c r="AM628" s="430"/>
      <c r="AN628" s="430"/>
      <c r="AO628" s="430"/>
      <c r="AP628" s="430"/>
      <c r="AQ628" s="430"/>
      <c r="AR628" s="430"/>
      <c r="AS628" s="430"/>
      <c r="AT628" s="430"/>
      <c r="AU628" s="430"/>
      <c r="AV628" s="430"/>
      <c r="AW628" s="430"/>
      <c r="AX628" s="430"/>
    </row>
    <row r="629">
      <c r="B629" s="471"/>
      <c r="E629" s="471"/>
      <c r="H629" s="471"/>
      <c r="K629" s="471"/>
      <c r="M629" s="454"/>
      <c r="N629" s="424"/>
      <c r="O629" s="424"/>
      <c r="P629" s="430"/>
      <c r="Q629" s="444"/>
      <c r="R629" s="424"/>
      <c r="S629" s="430"/>
      <c r="T629" s="444"/>
      <c r="U629" s="430"/>
      <c r="V629" s="430"/>
      <c r="W629" s="444"/>
      <c r="X629" s="444"/>
      <c r="Y629" s="430"/>
      <c r="Z629" s="430"/>
      <c r="AA629" s="430"/>
      <c r="AB629" s="444"/>
      <c r="AC629" s="444"/>
      <c r="AD629" s="430"/>
      <c r="AE629" s="430"/>
      <c r="AF629" s="430"/>
      <c r="AG629" s="444"/>
      <c r="AH629" s="444"/>
      <c r="AI629" s="430"/>
      <c r="AJ629" s="430"/>
      <c r="AK629" s="430"/>
      <c r="AL629" s="476"/>
      <c r="AM629" s="430"/>
      <c r="AN629" s="430"/>
      <c r="AO629" s="430"/>
      <c r="AP629" s="430"/>
      <c r="AQ629" s="430"/>
      <c r="AR629" s="430"/>
      <c r="AS629" s="430"/>
      <c r="AT629" s="430"/>
      <c r="AU629" s="430"/>
      <c r="AV629" s="430"/>
      <c r="AW629" s="430"/>
      <c r="AX629" s="430"/>
    </row>
    <row r="630">
      <c r="B630" s="471"/>
      <c r="E630" s="471"/>
      <c r="H630" s="471"/>
      <c r="K630" s="471"/>
      <c r="M630" s="454"/>
      <c r="N630" s="424"/>
      <c r="O630" s="424"/>
      <c r="P630" s="430"/>
      <c r="Q630" s="444"/>
      <c r="R630" s="424"/>
      <c r="S630" s="430"/>
      <c r="T630" s="444"/>
      <c r="U630" s="430"/>
      <c r="V630" s="430"/>
      <c r="W630" s="444"/>
      <c r="X630" s="444"/>
      <c r="Y630" s="430"/>
      <c r="Z630" s="430"/>
      <c r="AA630" s="430"/>
      <c r="AB630" s="444"/>
      <c r="AC630" s="444"/>
      <c r="AD630" s="430"/>
      <c r="AE630" s="430"/>
      <c r="AF630" s="430"/>
      <c r="AG630" s="444"/>
      <c r="AH630" s="444"/>
      <c r="AI630" s="430"/>
      <c r="AJ630" s="430"/>
      <c r="AK630" s="430"/>
      <c r="AL630" s="476"/>
      <c r="AM630" s="430"/>
      <c r="AN630" s="430"/>
      <c r="AO630" s="430"/>
      <c r="AP630" s="430"/>
      <c r="AQ630" s="430"/>
      <c r="AR630" s="430"/>
      <c r="AS630" s="430"/>
      <c r="AT630" s="430"/>
      <c r="AU630" s="430"/>
      <c r="AV630" s="430"/>
      <c r="AW630" s="430"/>
      <c r="AX630" s="430"/>
    </row>
    <row r="631">
      <c r="B631" s="471"/>
      <c r="E631" s="471"/>
      <c r="H631" s="471"/>
      <c r="K631" s="471"/>
      <c r="M631" s="454"/>
      <c r="N631" s="424"/>
      <c r="O631" s="424"/>
      <c r="P631" s="430"/>
      <c r="Q631" s="444"/>
      <c r="R631" s="424"/>
      <c r="S631" s="430"/>
      <c r="T631" s="444"/>
      <c r="U631" s="430"/>
      <c r="V631" s="430"/>
      <c r="W631" s="444"/>
      <c r="X631" s="444"/>
      <c r="Y631" s="430"/>
      <c r="Z631" s="430"/>
      <c r="AA631" s="430"/>
      <c r="AB631" s="444"/>
      <c r="AC631" s="444"/>
      <c r="AD631" s="430"/>
      <c r="AE631" s="430"/>
      <c r="AF631" s="430"/>
      <c r="AG631" s="444"/>
      <c r="AH631" s="444"/>
      <c r="AI631" s="430"/>
      <c r="AJ631" s="430"/>
      <c r="AK631" s="430"/>
      <c r="AL631" s="476"/>
      <c r="AM631" s="430"/>
      <c r="AN631" s="430"/>
      <c r="AO631" s="430"/>
      <c r="AP631" s="430"/>
      <c r="AQ631" s="430"/>
      <c r="AR631" s="430"/>
      <c r="AS631" s="430"/>
      <c r="AT631" s="430"/>
      <c r="AU631" s="430"/>
      <c r="AV631" s="430"/>
      <c r="AW631" s="430"/>
      <c r="AX631" s="430"/>
    </row>
    <row r="632">
      <c r="B632" s="471"/>
      <c r="E632" s="471"/>
      <c r="H632" s="471"/>
      <c r="K632" s="471"/>
      <c r="M632" s="454"/>
      <c r="N632" s="424"/>
      <c r="O632" s="424"/>
      <c r="P632" s="430"/>
      <c r="Q632" s="444"/>
      <c r="R632" s="424"/>
      <c r="S632" s="430"/>
      <c r="T632" s="444"/>
      <c r="U632" s="430"/>
      <c r="V632" s="430"/>
      <c r="W632" s="444"/>
      <c r="X632" s="444"/>
      <c r="Y632" s="430"/>
      <c r="Z632" s="430"/>
      <c r="AA632" s="430"/>
      <c r="AB632" s="444"/>
      <c r="AC632" s="444"/>
      <c r="AD632" s="430"/>
      <c r="AE632" s="430"/>
      <c r="AF632" s="430"/>
      <c r="AG632" s="444"/>
      <c r="AH632" s="444"/>
      <c r="AI632" s="430"/>
      <c r="AJ632" s="430"/>
      <c r="AK632" s="430"/>
      <c r="AL632" s="476"/>
      <c r="AM632" s="430"/>
      <c r="AN632" s="430"/>
      <c r="AO632" s="430"/>
      <c r="AP632" s="430"/>
      <c r="AQ632" s="430"/>
      <c r="AR632" s="430"/>
      <c r="AS632" s="430"/>
      <c r="AT632" s="430"/>
      <c r="AU632" s="430"/>
      <c r="AV632" s="430"/>
      <c r="AW632" s="430"/>
      <c r="AX632" s="430"/>
    </row>
    <row r="633">
      <c r="B633" s="471"/>
      <c r="E633" s="471"/>
      <c r="H633" s="471"/>
      <c r="K633" s="471"/>
      <c r="M633" s="454"/>
      <c r="N633" s="424"/>
      <c r="O633" s="424"/>
      <c r="P633" s="430"/>
      <c r="Q633" s="444"/>
      <c r="R633" s="424"/>
      <c r="S633" s="430"/>
      <c r="T633" s="444"/>
      <c r="U633" s="430"/>
      <c r="V633" s="430"/>
      <c r="W633" s="444"/>
      <c r="X633" s="444"/>
      <c r="Y633" s="430"/>
      <c r="Z633" s="430"/>
      <c r="AA633" s="430"/>
      <c r="AB633" s="444"/>
      <c r="AC633" s="444"/>
      <c r="AD633" s="430"/>
      <c r="AE633" s="430"/>
      <c r="AF633" s="430"/>
      <c r="AG633" s="444"/>
      <c r="AH633" s="444"/>
      <c r="AI633" s="430"/>
      <c r="AJ633" s="430"/>
      <c r="AK633" s="430"/>
      <c r="AL633" s="476"/>
      <c r="AM633" s="430"/>
      <c r="AN633" s="430"/>
      <c r="AO633" s="430"/>
      <c r="AP633" s="430"/>
      <c r="AQ633" s="430"/>
      <c r="AR633" s="430"/>
      <c r="AS633" s="430"/>
      <c r="AT633" s="430"/>
      <c r="AU633" s="430"/>
      <c r="AV633" s="430"/>
      <c r="AW633" s="430"/>
      <c r="AX633" s="430"/>
    </row>
    <row r="634">
      <c r="B634" s="471"/>
      <c r="E634" s="471"/>
      <c r="H634" s="471"/>
      <c r="K634" s="471"/>
      <c r="M634" s="454"/>
      <c r="N634" s="424"/>
      <c r="O634" s="424"/>
      <c r="P634" s="430"/>
      <c r="Q634" s="444"/>
      <c r="R634" s="424"/>
      <c r="S634" s="430"/>
      <c r="T634" s="444"/>
      <c r="U634" s="430"/>
      <c r="V634" s="430"/>
      <c r="W634" s="444"/>
      <c r="X634" s="444"/>
      <c r="Y634" s="430"/>
      <c r="Z634" s="430"/>
      <c r="AA634" s="430"/>
      <c r="AB634" s="444"/>
      <c r="AC634" s="444"/>
      <c r="AD634" s="430"/>
      <c r="AE634" s="430"/>
      <c r="AF634" s="430"/>
      <c r="AG634" s="444"/>
      <c r="AH634" s="444"/>
      <c r="AI634" s="430"/>
      <c r="AJ634" s="430"/>
      <c r="AK634" s="430"/>
      <c r="AL634" s="476"/>
      <c r="AM634" s="430"/>
      <c r="AN634" s="430"/>
      <c r="AO634" s="430"/>
      <c r="AP634" s="430"/>
      <c r="AQ634" s="430"/>
      <c r="AR634" s="430"/>
      <c r="AS634" s="430"/>
      <c r="AT634" s="430"/>
      <c r="AU634" s="430"/>
      <c r="AV634" s="430"/>
      <c r="AW634" s="430"/>
      <c r="AX634" s="430"/>
    </row>
    <row r="635">
      <c r="B635" s="471"/>
      <c r="E635" s="471"/>
      <c r="H635" s="471"/>
      <c r="K635" s="471"/>
      <c r="M635" s="454"/>
      <c r="N635" s="424"/>
      <c r="O635" s="424"/>
      <c r="P635" s="430"/>
      <c r="Q635" s="444"/>
      <c r="R635" s="424"/>
      <c r="S635" s="430"/>
      <c r="T635" s="444"/>
      <c r="U635" s="430"/>
      <c r="V635" s="430"/>
      <c r="W635" s="444"/>
      <c r="X635" s="444"/>
      <c r="Y635" s="430"/>
      <c r="Z635" s="430"/>
      <c r="AA635" s="430"/>
      <c r="AB635" s="444"/>
      <c r="AC635" s="444"/>
      <c r="AD635" s="430"/>
      <c r="AE635" s="430"/>
      <c r="AF635" s="430"/>
      <c r="AG635" s="444"/>
      <c r="AH635" s="444"/>
      <c r="AI635" s="430"/>
      <c r="AJ635" s="430"/>
      <c r="AK635" s="430"/>
      <c r="AL635" s="476"/>
      <c r="AM635" s="430"/>
      <c r="AN635" s="430"/>
      <c r="AO635" s="430"/>
      <c r="AP635" s="430"/>
      <c r="AQ635" s="430"/>
      <c r="AR635" s="430"/>
      <c r="AS635" s="430"/>
      <c r="AT635" s="430"/>
      <c r="AU635" s="430"/>
      <c r="AV635" s="430"/>
      <c r="AW635" s="430"/>
      <c r="AX635" s="430"/>
    </row>
    <row r="636">
      <c r="B636" s="471"/>
      <c r="E636" s="471"/>
      <c r="H636" s="471"/>
      <c r="K636" s="471"/>
      <c r="M636" s="454"/>
      <c r="N636" s="424"/>
      <c r="O636" s="424"/>
      <c r="P636" s="430"/>
      <c r="Q636" s="444"/>
      <c r="R636" s="424"/>
      <c r="S636" s="430"/>
      <c r="T636" s="444"/>
      <c r="U636" s="430"/>
      <c r="V636" s="430"/>
      <c r="W636" s="444"/>
      <c r="X636" s="444"/>
      <c r="Y636" s="430"/>
      <c r="Z636" s="430"/>
      <c r="AA636" s="430"/>
      <c r="AB636" s="444"/>
      <c r="AC636" s="444"/>
      <c r="AD636" s="430"/>
      <c r="AE636" s="430"/>
      <c r="AF636" s="430"/>
      <c r="AG636" s="444"/>
      <c r="AH636" s="444"/>
      <c r="AI636" s="430"/>
      <c r="AJ636" s="430"/>
      <c r="AK636" s="430"/>
      <c r="AL636" s="476"/>
      <c r="AM636" s="430"/>
      <c r="AN636" s="430"/>
      <c r="AO636" s="430"/>
      <c r="AP636" s="430"/>
      <c r="AQ636" s="430"/>
      <c r="AR636" s="430"/>
      <c r="AS636" s="430"/>
      <c r="AT636" s="430"/>
      <c r="AU636" s="430"/>
      <c r="AV636" s="430"/>
      <c r="AW636" s="430"/>
      <c r="AX636" s="430"/>
    </row>
    <row r="637">
      <c r="B637" s="471"/>
      <c r="E637" s="471"/>
      <c r="H637" s="471"/>
      <c r="K637" s="471"/>
      <c r="M637" s="454"/>
      <c r="N637" s="424"/>
      <c r="O637" s="424"/>
      <c r="P637" s="430"/>
      <c r="Q637" s="444"/>
      <c r="R637" s="424"/>
      <c r="S637" s="430"/>
      <c r="T637" s="444"/>
      <c r="U637" s="430"/>
      <c r="V637" s="430"/>
      <c r="W637" s="444"/>
      <c r="X637" s="444"/>
      <c r="Y637" s="430"/>
      <c r="Z637" s="430"/>
      <c r="AA637" s="430"/>
      <c r="AB637" s="444"/>
      <c r="AC637" s="444"/>
      <c r="AD637" s="430"/>
      <c r="AE637" s="430"/>
      <c r="AF637" s="430"/>
      <c r="AG637" s="444"/>
      <c r="AH637" s="444"/>
      <c r="AI637" s="430"/>
      <c r="AJ637" s="430"/>
      <c r="AK637" s="430"/>
      <c r="AL637" s="476"/>
      <c r="AM637" s="430"/>
      <c r="AN637" s="430"/>
      <c r="AO637" s="430"/>
      <c r="AP637" s="430"/>
      <c r="AQ637" s="430"/>
      <c r="AR637" s="430"/>
      <c r="AS637" s="430"/>
      <c r="AT637" s="430"/>
      <c r="AU637" s="430"/>
      <c r="AV637" s="430"/>
      <c r="AW637" s="430"/>
      <c r="AX637" s="430"/>
    </row>
    <row r="638">
      <c r="B638" s="471"/>
      <c r="E638" s="471"/>
      <c r="H638" s="471"/>
      <c r="K638" s="471"/>
      <c r="M638" s="454"/>
      <c r="N638" s="424"/>
      <c r="O638" s="424"/>
      <c r="P638" s="430"/>
      <c r="Q638" s="444"/>
      <c r="R638" s="424"/>
      <c r="S638" s="430"/>
      <c r="T638" s="444"/>
      <c r="U638" s="430"/>
      <c r="V638" s="430"/>
      <c r="W638" s="444"/>
      <c r="X638" s="444"/>
      <c r="Y638" s="430"/>
      <c r="Z638" s="430"/>
      <c r="AA638" s="430"/>
      <c r="AB638" s="444"/>
      <c r="AC638" s="444"/>
      <c r="AD638" s="430"/>
      <c r="AE638" s="430"/>
      <c r="AF638" s="430"/>
      <c r="AG638" s="444"/>
      <c r="AH638" s="444"/>
      <c r="AI638" s="430"/>
      <c r="AJ638" s="430"/>
      <c r="AK638" s="430"/>
      <c r="AL638" s="476"/>
      <c r="AM638" s="430"/>
      <c r="AN638" s="430"/>
      <c r="AO638" s="430"/>
      <c r="AP638" s="430"/>
      <c r="AQ638" s="430"/>
      <c r="AR638" s="430"/>
      <c r="AS638" s="430"/>
      <c r="AT638" s="430"/>
      <c r="AU638" s="430"/>
      <c r="AV638" s="430"/>
      <c r="AW638" s="430"/>
      <c r="AX638" s="430"/>
    </row>
    <row r="639">
      <c r="B639" s="471"/>
      <c r="E639" s="471"/>
      <c r="H639" s="471"/>
      <c r="K639" s="471"/>
      <c r="M639" s="454"/>
      <c r="N639" s="424"/>
      <c r="O639" s="424"/>
      <c r="P639" s="430"/>
      <c r="Q639" s="444"/>
      <c r="R639" s="424"/>
      <c r="S639" s="430"/>
      <c r="T639" s="444"/>
      <c r="U639" s="430"/>
      <c r="V639" s="430"/>
      <c r="W639" s="444"/>
      <c r="X639" s="444"/>
      <c r="Y639" s="430"/>
      <c r="Z639" s="430"/>
      <c r="AA639" s="430"/>
      <c r="AB639" s="444"/>
      <c r="AC639" s="444"/>
      <c r="AD639" s="430"/>
      <c r="AE639" s="430"/>
      <c r="AF639" s="430"/>
      <c r="AG639" s="444"/>
      <c r="AH639" s="444"/>
      <c r="AI639" s="430"/>
      <c r="AJ639" s="430"/>
      <c r="AK639" s="430"/>
      <c r="AL639" s="476"/>
      <c r="AM639" s="430"/>
      <c r="AN639" s="430"/>
      <c r="AO639" s="430"/>
      <c r="AP639" s="430"/>
      <c r="AQ639" s="430"/>
      <c r="AR639" s="430"/>
      <c r="AS639" s="430"/>
      <c r="AT639" s="430"/>
      <c r="AU639" s="430"/>
      <c r="AV639" s="430"/>
      <c r="AW639" s="430"/>
      <c r="AX639" s="430"/>
    </row>
    <row r="640">
      <c r="B640" s="471"/>
      <c r="E640" s="471"/>
      <c r="H640" s="471"/>
      <c r="K640" s="471"/>
      <c r="M640" s="454"/>
      <c r="N640" s="424"/>
      <c r="O640" s="424"/>
      <c r="P640" s="430"/>
      <c r="Q640" s="444"/>
      <c r="R640" s="424"/>
      <c r="S640" s="430"/>
      <c r="T640" s="444"/>
      <c r="U640" s="430"/>
      <c r="V640" s="430"/>
      <c r="W640" s="444"/>
      <c r="X640" s="444"/>
      <c r="Y640" s="430"/>
      <c r="Z640" s="430"/>
      <c r="AA640" s="430"/>
      <c r="AB640" s="444"/>
      <c r="AC640" s="444"/>
      <c r="AD640" s="430"/>
      <c r="AE640" s="430"/>
      <c r="AF640" s="430"/>
      <c r="AG640" s="444"/>
      <c r="AH640" s="444"/>
      <c r="AI640" s="430"/>
      <c r="AJ640" s="430"/>
      <c r="AK640" s="430"/>
      <c r="AL640" s="476"/>
      <c r="AM640" s="430"/>
      <c r="AN640" s="430"/>
      <c r="AO640" s="430"/>
      <c r="AP640" s="430"/>
      <c r="AQ640" s="430"/>
      <c r="AR640" s="430"/>
      <c r="AS640" s="430"/>
      <c r="AT640" s="430"/>
      <c r="AU640" s="430"/>
      <c r="AV640" s="430"/>
      <c r="AW640" s="430"/>
      <c r="AX640" s="430"/>
    </row>
    <row r="641">
      <c r="B641" s="471"/>
      <c r="E641" s="471"/>
      <c r="H641" s="471"/>
      <c r="K641" s="471"/>
      <c r="M641" s="454"/>
      <c r="N641" s="424"/>
      <c r="O641" s="424"/>
      <c r="P641" s="430"/>
      <c r="Q641" s="444"/>
      <c r="R641" s="424"/>
      <c r="S641" s="430"/>
      <c r="T641" s="444"/>
      <c r="U641" s="430"/>
      <c r="V641" s="430"/>
      <c r="W641" s="444"/>
      <c r="X641" s="444"/>
      <c r="Y641" s="430"/>
      <c r="Z641" s="430"/>
      <c r="AA641" s="430"/>
      <c r="AB641" s="444"/>
      <c r="AC641" s="444"/>
      <c r="AD641" s="430"/>
      <c r="AE641" s="430"/>
      <c r="AF641" s="430"/>
      <c r="AG641" s="444"/>
      <c r="AH641" s="444"/>
      <c r="AI641" s="430"/>
      <c r="AJ641" s="430"/>
      <c r="AK641" s="430"/>
      <c r="AL641" s="476"/>
      <c r="AM641" s="430"/>
      <c r="AN641" s="430"/>
      <c r="AO641" s="430"/>
      <c r="AP641" s="430"/>
      <c r="AQ641" s="430"/>
      <c r="AR641" s="430"/>
      <c r="AS641" s="430"/>
      <c r="AT641" s="430"/>
      <c r="AU641" s="430"/>
      <c r="AV641" s="430"/>
      <c r="AW641" s="430"/>
      <c r="AX641" s="430"/>
    </row>
    <row r="642">
      <c r="B642" s="471"/>
      <c r="E642" s="471"/>
      <c r="H642" s="471"/>
      <c r="K642" s="471"/>
      <c r="M642" s="454"/>
      <c r="N642" s="424"/>
      <c r="O642" s="424"/>
      <c r="P642" s="430"/>
      <c r="Q642" s="444"/>
      <c r="R642" s="424"/>
      <c r="S642" s="430"/>
      <c r="T642" s="444"/>
      <c r="U642" s="430"/>
      <c r="V642" s="430"/>
      <c r="W642" s="444"/>
      <c r="X642" s="444"/>
      <c r="Y642" s="430"/>
      <c r="Z642" s="430"/>
      <c r="AA642" s="430"/>
      <c r="AB642" s="444"/>
      <c r="AC642" s="444"/>
      <c r="AD642" s="430"/>
      <c r="AE642" s="430"/>
      <c r="AF642" s="430"/>
      <c r="AG642" s="444"/>
      <c r="AH642" s="444"/>
      <c r="AI642" s="430"/>
      <c r="AJ642" s="430"/>
      <c r="AK642" s="430"/>
      <c r="AL642" s="476"/>
      <c r="AM642" s="430"/>
      <c r="AN642" s="430"/>
      <c r="AO642" s="430"/>
      <c r="AP642" s="430"/>
      <c r="AQ642" s="430"/>
      <c r="AR642" s="430"/>
      <c r="AS642" s="430"/>
      <c r="AT642" s="430"/>
      <c r="AU642" s="430"/>
      <c r="AV642" s="430"/>
      <c r="AW642" s="430"/>
      <c r="AX642" s="430"/>
    </row>
    <row r="643">
      <c r="B643" s="471"/>
      <c r="E643" s="471"/>
      <c r="H643" s="471"/>
      <c r="K643" s="471"/>
      <c r="M643" s="454"/>
      <c r="N643" s="424"/>
      <c r="O643" s="424"/>
      <c r="P643" s="430"/>
      <c r="Q643" s="444"/>
      <c r="R643" s="424"/>
      <c r="S643" s="430"/>
      <c r="T643" s="444"/>
      <c r="U643" s="430"/>
      <c r="V643" s="430"/>
      <c r="W643" s="444"/>
      <c r="X643" s="444"/>
      <c r="Y643" s="430"/>
      <c r="Z643" s="430"/>
      <c r="AA643" s="430"/>
      <c r="AB643" s="444"/>
      <c r="AC643" s="444"/>
      <c r="AD643" s="430"/>
      <c r="AE643" s="430"/>
      <c r="AF643" s="430"/>
      <c r="AG643" s="444"/>
      <c r="AH643" s="444"/>
      <c r="AI643" s="430"/>
      <c r="AJ643" s="430"/>
      <c r="AK643" s="430"/>
      <c r="AL643" s="476"/>
      <c r="AM643" s="430"/>
      <c r="AN643" s="430"/>
      <c r="AO643" s="430"/>
      <c r="AP643" s="430"/>
      <c r="AQ643" s="430"/>
      <c r="AR643" s="430"/>
      <c r="AS643" s="430"/>
      <c r="AT643" s="430"/>
      <c r="AU643" s="430"/>
      <c r="AV643" s="430"/>
      <c r="AW643" s="430"/>
      <c r="AX643" s="430"/>
    </row>
    <row r="644">
      <c r="B644" s="471"/>
      <c r="E644" s="471"/>
      <c r="H644" s="471"/>
      <c r="K644" s="471"/>
      <c r="M644" s="454"/>
      <c r="N644" s="424"/>
      <c r="O644" s="424"/>
      <c r="P644" s="430"/>
      <c r="Q644" s="444"/>
      <c r="R644" s="424"/>
      <c r="S644" s="430"/>
      <c r="T644" s="444"/>
      <c r="U644" s="430"/>
      <c r="V644" s="430"/>
      <c r="W644" s="444"/>
      <c r="X644" s="444"/>
      <c r="Y644" s="430"/>
      <c r="Z644" s="430"/>
      <c r="AA644" s="430"/>
      <c r="AB644" s="444"/>
      <c r="AC644" s="444"/>
      <c r="AD644" s="430"/>
      <c r="AE644" s="430"/>
      <c r="AF644" s="430"/>
      <c r="AG644" s="444"/>
      <c r="AH644" s="444"/>
      <c r="AI644" s="430"/>
      <c r="AJ644" s="430"/>
      <c r="AK644" s="430"/>
      <c r="AL644" s="476"/>
      <c r="AM644" s="430"/>
      <c r="AN644" s="430"/>
      <c r="AO644" s="430"/>
      <c r="AP644" s="430"/>
      <c r="AQ644" s="430"/>
      <c r="AR644" s="430"/>
      <c r="AS644" s="430"/>
      <c r="AT644" s="430"/>
      <c r="AU644" s="430"/>
      <c r="AV644" s="430"/>
      <c r="AW644" s="430"/>
      <c r="AX644" s="430"/>
    </row>
    <row r="645">
      <c r="B645" s="471"/>
      <c r="E645" s="471"/>
      <c r="H645" s="471"/>
      <c r="K645" s="471"/>
      <c r="M645" s="454"/>
      <c r="N645" s="424"/>
      <c r="O645" s="424"/>
      <c r="P645" s="430"/>
      <c r="Q645" s="444"/>
      <c r="R645" s="424"/>
      <c r="S645" s="430"/>
      <c r="T645" s="444"/>
      <c r="U645" s="430"/>
      <c r="V645" s="430"/>
      <c r="W645" s="444"/>
      <c r="X645" s="444"/>
      <c r="Y645" s="430"/>
      <c r="Z645" s="430"/>
      <c r="AA645" s="430"/>
      <c r="AB645" s="444"/>
      <c r="AC645" s="444"/>
      <c r="AD645" s="430"/>
      <c r="AE645" s="430"/>
      <c r="AF645" s="430"/>
      <c r="AG645" s="444"/>
      <c r="AH645" s="444"/>
      <c r="AI645" s="430"/>
      <c r="AJ645" s="430"/>
      <c r="AK645" s="430"/>
      <c r="AL645" s="476"/>
      <c r="AM645" s="430"/>
      <c r="AN645" s="430"/>
      <c r="AO645" s="430"/>
      <c r="AP645" s="430"/>
      <c r="AQ645" s="430"/>
      <c r="AR645" s="430"/>
      <c r="AS645" s="430"/>
      <c r="AT645" s="430"/>
      <c r="AU645" s="430"/>
      <c r="AV645" s="430"/>
      <c r="AW645" s="430"/>
      <c r="AX645" s="430"/>
    </row>
    <row r="646">
      <c r="B646" s="471"/>
      <c r="E646" s="471"/>
      <c r="H646" s="471"/>
      <c r="K646" s="471"/>
      <c r="M646" s="454"/>
      <c r="N646" s="424"/>
      <c r="O646" s="424"/>
      <c r="P646" s="430"/>
      <c r="Q646" s="444"/>
      <c r="R646" s="424"/>
      <c r="S646" s="430"/>
      <c r="T646" s="444"/>
      <c r="U646" s="430"/>
      <c r="V646" s="430"/>
      <c r="W646" s="444"/>
      <c r="X646" s="444"/>
      <c r="Y646" s="430"/>
      <c r="Z646" s="430"/>
      <c r="AA646" s="430"/>
      <c r="AB646" s="444"/>
      <c r="AC646" s="444"/>
      <c r="AD646" s="430"/>
      <c r="AE646" s="430"/>
      <c r="AF646" s="430"/>
      <c r="AG646" s="444"/>
      <c r="AH646" s="444"/>
      <c r="AI646" s="430"/>
      <c r="AJ646" s="430"/>
      <c r="AK646" s="430"/>
      <c r="AL646" s="476"/>
      <c r="AM646" s="430"/>
      <c r="AN646" s="430"/>
      <c r="AO646" s="430"/>
      <c r="AP646" s="430"/>
      <c r="AQ646" s="430"/>
      <c r="AR646" s="430"/>
      <c r="AS646" s="430"/>
      <c r="AT646" s="430"/>
      <c r="AU646" s="430"/>
      <c r="AV646" s="430"/>
      <c r="AW646" s="430"/>
      <c r="AX646" s="430"/>
    </row>
    <row r="647">
      <c r="B647" s="471"/>
      <c r="E647" s="471"/>
      <c r="H647" s="471"/>
      <c r="K647" s="471"/>
      <c r="M647" s="454"/>
      <c r="N647" s="424"/>
      <c r="O647" s="424"/>
      <c r="P647" s="430"/>
      <c r="Q647" s="444"/>
      <c r="R647" s="424"/>
      <c r="S647" s="430"/>
      <c r="T647" s="444"/>
      <c r="U647" s="430"/>
      <c r="V647" s="430"/>
      <c r="W647" s="444"/>
      <c r="X647" s="444"/>
      <c r="Y647" s="430"/>
      <c r="Z647" s="430"/>
      <c r="AA647" s="430"/>
      <c r="AB647" s="444"/>
      <c r="AC647" s="444"/>
      <c r="AD647" s="430"/>
      <c r="AE647" s="430"/>
      <c r="AF647" s="430"/>
      <c r="AG647" s="444"/>
      <c r="AH647" s="444"/>
      <c r="AI647" s="430"/>
      <c r="AJ647" s="430"/>
      <c r="AK647" s="430"/>
      <c r="AL647" s="476"/>
      <c r="AM647" s="430"/>
      <c r="AN647" s="430"/>
      <c r="AO647" s="430"/>
      <c r="AP647" s="430"/>
      <c r="AQ647" s="430"/>
      <c r="AR647" s="430"/>
      <c r="AS647" s="430"/>
      <c r="AT647" s="430"/>
      <c r="AU647" s="430"/>
      <c r="AV647" s="430"/>
      <c r="AW647" s="430"/>
      <c r="AX647" s="430"/>
    </row>
    <row r="648">
      <c r="B648" s="471"/>
      <c r="E648" s="471"/>
      <c r="H648" s="471"/>
      <c r="K648" s="471"/>
      <c r="M648" s="454"/>
      <c r="N648" s="424"/>
      <c r="O648" s="424"/>
      <c r="P648" s="430"/>
      <c r="Q648" s="444"/>
      <c r="R648" s="424"/>
      <c r="S648" s="430"/>
      <c r="T648" s="444"/>
      <c r="U648" s="430"/>
      <c r="V648" s="430"/>
      <c r="W648" s="444"/>
      <c r="X648" s="444"/>
      <c r="Y648" s="430"/>
      <c r="Z648" s="430"/>
      <c r="AA648" s="430"/>
      <c r="AB648" s="444"/>
      <c r="AC648" s="444"/>
      <c r="AD648" s="430"/>
      <c r="AE648" s="430"/>
      <c r="AF648" s="430"/>
      <c r="AG648" s="444"/>
      <c r="AH648" s="444"/>
      <c r="AI648" s="430"/>
      <c r="AJ648" s="430"/>
      <c r="AK648" s="430"/>
      <c r="AL648" s="476"/>
      <c r="AM648" s="430"/>
      <c r="AN648" s="430"/>
      <c r="AO648" s="430"/>
      <c r="AP648" s="430"/>
      <c r="AQ648" s="430"/>
      <c r="AR648" s="430"/>
      <c r="AS648" s="430"/>
      <c r="AT648" s="430"/>
      <c r="AU648" s="430"/>
      <c r="AV648" s="430"/>
      <c r="AW648" s="430"/>
      <c r="AX648" s="430"/>
    </row>
    <row r="649">
      <c r="B649" s="471"/>
      <c r="E649" s="471"/>
      <c r="H649" s="471"/>
      <c r="K649" s="471"/>
      <c r="M649" s="454"/>
      <c r="N649" s="424"/>
      <c r="O649" s="424"/>
      <c r="P649" s="430"/>
      <c r="Q649" s="444"/>
      <c r="R649" s="424"/>
      <c r="S649" s="430"/>
      <c r="T649" s="444"/>
      <c r="U649" s="430"/>
      <c r="V649" s="430"/>
      <c r="W649" s="444"/>
      <c r="X649" s="444"/>
      <c r="Y649" s="430"/>
      <c r="Z649" s="430"/>
      <c r="AA649" s="430"/>
      <c r="AB649" s="444"/>
      <c r="AC649" s="444"/>
      <c r="AD649" s="430"/>
      <c r="AE649" s="430"/>
      <c r="AF649" s="430"/>
      <c r="AG649" s="444"/>
      <c r="AH649" s="444"/>
      <c r="AI649" s="430"/>
      <c r="AJ649" s="430"/>
      <c r="AK649" s="430"/>
      <c r="AL649" s="476"/>
      <c r="AM649" s="430"/>
      <c r="AN649" s="430"/>
      <c r="AO649" s="430"/>
      <c r="AP649" s="430"/>
      <c r="AQ649" s="430"/>
      <c r="AR649" s="430"/>
      <c r="AS649" s="430"/>
      <c r="AT649" s="430"/>
      <c r="AU649" s="430"/>
      <c r="AV649" s="430"/>
      <c r="AW649" s="430"/>
      <c r="AX649" s="430"/>
    </row>
    <row r="650">
      <c r="B650" s="471"/>
      <c r="E650" s="471"/>
      <c r="H650" s="471"/>
      <c r="K650" s="471"/>
      <c r="M650" s="454"/>
      <c r="N650" s="424"/>
      <c r="O650" s="424"/>
      <c r="P650" s="430"/>
      <c r="Q650" s="444"/>
      <c r="R650" s="424"/>
      <c r="S650" s="430"/>
      <c r="T650" s="444"/>
      <c r="U650" s="430"/>
      <c r="V650" s="430"/>
      <c r="W650" s="444"/>
      <c r="X650" s="444"/>
      <c r="Y650" s="430"/>
      <c r="Z650" s="430"/>
      <c r="AA650" s="430"/>
      <c r="AB650" s="444"/>
      <c r="AC650" s="444"/>
      <c r="AD650" s="430"/>
      <c r="AE650" s="430"/>
      <c r="AF650" s="430"/>
      <c r="AG650" s="444"/>
      <c r="AH650" s="444"/>
      <c r="AI650" s="430"/>
      <c r="AJ650" s="430"/>
      <c r="AK650" s="430"/>
      <c r="AL650" s="476"/>
      <c r="AM650" s="430"/>
      <c r="AN650" s="430"/>
      <c r="AO650" s="430"/>
      <c r="AP650" s="430"/>
      <c r="AQ650" s="430"/>
      <c r="AR650" s="430"/>
      <c r="AS650" s="430"/>
      <c r="AT650" s="430"/>
      <c r="AU650" s="430"/>
      <c r="AV650" s="430"/>
      <c r="AW650" s="430"/>
      <c r="AX650" s="430"/>
    </row>
    <row r="651">
      <c r="B651" s="471"/>
      <c r="E651" s="471"/>
      <c r="H651" s="471"/>
      <c r="K651" s="471"/>
      <c r="M651" s="454"/>
      <c r="N651" s="424"/>
      <c r="O651" s="424"/>
      <c r="P651" s="430"/>
      <c r="Q651" s="444"/>
      <c r="R651" s="424"/>
      <c r="S651" s="430"/>
      <c r="T651" s="444"/>
      <c r="U651" s="430"/>
      <c r="V651" s="430"/>
      <c r="W651" s="444"/>
      <c r="X651" s="444"/>
      <c r="Y651" s="430"/>
      <c r="Z651" s="430"/>
      <c r="AA651" s="430"/>
      <c r="AB651" s="444"/>
      <c r="AC651" s="444"/>
      <c r="AD651" s="430"/>
      <c r="AE651" s="430"/>
      <c r="AF651" s="430"/>
      <c r="AG651" s="444"/>
      <c r="AH651" s="444"/>
      <c r="AI651" s="430"/>
      <c r="AJ651" s="430"/>
      <c r="AK651" s="430"/>
      <c r="AL651" s="476"/>
      <c r="AM651" s="430"/>
      <c r="AN651" s="430"/>
      <c r="AO651" s="430"/>
      <c r="AP651" s="430"/>
      <c r="AQ651" s="430"/>
      <c r="AR651" s="430"/>
      <c r="AS651" s="430"/>
      <c r="AT651" s="430"/>
      <c r="AU651" s="430"/>
      <c r="AV651" s="430"/>
      <c r="AW651" s="430"/>
      <c r="AX651" s="430"/>
    </row>
    <row r="652">
      <c r="B652" s="471"/>
      <c r="E652" s="471"/>
      <c r="H652" s="471"/>
      <c r="K652" s="471"/>
      <c r="M652" s="454"/>
      <c r="N652" s="424"/>
      <c r="O652" s="424"/>
      <c r="P652" s="430"/>
      <c r="Q652" s="444"/>
      <c r="R652" s="424"/>
      <c r="S652" s="430"/>
      <c r="T652" s="444"/>
      <c r="U652" s="430"/>
      <c r="V652" s="430"/>
      <c r="W652" s="444"/>
      <c r="X652" s="444"/>
      <c r="Y652" s="430"/>
      <c r="Z652" s="430"/>
      <c r="AA652" s="430"/>
      <c r="AB652" s="444"/>
      <c r="AC652" s="444"/>
      <c r="AD652" s="430"/>
      <c r="AE652" s="430"/>
      <c r="AF652" s="430"/>
      <c r="AG652" s="444"/>
      <c r="AH652" s="444"/>
      <c r="AI652" s="430"/>
      <c r="AJ652" s="430"/>
      <c r="AK652" s="430"/>
      <c r="AL652" s="476"/>
      <c r="AM652" s="430"/>
      <c r="AN652" s="430"/>
      <c r="AO652" s="430"/>
      <c r="AP652" s="430"/>
      <c r="AQ652" s="430"/>
      <c r="AR652" s="430"/>
      <c r="AS652" s="430"/>
      <c r="AT652" s="430"/>
      <c r="AU652" s="430"/>
      <c r="AV652" s="430"/>
      <c r="AW652" s="430"/>
      <c r="AX652" s="430"/>
    </row>
    <row r="653">
      <c r="B653" s="471"/>
      <c r="E653" s="471"/>
      <c r="H653" s="471"/>
      <c r="K653" s="471"/>
      <c r="M653" s="454"/>
      <c r="N653" s="424"/>
      <c r="O653" s="424"/>
      <c r="P653" s="430"/>
      <c r="Q653" s="444"/>
      <c r="R653" s="424"/>
      <c r="S653" s="430"/>
      <c r="T653" s="444"/>
      <c r="U653" s="430"/>
      <c r="V653" s="430"/>
      <c r="W653" s="444"/>
      <c r="X653" s="444"/>
      <c r="Y653" s="430"/>
      <c r="Z653" s="430"/>
      <c r="AA653" s="430"/>
      <c r="AB653" s="444"/>
      <c r="AC653" s="444"/>
      <c r="AD653" s="430"/>
      <c r="AE653" s="430"/>
      <c r="AF653" s="430"/>
      <c r="AG653" s="444"/>
      <c r="AH653" s="444"/>
      <c r="AI653" s="430"/>
      <c r="AJ653" s="430"/>
      <c r="AK653" s="430"/>
      <c r="AL653" s="476"/>
      <c r="AM653" s="430"/>
      <c r="AN653" s="430"/>
      <c r="AO653" s="430"/>
      <c r="AP653" s="430"/>
      <c r="AQ653" s="430"/>
      <c r="AR653" s="430"/>
      <c r="AS653" s="430"/>
      <c r="AT653" s="430"/>
      <c r="AU653" s="430"/>
      <c r="AV653" s="430"/>
      <c r="AW653" s="430"/>
      <c r="AX653" s="430"/>
    </row>
    <row r="654">
      <c r="B654" s="471"/>
      <c r="E654" s="471"/>
      <c r="H654" s="471"/>
      <c r="K654" s="471"/>
      <c r="M654" s="454"/>
      <c r="N654" s="424"/>
      <c r="O654" s="424"/>
      <c r="P654" s="430"/>
      <c r="Q654" s="444"/>
      <c r="R654" s="424"/>
      <c r="S654" s="430"/>
      <c r="T654" s="444"/>
      <c r="U654" s="430"/>
      <c r="V654" s="430"/>
      <c r="W654" s="444"/>
      <c r="X654" s="444"/>
      <c r="Y654" s="430"/>
      <c r="Z654" s="430"/>
      <c r="AA654" s="430"/>
      <c r="AB654" s="444"/>
      <c r="AC654" s="444"/>
      <c r="AD654" s="430"/>
      <c r="AE654" s="430"/>
      <c r="AF654" s="430"/>
      <c r="AG654" s="444"/>
      <c r="AH654" s="444"/>
      <c r="AI654" s="430"/>
      <c r="AJ654" s="430"/>
      <c r="AK654" s="430"/>
      <c r="AL654" s="476"/>
      <c r="AM654" s="430"/>
      <c r="AN654" s="430"/>
      <c r="AO654" s="430"/>
      <c r="AP654" s="430"/>
      <c r="AQ654" s="430"/>
      <c r="AR654" s="430"/>
      <c r="AS654" s="430"/>
      <c r="AT654" s="430"/>
      <c r="AU654" s="430"/>
      <c r="AV654" s="430"/>
      <c r="AW654" s="430"/>
      <c r="AX654" s="430"/>
    </row>
    <row r="655">
      <c r="B655" s="471"/>
      <c r="E655" s="471"/>
      <c r="H655" s="471"/>
      <c r="K655" s="471"/>
      <c r="M655" s="454"/>
      <c r="N655" s="424"/>
      <c r="O655" s="424"/>
      <c r="P655" s="430"/>
      <c r="Q655" s="444"/>
      <c r="R655" s="424"/>
      <c r="S655" s="430"/>
      <c r="T655" s="444"/>
      <c r="U655" s="430"/>
      <c r="V655" s="430"/>
      <c r="W655" s="444"/>
      <c r="X655" s="444"/>
      <c r="Y655" s="430"/>
      <c r="Z655" s="430"/>
      <c r="AA655" s="430"/>
      <c r="AB655" s="444"/>
      <c r="AC655" s="444"/>
      <c r="AD655" s="430"/>
      <c r="AE655" s="430"/>
      <c r="AF655" s="430"/>
      <c r="AG655" s="444"/>
      <c r="AH655" s="444"/>
      <c r="AI655" s="430"/>
      <c r="AJ655" s="430"/>
      <c r="AK655" s="430"/>
      <c r="AL655" s="476"/>
      <c r="AM655" s="430"/>
      <c r="AN655" s="430"/>
      <c r="AO655" s="430"/>
      <c r="AP655" s="430"/>
      <c r="AQ655" s="430"/>
      <c r="AR655" s="430"/>
      <c r="AS655" s="430"/>
      <c r="AT655" s="430"/>
      <c r="AU655" s="430"/>
      <c r="AV655" s="430"/>
      <c r="AW655" s="430"/>
      <c r="AX655" s="430"/>
    </row>
    <row r="656">
      <c r="B656" s="471"/>
      <c r="E656" s="471"/>
      <c r="H656" s="471"/>
      <c r="K656" s="471"/>
      <c r="M656" s="454"/>
      <c r="N656" s="424"/>
      <c r="O656" s="424"/>
      <c r="P656" s="430"/>
      <c r="Q656" s="444"/>
      <c r="R656" s="424"/>
      <c r="S656" s="430"/>
      <c r="T656" s="444"/>
      <c r="U656" s="430"/>
      <c r="V656" s="430"/>
      <c r="W656" s="444"/>
      <c r="X656" s="444"/>
      <c r="Y656" s="430"/>
      <c r="Z656" s="430"/>
      <c r="AA656" s="430"/>
      <c r="AB656" s="444"/>
      <c r="AC656" s="444"/>
      <c r="AD656" s="430"/>
      <c r="AE656" s="430"/>
      <c r="AF656" s="430"/>
      <c r="AG656" s="444"/>
      <c r="AH656" s="444"/>
      <c r="AI656" s="430"/>
      <c r="AJ656" s="430"/>
      <c r="AK656" s="430"/>
      <c r="AL656" s="476"/>
      <c r="AM656" s="430"/>
      <c r="AN656" s="430"/>
      <c r="AO656" s="430"/>
      <c r="AP656" s="430"/>
      <c r="AQ656" s="430"/>
      <c r="AR656" s="430"/>
      <c r="AS656" s="430"/>
      <c r="AT656" s="430"/>
      <c r="AU656" s="430"/>
      <c r="AV656" s="430"/>
      <c r="AW656" s="430"/>
      <c r="AX656" s="430"/>
    </row>
    <row r="657">
      <c r="B657" s="471"/>
      <c r="E657" s="471"/>
      <c r="H657" s="471"/>
      <c r="K657" s="471"/>
      <c r="M657" s="454"/>
      <c r="N657" s="424"/>
      <c r="O657" s="424"/>
      <c r="P657" s="430"/>
      <c r="Q657" s="444"/>
      <c r="R657" s="424"/>
      <c r="S657" s="430"/>
      <c r="T657" s="444"/>
      <c r="U657" s="430"/>
      <c r="V657" s="430"/>
      <c r="W657" s="444"/>
      <c r="X657" s="444"/>
      <c r="Y657" s="430"/>
      <c r="Z657" s="430"/>
      <c r="AA657" s="430"/>
      <c r="AB657" s="444"/>
      <c r="AC657" s="444"/>
      <c r="AD657" s="430"/>
      <c r="AE657" s="430"/>
      <c r="AF657" s="430"/>
      <c r="AG657" s="444"/>
      <c r="AH657" s="444"/>
      <c r="AI657" s="430"/>
      <c r="AJ657" s="430"/>
      <c r="AK657" s="430"/>
      <c r="AL657" s="476"/>
      <c r="AM657" s="430"/>
      <c r="AN657" s="430"/>
      <c r="AO657" s="430"/>
      <c r="AP657" s="430"/>
      <c r="AQ657" s="430"/>
      <c r="AR657" s="430"/>
      <c r="AS657" s="430"/>
      <c r="AT657" s="430"/>
      <c r="AU657" s="430"/>
      <c r="AV657" s="430"/>
      <c r="AW657" s="430"/>
      <c r="AX657" s="430"/>
    </row>
    <row r="658">
      <c r="B658" s="471"/>
      <c r="E658" s="471"/>
      <c r="H658" s="471"/>
      <c r="K658" s="471"/>
      <c r="M658" s="454"/>
      <c r="N658" s="424"/>
      <c r="O658" s="424"/>
      <c r="P658" s="430"/>
      <c r="Q658" s="444"/>
      <c r="R658" s="424"/>
      <c r="S658" s="430"/>
      <c r="T658" s="444"/>
      <c r="U658" s="430"/>
      <c r="V658" s="430"/>
      <c r="W658" s="444"/>
      <c r="X658" s="444"/>
      <c r="Y658" s="430"/>
      <c r="Z658" s="430"/>
      <c r="AA658" s="430"/>
      <c r="AB658" s="444"/>
      <c r="AC658" s="444"/>
      <c r="AD658" s="430"/>
      <c r="AE658" s="430"/>
      <c r="AF658" s="430"/>
      <c r="AG658" s="444"/>
      <c r="AH658" s="444"/>
      <c r="AI658" s="430"/>
      <c r="AJ658" s="430"/>
      <c r="AK658" s="430"/>
      <c r="AL658" s="476"/>
      <c r="AM658" s="430"/>
      <c r="AN658" s="430"/>
      <c r="AO658" s="430"/>
      <c r="AP658" s="430"/>
      <c r="AQ658" s="430"/>
      <c r="AR658" s="430"/>
      <c r="AS658" s="430"/>
      <c r="AT658" s="430"/>
      <c r="AU658" s="430"/>
      <c r="AV658" s="430"/>
      <c r="AW658" s="430"/>
      <c r="AX658" s="430"/>
    </row>
    <row r="659">
      <c r="B659" s="471"/>
      <c r="E659" s="471"/>
      <c r="H659" s="471"/>
      <c r="K659" s="471"/>
      <c r="M659" s="454"/>
      <c r="N659" s="424"/>
      <c r="O659" s="424"/>
      <c r="P659" s="430"/>
      <c r="Q659" s="444"/>
      <c r="R659" s="424"/>
      <c r="S659" s="430"/>
      <c r="T659" s="444"/>
      <c r="U659" s="430"/>
      <c r="V659" s="430"/>
      <c r="W659" s="444"/>
      <c r="X659" s="444"/>
      <c r="Y659" s="430"/>
      <c r="Z659" s="430"/>
      <c r="AA659" s="430"/>
      <c r="AB659" s="444"/>
      <c r="AC659" s="444"/>
      <c r="AD659" s="430"/>
      <c r="AE659" s="430"/>
      <c r="AF659" s="430"/>
      <c r="AG659" s="444"/>
      <c r="AH659" s="444"/>
      <c r="AI659" s="430"/>
      <c r="AJ659" s="430"/>
      <c r="AK659" s="430"/>
      <c r="AL659" s="476"/>
      <c r="AM659" s="430"/>
      <c r="AN659" s="430"/>
      <c r="AO659" s="430"/>
      <c r="AP659" s="430"/>
      <c r="AQ659" s="430"/>
      <c r="AR659" s="430"/>
      <c r="AS659" s="430"/>
      <c r="AT659" s="430"/>
      <c r="AU659" s="430"/>
      <c r="AV659" s="430"/>
      <c r="AW659" s="430"/>
      <c r="AX659" s="430"/>
    </row>
    <row r="660">
      <c r="B660" s="471"/>
      <c r="E660" s="471"/>
      <c r="H660" s="471"/>
      <c r="K660" s="471"/>
      <c r="M660" s="454"/>
      <c r="N660" s="424"/>
      <c r="O660" s="424"/>
      <c r="P660" s="430"/>
      <c r="Q660" s="444"/>
      <c r="R660" s="424"/>
      <c r="S660" s="430"/>
      <c r="T660" s="444"/>
      <c r="U660" s="430"/>
      <c r="V660" s="430"/>
      <c r="W660" s="444"/>
      <c r="X660" s="444"/>
      <c r="Y660" s="430"/>
      <c r="Z660" s="430"/>
      <c r="AA660" s="430"/>
      <c r="AB660" s="444"/>
      <c r="AC660" s="444"/>
      <c r="AD660" s="430"/>
      <c r="AE660" s="430"/>
      <c r="AF660" s="430"/>
      <c r="AG660" s="444"/>
      <c r="AH660" s="444"/>
      <c r="AI660" s="430"/>
      <c r="AJ660" s="430"/>
      <c r="AK660" s="430"/>
      <c r="AL660" s="476"/>
      <c r="AM660" s="430"/>
      <c r="AN660" s="430"/>
      <c r="AO660" s="430"/>
      <c r="AP660" s="430"/>
      <c r="AQ660" s="430"/>
      <c r="AR660" s="430"/>
      <c r="AS660" s="430"/>
      <c r="AT660" s="430"/>
      <c r="AU660" s="430"/>
      <c r="AV660" s="430"/>
      <c r="AW660" s="430"/>
      <c r="AX660" s="430"/>
    </row>
    <row r="661">
      <c r="B661" s="471"/>
      <c r="E661" s="471"/>
      <c r="H661" s="471"/>
      <c r="K661" s="471"/>
      <c r="M661" s="454"/>
      <c r="N661" s="424"/>
      <c r="O661" s="424"/>
      <c r="P661" s="430"/>
      <c r="Q661" s="444"/>
      <c r="R661" s="424"/>
      <c r="S661" s="430"/>
      <c r="T661" s="444"/>
      <c r="U661" s="430"/>
      <c r="V661" s="430"/>
      <c r="W661" s="444"/>
      <c r="X661" s="444"/>
      <c r="Y661" s="430"/>
      <c r="Z661" s="430"/>
      <c r="AA661" s="430"/>
      <c r="AB661" s="444"/>
      <c r="AC661" s="444"/>
      <c r="AD661" s="430"/>
      <c r="AE661" s="430"/>
      <c r="AF661" s="430"/>
      <c r="AG661" s="444"/>
      <c r="AH661" s="444"/>
      <c r="AI661" s="430"/>
      <c r="AJ661" s="430"/>
      <c r="AK661" s="430"/>
      <c r="AL661" s="476"/>
      <c r="AM661" s="430"/>
      <c r="AN661" s="430"/>
      <c r="AO661" s="430"/>
      <c r="AP661" s="430"/>
      <c r="AQ661" s="430"/>
      <c r="AR661" s="430"/>
      <c r="AS661" s="430"/>
      <c r="AT661" s="430"/>
      <c r="AU661" s="430"/>
      <c r="AV661" s="430"/>
      <c r="AW661" s="430"/>
      <c r="AX661" s="430"/>
    </row>
    <row r="662">
      <c r="B662" s="471"/>
      <c r="E662" s="471"/>
      <c r="H662" s="471"/>
      <c r="K662" s="471"/>
      <c r="M662" s="454"/>
      <c r="N662" s="424"/>
      <c r="O662" s="424"/>
      <c r="P662" s="430"/>
      <c r="Q662" s="444"/>
      <c r="R662" s="424"/>
      <c r="S662" s="430"/>
      <c r="T662" s="444"/>
      <c r="U662" s="430"/>
      <c r="V662" s="430"/>
      <c r="W662" s="444"/>
      <c r="X662" s="444"/>
      <c r="Y662" s="430"/>
      <c r="Z662" s="430"/>
      <c r="AA662" s="430"/>
      <c r="AB662" s="444"/>
      <c r="AC662" s="444"/>
      <c r="AD662" s="430"/>
      <c r="AE662" s="430"/>
      <c r="AF662" s="430"/>
      <c r="AG662" s="444"/>
      <c r="AH662" s="444"/>
      <c r="AI662" s="430"/>
      <c r="AJ662" s="430"/>
      <c r="AK662" s="430"/>
      <c r="AL662" s="476"/>
      <c r="AM662" s="430"/>
      <c r="AN662" s="430"/>
      <c r="AO662" s="430"/>
      <c r="AP662" s="430"/>
      <c r="AQ662" s="430"/>
      <c r="AR662" s="430"/>
      <c r="AS662" s="430"/>
      <c r="AT662" s="430"/>
      <c r="AU662" s="430"/>
      <c r="AV662" s="430"/>
      <c r="AW662" s="430"/>
      <c r="AX662" s="430"/>
    </row>
    <row r="663">
      <c r="B663" s="471"/>
      <c r="E663" s="471"/>
      <c r="H663" s="471"/>
      <c r="K663" s="471"/>
      <c r="M663" s="454"/>
      <c r="N663" s="424"/>
      <c r="O663" s="424"/>
      <c r="P663" s="430"/>
      <c r="Q663" s="444"/>
      <c r="R663" s="424"/>
      <c r="S663" s="430"/>
      <c r="T663" s="444"/>
      <c r="U663" s="430"/>
      <c r="V663" s="430"/>
      <c r="W663" s="444"/>
      <c r="X663" s="444"/>
      <c r="Y663" s="430"/>
      <c r="Z663" s="430"/>
      <c r="AA663" s="430"/>
      <c r="AB663" s="444"/>
      <c r="AC663" s="444"/>
      <c r="AD663" s="430"/>
      <c r="AE663" s="430"/>
      <c r="AF663" s="430"/>
      <c r="AG663" s="444"/>
      <c r="AH663" s="444"/>
      <c r="AI663" s="430"/>
      <c r="AJ663" s="430"/>
      <c r="AK663" s="430"/>
      <c r="AL663" s="476"/>
      <c r="AM663" s="430"/>
      <c r="AN663" s="430"/>
      <c r="AO663" s="430"/>
      <c r="AP663" s="430"/>
      <c r="AQ663" s="430"/>
      <c r="AR663" s="430"/>
      <c r="AS663" s="430"/>
      <c r="AT663" s="430"/>
      <c r="AU663" s="430"/>
      <c r="AV663" s="430"/>
      <c r="AW663" s="430"/>
      <c r="AX663" s="430"/>
    </row>
    <row r="664">
      <c r="B664" s="471"/>
      <c r="E664" s="471"/>
      <c r="H664" s="471"/>
      <c r="K664" s="471"/>
      <c r="M664" s="454"/>
      <c r="N664" s="424"/>
      <c r="O664" s="424"/>
      <c r="P664" s="430"/>
      <c r="Q664" s="444"/>
      <c r="R664" s="424"/>
      <c r="S664" s="430"/>
      <c r="T664" s="444"/>
      <c r="U664" s="430"/>
      <c r="V664" s="430"/>
      <c r="W664" s="444"/>
      <c r="X664" s="444"/>
      <c r="Y664" s="430"/>
      <c r="Z664" s="430"/>
      <c r="AA664" s="430"/>
      <c r="AB664" s="444"/>
      <c r="AC664" s="444"/>
      <c r="AD664" s="430"/>
      <c r="AE664" s="430"/>
      <c r="AF664" s="430"/>
      <c r="AG664" s="444"/>
      <c r="AH664" s="444"/>
      <c r="AI664" s="430"/>
      <c r="AJ664" s="430"/>
      <c r="AK664" s="430"/>
      <c r="AL664" s="476"/>
      <c r="AM664" s="430"/>
      <c r="AN664" s="430"/>
      <c r="AO664" s="430"/>
      <c r="AP664" s="430"/>
      <c r="AQ664" s="430"/>
      <c r="AR664" s="430"/>
      <c r="AS664" s="430"/>
      <c r="AT664" s="430"/>
      <c r="AU664" s="430"/>
      <c r="AV664" s="430"/>
      <c r="AW664" s="430"/>
      <c r="AX664" s="430"/>
    </row>
    <row r="665">
      <c r="B665" s="471"/>
      <c r="E665" s="471"/>
      <c r="H665" s="471"/>
      <c r="K665" s="471"/>
      <c r="M665" s="454"/>
      <c r="N665" s="424"/>
      <c r="O665" s="424"/>
      <c r="P665" s="430"/>
      <c r="Q665" s="444"/>
      <c r="R665" s="424"/>
      <c r="S665" s="430"/>
      <c r="T665" s="444"/>
      <c r="U665" s="430"/>
      <c r="V665" s="430"/>
      <c r="W665" s="444"/>
      <c r="X665" s="444"/>
      <c r="Y665" s="430"/>
      <c r="Z665" s="430"/>
      <c r="AA665" s="430"/>
      <c r="AB665" s="444"/>
      <c r="AC665" s="444"/>
      <c r="AD665" s="430"/>
      <c r="AE665" s="430"/>
      <c r="AF665" s="430"/>
      <c r="AG665" s="444"/>
      <c r="AH665" s="444"/>
      <c r="AI665" s="430"/>
      <c r="AJ665" s="430"/>
      <c r="AK665" s="430"/>
      <c r="AL665" s="476"/>
      <c r="AM665" s="430"/>
      <c r="AN665" s="430"/>
      <c r="AO665" s="430"/>
      <c r="AP665" s="430"/>
      <c r="AQ665" s="430"/>
      <c r="AR665" s="430"/>
      <c r="AS665" s="430"/>
      <c r="AT665" s="430"/>
      <c r="AU665" s="430"/>
      <c r="AV665" s="430"/>
      <c r="AW665" s="430"/>
      <c r="AX665" s="430"/>
    </row>
    <row r="666">
      <c r="B666" s="471"/>
      <c r="E666" s="471"/>
      <c r="H666" s="471"/>
      <c r="K666" s="471"/>
      <c r="M666" s="454"/>
      <c r="N666" s="424"/>
      <c r="O666" s="424"/>
      <c r="P666" s="430"/>
      <c r="Q666" s="444"/>
      <c r="R666" s="424"/>
      <c r="S666" s="430"/>
      <c r="T666" s="444"/>
      <c r="U666" s="430"/>
      <c r="V666" s="430"/>
      <c r="W666" s="444"/>
      <c r="X666" s="444"/>
      <c r="Y666" s="430"/>
      <c r="Z666" s="430"/>
      <c r="AA666" s="430"/>
      <c r="AB666" s="444"/>
      <c r="AC666" s="444"/>
      <c r="AD666" s="430"/>
      <c r="AE666" s="430"/>
      <c r="AF666" s="430"/>
      <c r="AG666" s="444"/>
      <c r="AH666" s="444"/>
      <c r="AI666" s="430"/>
      <c r="AJ666" s="430"/>
      <c r="AK666" s="430"/>
      <c r="AL666" s="476"/>
      <c r="AM666" s="430"/>
      <c r="AN666" s="430"/>
      <c r="AO666" s="430"/>
      <c r="AP666" s="430"/>
      <c r="AQ666" s="430"/>
      <c r="AR666" s="430"/>
      <c r="AS666" s="430"/>
      <c r="AT666" s="430"/>
      <c r="AU666" s="430"/>
      <c r="AV666" s="430"/>
      <c r="AW666" s="430"/>
      <c r="AX666" s="430"/>
    </row>
    <row r="667">
      <c r="B667" s="471"/>
      <c r="E667" s="471"/>
      <c r="H667" s="471"/>
      <c r="K667" s="471"/>
      <c r="M667" s="454"/>
      <c r="N667" s="424"/>
      <c r="O667" s="424"/>
      <c r="P667" s="430"/>
      <c r="Q667" s="444"/>
      <c r="R667" s="424"/>
      <c r="S667" s="430"/>
      <c r="T667" s="444"/>
      <c r="U667" s="430"/>
      <c r="V667" s="430"/>
      <c r="W667" s="444"/>
      <c r="X667" s="444"/>
      <c r="Y667" s="430"/>
      <c r="Z667" s="430"/>
      <c r="AA667" s="430"/>
      <c r="AB667" s="444"/>
      <c r="AC667" s="444"/>
      <c r="AD667" s="430"/>
      <c r="AE667" s="430"/>
      <c r="AF667" s="430"/>
      <c r="AG667" s="444"/>
      <c r="AH667" s="444"/>
      <c r="AI667" s="430"/>
      <c r="AJ667" s="430"/>
      <c r="AK667" s="430"/>
      <c r="AL667" s="476"/>
      <c r="AM667" s="430"/>
      <c r="AN667" s="430"/>
      <c r="AO667" s="430"/>
      <c r="AP667" s="430"/>
      <c r="AQ667" s="430"/>
      <c r="AR667" s="430"/>
      <c r="AS667" s="430"/>
      <c r="AT667" s="430"/>
      <c r="AU667" s="430"/>
      <c r="AV667" s="430"/>
      <c r="AW667" s="430"/>
      <c r="AX667" s="430"/>
    </row>
    <row r="668">
      <c r="B668" s="471"/>
      <c r="E668" s="471"/>
      <c r="H668" s="471"/>
      <c r="K668" s="471"/>
      <c r="M668" s="454"/>
      <c r="N668" s="424"/>
      <c r="O668" s="424"/>
      <c r="P668" s="430"/>
      <c r="Q668" s="444"/>
      <c r="R668" s="424"/>
      <c r="S668" s="430"/>
      <c r="T668" s="444"/>
      <c r="U668" s="430"/>
      <c r="V668" s="430"/>
      <c r="W668" s="444"/>
      <c r="X668" s="444"/>
      <c r="Y668" s="430"/>
      <c r="Z668" s="430"/>
      <c r="AA668" s="430"/>
      <c r="AB668" s="444"/>
      <c r="AC668" s="444"/>
      <c r="AD668" s="430"/>
      <c r="AE668" s="430"/>
      <c r="AF668" s="430"/>
      <c r="AG668" s="444"/>
      <c r="AH668" s="444"/>
      <c r="AI668" s="430"/>
      <c r="AJ668" s="430"/>
      <c r="AK668" s="430"/>
      <c r="AL668" s="476"/>
      <c r="AM668" s="430"/>
      <c r="AN668" s="430"/>
      <c r="AO668" s="430"/>
      <c r="AP668" s="430"/>
      <c r="AQ668" s="430"/>
      <c r="AR668" s="430"/>
      <c r="AS668" s="430"/>
      <c r="AT668" s="430"/>
      <c r="AU668" s="430"/>
      <c r="AV668" s="430"/>
      <c r="AW668" s="430"/>
      <c r="AX668" s="430"/>
    </row>
    <row r="669">
      <c r="B669" s="471"/>
      <c r="E669" s="471"/>
      <c r="H669" s="471"/>
      <c r="K669" s="471"/>
      <c r="M669" s="454"/>
      <c r="N669" s="424"/>
      <c r="O669" s="424"/>
      <c r="P669" s="430"/>
      <c r="Q669" s="444"/>
      <c r="R669" s="424"/>
      <c r="S669" s="430"/>
      <c r="T669" s="444"/>
      <c r="U669" s="430"/>
      <c r="V669" s="430"/>
      <c r="W669" s="444"/>
      <c r="X669" s="444"/>
      <c r="Y669" s="430"/>
      <c r="Z669" s="430"/>
      <c r="AA669" s="430"/>
      <c r="AB669" s="444"/>
      <c r="AC669" s="444"/>
      <c r="AD669" s="430"/>
      <c r="AE669" s="430"/>
      <c r="AF669" s="430"/>
      <c r="AG669" s="444"/>
      <c r="AH669" s="444"/>
      <c r="AI669" s="430"/>
      <c r="AJ669" s="430"/>
      <c r="AK669" s="430"/>
      <c r="AL669" s="476"/>
      <c r="AM669" s="430"/>
      <c r="AN669" s="430"/>
      <c r="AO669" s="430"/>
      <c r="AP669" s="430"/>
      <c r="AQ669" s="430"/>
      <c r="AR669" s="430"/>
      <c r="AS669" s="430"/>
      <c r="AT669" s="430"/>
      <c r="AU669" s="430"/>
      <c r="AV669" s="430"/>
      <c r="AW669" s="430"/>
      <c r="AX669" s="430"/>
    </row>
    <row r="670">
      <c r="B670" s="471"/>
      <c r="E670" s="471"/>
      <c r="H670" s="471"/>
      <c r="K670" s="471"/>
      <c r="M670" s="454"/>
      <c r="N670" s="424"/>
      <c r="O670" s="424"/>
      <c r="P670" s="430"/>
      <c r="Q670" s="444"/>
      <c r="R670" s="424"/>
      <c r="S670" s="430"/>
      <c r="T670" s="444"/>
      <c r="U670" s="430"/>
      <c r="V670" s="430"/>
      <c r="W670" s="444"/>
      <c r="X670" s="444"/>
      <c r="Y670" s="430"/>
      <c r="Z670" s="430"/>
      <c r="AA670" s="430"/>
      <c r="AB670" s="444"/>
      <c r="AC670" s="444"/>
      <c r="AD670" s="430"/>
      <c r="AE670" s="430"/>
      <c r="AF670" s="430"/>
      <c r="AG670" s="444"/>
      <c r="AH670" s="444"/>
      <c r="AI670" s="430"/>
      <c r="AJ670" s="430"/>
      <c r="AK670" s="430"/>
      <c r="AL670" s="476"/>
      <c r="AM670" s="430"/>
      <c r="AN670" s="430"/>
      <c r="AO670" s="430"/>
      <c r="AP670" s="430"/>
      <c r="AQ670" s="430"/>
      <c r="AR670" s="430"/>
      <c r="AS670" s="430"/>
      <c r="AT670" s="430"/>
      <c r="AU670" s="430"/>
      <c r="AV670" s="430"/>
      <c r="AW670" s="430"/>
      <c r="AX670" s="430"/>
    </row>
    <row r="671">
      <c r="B671" s="471"/>
      <c r="E671" s="471"/>
      <c r="H671" s="471"/>
      <c r="K671" s="471"/>
      <c r="M671" s="454"/>
      <c r="N671" s="424"/>
      <c r="O671" s="424"/>
      <c r="P671" s="430"/>
      <c r="Q671" s="444"/>
      <c r="R671" s="424"/>
      <c r="S671" s="430"/>
      <c r="T671" s="444"/>
      <c r="U671" s="430"/>
      <c r="V671" s="430"/>
      <c r="W671" s="444"/>
      <c r="X671" s="444"/>
      <c r="Y671" s="430"/>
      <c r="Z671" s="430"/>
      <c r="AA671" s="430"/>
      <c r="AB671" s="444"/>
      <c r="AC671" s="444"/>
      <c r="AD671" s="430"/>
      <c r="AE671" s="430"/>
      <c r="AF671" s="430"/>
      <c r="AG671" s="444"/>
      <c r="AH671" s="444"/>
      <c r="AI671" s="430"/>
      <c r="AJ671" s="430"/>
      <c r="AK671" s="430"/>
      <c r="AL671" s="476"/>
      <c r="AM671" s="430"/>
      <c r="AN671" s="430"/>
      <c r="AO671" s="430"/>
      <c r="AP671" s="430"/>
      <c r="AQ671" s="430"/>
      <c r="AR671" s="430"/>
      <c r="AS671" s="430"/>
      <c r="AT671" s="430"/>
      <c r="AU671" s="430"/>
      <c r="AV671" s="430"/>
      <c r="AW671" s="430"/>
      <c r="AX671" s="430"/>
    </row>
    <row r="672">
      <c r="B672" s="471"/>
      <c r="E672" s="471"/>
      <c r="H672" s="471"/>
      <c r="K672" s="471"/>
      <c r="M672" s="454"/>
      <c r="N672" s="424"/>
      <c r="O672" s="424"/>
      <c r="P672" s="430"/>
      <c r="Q672" s="444"/>
      <c r="R672" s="424"/>
      <c r="S672" s="430"/>
      <c r="T672" s="444"/>
      <c r="U672" s="430"/>
      <c r="V672" s="430"/>
      <c r="W672" s="444"/>
      <c r="X672" s="444"/>
      <c r="Y672" s="430"/>
      <c r="Z672" s="430"/>
      <c r="AA672" s="430"/>
      <c r="AB672" s="444"/>
      <c r="AC672" s="444"/>
      <c r="AD672" s="430"/>
      <c r="AE672" s="430"/>
      <c r="AF672" s="430"/>
      <c r="AG672" s="444"/>
      <c r="AH672" s="444"/>
      <c r="AI672" s="430"/>
      <c r="AJ672" s="430"/>
      <c r="AK672" s="430"/>
      <c r="AL672" s="476"/>
      <c r="AM672" s="430"/>
      <c r="AN672" s="430"/>
      <c r="AO672" s="430"/>
      <c r="AP672" s="430"/>
      <c r="AQ672" s="430"/>
      <c r="AR672" s="430"/>
      <c r="AS672" s="430"/>
      <c r="AT672" s="430"/>
      <c r="AU672" s="430"/>
      <c r="AV672" s="430"/>
      <c r="AW672" s="430"/>
      <c r="AX672" s="430"/>
    </row>
    <row r="673">
      <c r="B673" s="471"/>
      <c r="E673" s="471"/>
      <c r="H673" s="471"/>
      <c r="K673" s="471"/>
      <c r="M673" s="454"/>
      <c r="N673" s="424"/>
      <c r="O673" s="424"/>
      <c r="P673" s="430"/>
      <c r="Q673" s="444"/>
      <c r="R673" s="424"/>
      <c r="S673" s="430"/>
      <c r="T673" s="444"/>
      <c r="U673" s="430"/>
      <c r="V673" s="430"/>
      <c r="W673" s="444"/>
      <c r="X673" s="444"/>
      <c r="Y673" s="430"/>
      <c r="Z673" s="430"/>
      <c r="AA673" s="430"/>
      <c r="AB673" s="444"/>
      <c r="AC673" s="444"/>
      <c r="AD673" s="430"/>
      <c r="AE673" s="430"/>
      <c r="AF673" s="430"/>
      <c r="AG673" s="444"/>
      <c r="AH673" s="444"/>
      <c r="AI673" s="430"/>
      <c r="AJ673" s="430"/>
      <c r="AK673" s="430"/>
      <c r="AL673" s="476"/>
      <c r="AM673" s="430"/>
      <c r="AN673" s="430"/>
      <c r="AO673" s="430"/>
      <c r="AP673" s="430"/>
      <c r="AQ673" s="430"/>
      <c r="AR673" s="430"/>
      <c r="AS673" s="430"/>
      <c r="AT673" s="430"/>
      <c r="AU673" s="430"/>
      <c r="AV673" s="430"/>
      <c r="AW673" s="430"/>
      <c r="AX673" s="430"/>
    </row>
    <row r="674">
      <c r="B674" s="471"/>
      <c r="E674" s="471"/>
      <c r="H674" s="471"/>
      <c r="K674" s="471"/>
      <c r="M674" s="454"/>
      <c r="N674" s="424"/>
      <c r="O674" s="424"/>
      <c r="P674" s="430"/>
      <c r="Q674" s="444"/>
      <c r="R674" s="424"/>
      <c r="S674" s="430"/>
      <c r="T674" s="444"/>
      <c r="U674" s="430"/>
      <c r="V674" s="430"/>
      <c r="W674" s="444"/>
      <c r="X674" s="444"/>
      <c r="Y674" s="430"/>
      <c r="Z674" s="430"/>
      <c r="AA674" s="430"/>
      <c r="AB674" s="444"/>
      <c r="AC674" s="444"/>
      <c r="AD674" s="430"/>
      <c r="AE674" s="430"/>
      <c r="AF674" s="430"/>
      <c r="AG674" s="444"/>
      <c r="AH674" s="444"/>
      <c r="AI674" s="430"/>
      <c r="AJ674" s="430"/>
      <c r="AK674" s="430"/>
      <c r="AL674" s="476"/>
      <c r="AM674" s="430"/>
      <c r="AN674" s="430"/>
      <c r="AO674" s="430"/>
      <c r="AP674" s="430"/>
      <c r="AQ674" s="430"/>
      <c r="AR674" s="430"/>
      <c r="AS674" s="430"/>
      <c r="AT674" s="430"/>
      <c r="AU674" s="430"/>
      <c r="AV674" s="430"/>
      <c r="AW674" s="430"/>
      <c r="AX674" s="430"/>
    </row>
    <row r="675">
      <c r="B675" s="471"/>
      <c r="E675" s="471"/>
      <c r="H675" s="471"/>
      <c r="K675" s="471"/>
      <c r="M675" s="454"/>
      <c r="N675" s="424"/>
      <c r="O675" s="424"/>
      <c r="P675" s="430"/>
      <c r="Q675" s="444"/>
      <c r="R675" s="424"/>
      <c r="S675" s="430"/>
      <c r="T675" s="444"/>
      <c r="U675" s="430"/>
      <c r="V675" s="430"/>
      <c r="W675" s="444"/>
      <c r="X675" s="444"/>
      <c r="Y675" s="430"/>
      <c r="Z675" s="430"/>
      <c r="AA675" s="430"/>
      <c r="AB675" s="444"/>
      <c r="AC675" s="444"/>
      <c r="AD675" s="430"/>
      <c r="AE675" s="430"/>
      <c r="AF675" s="430"/>
      <c r="AG675" s="444"/>
      <c r="AH675" s="444"/>
      <c r="AI675" s="430"/>
      <c r="AJ675" s="430"/>
      <c r="AK675" s="430"/>
      <c r="AL675" s="476"/>
      <c r="AM675" s="430"/>
      <c r="AN675" s="430"/>
      <c r="AO675" s="430"/>
      <c r="AP675" s="430"/>
      <c r="AQ675" s="430"/>
      <c r="AR675" s="430"/>
      <c r="AS675" s="430"/>
      <c r="AT675" s="430"/>
      <c r="AU675" s="430"/>
      <c r="AV675" s="430"/>
      <c r="AW675" s="430"/>
      <c r="AX675" s="430"/>
    </row>
    <row r="676">
      <c r="B676" s="471"/>
      <c r="E676" s="471"/>
      <c r="H676" s="471"/>
      <c r="K676" s="471"/>
      <c r="M676" s="454"/>
      <c r="N676" s="424"/>
      <c r="O676" s="424"/>
      <c r="P676" s="430"/>
      <c r="Q676" s="444"/>
      <c r="R676" s="424"/>
      <c r="S676" s="430"/>
      <c r="T676" s="444"/>
      <c r="U676" s="430"/>
      <c r="V676" s="430"/>
      <c r="W676" s="444"/>
      <c r="X676" s="444"/>
      <c r="Y676" s="430"/>
      <c r="Z676" s="430"/>
      <c r="AA676" s="430"/>
      <c r="AB676" s="444"/>
      <c r="AC676" s="444"/>
      <c r="AD676" s="430"/>
      <c r="AE676" s="430"/>
      <c r="AF676" s="430"/>
      <c r="AG676" s="444"/>
      <c r="AH676" s="444"/>
      <c r="AI676" s="430"/>
      <c r="AJ676" s="430"/>
      <c r="AK676" s="430"/>
      <c r="AL676" s="476"/>
      <c r="AM676" s="430"/>
      <c r="AN676" s="430"/>
      <c r="AO676" s="430"/>
      <c r="AP676" s="430"/>
      <c r="AQ676" s="430"/>
      <c r="AR676" s="430"/>
      <c r="AS676" s="430"/>
      <c r="AT676" s="430"/>
      <c r="AU676" s="430"/>
      <c r="AV676" s="430"/>
      <c r="AW676" s="430"/>
      <c r="AX676" s="430"/>
    </row>
    <row r="677">
      <c r="B677" s="471"/>
      <c r="E677" s="471"/>
      <c r="H677" s="471"/>
      <c r="K677" s="471"/>
      <c r="M677" s="454"/>
      <c r="N677" s="424"/>
      <c r="O677" s="424"/>
      <c r="P677" s="430"/>
      <c r="Q677" s="444"/>
      <c r="R677" s="424"/>
      <c r="S677" s="430"/>
      <c r="T677" s="444"/>
      <c r="U677" s="430"/>
      <c r="V677" s="430"/>
      <c r="W677" s="444"/>
      <c r="X677" s="444"/>
      <c r="Y677" s="430"/>
      <c r="Z677" s="430"/>
      <c r="AA677" s="430"/>
      <c r="AB677" s="444"/>
      <c r="AC677" s="444"/>
      <c r="AD677" s="430"/>
      <c r="AE677" s="430"/>
      <c r="AF677" s="430"/>
      <c r="AG677" s="444"/>
      <c r="AH677" s="444"/>
      <c r="AI677" s="430"/>
      <c r="AJ677" s="430"/>
      <c r="AK677" s="430"/>
      <c r="AL677" s="476"/>
      <c r="AM677" s="430"/>
      <c r="AN677" s="430"/>
      <c r="AO677" s="430"/>
      <c r="AP677" s="430"/>
      <c r="AQ677" s="430"/>
      <c r="AR677" s="430"/>
      <c r="AS677" s="430"/>
      <c r="AT677" s="430"/>
      <c r="AU677" s="430"/>
      <c r="AV677" s="430"/>
      <c r="AW677" s="430"/>
      <c r="AX677" s="430"/>
    </row>
    <row r="678">
      <c r="B678" s="471"/>
      <c r="E678" s="471"/>
      <c r="H678" s="471"/>
      <c r="K678" s="471"/>
      <c r="M678" s="454"/>
      <c r="N678" s="424"/>
      <c r="O678" s="424"/>
      <c r="P678" s="430"/>
      <c r="Q678" s="444"/>
      <c r="R678" s="424"/>
      <c r="S678" s="430"/>
      <c r="T678" s="444"/>
      <c r="U678" s="430"/>
      <c r="V678" s="430"/>
      <c r="W678" s="444"/>
      <c r="X678" s="444"/>
      <c r="Y678" s="430"/>
      <c r="Z678" s="430"/>
      <c r="AA678" s="430"/>
      <c r="AB678" s="444"/>
      <c r="AC678" s="444"/>
      <c r="AD678" s="430"/>
      <c r="AE678" s="430"/>
      <c r="AF678" s="430"/>
      <c r="AG678" s="444"/>
      <c r="AH678" s="444"/>
      <c r="AI678" s="430"/>
      <c r="AJ678" s="430"/>
      <c r="AK678" s="430"/>
      <c r="AL678" s="476"/>
      <c r="AM678" s="430"/>
      <c r="AN678" s="430"/>
      <c r="AO678" s="430"/>
      <c r="AP678" s="430"/>
      <c r="AQ678" s="430"/>
      <c r="AR678" s="430"/>
      <c r="AS678" s="430"/>
      <c r="AT678" s="430"/>
      <c r="AU678" s="430"/>
      <c r="AV678" s="430"/>
      <c r="AW678" s="430"/>
      <c r="AX678" s="430"/>
    </row>
    <row r="679">
      <c r="B679" s="471"/>
      <c r="E679" s="471"/>
      <c r="H679" s="471"/>
      <c r="K679" s="471"/>
      <c r="M679" s="454"/>
      <c r="N679" s="424"/>
      <c r="O679" s="424"/>
      <c r="P679" s="430"/>
      <c r="Q679" s="444"/>
      <c r="R679" s="424"/>
      <c r="S679" s="430"/>
      <c r="T679" s="444"/>
      <c r="U679" s="430"/>
      <c r="V679" s="430"/>
      <c r="W679" s="444"/>
      <c r="X679" s="444"/>
      <c r="Y679" s="430"/>
      <c r="Z679" s="430"/>
      <c r="AA679" s="430"/>
      <c r="AB679" s="444"/>
      <c r="AC679" s="444"/>
      <c r="AD679" s="430"/>
      <c r="AE679" s="430"/>
      <c r="AF679" s="430"/>
      <c r="AG679" s="444"/>
      <c r="AH679" s="444"/>
      <c r="AI679" s="430"/>
      <c r="AJ679" s="430"/>
      <c r="AK679" s="430"/>
      <c r="AL679" s="476"/>
      <c r="AM679" s="430"/>
      <c r="AN679" s="430"/>
      <c r="AO679" s="430"/>
      <c r="AP679" s="430"/>
      <c r="AQ679" s="430"/>
      <c r="AR679" s="430"/>
      <c r="AS679" s="430"/>
      <c r="AT679" s="430"/>
      <c r="AU679" s="430"/>
      <c r="AV679" s="430"/>
      <c r="AW679" s="430"/>
      <c r="AX679" s="430"/>
    </row>
    <row r="680">
      <c r="B680" s="471"/>
      <c r="E680" s="471"/>
      <c r="H680" s="471"/>
      <c r="K680" s="471"/>
      <c r="M680" s="454"/>
      <c r="N680" s="424"/>
      <c r="O680" s="424"/>
      <c r="P680" s="430"/>
      <c r="Q680" s="444"/>
      <c r="R680" s="424"/>
      <c r="S680" s="430"/>
      <c r="T680" s="444"/>
      <c r="U680" s="430"/>
      <c r="V680" s="430"/>
      <c r="W680" s="444"/>
      <c r="X680" s="444"/>
      <c r="Y680" s="430"/>
      <c r="Z680" s="430"/>
      <c r="AA680" s="430"/>
      <c r="AB680" s="444"/>
      <c r="AC680" s="444"/>
      <c r="AD680" s="430"/>
      <c r="AE680" s="430"/>
      <c r="AF680" s="430"/>
      <c r="AG680" s="444"/>
      <c r="AH680" s="444"/>
      <c r="AI680" s="430"/>
      <c r="AJ680" s="430"/>
      <c r="AK680" s="430"/>
      <c r="AL680" s="476"/>
      <c r="AM680" s="430"/>
      <c r="AN680" s="430"/>
      <c r="AO680" s="430"/>
      <c r="AP680" s="430"/>
      <c r="AQ680" s="430"/>
      <c r="AR680" s="430"/>
      <c r="AS680" s="430"/>
      <c r="AT680" s="430"/>
      <c r="AU680" s="430"/>
      <c r="AV680" s="430"/>
      <c r="AW680" s="430"/>
      <c r="AX680" s="430"/>
    </row>
    <row r="681">
      <c r="B681" s="471"/>
      <c r="E681" s="471"/>
      <c r="H681" s="471"/>
      <c r="K681" s="471"/>
      <c r="M681" s="454"/>
      <c r="N681" s="424"/>
      <c r="O681" s="424"/>
      <c r="P681" s="430"/>
      <c r="Q681" s="444"/>
      <c r="R681" s="424"/>
      <c r="S681" s="430"/>
      <c r="T681" s="444"/>
      <c r="U681" s="430"/>
      <c r="V681" s="430"/>
      <c r="W681" s="444"/>
      <c r="X681" s="444"/>
      <c r="Y681" s="430"/>
      <c r="Z681" s="430"/>
      <c r="AA681" s="430"/>
      <c r="AB681" s="444"/>
      <c r="AC681" s="444"/>
      <c r="AD681" s="430"/>
      <c r="AE681" s="430"/>
      <c r="AF681" s="430"/>
      <c r="AG681" s="444"/>
      <c r="AH681" s="444"/>
      <c r="AI681" s="430"/>
      <c r="AJ681" s="430"/>
      <c r="AK681" s="430"/>
      <c r="AL681" s="476"/>
      <c r="AM681" s="430"/>
      <c r="AN681" s="430"/>
      <c r="AO681" s="430"/>
      <c r="AP681" s="430"/>
      <c r="AQ681" s="430"/>
      <c r="AR681" s="430"/>
      <c r="AS681" s="430"/>
      <c r="AT681" s="430"/>
      <c r="AU681" s="430"/>
      <c r="AV681" s="430"/>
      <c r="AW681" s="430"/>
      <c r="AX681" s="430"/>
    </row>
    <row r="682">
      <c r="B682" s="471"/>
      <c r="E682" s="471"/>
      <c r="H682" s="471"/>
      <c r="K682" s="471"/>
      <c r="M682" s="454"/>
      <c r="N682" s="424"/>
      <c r="O682" s="424"/>
      <c r="P682" s="430"/>
      <c r="Q682" s="444"/>
      <c r="R682" s="424"/>
      <c r="S682" s="430"/>
      <c r="T682" s="444"/>
      <c r="U682" s="430"/>
      <c r="V682" s="430"/>
      <c r="W682" s="444"/>
      <c r="X682" s="444"/>
      <c r="Y682" s="430"/>
      <c r="Z682" s="430"/>
      <c r="AA682" s="430"/>
      <c r="AB682" s="444"/>
      <c r="AC682" s="444"/>
      <c r="AD682" s="430"/>
      <c r="AE682" s="430"/>
      <c r="AF682" s="430"/>
      <c r="AG682" s="444"/>
      <c r="AH682" s="444"/>
      <c r="AI682" s="430"/>
      <c r="AJ682" s="430"/>
      <c r="AK682" s="430"/>
      <c r="AL682" s="476"/>
      <c r="AM682" s="430"/>
      <c r="AN682" s="430"/>
      <c r="AO682" s="430"/>
      <c r="AP682" s="430"/>
      <c r="AQ682" s="430"/>
      <c r="AR682" s="430"/>
      <c r="AS682" s="430"/>
      <c r="AT682" s="430"/>
      <c r="AU682" s="430"/>
      <c r="AV682" s="430"/>
      <c r="AW682" s="430"/>
      <c r="AX682" s="430"/>
    </row>
    <row r="683">
      <c r="B683" s="471"/>
      <c r="E683" s="471"/>
      <c r="H683" s="471"/>
      <c r="K683" s="471"/>
      <c r="M683" s="454"/>
      <c r="N683" s="424"/>
      <c r="O683" s="424"/>
      <c r="P683" s="430"/>
      <c r="Q683" s="444"/>
      <c r="R683" s="424"/>
      <c r="S683" s="430"/>
      <c r="T683" s="444"/>
      <c r="U683" s="430"/>
      <c r="V683" s="430"/>
      <c r="W683" s="444"/>
      <c r="X683" s="444"/>
      <c r="Y683" s="430"/>
      <c r="Z683" s="430"/>
      <c r="AA683" s="430"/>
      <c r="AB683" s="444"/>
      <c r="AC683" s="444"/>
      <c r="AD683" s="430"/>
      <c r="AE683" s="430"/>
      <c r="AF683" s="430"/>
      <c r="AG683" s="444"/>
      <c r="AH683" s="444"/>
      <c r="AI683" s="430"/>
      <c r="AJ683" s="430"/>
      <c r="AK683" s="430"/>
      <c r="AL683" s="476"/>
      <c r="AM683" s="430"/>
      <c r="AN683" s="430"/>
      <c r="AO683" s="430"/>
      <c r="AP683" s="430"/>
      <c r="AQ683" s="430"/>
      <c r="AR683" s="430"/>
      <c r="AS683" s="430"/>
      <c r="AT683" s="430"/>
      <c r="AU683" s="430"/>
      <c r="AV683" s="430"/>
      <c r="AW683" s="430"/>
      <c r="AX683" s="430"/>
    </row>
    <row r="684">
      <c r="B684" s="471"/>
      <c r="E684" s="471"/>
      <c r="H684" s="471"/>
      <c r="K684" s="471"/>
      <c r="M684" s="454"/>
      <c r="N684" s="424"/>
      <c r="O684" s="424"/>
      <c r="P684" s="430"/>
      <c r="Q684" s="444"/>
      <c r="R684" s="424"/>
      <c r="S684" s="430"/>
      <c r="T684" s="444"/>
      <c r="U684" s="430"/>
      <c r="V684" s="430"/>
      <c r="W684" s="444"/>
      <c r="X684" s="444"/>
      <c r="Y684" s="430"/>
      <c r="Z684" s="430"/>
      <c r="AA684" s="430"/>
      <c r="AB684" s="444"/>
      <c r="AC684" s="444"/>
      <c r="AD684" s="430"/>
      <c r="AE684" s="430"/>
      <c r="AF684" s="430"/>
      <c r="AG684" s="444"/>
      <c r="AH684" s="444"/>
      <c r="AI684" s="430"/>
      <c r="AJ684" s="430"/>
      <c r="AK684" s="430"/>
      <c r="AL684" s="476"/>
      <c r="AM684" s="430"/>
      <c r="AN684" s="430"/>
      <c r="AO684" s="430"/>
      <c r="AP684" s="430"/>
      <c r="AQ684" s="430"/>
      <c r="AR684" s="430"/>
      <c r="AS684" s="430"/>
      <c r="AT684" s="430"/>
      <c r="AU684" s="430"/>
      <c r="AV684" s="430"/>
      <c r="AW684" s="430"/>
      <c r="AX684" s="430"/>
    </row>
    <row r="685">
      <c r="B685" s="471"/>
      <c r="E685" s="471"/>
      <c r="H685" s="471"/>
      <c r="K685" s="471"/>
      <c r="M685" s="454"/>
      <c r="N685" s="424"/>
      <c r="O685" s="424"/>
      <c r="P685" s="430"/>
      <c r="Q685" s="444"/>
      <c r="R685" s="424"/>
      <c r="S685" s="430"/>
      <c r="T685" s="444"/>
      <c r="U685" s="430"/>
      <c r="V685" s="430"/>
      <c r="W685" s="444"/>
      <c r="X685" s="444"/>
      <c r="Y685" s="430"/>
      <c r="Z685" s="430"/>
      <c r="AA685" s="430"/>
      <c r="AB685" s="444"/>
      <c r="AC685" s="444"/>
      <c r="AD685" s="430"/>
      <c r="AE685" s="430"/>
      <c r="AF685" s="430"/>
      <c r="AG685" s="444"/>
      <c r="AH685" s="444"/>
      <c r="AI685" s="430"/>
      <c r="AJ685" s="430"/>
      <c r="AK685" s="430"/>
      <c r="AL685" s="476"/>
      <c r="AM685" s="430"/>
      <c r="AN685" s="430"/>
      <c r="AO685" s="430"/>
      <c r="AP685" s="430"/>
      <c r="AQ685" s="430"/>
      <c r="AR685" s="430"/>
      <c r="AS685" s="430"/>
      <c r="AT685" s="430"/>
      <c r="AU685" s="430"/>
      <c r="AV685" s="430"/>
      <c r="AW685" s="430"/>
      <c r="AX685" s="430"/>
    </row>
    <row r="686">
      <c r="B686" s="471"/>
      <c r="E686" s="471"/>
      <c r="H686" s="471"/>
      <c r="K686" s="471"/>
      <c r="M686" s="454"/>
      <c r="N686" s="424"/>
      <c r="O686" s="424"/>
      <c r="P686" s="430"/>
      <c r="Q686" s="444"/>
      <c r="R686" s="424"/>
      <c r="S686" s="430"/>
      <c r="T686" s="444"/>
      <c r="U686" s="430"/>
      <c r="V686" s="430"/>
      <c r="W686" s="444"/>
      <c r="X686" s="444"/>
      <c r="Y686" s="430"/>
      <c r="Z686" s="430"/>
      <c r="AA686" s="430"/>
      <c r="AB686" s="444"/>
      <c r="AC686" s="444"/>
      <c r="AD686" s="430"/>
      <c r="AE686" s="430"/>
      <c r="AF686" s="430"/>
      <c r="AG686" s="444"/>
      <c r="AH686" s="444"/>
      <c r="AI686" s="430"/>
      <c r="AJ686" s="430"/>
      <c r="AK686" s="430"/>
      <c r="AL686" s="476"/>
      <c r="AM686" s="430"/>
      <c r="AN686" s="430"/>
      <c r="AO686" s="430"/>
      <c r="AP686" s="430"/>
      <c r="AQ686" s="430"/>
      <c r="AR686" s="430"/>
      <c r="AS686" s="430"/>
      <c r="AT686" s="430"/>
      <c r="AU686" s="430"/>
      <c r="AV686" s="430"/>
      <c r="AW686" s="430"/>
      <c r="AX686" s="430"/>
    </row>
    <row r="687">
      <c r="B687" s="471"/>
      <c r="E687" s="471"/>
      <c r="H687" s="471"/>
      <c r="K687" s="471"/>
      <c r="M687" s="454"/>
      <c r="N687" s="424"/>
      <c r="O687" s="424"/>
      <c r="P687" s="430"/>
      <c r="Q687" s="444"/>
      <c r="R687" s="424"/>
      <c r="S687" s="430"/>
      <c r="T687" s="444"/>
      <c r="U687" s="430"/>
      <c r="V687" s="430"/>
      <c r="W687" s="444"/>
      <c r="X687" s="444"/>
      <c r="Y687" s="430"/>
      <c r="Z687" s="430"/>
      <c r="AA687" s="430"/>
      <c r="AB687" s="444"/>
      <c r="AC687" s="444"/>
      <c r="AD687" s="430"/>
      <c r="AE687" s="430"/>
      <c r="AF687" s="430"/>
      <c r="AG687" s="444"/>
      <c r="AH687" s="444"/>
      <c r="AI687" s="430"/>
      <c r="AJ687" s="430"/>
      <c r="AK687" s="430"/>
      <c r="AL687" s="476"/>
      <c r="AM687" s="430"/>
      <c r="AN687" s="430"/>
      <c r="AO687" s="430"/>
      <c r="AP687" s="430"/>
      <c r="AQ687" s="430"/>
      <c r="AR687" s="430"/>
      <c r="AS687" s="430"/>
      <c r="AT687" s="430"/>
      <c r="AU687" s="430"/>
      <c r="AV687" s="430"/>
      <c r="AW687" s="430"/>
      <c r="AX687" s="430"/>
    </row>
    <row r="688">
      <c r="B688" s="471"/>
      <c r="E688" s="471"/>
      <c r="H688" s="471"/>
      <c r="K688" s="471"/>
      <c r="M688" s="454"/>
      <c r="N688" s="424"/>
      <c r="O688" s="424"/>
      <c r="P688" s="430"/>
      <c r="Q688" s="444"/>
      <c r="R688" s="424"/>
      <c r="S688" s="430"/>
      <c r="T688" s="444"/>
      <c r="U688" s="430"/>
      <c r="V688" s="430"/>
      <c r="W688" s="444"/>
      <c r="X688" s="444"/>
      <c r="Y688" s="430"/>
      <c r="Z688" s="430"/>
      <c r="AA688" s="430"/>
      <c r="AB688" s="444"/>
      <c r="AC688" s="444"/>
      <c r="AD688" s="430"/>
      <c r="AE688" s="430"/>
      <c r="AF688" s="430"/>
      <c r="AG688" s="444"/>
      <c r="AH688" s="444"/>
      <c r="AI688" s="430"/>
      <c r="AJ688" s="430"/>
      <c r="AK688" s="430"/>
      <c r="AL688" s="476"/>
      <c r="AM688" s="430"/>
      <c r="AN688" s="430"/>
      <c r="AO688" s="430"/>
      <c r="AP688" s="430"/>
      <c r="AQ688" s="430"/>
      <c r="AR688" s="430"/>
      <c r="AS688" s="430"/>
      <c r="AT688" s="430"/>
      <c r="AU688" s="430"/>
      <c r="AV688" s="430"/>
      <c r="AW688" s="430"/>
      <c r="AX688" s="430"/>
    </row>
    <row r="689">
      <c r="B689" s="471"/>
      <c r="E689" s="471"/>
      <c r="H689" s="471"/>
      <c r="K689" s="471"/>
      <c r="M689" s="454"/>
      <c r="N689" s="424"/>
      <c r="O689" s="424"/>
      <c r="P689" s="430"/>
      <c r="Q689" s="444"/>
      <c r="R689" s="424"/>
      <c r="S689" s="430"/>
      <c r="T689" s="444"/>
      <c r="U689" s="430"/>
      <c r="V689" s="430"/>
      <c r="W689" s="444"/>
      <c r="X689" s="444"/>
      <c r="Y689" s="430"/>
      <c r="Z689" s="430"/>
      <c r="AA689" s="430"/>
      <c r="AB689" s="444"/>
      <c r="AC689" s="444"/>
      <c r="AD689" s="430"/>
      <c r="AE689" s="430"/>
      <c r="AF689" s="430"/>
      <c r="AG689" s="444"/>
      <c r="AH689" s="444"/>
      <c r="AI689" s="430"/>
      <c r="AJ689" s="430"/>
      <c r="AK689" s="430"/>
      <c r="AL689" s="476"/>
      <c r="AM689" s="430"/>
      <c r="AN689" s="430"/>
      <c r="AO689" s="430"/>
      <c r="AP689" s="430"/>
      <c r="AQ689" s="430"/>
      <c r="AR689" s="430"/>
      <c r="AS689" s="430"/>
      <c r="AT689" s="430"/>
      <c r="AU689" s="430"/>
      <c r="AV689" s="430"/>
      <c r="AW689" s="430"/>
      <c r="AX689" s="430"/>
    </row>
    <row r="690">
      <c r="B690" s="471"/>
      <c r="E690" s="471"/>
      <c r="H690" s="471"/>
      <c r="K690" s="471"/>
      <c r="M690" s="454"/>
      <c r="N690" s="424"/>
      <c r="O690" s="424"/>
      <c r="P690" s="430"/>
      <c r="Q690" s="444"/>
      <c r="R690" s="424"/>
      <c r="S690" s="430"/>
      <c r="T690" s="444"/>
      <c r="U690" s="430"/>
      <c r="V690" s="430"/>
      <c r="W690" s="444"/>
      <c r="X690" s="444"/>
      <c r="Y690" s="430"/>
      <c r="Z690" s="430"/>
      <c r="AA690" s="430"/>
      <c r="AB690" s="444"/>
      <c r="AC690" s="444"/>
      <c r="AD690" s="430"/>
      <c r="AE690" s="430"/>
      <c r="AF690" s="430"/>
      <c r="AG690" s="444"/>
      <c r="AH690" s="444"/>
      <c r="AI690" s="430"/>
      <c r="AJ690" s="430"/>
      <c r="AK690" s="430"/>
      <c r="AL690" s="476"/>
      <c r="AM690" s="430"/>
      <c r="AN690" s="430"/>
      <c r="AO690" s="430"/>
      <c r="AP690" s="430"/>
      <c r="AQ690" s="430"/>
      <c r="AR690" s="430"/>
      <c r="AS690" s="430"/>
      <c r="AT690" s="430"/>
      <c r="AU690" s="430"/>
      <c r="AV690" s="430"/>
      <c r="AW690" s="430"/>
      <c r="AX690" s="430"/>
    </row>
    <row r="691">
      <c r="B691" s="471"/>
      <c r="E691" s="471"/>
      <c r="H691" s="471"/>
      <c r="K691" s="471"/>
      <c r="M691" s="454"/>
      <c r="N691" s="424"/>
      <c r="O691" s="424"/>
      <c r="P691" s="430"/>
      <c r="Q691" s="444"/>
      <c r="R691" s="424"/>
      <c r="S691" s="430"/>
      <c r="T691" s="444"/>
      <c r="U691" s="430"/>
      <c r="V691" s="430"/>
      <c r="W691" s="444"/>
      <c r="X691" s="444"/>
      <c r="Y691" s="430"/>
      <c r="Z691" s="430"/>
      <c r="AA691" s="430"/>
      <c r="AB691" s="444"/>
      <c r="AC691" s="444"/>
      <c r="AD691" s="430"/>
      <c r="AE691" s="430"/>
      <c r="AF691" s="430"/>
      <c r="AG691" s="444"/>
      <c r="AH691" s="444"/>
      <c r="AI691" s="430"/>
      <c r="AJ691" s="430"/>
      <c r="AK691" s="430"/>
      <c r="AL691" s="476"/>
      <c r="AM691" s="430"/>
      <c r="AN691" s="430"/>
      <c r="AO691" s="430"/>
      <c r="AP691" s="430"/>
      <c r="AQ691" s="430"/>
      <c r="AR691" s="430"/>
      <c r="AS691" s="430"/>
      <c r="AT691" s="430"/>
      <c r="AU691" s="430"/>
      <c r="AV691" s="430"/>
      <c r="AW691" s="430"/>
      <c r="AX691" s="430"/>
    </row>
    <row r="692">
      <c r="B692" s="471"/>
      <c r="E692" s="471"/>
      <c r="H692" s="471"/>
      <c r="K692" s="471"/>
      <c r="M692" s="454"/>
      <c r="N692" s="424"/>
      <c r="O692" s="424"/>
      <c r="P692" s="430"/>
      <c r="Q692" s="444"/>
      <c r="R692" s="424"/>
      <c r="S692" s="430"/>
      <c r="T692" s="444"/>
      <c r="U692" s="430"/>
      <c r="V692" s="430"/>
      <c r="W692" s="444"/>
      <c r="X692" s="444"/>
      <c r="Y692" s="430"/>
      <c r="Z692" s="430"/>
      <c r="AA692" s="430"/>
      <c r="AB692" s="444"/>
      <c r="AC692" s="444"/>
      <c r="AD692" s="430"/>
      <c r="AE692" s="430"/>
      <c r="AF692" s="430"/>
      <c r="AG692" s="444"/>
      <c r="AH692" s="444"/>
      <c r="AI692" s="430"/>
      <c r="AJ692" s="430"/>
      <c r="AK692" s="430"/>
      <c r="AL692" s="476"/>
      <c r="AM692" s="430"/>
      <c r="AN692" s="430"/>
      <c r="AO692" s="430"/>
      <c r="AP692" s="430"/>
      <c r="AQ692" s="430"/>
      <c r="AR692" s="430"/>
      <c r="AS692" s="430"/>
      <c r="AT692" s="430"/>
      <c r="AU692" s="430"/>
      <c r="AV692" s="430"/>
      <c r="AW692" s="430"/>
      <c r="AX692" s="430"/>
    </row>
    <row r="693">
      <c r="B693" s="471"/>
      <c r="E693" s="471"/>
      <c r="H693" s="471"/>
      <c r="K693" s="471"/>
      <c r="M693" s="454"/>
      <c r="N693" s="424"/>
      <c r="O693" s="424"/>
      <c r="P693" s="430"/>
      <c r="Q693" s="444"/>
      <c r="R693" s="424"/>
      <c r="S693" s="430"/>
      <c r="T693" s="444"/>
      <c r="U693" s="430"/>
      <c r="V693" s="430"/>
      <c r="W693" s="444"/>
      <c r="X693" s="444"/>
      <c r="Y693" s="430"/>
      <c r="Z693" s="430"/>
      <c r="AA693" s="430"/>
      <c r="AB693" s="444"/>
      <c r="AC693" s="444"/>
      <c r="AD693" s="430"/>
      <c r="AE693" s="430"/>
      <c r="AF693" s="430"/>
      <c r="AG693" s="444"/>
      <c r="AH693" s="444"/>
      <c r="AI693" s="430"/>
      <c r="AJ693" s="430"/>
      <c r="AK693" s="430"/>
      <c r="AL693" s="476"/>
      <c r="AM693" s="430"/>
      <c r="AN693" s="430"/>
      <c r="AO693" s="430"/>
      <c r="AP693" s="430"/>
      <c r="AQ693" s="430"/>
      <c r="AR693" s="430"/>
      <c r="AS693" s="430"/>
      <c r="AT693" s="430"/>
      <c r="AU693" s="430"/>
      <c r="AV693" s="430"/>
      <c r="AW693" s="430"/>
      <c r="AX693" s="430"/>
    </row>
    <row r="694">
      <c r="B694" s="471"/>
      <c r="E694" s="471"/>
      <c r="H694" s="471"/>
      <c r="K694" s="471"/>
      <c r="M694" s="454"/>
      <c r="N694" s="424"/>
      <c r="O694" s="424"/>
      <c r="P694" s="430"/>
      <c r="Q694" s="444"/>
      <c r="R694" s="424"/>
      <c r="S694" s="430"/>
      <c r="T694" s="444"/>
      <c r="U694" s="430"/>
      <c r="V694" s="430"/>
      <c r="W694" s="444"/>
      <c r="X694" s="444"/>
      <c r="Y694" s="430"/>
      <c r="Z694" s="430"/>
      <c r="AA694" s="430"/>
      <c r="AB694" s="444"/>
      <c r="AC694" s="444"/>
      <c r="AD694" s="430"/>
      <c r="AE694" s="430"/>
      <c r="AF694" s="430"/>
      <c r="AG694" s="444"/>
      <c r="AH694" s="444"/>
      <c r="AI694" s="430"/>
      <c r="AJ694" s="430"/>
      <c r="AK694" s="430"/>
      <c r="AL694" s="476"/>
      <c r="AM694" s="430"/>
      <c r="AN694" s="430"/>
      <c r="AO694" s="430"/>
      <c r="AP694" s="430"/>
      <c r="AQ694" s="430"/>
      <c r="AR694" s="430"/>
      <c r="AS694" s="430"/>
      <c r="AT694" s="430"/>
      <c r="AU694" s="430"/>
      <c r="AV694" s="430"/>
      <c r="AW694" s="430"/>
      <c r="AX694" s="430"/>
    </row>
    <row r="695">
      <c r="B695" s="471"/>
      <c r="E695" s="471"/>
      <c r="H695" s="471"/>
      <c r="K695" s="471"/>
      <c r="M695" s="454"/>
      <c r="N695" s="424"/>
      <c r="O695" s="424"/>
      <c r="P695" s="430"/>
      <c r="Q695" s="444"/>
      <c r="R695" s="424"/>
      <c r="S695" s="430"/>
      <c r="T695" s="444"/>
      <c r="U695" s="430"/>
      <c r="V695" s="430"/>
      <c r="W695" s="444"/>
      <c r="X695" s="444"/>
      <c r="Y695" s="430"/>
      <c r="Z695" s="430"/>
      <c r="AA695" s="430"/>
      <c r="AB695" s="444"/>
      <c r="AC695" s="444"/>
      <c r="AD695" s="430"/>
      <c r="AE695" s="430"/>
      <c r="AF695" s="430"/>
      <c r="AG695" s="444"/>
      <c r="AH695" s="444"/>
      <c r="AI695" s="430"/>
      <c r="AJ695" s="430"/>
      <c r="AK695" s="430"/>
      <c r="AL695" s="476"/>
      <c r="AM695" s="430"/>
      <c r="AN695" s="430"/>
      <c r="AO695" s="430"/>
      <c r="AP695" s="430"/>
      <c r="AQ695" s="430"/>
      <c r="AR695" s="430"/>
      <c r="AS695" s="430"/>
      <c r="AT695" s="430"/>
      <c r="AU695" s="430"/>
      <c r="AV695" s="430"/>
      <c r="AW695" s="430"/>
      <c r="AX695" s="430"/>
    </row>
    <row r="696">
      <c r="B696" s="471"/>
      <c r="E696" s="471"/>
      <c r="H696" s="471"/>
      <c r="K696" s="471"/>
      <c r="M696" s="454"/>
      <c r="N696" s="424"/>
      <c r="O696" s="424"/>
      <c r="P696" s="430"/>
      <c r="Q696" s="444"/>
      <c r="R696" s="424"/>
      <c r="S696" s="430"/>
      <c r="T696" s="444"/>
      <c r="U696" s="430"/>
      <c r="V696" s="430"/>
      <c r="W696" s="444"/>
      <c r="X696" s="444"/>
      <c r="Y696" s="430"/>
      <c r="Z696" s="430"/>
      <c r="AA696" s="430"/>
      <c r="AB696" s="444"/>
      <c r="AC696" s="444"/>
      <c r="AD696" s="430"/>
      <c r="AE696" s="430"/>
      <c r="AF696" s="430"/>
      <c r="AG696" s="444"/>
      <c r="AH696" s="444"/>
      <c r="AI696" s="430"/>
      <c r="AJ696" s="430"/>
      <c r="AK696" s="430"/>
      <c r="AL696" s="476"/>
      <c r="AM696" s="430"/>
      <c r="AN696" s="430"/>
      <c r="AO696" s="430"/>
      <c r="AP696" s="430"/>
      <c r="AQ696" s="430"/>
      <c r="AR696" s="430"/>
      <c r="AS696" s="430"/>
      <c r="AT696" s="430"/>
      <c r="AU696" s="430"/>
      <c r="AV696" s="430"/>
      <c r="AW696" s="430"/>
      <c r="AX696" s="430"/>
    </row>
    <row r="697">
      <c r="B697" s="471"/>
      <c r="E697" s="471"/>
      <c r="H697" s="471"/>
      <c r="K697" s="471"/>
      <c r="M697" s="454"/>
      <c r="N697" s="424"/>
      <c r="O697" s="424"/>
      <c r="P697" s="430"/>
      <c r="Q697" s="444"/>
      <c r="R697" s="424"/>
      <c r="S697" s="430"/>
      <c r="T697" s="444"/>
      <c r="U697" s="430"/>
      <c r="V697" s="430"/>
      <c r="W697" s="444"/>
      <c r="X697" s="444"/>
      <c r="Y697" s="430"/>
      <c r="Z697" s="430"/>
      <c r="AA697" s="430"/>
      <c r="AB697" s="444"/>
      <c r="AC697" s="444"/>
      <c r="AD697" s="430"/>
      <c r="AE697" s="430"/>
      <c r="AF697" s="430"/>
      <c r="AG697" s="444"/>
      <c r="AH697" s="444"/>
      <c r="AI697" s="430"/>
      <c r="AJ697" s="430"/>
      <c r="AK697" s="430"/>
      <c r="AL697" s="476"/>
      <c r="AM697" s="430"/>
      <c r="AN697" s="430"/>
      <c r="AO697" s="430"/>
      <c r="AP697" s="430"/>
      <c r="AQ697" s="430"/>
      <c r="AR697" s="430"/>
      <c r="AS697" s="430"/>
      <c r="AT697" s="430"/>
      <c r="AU697" s="430"/>
      <c r="AV697" s="430"/>
      <c r="AW697" s="430"/>
      <c r="AX697" s="430"/>
    </row>
    <row r="698">
      <c r="B698" s="471"/>
      <c r="E698" s="471"/>
      <c r="H698" s="471"/>
      <c r="K698" s="471"/>
      <c r="M698" s="454"/>
      <c r="N698" s="424"/>
      <c r="O698" s="424"/>
      <c r="P698" s="430"/>
      <c r="Q698" s="444"/>
      <c r="R698" s="424"/>
      <c r="S698" s="430"/>
      <c r="T698" s="444"/>
      <c r="U698" s="430"/>
      <c r="V698" s="430"/>
      <c r="W698" s="444"/>
      <c r="X698" s="444"/>
      <c r="Y698" s="430"/>
      <c r="Z698" s="430"/>
      <c r="AA698" s="430"/>
      <c r="AB698" s="444"/>
      <c r="AC698" s="444"/>
      <c r="AD698" s="430"/>
      <c r="AE698" s="430"/>
      <c r="AF698" s="430"/>
      <c r="AG698" s="444"/>
      <c r="AH698" s="444"/>
      <c r="AI698" s="430"/>
      <c r="AJ698" s="430"/>
      <c r="AK698" s="430"/>
      <c r="AL698" s="476"/>
      <c r="AM698" s="430"/>
      <c r="AN698" s="430"/>
      <c r="AO698" s="430"/>
      <c r="AP698" s="430"/>
      <c r="AQ698" s="430"/>
      <c r="AR698" s="430"/>
      <c r="AS698" s="430"/>
      <c r="AT698" s="430"/>
      <c r="AU698" s="430"/>
      <c r="AV698" s="430"/>
      <c r="AW698" s="430"/>
      <c r="AX698" s="430"/>
    </row>
    <row r="699">
      <c r="B699" s="471"/>
      <c r="E699" s="471"/>
      <c r="H699" s="471"/>
      <c r="K699" s="471"/>
      <c r="M699" s="454"/>
      <c r="N699" s="424"/>
      <c r="O699" s="424"/>
      <c r="P699" s="430"/>
      <c r="Q699" s="444"/>
      <c r="R699" s="424"/>
      <c r="S699" s="430"/>
      <c r="T699" s="444"/>
      <c r="U699" s="430"/>
      <c r="V699" s="430"/>
      <c r="W699" s="444"/>
      <c r="X699" s="444"/>
      <c r="Y699" s="430"/>
      <c r="Z699" s="430"/>
      <c r="AA699" s="430"/>
      <c r="AB699" s="444"/>
      <c r="AC699" s="444"/>
      <c r="AD699" s="430"/>
      <c r="AE699" s="430"/>
      <c r="AF699" s="430"/>
      <c r="AG699" s="444"/>
      <c r="AH699" s="444"/>
      <c r="AI699" s="430"/>
      <c r="AJ699" s="430"/>
      <c r="AK699" s="430"/>
      <c r="AL699" s="476"/>
      <c r="AM699" s="430"/>
      <c r="AN699" s="430"/>
      <c r="AO699" s="430"/>
      <c r="AP699" s="430"/>
      <c r="AQ699" s="430"/>
      <c r="AR699" s="430"/>
      <c r="AS699" s="430"/>
      <c r="AT699" s="430"/>
      <c r="AU699" s="430"/>
      <c r="AV699" s="430"/>
      <c r="AW699" s="430"/>
      <c r="AX699" s="430"/>
    </row>
    <row r="700">
      <c r="B700" s="471"/>
      <c r="E700" s="471"/>
      <c r="H700" s="471"/>
      <c r="K700" s="471"/>
      <c r="M700" s="454"/>
      <c r="N700" s="424"/>
      <c r="O700" s="424"/>
      <c r="P700" s="430"/>
      <c r="Q700" s="444"/>
      <c r="R700" s="424"/>
      <c r="S700" s="430"/>
      <c r="T700" s="444"/>
      <c r="U700" s="430"/>
      <c r="V700" s="430"/>
      <c r="W700" s="444"/>
      <c r="X700" s="444"/>
      <c r="Y700" s="430"/>
      <c r="Z700" s="430"/>
      <c r="AA700" s="430"/>
      <c r="AB700" s="444"/>
      <c r="AC700" s="444"/>
      <c r="AD700" s="430"/>
      <c r="AE700" s="430"/>
      <c r="AF700" s="430"/>
      <c r="AG700" s="444"/>
      <c r="AH700" s="444"/>
      <c r="AI700" s="430"/>
      <c r="AJ700" s="430"/>
      <c r="AK700" s="430"/>
      <c r="AL700" s="476"/>
      <c r="AM700" s="430"/>
      <c r="AN700" s="430"/>
      <c r="AO700" s="430"/>
      <c r="AP700" s="430"/>
      <c r="AQ700" s="430"/>
      <c r="AR700" s="430"/>
      <c r="AS700" s="430"/>
      <c r="AT700" s="430"/>
      <c r="AU700" s="430"/>
      <c r="AV700" s="430"/>
      <c r="AW700" s="430"/>
      <c r="AX700" s="430"/>
    </row>
    <row r="701">
      <c r="B701" s="471"/>
      <c r="E701" s="471"/>
      <c r="H701" s="471"/>
      <c r="K701" s="471"/>
      <c r="M701" s="454"/>
      <c r="N701" s="424"/>
      <c r="O701" s="424"/>
      <c r="P701" s="430"/>
      <c r="Q701" s="444"/>
      <c r="R701" s="424"/>
      <c r="S701" s="430"/>
      <c r="T701" s="444"/>
      <c r="U701" s="430"/>
      <c r="V701" s="430"/>
      <c r="W701" s="444"/>
      <c r="X701" s="444"/>
      <c r="Y701" s="430"/>
      <c r="Z701" s="430"/>
      <c r="AA701" s="430"/>
      <c r="AB701" s="444"/>
      <c r="AC701" s="444"/>
      <c r="AD701" s="430"/>
      <c r="AE701" s="430"/>
      <c r="AF701" s="430"/>
      <c r="AG701" s="444"/>
      <c r="AH701" s="444"/>
      <c r="AI701" s="430"/>
      <c r="AJ701" s="430"/>
      <c r="AK701" s="430"/>
      <c r="AL701" s="476"/>
      <c r="AM701" s="430"/>
      <c r="AN701" s="430"/>
      <c r="AO701" s="430"/>
      <c r="AP701" s="430"/>
      <c r="AQ701" s="430"/>
      <c r="AR701" s="430"/>
      <c r="AS701" s="430"/>
      <c r="AT701" s="430"/>
      <c r="AU701" s="430"/>
      <c r="AV701" s="430"/>
      <c r="AW701" s="430"/>
      <c r="AX701" s="430"/>
    </row>
    <row r="702">
      <c r="B702" s="471"/>
      <c r="E702" s="471"/>
      <c r="H702" s="471"/>
      <c r="K702" s="471"/>
      <c r="M702" s="454"/>
      <c r="N702" s="424"/>
      <c r="O702" s="424"/>
      <c r="P702" s="430"/>
      <c r="Q702" s="444"/>
      <c r="R702" s="424"/>
      <c r="S702" s="430"/>
      <c r="T702" s="444"/>
      <c r="U702" s="430"/>
      <c r="V702" s="430"/>
      <c r="W702" s="444"/>
      <c r="X702" s="444"/>
      <c r="Y702" s="430"/>
      <c r="Z702" s="430"/>
      <c r="AA702" s="430"/>
      <c r="AB702" s="444"/>
      <c r="AC702" s="444"/>
      <c r="AD702" s="430"/>
      <c r="AE702" s="430"/>
      <c r="AF702" s="430"/>
      <c r="AG702" s="444"/>
      <c r="AH702" s="444"/>
      <c r="AI702" s="430"/>
      <c r="AJ702" s="430"/>
      <c r="AK702" s="430"/>
      <c r="AL702" s="476"/>
      <c r="AM702" s="430"/>
      <c r="AN702" s="430"/>
      <c r="AO702" s="430"/>
      <c r="AP702" s="430"/>
      <c r="AQ702" s="430"/>
      <c r="AR702" s="430"/>
      <c r="AS702" s="430"/>
      <c r="AT702" s="430"/>
      <c r="AU702" s="430"/>
      <c r="AV702" s="430"/>
      <c r="AW702" s="430"/>
      <c r="AX702" s="430"/>
    </row>
    <row r="703">
      <c r="B703" s="471"/>
      <c r="E703" s="471"/>
      <c r="H703" s="471"/>
      <c r="K703" s="471"/>
      <c r="M703" s="454"/>
      <c r="N703" s="424"/>
      <c r="O703" s="424"/>
      <c r="P703" s="430"/>
      <c r="Q703" s="444"/>
      <c r="R703" s="424"/>
      <c r="S703" s="430"/>
      <c r="T703" s="444"/>
      <c r="U703" s="430"/>
      <c r="V703" s="430"/>
      <c r="W703" s="444"/>
      <c r="X703" s="444"/>
      <c r="Y703" s="430"/>
      <c r="Z703" s="430"/>
      <c r="AA703" s="430"/>
      <c r="AB703" s="444"/>
      <c r="AC703" s="444"/>
      <c r="AD703" s="430"/>
      <c r="AE703" s="430"/>
      <c r="AF703" s="430"/>
      <c r="AG703" s="444"/>
      <c r="AH703" s="444"/>
      <c r="AI703" s="430"/>
      <c r="AJ703" s="430"/>
      <c r="AK703" s="430"/>
      <c r="AL703" s="476"/>
      <c r="AM703" s="430"/>
      <c r="AN703" s="430"/>
      <c r="AO703" s="430"/>
      <c r="AP703" s="430"/>
      <c r="AQ703" s="430"/>
      <c r="AR703" s="430"/>
      <c r="AS703" s="430"/>
      <c r="AT703" s="430"/>
      <c r="AU703" s="430"/>
      <c r="AV703" s="430"/>
      <c r="AW703" s="430"/>
      <c r="AX703" s="430"/>
    </row>
    <row r="704">
      <c r="B704" s="471"/>
      <c r="E704" s="471"/>
      <c r="H704" s="471"/>
      <c r="K704" s="471"/>
      <c r="M704" s="454"/>
      <c r="N704" s="424"/>
      <c r="O704" s="424"/>
      <c r="P704" s="430"/>
      <c r="Q704" s="444"/>
      <c r="R704" s="424"/>
      <c r="S704" s="430"/>
      <c r="T704" s="444"/>
      <c r="U704" s="430"/>
      <c r="V704" s="430"/>
      <c r="W704" s="444"/>
      <c r="X704" s="444"/>
      <c r="Y704" s="430"/>
      <c r="Z704" s="430"/>
      <c r="AA704" s="430"/>
      <c r="AB704" s="444"/>
      <c r="AC704" s="444"/>
      <c r="AD704" s="430"/>
      <c r="AE704" s="430"/>
      <c r="AF704" s="430"/>
      <c r="AG704" s="444"/>
      <c r="AH704" s="444"/>
      <c r="AI704" s="430"/>
      <c r="AJ704" s="430"/>
      <c r="AK704" s="430"/>
      <c r="AL704" s="476"/>
      <c r="AM704" s="430"/>
      <c r="AN704" s="430"/>
      <c r="AO704" s="430"/>
      <c r="AP704" s="430"/>
      <c r="AQ704" s="430"/>
      <c r="AR704" s="430"/>
      <c r="AS704" s="430"/>
      <c r="AT704" s="430"/>
      <c r="AU704" s="430"/>
      <c r="AV704" s="430"/>
      <c r="AW704" s="430"/>
      <c r="AX704" s="430"/>
    </row>
    <row r="705">
      <c r="B705" s="471"/>
      <c r="E705" s="471"/>
      <c r="H705" s="471"/>
      <c r="K705" s="471"/>
      <c r="M705" s="454"/>
      <c r="N705" s="424"/>
      <c r="O705" s="424"/>
      <c r="P705" s="430"/>
      <c r="Q705" s="444"/>
      <c r="R705" s="424"/>
      <c r="S705" s="430"/>
      <c r="T705" s="444"/>
      <c r="U705" s="430"/>
      <c r="V705" s="430"/>
      <c r="W705" s="444"/>
      <c r="X705" s="444"/>
      <c r="Y705" s="430"/>
      <c r="Z705" s="430"/>
      <c r="AA705" s="430"/>
      <c r="AB705" s="444"/>
      <c r="AC705" s="444"/>
      <c r="AD705" s="430"/>
      <c r="AE705" s="430"/>
      <c r="AF705" s="430"/>
      <c r="AG705" s="444"/>
      <c r="AH705" s="444"/>
      <c r="AI705" s="430"/>
      <c r="AJ705" s="430"/>
      <c r="AK705" s="430"/>
      <c r="AL705" s="476"/>
      <c r="AM705" s="430"/>
      <c r="AN705" s="430"/>
      <c r="AO705" s="430"/>
      <c r="AP705" s="430"/>
      <c r="AQ705" s="430"/>
      <c r="AR705" s="430"/>
      <c r="AS705" s="430"/>
      <c r="AT705" s="430"/>
      <c r="AU705" s="430"/>
      <c r="AV705" s="430"/>
      <c r="AW705" s="430"/>
      <c r="AX705" s="430"/>
    </row>
    <row r="706">
      <c r="B706" s="471"/>
      <c r="E706" s="471"/>
      <c r="H706" s="471"/>
      <c r="K706" s="471"/>
      <c r="M706" s="454"/>
      <c r="N706" s="424"/>
      <c r="O706" s="424"/>
      <c r="P706" s="430"/>
      <c r="Q706" s="444"/>
      <c r="R706" s="424"/>
      <c r="S706" s="430"/>
      <c r="T706" s="444"/>
      <c r="U706" s="430"/>
      <c r="V706" s="430"/>
      <c r="W706" s="444"/>
      <c r="X706" s="444"/>
      <c r="Y706" s="430"/>
      <c r="Z706" s="430"/>
      <c r="AA706" s="430"/>
      <c r="AB706" s="444"/>
      <c r="AC706" s="444"/>
      <c r="AD706" s="430"/>
      <c r="AE706" s="430"/>
      <c r="AF706" s="430"/>
      <c r="AG706" s="444"/>
      <c r="AH706" s="444"/>
      <c r="AI706" s="430"/>
      <c r="AJ706" s="430"/>
      <c r="AK706" s="430"/>
      <c r="AL706" s="476"/>
      <c r="AM706" s="430"/>
      <c r="AN706" s="430"/>
      <c r="AO706" s="430"/>
      <c r="AP706" s="430"/>
      <c r="AQ706" s="430"/>
      <c r="AR706" s="430"/>
      <c r="AS706" s="430"/>
      <c r="AT706" s="430"/>
      <c r="AU706" s="430"/>
      <c r="AV706" s="430"/>
      <c r="AW706" s="430"/>
      <c r="AX706" s="430"/>
    </row>
    <row r="707">
      <c r="B707" s="471"/>
      <c r="E707" s="471"/>
      <c r="H707" s="471"/>
      <c r="K707" s="471"/>
      <c r="M707" s="454"/>
      <c r="N707" s="424"/>
      <c r="O707" s="424"/>
      <c r="P707" s="430"/>
      <c r="Q707" s="444"/>
      <c r="R707" s="424"/>
      <c r="S707" s="430"/>
      <c r="T707" s="444"/>
      <c r="U707" s="430"/>
      <c r="V707" s="430"/>
      <c r="W707" s="444"/>
      <c r="X707" s="444"/>
      <c r="Y707" s="430"/>
      <c r="Z707" s="430"/>
      <c r="AA707" s="430"/>
      <c r="AB707" s="444"/>
      <c r="AC707" s="444"/>
      <c r="AD707" s="430"/>
      <c r="AE707" s="430"/>
      <c r="AF707" s="430"/>
      <c r="AG707" s="444"/>
      <c r="AH707" s="444"/>
      <c r="AI707" s="430"/>
      <c r="AJ707" s="430"/>
      <c r="AK707" s="430"/>
      <c r="AL707" s="476"/>
      <c r="AM707" s="430"/>
      <c r="AN707" s="430"/>
      <c r="AO707" s="430"/>
      <c r="AP707" s="430"/>
      <c r="AQ707" s="430"/>
      <c r="AR707" s="430"/>
      <c r="AS707" s="430"/>
      <c r="AT707" s="430"/>
      <c r="AU707" s="430"/>
      <c r="AV707" s="430"/>
      <c r="AW707" s="430"/>
      <c r="AX707" s="430"/>
    </row>
    <row r="708">
      <c r="B708" s="471"/>
      <c r="E708" s="471"/>
      <c r="H708" s="471"/>
      <c r="K708" s="471"/>
      <c r="M708" s="454"/>
      <c r="N708" s="424"/>
      <c r="O708" s="424"/>
      <c r="P708" s="430"/>
      <c r="Q708" s="444"/>
      <c r="R708" s="424"/>
      <c r="S708" s="430"/>
      <c r="T708" s="444"/>
      <c r="U708" s="430"/>
      <c r="V708" s="430"/>
      <c r="W708" s="444"/>
      <c r="X708" s="444"/>
      <c r="Y708" s="430"/>
      <c r="Z708" s="430"/>
      <c r="AA708" s="430"/>
      <c r="AB708" s="444"/>
      <c r="AC708" s="444"/>
      <c r="AD708" s="430"/>
      <c r="AE708" s="430"/>
      <c r="AF708" s="430"/>
      <c r="AG708" s="444"/>
      <c r="AH708" s="444"/>
      <c r="AI708" s="430"/>
      <c r="AJ708" s="430"/>
      <c r="AK708" s="430"/>
      <c r="AL708" s="476"/>
      <c r="AM708" s="430"/>
      <c r="AN708" s="430"/>
      <c r="AO708" s="430"/>
      <c r="AP708" s="430"/>
      <c r="AQ708" s="430"/>
      <c r="AR708" s="430"/>
      <c r="AS708" s="430"/>
      <c r="AT708" s="430"/>
      <c r="AU708" s="430"/>
      <c r="AV708" s="430"/>
      <c r="AW708" s="430"/>
      <c r="AX708" s="430"/>
    </row>
    <row r="709">
      <c r="B709" s="471"/>
      <c r="E709" s="471"/>
      <c r="H709" s="471"/>
      <c r="K709" s="471"/>
      <c r="M709" s="454"/>
      <c r="N709" s="424"/>
      <c r="O709" s="424"/>
      <c r="P709" s="430"/>
      <c r="Q709" s="444"/>
      <c r="R709" s="424"/>
      <c r="S709" s="430"/>
      <c r="T709" s="444"/>
      <c r="U709" s="430"/>
      <c r="V709" s="430"/>
      <c r="W709" s="444"/>
      <c r="X709" s="444"/>
      <c r="Y709" s="430"/>
      <c r="Z709" s="430"/>
      <c r="AA709" s="430"/>
      <c r="AB709" s="444"/>
      <c r="AC709" s="444"/>
      <c r="AD709" s="430"/>
      <c r="AE709" s="430"/>
      <c r="AF709" s="430"/>
      <c r="AG709" s="444"/>
      <c r="AH709" s="444"/>
      <c r="AI709" s="430"/>
      <c r="AJ709" s="430"/>
      <c r="AK709" s="430"/>
      <c r="AL709" s="476"/>
      <c r="AM709" s="430"/>
      <c r="AN709" s="430"/>
      <c r="AO709" s="430"/>
      <c r="AP709" s="430"/>
      <c r="AQ709" s="430"/>
      <c r="AR709" s="430"/>
      <c r="AS709" s="430"/>
      <c r="AT709" s="430"/>
      <c r="AU709" s="430"/>
      <c r="AV709" s="430"/>
      <c r="AW709" s="430"/>
      <c r="AX709" s="430"/>
    </row>
    <row r="710">
      <c r="B710" s="471"/>
      <c r="E710" s="471"/>
      <c r="H710" s="471"/>
      <c r="K710" s="471"/>
      <c r="M710" s="454"/>
      <c r="N710" s="424"/>
      <c r="O710" s="424"/>
      <c r="P710" s="430"/>
      <c r="Q710" s="444"/>
      <c r="R710" s="424"/>
      <c r="S710" s="430"/>
      <c r="T710" s="444"/>
      <c r="U710" s="430"/>
      <c r="V710" s="430"/>
      <c r="W710" s="444"/>
      <c r="X710" s="444"/>
      <c r="Y710" s="430"/>
      <c r="Z710" s="430"/>
      <c r="AA710" s="430"/>
      <c r="AB710" s="444"/>
      <c r="AC710" s="444"/>
      <c r="AD710" s="430"/>
      <c r="AE710" s="430"/>
      <c r="AF710" s="430"/>
      <c r="AG710" s="444"/>
      <c r="AH710" s="444"/>
      <c r="AI710" s="430"/>
      <c r="AJ710" s="430"/>
      <c r="AK710" s="430"/>
      <c r="AL710" s="476"/>
      <c r="AM710" s="430"/>
      <c r="AN710" s="430"/>
      <c r="AO710" s="430"/>
      <c r="AP710" s="430"/>
      <c r="AQ710" s="430"/>
      <c r="AR710" s="430"/>
      <c r="AS710" s="430"/>
      <c r="AT710" s="430"/>
      <c r="AU710" s="430"/>
      <c r="AV710" s="430"/>
      <c r="AW710" s="430"/>
      <c r="AX710" s="430"/>
    </row>
    <row r="711">
      <c r="B711" s="471"/>
      <c r="E711" s="471"/>
      <c r="H711" s="471"/>
      <c r="K711" s="471"/>
      <c r="M711" s="454"/>
      <c r="N711" s="424"/>
      <c r="O711" s="424"/>
      <c r="P711" s="430"/>
      <c r="Q711" s="444"/>
      <c r="R711" s="424"/>
      <c r="S711" s="430"/>
      <c r="T711" s="444"/>
      <c r="U711" s="430"/>
      <c r="V711" s="430"/>
      <c r="W711" s="444"/>
      <c r="X711" s="444"/>
      <c r="Y711" s="430"/>
      <c r="Z711" s="430"/>
      <c r="AA711" s="430"/>
      <c r="AB711" s="444"/>
      <c r="AC711" s="444"/>
      <c r="AD711" s="430"/>
      <c r="AE711" s="430"/>
      <c r="AF711" s="430"/>
      <c r="AG711" s="444"/>
      <c r="AH711" s="444"/>
      <c r="AI711" s="430"/>
      <c r="AJ711" s="430"/>
      <c r="AK711" s="430"/>
      <c r="AL711" s="476"/>
      <c r="AM711" s="430"/>
      <c r="AN711" s="430"/>
      <c r="AO711" s="430"/>
      <c r="AP711" s="430"/>
      <c r="AQ711" s="430"/>
      <c r="AR711" s="430"/>
      <c r="AS711" s="430"/>
      <c r="AT711" s="430"/>
      <c r="AU711" s="430"/>
      <c r="AV711" s="430"/>
      <c r="AW711" s="430"/>
      <c r="AX711" s="430"/>
    </row>
    <row r="712">
      <c r="B712" s="471"/>
      <c r="E712" s="471"/>
      <c r="H712" s="471"/>
      <c r="K712" s="471"/>
      <c r="M712" s="454"/>
      <c r="N712" s="424"/>
      <c r="O712" s="424"/>
      <c r="P712" s="430"/>
      <c r="Q712" s="444"/>
      <c r="R712" s="424"/>
      <c r="S712" s="430"/>
      <c r="T712" s="444"/>
      <c r="U712" s="430"/>
      <c r="V712" s="430"/>
      <c r="W712" s="444"/>
      <c r="X712" s="444"/>
      <c r="Y712" s="430"/>
      <c r="Z712" s="430"/>
      <c r="AA712" s="430"/>
      <c r="AB712" s="444"/>
      <c r="AC712" s="444"/>
      <c r="AD712" s="430"/>
      <c r="AE712" s="430"/>
      <c r="AF712" s="430"/>
      <c r="AG712" s="444"/>
      <c r="AH712" s="444"/>
      <c r="AI712" s="430"/>
      <c r="AJ712" s="430"/>
      <c r="AK712" s="430"/>
      <c r="AL712" s="476"/>
      <c r="AM712" s="430"/>
      <c r="AN712" s="430"/>
      <c r="AO712" s="430"/>
      <c r="AP712" s="430"/>
      <c r="AQ712" s="430"/>
      <c r="AR712" s="430"/>
      <c r="AS712" s="430"/>
      <c r="AT712" s="430"/>
      <c r="AU712" s="430"/>
      <c r="AV712" s="430"/>
      <c r="AW712" s="430"/>
      <c r="AX712" s="430"/>
    </row>
    <row r="713">
      <c r="B713" s="471"/>
      <c r="E713" s="471"/>
      <c r="H713" s="471"/>
      <c r="K713" s="471"/>
      <c r="M713" s="454"/>
      <c r="N713" s="424"/>
      <c r="O713" s="424"/>
      <c r="P713" s="430"/>
      <c r="Q713" s="444"/>
      <c r="R713" s="424"/>
      <c r="S713" s="430"/>
      <c r="T713" s="444"/>
      <c r="U713" s="430"/>
      <c r="V713" s="430"/>
      <c r="W713" s="444"/>
      <c r="X713" s="444"/>
      <c r="Y713" s="430"/>
      <c r="Z713" s="430"/>
      <c r="AA713" s="430"/>
      <c r="AB713" s="444"/>
      <c r="AC713" s="444"/>
      <c r="AD713" s="430"/>
      <c r="AE713" s="430"/>
      <c r="AF713" s="430"/>
      <c r="AG713" s="444"/>
      <c r="AH713" s="444"/>
      <c r="AI713" s="430"/>
      <c r="AJ713" s="430"/>
      <c r="AK713" s="430"/>
      <c r="AL713" s="476"/>
      <c r="AM713" s="430"/>
      <c r="AN713" s="430"/>
      <c r="AO713" s="430"/>
      <c r="AP713" s="430"/>
      <c r="AQ713" s="430"/>
      <c r="AR713" s="430"/>
      <c r="AS713" s="430"/>
      <c r="AT713" s="430"/>
      <c r="AU713" s="430"/>
      <c r="AV713" s="430"/>
      <c r="AW713" s="430"/>
      <c r="AX713" s="430"/>
    </row>
    <row r="714">
      <c r="B714" s="471"/>
      <c r="E714" s="471"/>
      <c r="H714" s="471"/>
      <c r="K714" s="471"/>
      <c r="M714" s="454"/>
      <c r="N714" s="424"/>
      <c r="O714" s="424"/>
      <c r="P714" s="430"/>
      <c r="Q714" s="444"/>
      <c r="R714" s="424"/>
      <c r="S714" s="430"/>
      <c r="T714" s="444"/>
      <c r="U714" s="430"/>
      <c r="V714" s="430"/>
      <c r="W714" s="444"/>
      <c r="X714" s="444"/>
      <c r="Y714" s="430"/>
      <c r="Z714" s="430"/>
      <c r="AA714" s="430"/>
      <c r="AB714" s="444"/>
      <c r="AC714" s="444"/>
      <c r="AD714" s="430"/>
      <c r="AE714" s="430"/>
      <c r="AF714" s="430"/>
      <c r="AG714" s="444"/>
      <c r="AH714" s="444"/>
      <c r="AI714" s="430"/>
      <c r="AJ714" s="430"/>
      <c r="AK714" s="430"/>
      <c r="AL714" s="476"/>
      <c r="AM714" s="430"/>
      <c r="AN714" s="430"/>
      <c r="AO714" s="430"/>
      <c r="AP714" s="430"/>
      <c r="AQ714" s="430"/>
      <c r="AR714" s="430"/>
      <c r="AS714" s="430"/>
      <c r="AT714" s="430"/>
      <c r="AU714" s="430"/>
      <c r="AV714" s="430"/>
      <c r="AW714" s="430"/>
      <c r="AX714" s="430"/>
    </row>
    <row r="715">
      <c r="B715" s="471"/>
      <c r="E715" s="471"/>
      <c r="H715" s="471"/>
      <c r="K715" s="471"/>
      <c r="M715" s="454"/>
      <c r="N715" s="424"/>
      <c r="O715" s="424"/>
      <c r="P715" s="430"/>
      <c r="Q715" s="444"/>
      <c r="R715" s="424"/>
      <c r="S715" s="430"/>
      <c r="T715" s="444"/>
      <c r="U715" s="430"/>
      <c r="V715" s="430"/>
      <c r="W715" s="444"/>
      <c r="X715" s="444"/>
      <c r="Y715" s="430"/>
      <c r="Z715" s="430"/>
      <c r="AA715" s="430"/>
      <c r="AB715" s="444"/>
      <c r="AC715" s="444"/>
      <c r="AD715" s="430"/>
      <c r="AE715" s="430"/>
      <c r="AF715" s="430"/>
      <c r="AG715" s="444"/>
      <c r="AH715" s="444"/>
      <c r="AI715" s="430"/>
      <c r="AJ715" s="430"/>
      <c r="AK715" s="430"/>
      <c r="AL715" s="476"/>
      <c r="AM715" s="430"/>
      <c r="AN715" s="430"/>
      <c r="AO715" s="430"/>
      <c r="AP715" s="430"/>
      <c r="AQ715" s="430"/>
      <c r="AR715" s="430"/>
      <c r="AS715" s="430"/>
      <c r="AT715" s="430"/>
      <c r="AU715" s="430"/>
      <c r="AV715" s="430"/>
      <c r="AW715" s="430"/>
      <c r="AX715" s="430"/>
    </row>
    <row r="716">
      <c r="B716" s="471"/>
      <c r="E716" s="471"/>
      <c r="H716" s="471"/>
      <c r="K716" s="471"/>
      <c r="M716" s="454"/>
      <c r="N716" s="424"/>
      <c r="O716" s="424"/>
      <c r="P716" s="430"/>
      <c r="Q716" s="444"/>
      <c r="R716" s="424"/>
      <c r="S716" s="430"/>
      <c r="T716" s="444"/>
      <c r="U716" s="430"/>
      <c r="V716" s="430"/>
      <c r="W716" s="444"/>
      <c r="X716" s="444"/>
      <c r="Y716" s="430"/>
      <c r="Z716" s="430"/>
      <c r="AA716" s="430"/>
      <c r="AB716" s="444"/>
      <c r="AC716" s="444"/>
      <c r="AD716" s="430"/>
      <c r="AE716" s="430"/>
      <c r="AF716" s="430"/>
      <c r="AG716" s="444"/>
      <c r="AH716" s="444"/>
      <c r="AI716" s="430"/>
      <c r="AJ716" s="430"/>
      <c r="AK716" s="430"/>
      <c r="AL716" s="476"/>
      <c r="AM716" s="430"/>
      <c r="AN716" s="430"/>
      <c r="AO716" s="430"/>
      <c r="AP716" s="430"/>
      <c r="AQ716" s="430"/>
      <c r="AR716" s="430"/>
      <c r="AS716" s="430"/>
      <c r="AT716" s="430"/>
      <c r="AU716" s="430"/>
      <c r="AV716" s="430"/>
      <c r="AW716" s="430"/>
      <c r="AX716" s="430"/>
    </row>
    <row r="717">
      <c r="B717" s="471"/>
      <c r="E717" s="471"/>
      <c r="H717" s="471"/>
      <c r="K717" s="471"/>
      <c r="M717" s="454"/>
      <c r="N717" s="424"/>
      <c r="O717" s="424"/>
      <c r="P717" s="430"/>
      <c r="Q717" s="444"/>
      <c r="R717" s="424"/>
      <c r="S717" s="430"/>
      <c r="T717" s="444"/>
      <c r="U717" s="430"/>
      <c r="V717" s="430"/>
      <c r="W717" s="444"/>
      <c r="X717" s="444"/>
      <c r="Y717" s="430"/>
      <c r="Z717" s="430"/>
      <c r="AA717" s="430"/>
      <c r="AB717" s="444"/>
      <c r="AC717" s="444"/>
      <c r="AD717" s="430"/>
      <c r="AE717" s="430"/>
      <c r="AF717" s="430"/>
      <c r="AG717" s="444"/>
      <c r="AH717" s="444"/>
      <c r="AI717" s="430"/>
      <c r="AJ717" s="430"/>
      <c r="AK717" s="430"/>
      <c r="AL717" s="476"/>
      <c r="AM717" s="430"/>
      <c r="AN717" s="430"/>
      <c r="AO717" s="430"/>
      <c r="AP717" s="430"/>
      <c r="AQ717" s="430"/>
      <c r="AR717" s="430"/>
      <c r="AS717" s="430"/>
      <c r="AT717" s="430"/>
      <c r="AU717" s="430"/>
      <c r="AV717" s="430"/>
      <c r="AW717" s="430"/>
      <c r="AX717" s="430"/>
    </row>
    <row r="718">
      <c r="B718" s="471"/>
      <c r="E718" s="471"/>
      <c r="H718" s="471"/>
      <c r="K718" s="471"/>
      <c r="M718" s="454"/>
      <c r="N718" s="424"/>
      <c r="O718" s="424"/>
      <c r="P718" s="430"/>
      <c r="Q718" s="444"/>
      <c r="R718" s="424"/>
      <c r="S718" s="430"/>
      <c r="T718" s="444"/>
      <c r="U718" s="430"/>
      <c r="V718" s="430"/>
      <c r="W718" s="444"/>
      <c r="X718" s="444"/>
      <c r="Y718" s="430"/>
      <c r="Z718" s="430"/>
      <c r="AA718" s="430"/>
      <c r="AB718" s="444"/>
      <c r="AC718" s="444"/>
      <c r="AD718" s="430"/>
      <c r="AE718" s="430"/>
      <c r="AF718" s="430"/>
      <c r="AG718" s="444"/>
      <c r="AH718" s="444"/>
      <c r="AI718" s="430"/>
      <c r="AJ718" s="430"/>
      <c r="AK718" s="430"/>
      <c r="AL718" s="476"/>
      <c r="AM718" s="430"/>
      <c r="AN718" s="430"/>
      <c r="AO718" s="430"/>
      <c r="AP718" s="430"/>
      <c r="AQ718" s="430"/>
      <c r="AR718" s="430"/>
      <c r="AS718" s="430"/>
      <c r="AT718" s="430"/>
      <c r="AU718" s="430"/>
      <c r="AV718" s="430"/>
      <c r="AW718" s="430"/>
      <c r="AX718" s="430"/>
    </row>
    <row r="719">
      <c r="B719" s="471"/>
      <c r="E719" s="471"/>
      <c r="H719" s="471"/>
      <c r="K719" s="471"/>
      <c r="M719" s="454"/>
      <c r="N719" s="424"/>
      <c r="O719" s="424"/>
      <c r="P719" s="430"/>
      <c r="Q719" s="444"/>
      <c r="R719" s="424"/>
      <c r="S719" s="430"/>
      <c r="T719" s="444"/>
      <c r="U719" s="430"/>
      <c r="V719" s="430"/>
      <c r="W719" s="444"/>
      <c r="X719" s="444"/>
      <c r="Y719" s="430"/>
      <c r="Z719" s="430"/>
      <c r="AA719" s="430"/>
      <c r="AB719" s="444"/>
      <c r="AC719" s="444"/>
      <c r="AD719" s="430"/>
      <c r="AE719" s="430"/>
      <c r="AF719" s="430"/>
      <c r="AG719" s="444"/>
      <c r="AH719" s="444"/>
      <c r="AI719" s="430"/>
      <c r="AJ719" s="430"/>
      <c r="AK719" s="430"/>
      <c r="AL719" s="476"/>
      <c r="AM719" s="430"/>
      <c r="AN719" s="430"/>
      <c r="AO719" s="430"/>
      <c r="AP719" s="430"/>
      <c r="AQ719" s="430"/>
      <c r="AR719" s="430"/>
      <c r="AS719" s="430"/>
      <c r="AT719" s="430"/>
      <c r="AU719" s="430"/>
      <c r="AV719" s="430"/>
      <c r="AW719" s="430"/>
      <c r="AX719" s="430"/>
    </row>
    <row r="720">
      <c r="B720" s="471"/>
      <c r="E720" s="471"/>
      <c r="H720" s="471"/>
      <c r="K720" s="471"/>
      <c r="M720" s="454"/>
      <c r="N720" s="424"/>
      <c r="O720" s="424"/>
      <c r="P720" s="430"/>
      <c r="Q720" s="444"/>
      <c r="R720" s="424"/>
      <c r="S720" s="430"/>
      <c r="T720" s="444"/>
      <c r="U720" s="430"/>
      <c r="V720" s="430"/>
      <c r="W720" s="444"/>
      <c r="X720" s="444"/>
      <c r="Y720" s="430"/>
      <c r="Z720" s="430"/>
      <c r="AA720" s="430"/>
      <c r="AB720" s="444"/>
      <c r="AC720" s="444"/>
      <c r="AD720" s="430"/>
      <c r="AE720" s="430"/>
      <c r="AF720" s="430"/>
      <c r="AG720" s="444"/>
      <c r="AH720" s="444"/>
      <c r="AI720" s="430"/>
      <c r="AJ720" s="430"/>
      <c r="AK720" s="430"/>
      <c r="AL720" s="476"/>
      <c r="AM720" s="430"/>
      <c r="AN720" s="430"/>
      <c r="AO720" s="430"/>
      <c r="AP720" s="430"/>
      <c r="AQ720" s="430"/>
      <c r="AR720" s="430"/>
      <c r="AS720" s="430"/>
      <c r="AT720" s="430"/>
      <c r="AU720" s="430"/>
      <c r="AV720" s="430"/>
      <c r="AW720" s="430"/>
      <c r="AX720" s="430"/>
    </row>
    <row r="721">
      <c r="B721" s="471"/>
      <c r="E721" s="471"/>
      <c r="H721" s="471"/>
      <c r="K721" s="471"/>
      <c r="M721" s="454"/>
      <c r="N721" s="424"/>
      <c r="O721" s="424"/>
      <c r="P721" s="430"/>
      <c r="Q721" s="444"/>
      <c r="R721" s="424"/>
      <c r="S721" s="430"/>
      <c r="T721" s="444"/>
      <c r="U721" s="430"/>
      <c r="V721" s="430"/>
      <c r="W721" s="444"/>
      <c r="X721" s="444"/>
      <c r="Y721" s="430"/>
      <c r="Z721" s="430"/>
      <c r="AA721" s="430"/>
      <c r="AB721" s="444"/>
      <c r="AC721" s="444"/>
      <c r="AD721" s="430"/>
      <c r="AE721" s="430"/>
      <c r="AF721" s="430"/>
      <c r="AG721" s="444"/>
      <c r="AH721" s="444"/>
      <c r="AI721" s="430"/>
      <c r="AJ721" s="430"/>
      <c r="AK721" s="430"/>
      <c r="AL721" s="476"/>
      <c r="AM721" s="430"/>
      <c r="AN721" s="430"/>
      <c r="AO721" s="430"/>
      <c r="AP721" s="430"/>
      <c r="AQ721" s="430"/>
      <c r="AR721" s="430"/>
      <c r="AS721" s="430"/>
      <c r="AT721" s="430"/>
      <c r="AU721" s="430"/>
      <c r="AV721" s="430"/>
      <c r="AW721" s="430"/>
      <c r="AX721" s="430"/>
    </row>
    <row r="722">
      <c r="B722" s="471"/>
      <c r="E722" s="471"/>
      <c r="H722" s="471"/>
      <c r="K722" s="471"/>
      <c r="M722" s="454"/>
      <c r="N722" s="424"/>
      <c r="O722" s="424"/>
      <c r="P722" s="430"/>
      <c r="Q722" s="444"/>
      <c r="R722" s="424"/>
      <c r="S722" s="430"/>
      <c r="T722" s="444"/>
      <c r="U722" s="430"/>
      <c r="V722" s="430"/>
      <c r="W722" s="444"/>
      <c r="X722" s="444"/>
      <c r="Y722" s="430"/>
      <c r="Z722" s="430"/>
      <c r="AA722" s="430"/>
      <c r="AB722" s="444"/>
      <c r="AC722" s="444"/>
      <c r="AD722" s="430"/>
      <c r="AE722" s="430"/>
      <c r="AF722" s="430"/>
      <c r="AG722" s="444"/>
      <c r="AH722" s="444"/>
      <c r="AI722" s="430"/>
      <c r="AJ722" s="430"/>
      <c r="AK722" s="430"/>
      <c r="AL722" s="476"/>
      <c r="AM722" s="430"/>
      <c r="AN722" s="430"/>
      <c r="AO722" s="430"/>
      <c r="AP722" s="430"/>
      <c r="AQ722" s="430"/>
      <c r="AR722" s="430"/>
      <c r="AS722" s="430"/>
      <c r="AT722" s="430"/>
      <c r="AU722" s="430"/>
      <c r="AV722" s="430"/>
      <c r="AW722" s="430"/>
      <c r="AX722" s="430"/>
    </row>
    <row r="723">
      <c r="B723" s="471"/>
      <c r="E723" s="471"/>
      <c r="H723" s="471"/>
      <c r="K723" s="471"/>
      <c r="M723" s="454"/>
      <c r="N723" s="424"/>
      <c r="O723" s="424"/>
      <c r="P723" s="430"/>
      <c r="Q723" s="444"/>
      <c r="R723" s="424"/>
      <c r="S723" s="430"/>
      <c r="T723" s="444"/>
      <c r="U723" s="430"/>
      <c r="V723" s="430"/>
      <c r="W723" s="444"/>
      <c r="X723" s="444"/>
      <c r="Y723" s="430"/>
      <c r="Z723" s="430"/>
      <c r="AA723" s="430"/>
      <c r="AB723" s="444"/>
      <c r="AC723" s="444"/>
      <c r="AD723" s="430"/>
      <c r="AE723" s="430"/>
      <c r="AF723" s="430"/>
      <c r="AG723" s="444"/>
      <c r="AH723" s="444"/>
      <c r="AI723" s="430"/>
      <c r="AJ723" s="430"/>
      <c r="AK723" s="430"/>
      <c r="AL723" s="476"/>
      <c r="AM723" s="430"/>
      <c r="AN723" s="430"/>
      <c r="AO723" s="430"/>
      <c r="AP723" s="430"/>
      <c r="AQ723" s="430"/>
      <c r="AR723" s="430"/>
      <c r="AS723" s="430"/>
      <c r="AT723" s="430"/>
      <c r="AU723" s="430"/>
      <c r="AV723" s="430"/>
      <c r="AW723" s="430"/>
      <c r="AX723" s="430"/>
    </row>
    <row r="724">
      <c r="B724" s="471"/>
      <c r="E724" s="471"/>
      <c r="H724" s="471"/>
      <c r="K724" s="471"/>
      <c r="M724" s="454"/>
      <c r="N724" s="424"/>
      <c r="O724" s="424"/>
      <c r="P724" s="430"/>
      <c r="Q724" s="444"/>
      <c r="R724" s="424"/>
      <c r="S724" s="430"/>
      <c r="T724" s="444"/>
      <c r="U724" s="430"/>
      <c r="V724" s="430"/>
      <c r="W724" s="444"/>
      <c r="X724" s="444"/>
      <c r="Y724" s="430"/>
      <c r="Z724" s="430"/>
      <c r="AA724" s="430"/>
      <c r="AB724" s="444"/>
      <c r="AC724" s="444"/>
      <c r="AD724" s="430"/>
      <c r="AE724" s="430"/>
      <c r="AF724" s="430"/>
      <c r="AG724" s="444"/>
      <c r="AH724" s="444"/>
      <c r="AI724" s="430"/>
      <c r="AJ724" s="430"/>
      <c r="AK724" s="430"/>
      <c r="AL724" s="476"/>
      <c r="AM724" s="430"/>
      <c r="AN724" s="430"/>
      <c r="AO724" s="430"/>
      <c r="AP724" s="430"/>
      <c r="AQ724" s="430"/>
      <c r="AR724" s="430"/>
      <c r="AS724" s="430"/>
      <c r="AT724" s="430"/>
      <c r="AU724" s="430"/>
      <c r="AV724" s="430"/>
      <c r="AW724" s="430"/>
      <c r="AX724" s="430"/>
    </row>
    <row r="725">
      <c r="B725" s="471"/>
      <c r="E725" s="471"/>
      <c r="H725" s="471"/>
      <c r="K725" s="471"/>
      <c r="M725" s="454"/>
      <c r="N725" s="424"/>
      <c r="O725" s="424"/>
      <c r="P725" s="430"/>
      <c r="Q725" s="444"/>
      <c r="R725" s="424"/>
      <c r="S725" s="430"/>
      <c r="T725" s="444"/>
      <c r="U725" s="430"/>
      <c r="V725" s="430"/>
      <c r="W725" s="444"/>
      <c r="X725" s="444"/>
      <c r="Y725" s="430"/>
      <c r="Z725" s="430"/>
      <c r="AA725" s="430"/>
      <c r="AB725" s="444"/>
      <c r="AC725" s="444"/>
      <c r="AD725" s="430"/>
      <c r="AE725" s="430"/>
      <c r="AF725" s="430"/>
      <c r="AG725" s="444"/>
      <c r="AH725" s="444"/>
      <c r="AI725" s="430"/>
      <c r="AJ725" s="430"/>
      <c r="AK725" s="430"/>
      <c r="AL725" s="476"/>
      <c r="AM725" s="430"/>
      <c r="AN725" s="430"/>
      <c r="AO725" s="430"/>
      <c r="AP725" s="430"/>
      <c r="AQ725" s="430"/>
      <c r="AR725" s="430"/>
      <c r="AS725" s="430"/>
      <c r="AT725" s="430"/>
      <c r="AU725" s="430"/>
      <c r="AV725" s="430"/>
      <c r="AW725" s="430"/>
      <c r="AX725" s="430"/>
    </row>
    <row r="726">
      <c r="B726" s="471"/>
      <c r="E726" s="471"/>
      <c r="H726" s="471"/>
      <c r="K726" s="471"/>
      <c r="M726" s="454"/>
      <c r="N726" s="424"/>
      <c r="O726" s="424"/>
      <c r="P726" s="430"/>
      <c r="Q726" s="444"/>
      <c r="R726" s="424"/>
      <c r="S726" s="430"/>
      <c r="T726" s="444"/>
      <c r="U726" s="430"/>
      <c r="V726" s="430"/>
      <c r="W726" s="444"/>
      <c r="X726" s="444"/>
      <c r="Y726" s="430"/>
      <c r="Z726" s="430"/>
      <c r="AA726" s="430"/>
      <c r="AB726" s="444"/>
      <c r="AC726" s="444"/>
      <c r="AD726" s="430"/>
      <c r="AE726" s="430"/>
      <c r="AF726" s="430"/>
      <c r="AG726" s="444"/>
      <c r="AH726" s="444"/>
      <c r="AI726" s="430"/>
      <c r="AJ726" s="430"/>
      <c r="AK726" s="430"/>
      <c r="AL726" s="476"/>
      <c r="AM726" s="430"/>
      <c r="AN726" s="430"/>
      <c r="AO726" s="430"/>
      <c r="AP726" s="430"/>
      <c r="AQ726" s="430"/>
      <c r="AR726" s="430"/>
      <c r="AS726" s="430"/>
      <c r="AT726" s="430"/>
      <c r="AU726" s="430"/>
      <c r="AV726" s="430"/>
      <c r="AW726" s="430"/>
      <c r="AX726" s="430"/>
    </row>
    <row r="727">
      <c r="B727" s="471"/>
      <c r="E727" s="471"/>
      <c r="H727" s="471"/>
      <c r="K727" s="471"/>
      <c r="M727" s="454"/>
      <c r="N727" s="424"/>
      <c r="O727" s="424"/>
      <c r="P727" s="430"/>
      <c r="Q727" s="444"/>
      <c r="R727" s="424"/>
      <c r="S727" s="430"/>
      <c r="T727" s="444"/>
      <c r="U727" s="430"/>
      <c r="V727" s="430"/>
      <c r="W727" s="444"/>
      <c r="X727" s="444"/>
      <c r="Y727" s="430"/>
      <c r="Z727" s="430"/>
      <c r="AA727" s="430"/>
      <c r="AB727" s="444"/>
      <c r="AC727" s="444"/>
      <c r="AD727" s="430"/>
      <c r="AE727" s="430"/>
      <c r="AF727" s="430"/>
      <c r="AG727" s="444"/>
      <c r="AH727" s="444"/>
      <c r="AI727" s="430"/>
      <c r="AJ727" s="430"/>
      <c r="AK727" s="430"/>
      <c r="AL727" s="476"/>
      <c r="AM727" s="430"/>
      <c r="AN727" s="430"/>
      <c r="AO727" s="430"/>
      <c r="AP727" s="430"/>
      <c r="AQ727" s="430"/>
      <c r="AR727" s="430"/>
      <c r="AS727" s="430"/>
      <c r="AT727" s="430"/>
      <c r="AU727" s="430"/>
      <c r="AV727" s="430"/>
      <c r="AW727" s="430"/>
      <c r="AX727" s="430"/>
    </row>
    <row r="728">
      <c r="B728" s="471"/>
      <c r="E728" s="471"/>
      <c r="H728" s="471"/>
      <c r="K728" s="471"/>
      <c r="M728" s="454"/>
      <c r="N728" s="424"/>
      <c r="O728" s="424"/>
      <c r="P728" s="430"/>
      <c r="Q728" s="444"/>
      <c r="R728" s="424"/>
      <c r="S728" s="430"/>
      <c r="T728" s="444"/>
      <c r="U728" s="430"/>
      <c r="V728" s="430"/>
      <c r="W728" s="444"/>
      <c r="X728" s="444"/>
      <c r="Y728" s="430"/>
      <c r="Z728" s="430"/>
      <c r="AA728" s="430"/>
      <c r="AB728" s="444"/>
      <c r="AC728" s="444"/>
      <c r="AD728" s="430"/>
      <c r="AE728" s="430"/>
      <c r="AF728" s="430"/>
      <c r="AG728" s="444"/>
      <c r="AH728" s="444"/>
      <c r="AI728" s="430"/>
      <c r="AJ728" s="430"/>
      <c r="AK728" s="430"/>
      <c r="AL728" s="476"/>
      <c r="AM728" s="430"/>
      <c r="AN728" s="430"/>
      <c r="AO728" s="430"/>
      <c r="AP728" s="430"/>
      <c r="AQ728" s="430"/>
      <c r="AR728" s="430"/>
      <c r="AS728" s="430"/>
      <c r="AT728" s="430"/>
      <c r="AU728" s="430"/>
      <c r="AV728" s="430"/>
      <c r="AW728" s="430"/>
      <c r="AX728" s="430"/>
    </row>
    <row r="729">
      <c r="B729" s="471"/>
      <c r="E729" s="471"/>
      <c r="H729" s="471"/>
      <c r="K729" s="471"/>
      <c r="M729" s="454"/>
      <c r="N729" s="424"/>
      <c r="O729" s="424"/>
      <c r="P729" s="430"/>
      <c r="Q729" s="444"/>
      <c r="R729" s="424"/>
      <c r="S729" s="430"/>
      <c r="T729" s="444"/>
      <c r="U729" s="430"/>
      <c r="V729" s="430"/>
      <c r="W729" s="444"/>
      <c r="X729" s="444"/>
      <c r="Y729" s="430"/>
      <c r="Z729" s="430"/>
      <c r="AA729" s="430"/>
      <c r="AB729" s="444"/>
      <c r="AC729" s="444"/>
      <c r="AD729" s="430"/>
      <c r="AE729" s="430"/>
      <c r="AF729" s="430"/>
      <c r="AG729" s="444"/>
      <c r="AH729" s="444"/>
      <c r="AI729" s="430"/>
      <c r="AJ729" s="430"/>
      <c r="AK729" s="430"/>
      <c r="AL729" s="476"/>
      <c r="AM729" s="430"/>
      <c r="AN729" s="430"/>
      <c r="AO729" s="430"/>
      <c r="AP729" s="430"/>
      <c r="AQ729" s="430"/>
      <c r="AR729" s="430"/>
      <c r="AS729" s="430"/>
      <c r="AT729" s="430"/>
      <c r="AU729" s="430"/>
      <c r="AV729" s="430"/>
      <c r="AW729" s="430"/>
      <c r="AX729" s="430"/>
    </row>
    <row r="730">
      <c r="B730" s="471"/>
      <c r="E730" s="471"/>
      <c r="H730" s="471"/>
      <c r="K730" s="471"/>
      <c r="M730" s="454"/>
      <c r="N730" s="424"/>
      <c r="O730" s="424"/>
      <c r="P730" s="430"/>
      <c r="Q730" s="444"/>
      <c r="R730" s="424"/>
      <c r="S730" s="430"/>
      <c r="T730" s="444"/>
      <c r="U730" s="430"/>
      <c r="V730" s="430"/>
      <c r="W730" s="444"/>
      <c r="X730" s="444"/>
      <c r="Y730" s="430"/>
      <c r="Z730" s="430"/>
      <c r="AA730" s="430"/>
      <c r="AB730" s="444"/>
      <c r="AC730" s="444"/>
      <c r="AD730" s="430"/>
      <c r="AE730" s="430"/>
      <c r="AF730" s="430"/>
      <c r="AG730" s="444"/>
      <c r="AH730" s="444"/>
      <c r="AI730" s="430"/>
      <c r="AJ730" s="430"/>
      <c r="AK730" s="430"/>
      <c r="AL730" s="476"/>
      <c r="AM730" s="430"/>
      <c r="AN730" s="430"/>
      <c r="AO730" s="430"/>
      <c r="AP730" s="430"/>
      <c r="AQ730" s="430"/>
      <c r="AR730" s="430"/>
      <c r="AS730" s="430"/>
      <c r="AT730" s="430"/>
      <c r="AU730" s="430"/>
      <c r="AV730" s="430"/>
      <c r="AW730" s="430"/>
      <c r="AX730" s="430"/>
    </row>
    <row r="731">
      <c r="B731" s="471"/>
      <c r="E731" s="471"/>
      <c r="H731" s="471"/>
      <c r="K731" s="471"/>
      <c r="M731" s="454"/>
      <c r="N731" s="424"/>
      <c r="O731" s="424"/>
      <c r="P731" s="430"/>
      <c r="Q731" s="444"/>
      <c r="R731" s="424"/>
      <c r="S731" s="430"/>
      <c r="T731" s="444"/>
      <c r="U731" s="430"/>
      <c r="V731" s="430"/>
      <c r="W731" s="444"/>
      <c r="X731" s="444"/>
      <c r="Y731" s="430"/>
      <c r="Z731" s="430"/>
      <c r="AA731" s="430"/>
      <c r="AB731" s="444"/>
      <c r="AC731" s="444"/>
      <c r="AD731" s="430"/>
      <c r="AE731" s="430"/>
      <c r="AF731" s="430"/>
      <c r="AG731" s="444"/>
      <c r="AH731" s="444"/>
      <c r="AI731" s="430"/>
      <c r="AJ731" s="430"/>
      <c r="AK731" s="430"/>
      <c r="AL731" s="476"/>
      <c r="AM731" s="430"/>
      <c r="AN731" s="430"/>
      <c r="AO731" s="430"/>
      <c r="AP731" s="430"/>
      <c r="AQ731" s="430"/>
      <c r="AR731" s="430"/>
      <c r="AS731" s="430"/>
      <c r="AT731" s="430"/>
      <c r="AU731" s="430"/>
      <c r="AV731" s="430"/>
      <c r="AW731" s="430"/>
      <c r="AX731" s="430"/>
    </row>
    <row r="732">
      <c r="B732" s="471"/>
      <c r="E732" s="471"/>
      <c r="H732" s="471"/>
      <c r="K732" s="471"/>
      <c r="M732" s="454"/>
      <c r="N732" s="424"/>
      <c r="O732" s="424"/>
      <c r="P732" s="430"/>
      <c r="Q732" s="444"/>
      <c r="R732" s="424"/>
      <c r="S732" s="430"/>
      <c r="T732" s="444"/>
      <c r="U732" s="430"/>
      <c r="V732" s="430"/>
      <c r="W732" s="444"/>
      <c r="X732" s="444"/>
      <c r="Y732" s="430"/>
      <c r="Z732" s="430"/>
      <c r="AA732" s="430"/>
      <c r="AB732" s="444"/>
      <c r="AC732" s="444"/>
      <c r="AD732" s="430"/>
      <c r="AE732" s="430"/>
      <c r="AF732" s="430"/>
      <c r="AG732" s="444"/>
      <c r="AH732" s="444"/>
      <c r="AI732" s="430"/>
      <c r="AJ732" s="430"/>
      <c r="AK732" s="430"/>
      <c r="AL732" s="476"/>
      <c r="AM732" s="430"/>
      <c r="AN732" s="430"/>
      <c r="AO732" s="430"/>
      <c r="AP732" s="430"/>
      <c r="AQ732" s="430"/>
      <c r="AR732" s="430"/>
      <c r="AS732" s="430"/>
      <c r="AT732" s="430"/>
      <c r="AU732" s="430"/>
      <c r="AV732" s="430"/>
      <c r="AW732" s="430"/>
      <c r="AX732" s="430"/>
    </row>
    <row r="733">
      <c r="B733" s="471"/>
      <c r="E733" s="471"/>
      <c r="H733" s="471"/>
      <c r="K733" s="471"/>
      <c r="M733" s="454"/>
      <c r="N733" s="424"/>
      <c r="O733" s="424"/>
      <c r="P733" s="430"/>
      <c r="Q733" s="444"/>
      <c r="R733" s="424"/>
      <c r="S733" s="430"/>
      <c r="T733" s="444"/>
      <c r="U733" s="430"/>
      <c r="V733" s="430"/>
      <c r="W733" s="444"/>
      <c r="X733" s="444"/>
      <c r="Y733" s="430"/>
      <c r="Z733" s="430"/>
      <c r="AA733" s="430"/>
      <c r="AB733" s="444"/>
      <c r="AC733" s="444"/>
      <c r="AD733" s="430"/>
      <c r="AE733" s="430"/>
      <c r="AF733" s="430"/>
      <c r="AG733" s="444"/>
      <c r="AH733" s="444"/>
      <c r="AI733" s="430"/>
      <c r="AJ733" s="430"/>
      <c r="AK733" s="430"/>
      <c r="AL733" s="476"/>
      <c r="AM733" s="430"/>
      <c r="AN733" s="430"/>
      <c r="AO733" s="430"/>
      <c r="AP733" s="430"/>
      <c r="AQ733" s="430"/>
      <c r="AR733" s="430"/>
      <c r="AS733" s="430"/>
      <c r="AT733" s="430"/>
      <c r="AU733" s="430"/>
      <c r="AV733" s="430"/>
      <c r="AW733" s="430"/>
      <c r="AX733" s="430"/>
    </row>
    <row r="734">
      <c r="B734" s="471"/>
      <c r="E734" s="471"/>
      <c r="H734" s="471"/>
      <c r="K734" s="471"/>
      <c r="M734" s="454"/>
      <c r="N734" s="424"/>
      <c r="O734" s="424"/>
      <c r="P734" s="430"/>
      <c r="Q734" s="444"/>
      <c r="R734" s="424"/>
      <c r="S734" s="430"/>
      <c r="T734" s="444"/>
      <c r="U734" s="430"/>
      <c r="V734" s="430"/>
      <c r="W734" s="444"/>
      <c r="X734" s="444"/>
      <c r="Y734" s="430"/>
      <c r="Z734" s="430"/>
      <c r="AA734" s="430"/>
      <c r="AB734" s="444"/>
      <c r="AC734" s="444"/>
      <c r="AD734" s="430"/>
      <c r="AE734" s="430"/>
      <c r="AF734" s="430"/>
      <c r="AG734" s="444"/>
      <c r="AH734" s="444"/>
      <c r="AI734" s="430"/>
      <c r="AJ734" s="430"/>
      <c r="AK734" s="430"/>
      <c r="AL734" s="476"/>
      <c r="AM734" s="430"/>
      <c r="AN734" s="430"/>
      <c r="AO734" s="430"/>
      <c r="AP734" s="430"/>
      <c r="AQ734" s="430"/>
      <c r="AR734" s="430"/>
      <c r="AS734" s="430"/>
      <c r="AT734" s="430"/>
      <c r="AU734" s="430"/>
      <c r="AV734" s="430"/>
      <c r="AW734" s="430"/>
      <c r="AX734" s="430"/>
    </row>
    <row r="735">
      <c r="B735" s="471"/>
      <c r="E735" s="471"/>
      <c r="H735" s="471"/>
      <c r="K735" s="471"/>
      <c r="M735" s="454"/>
      <c r="N735" s="424"/>
      <c r="O735" s="424"/>
      <c r="P735" s="430"/>
      <c r="Q735" s="444"/>
      <c r="R735" s="424"/>
      <c r="S735" s="430"/>
      <c r="T735" s="444"/>
      <c r="U735" s="430"/>
      <c r="V735" s="430"/>
      <c r="W735" s="444"/>
      <c r="X735" s="444"/>
      <c r="Y735" s="430"/>
      <c r="Z735" s="430"/>
      <c r="AA735" s="430"/>
      <c r="AB735" s="444"/>
      <c r="AC735" s="444"/>
      <c r="AD735" s="430"/>
      <c r="AE735" s="430"/>
      <c r="AF735" s="430"/>
      <c r="AG735" s="444"/>
      <c r="AH735" s="444"/>
      <c r="AI735" s="430"/>
      <c r="AJ735" s="430"/>
      <c r="AK735" s="430"/>
      <c r="AL735" s="476"/>
      <c r="AM735" s="430"/>
      <c r="AN735" s="430"/>
      <c r="AO735" s="430"/>
      <c r="AP735" s="430"/>
      <c r="AQ735" s="430"/>
      <c r="AR735" s="430"/>
      <c r="AS735" s="430"/>
      <c r="AT735" s="430"/>
      <c r="AU735" s="430"/>
      <c r="AV735" s="430"/>
      <c r="AW735" s="430"/>
      <c r="AX735" s="430"/>
    </row>
    <row r="736">
      <c r="B736" s="471"/>
      <c r="E736" s="471"/>
      <c r="H736" s="471"/>
      <c r="K736" s="471"/>
      <c r="M736" s="454"/>
      <c r="N736" s="424"/>
      <c r="O736" s="424"/>
      <c r="P736" s="430"/>
      <c r="Q736" s="444"/>
      <c r="R736" s="424"/>
      <c r="S736" s="430"/>
      <c r="T736" s="444"/>
      <c r="U736" s="430"/>
      <c r="V736" s="430"/>
      <c r="W736" s="444"/>
      <c r="X736" s="444"/>
      <c r="Y736" s="430"/>
      <c r="Z736" s="430"/>
      <c r="AA736" s="430"/>
      <c r="AB736" s="444"/>
      <c r="AC736" s="444"/>
      <c r="AD736" s="430"/>
      <c r="AE736" s="430"/>
      <c r="AF736" s="430"/>
      <c r="AG736" s="444"/>
      <c r="AH736" s="444"/>
      <c r="AI736" s="430"/>
      <c r="AJ736" s="430"/>
      <c r="AK736" s="430"/>
      <c r="AL736" s="476"/>
      <c r="AM736" s="430"/>
      <c r="AN736" s="430"/>
      <c r="AO736" s="430"/>
      <c r="AP736" s="430"/>
      <c r="AQ736" s="430"/>
      <c r="AR736" s="430"/>
      <c r="AS736" s="430"/>
      <c r="AT736" s="430"/>
      <c r="AU736" s="430"/>
      <c r="AV736" s="430"/>
      <c r="AW736" s="430"/>
      <c r="AX736" s="430"/>
    </row>
    <row r="737">
      <c r="B737" s="471"/>
      <c r="E737" s="471"/>
      <c r="H737" s="471"/>
      <c r="K737" s="471"/>
      <c r="M737" s="454"/>
      <c r="N737" s="424"/>
      <c r="O737" s="424"/>
      <c r="P737" s="430"/>
      <c r="Q737" s="444"/>
      <c r="R737" s="424"/>
      <c r="S737" s="430"/>
      <c r="T737" s="444"/>
      <c r="U737" s="430"/>
      <c r="V737" s="430"/>
      <c r="W737" s="444"/>
      <c r="X737" s="444"/>
      <c r="Y737" s="430"/>
      <c r="Z737" s="430"/>
      <c r="AA737" s="430"/>
      <c r="AB737" s="444"/>
      <c r="AC737" s="444"/>
      <c r="AD737" s="430"/>
      <c r="AE737" s="430"/>
      <c r="AF737" s="430"/>
      <c r="AG737" s="444"/>
      <c r="AH737" s="444"/>
      <c r="AI737" s="430"/>
      <c r="AJ737" s="430"/>
      <c r="AK737" s="430"/>
      <c r="AL737" s="476"/>
      <c r="AM737" s="430"/>
      <c r="AN737" s="430"/>
      <c r="AO737" s="430"/>
      <c r="AP737" s="430"/>
      <c r="AQ737" s="430"/>
      <c r="AR737" s="430"/>
      <c r="AS737" s="430"/>
      <c r="AT737" s="430"/>
      <c r="AU737" s="430"/>
      <c r="AV737" s="430"/>
      <c r="AW737" s="430"/>
      <c r="AX737" s="430"/>
    </row>
    <row r="738">
      <c r="B738" s="471"/>
      <c r="E738" s="471"/>
      <c r="H738" s="471"/>
      <c r="K738" s="471"/>
      <c r="M738" s="454"/>
      <c r="N738" s="424"/>
      <c r="O738" s="424"/>
      <c r="P738" s="430"/>
      <c r="Q738" s="444"/>
      <c r="R738" s="424"/>
      <c r="S738" s="430"/>
      <c r="T738" s="444"/>
      <c r="U738" s="430"/>
      <c r="V738" s="430"/>
      <c r="W738" s="444"/>
      <c r="X738" s="444"/>
      <c r="Y738" s="430"/>
      <c r="Z738" s="430"/>
      <c r="AA738" s="430"/>
      <c r="AB738" s="444"/>
      <c r="AC738" s="444"/>
      <c r="AD738" s="430"/>
      <c r="AE738" s="430"/>
      <c r="AF738" s="430"/>
      <c r="AG738" s="444"/>
      <c r="AH738" s="444"/>
      <c r="AI738" s="430"/>
      <c r="AJ738" s="430"/>
      <c r="AK738" s="430"/>
      <c r="AL738" s="476"/>
      <c r="AM738" s="430"/>
      <c r="AN738" s="430"/>
      <c r="AO738" s="430"/>
      <c r="AP738" s="430"/>
      <c r="AQ738" s="430"/>
      <c r="AR738" s="430"/>
      <c r="AS738" s="430"/>
      <c r="AT738" s="430"/>
      <c r="AU738" s="430"/>
      <c r="AV738" s="430"/>
      <c r="AW738" s="430"/>
      <c r="AX738" s="430"/>
    </row>
    <row r="739">
      <c r="B739" s="471"/>
      <c r="E739" s="471"/>
      <c r="H739" s="471"/>
      <c r="K739" s="471"/>
      <c r="M739" s="454"/>
      <c r="N739" s="424"/>
      <c r="O739" s="424"/>
      <c r="P739" s="430"/>
      <c r="Q739" s="444"/>
      <c r="R739" s="424"/>
      <c r="S739" s="430"/>
      <c r="T739" s="444"/>
      <c r="U739" s="430"/>
      <c r="V739" s="430"/>
      <c r="W739" s="444"/>
      <c r="X739" s="444"/>
      <c r="Y739" s="430"/>
      <c r="Z739" s="430"/>
      <c r="AA739" s="430"/>
      <c r="AB739" s="444"/>
      <c r="AC739" s="444"/>
      <c r="AD739" s="430"/>
      <c r="AE739" s="430"/>
      <c r="AF739" s="430"/>
      <c r="AG739" s="444"/>
      <c r="AH739" s="444"/>
      <c r="AI739" s="430"/>
      <c r="AJ739" s="430"/>
      <c r="AK739" s="430"/>
      <c r="AL739" s="476"/>
      <c r="AM739" s="430"/>
      <c r="AN739" s="430"/>
      <c r="AO739" s="430"/>
      <c r="AP739" s="430"/>
      <c r="AQ739" s="430"/>
      <c r="AR739" s="430"/>
      <c r="AS739" s="430"/>
      <c r="AT739" s="430"/>
      <c r="AU739" s="430"/>
      <c r="AV739" s="430"/>
      <c r="AW739" s="430"/>
      <c r="AX739" s="430"/>
    </row>
    <row r="740">
      <c r="B740" s="471"/>
      <c r="E740" s="471"/>
      <c r="H740" s="471"/>
      <c r="K740" s="471"/>
      <c r="M740" s="454"/>
      <c r="N740" s="424"/>
      <c r="O740" s="424"/>
      <c r="P740" s="430"/>
      <c r="Q740" s="444"/>
      <c r="R740" s="424"/>
      <c r="S740" s="430"/>
      <c r="T740" s="444"/>
      <c r="U740" s="430"/>
      <c r="V740" s="430"/>
      <c r="W740" s="444"/>
      <c r="X740" s="444"/>
      <c r="Y740" s="430"/>
      <c r="Z740" s="430"/>
      <c r="AA740" s="430"/>
      <c r="AB740" s="444"/>
      <c r="AC740" s="444"/>
      <c r="AD740" s="430"/>
      <c r="AE740" s="430"/>
      <c r="AF740" s="430"/>
      <c r="AG740" s="444"/>
      <c r="AH740" s="444"/>
      <c r="AI740" s="430"/>
      <c r="AJ740" s="430"/>
      <c r="AK740" s="430"/>
      <c r="AL740" s="476"/>
      <c r="AM740" s="430"/>
      <c r="AN740" s="430"/>
      <c r="AO740" s="430"/>
      <c r="AP740" s="430"/>
      <c r="AQ740" s="430"/>
      <c r="AR740" s="430"/>
      <c r="AS740" s="430"/>
      <c r="AT740" s="430"/>
      <c r="AU740" s="430"/>
      <c r="AV740" s="430"/>
      <c r="AW740" s="430"/>
      <c r="AX740" s="430"/>
    </row>
    <row r="741">
      <c r="B741" s="471"/>
      <c r="E741" s="471"/>
      <c r="H741" s="471"/>
      <c r="K741" s="471"/>
      <c r="M741" s="454"/>
      <c r="N741" s="424"/>
      <c r="O741" s="424"/>
      <c r="P741" s="430"/>
      <c r="Q741" s="444"/>
      <c r="R741" s="424"/>
      <c r="S741" s="430"/>
      <c r="T741" s="444"/>
      <c r="U741" s="430"/>
      <c r="V741" s="430"/>
      <c r="W741" s="444"/>
      <c r="X741" s="444"/>
      <c r="Y741" s="430"/>
      <c r="Z741" s="430"/>
      <c r="AA741" s="430"/>
      <c r="AB741" s="444"/>
      <c r="AC741" s="444"/>
      <c r="AD741" s="430"/>
      <c r="AE741" s="430"/>
      <c r="AF741" s="430"/>
      <c r="AG741" s="444"/>
      <c r="AH741" s="444"/>
      <c r="AI741" s="430"/>
      <c r="AJ741" s="430"/>
      <c r="AK741" s="430"/>
      <c r="AL741" s="476"/>
      <c r="AM741" s="430"/>
      <c r="AN741" s="430"/>
      <c r="AO741" s="430"/>
      <c r="AP741" s="430"/>
      <c r="AQ741" s="430"/>
      <c r="AR741" s="430"/>
      <c r="AS741" s="430"/>
      <c r="AT741" s="430"/>
      <c r="AU741" s="430"/>
      <c r="AV741" s="430"/>
      <c r="AW741" s="430"/>
      <c r="AX741" s="430"/>
    </row>
    <row r="742">
      <c r="B742" s="471"/>
      <c r="E742" s="471"/>
      <c r="H742" s="471"/>
      <c r="K742" s="471"/>
      <c r="M742" s="454"/>
      <c r="N742" s="424"/>
      <c r="O742" s="424"/>
      <c r="P742" s="430"/>
      <c r="Q742" s="444"/>
      <c r="R742" s="424"/>
      <c r="S742" s="430"/>
      <c r="T742" s="444"/>
      <c r="U742" s="430"/>
      <c r="V742" s="430"/>
      <c r="W742" s="444"/>
      <c r="X742" s="444"/>
      <c r="Y742" s="430"/>
      <c r="Z742" s="430"/>
      <c r="AA742" s="430"/>
      <c r="AB742" s="444"/>
      <c r="AC742" s="444"/>
      <c r="AD742" s="430"/>
      <c r="AE742" s="430"/>
      <c r="AF742" s="430"/>
      <c r="AG742" s="444"/>
      <c r="AH742" s="444"/>
      <c r="AI742" s="430"/>
      <c r="AJ742" s="430"/>
      <c r="AK742" s="430"/>
      <c r="AL742" s="476"/>
      <c r="AM742" s="430"/>
      <c r="AN742" s="430"/>
      <c r="AO742" s="430"/>
      <c r="AP742" s="430"/>
      <c r="AQ742" s="430"/>
      <c r="AR742" s="430"/>
      <c r="AS742" s="430"/>
      <c r="AT742" s="430"/>
      <c r="AU742" s="430"/>
      <c r="AV742" s="430"/>
      <c r="AW742" s="430"/>
      <c r="AX742" s="430"/>
    </row>
    <row r="743">
      <c r="B743" s="471"/>
      <c r="E743" s="471"/>
      <c r="H743" s="471"/>
      <c r="K743" s="471"/>
      <c r="M743" s="454"/>
      <c r="N743" s="424"/>
      <c r="O743" s="424"/>
      <c r="P743" s="430"/>
      <c r="Q743" s="444"/>
      <c r="R743" s="424"/>
      <c r="S743" s="430"/>
      <c r="T743" s="444"/>
      <c r="U743" s="430"/>
      <c r="V743" s="430"/>
      <c r="W743" s="444"/>
      <c r="X743" s="444"/>
      <c r="Y743" s="430"/>
      <c r="Z743" s="430"/>
      <c r="AA743" s="430"/>
      <c r="AB743" s="444"/>
      <c r="AC743" s="444"/>
      <c r="AD743" s="430"/>
      <c r="AE743" s="430"/>
      <c r="AF743" s="430"/>
      <c r="AG743" s="444"/>
      <c r="AH743" s="444"/>
      <c r="AI743" s="430"/>
      <c r="AJ743" s="430"/>
      <c r="AK743" s="430"/>
      <c r="AL743" s="476"/>
      <c r="AM743" s="430"/>
      <c r="AN743" s="430"/>
      <c r="AO743" s="430"/>
      <c r="AP743" s="430"/>
      <c r="AQ743" s="430"/>
      <c r="AR743" s="430"/>
      <c r="AS743" s="430"/>
      <c r="AT743" s="430"/>
      <c r="AU743" s="430"/>
      <c r="AV743" s="430"/>
      <c r="AW743" s="430"/>
      <c r="AX743" s="430"/>
    </row>
    <row r="744">
      <c r="B744" s="471"/>
      <c r="E744" s="471"/>
      <c r="H744" s="471"/>
      <c r="K744" s="471"/>
      <c r="M744" s="454"/>
      <c r="N744" s="424"/>
      <c r="O744" s="424"/>
      <c r="P744" s="430"/>
      <c r="Q744" s="444"/>
      <c r="R744" s="424"/>
      <c r="S744" s="430"/>
      <c r="T744" s="444"/>
      <c r="U744" s="430"/>
      <c r="V744" s="430"/>
      <c r="W744" s="444"/>
      <c r="X744" s="444"/>
      <c r="Y744" s="430"/>
      <c r="Z744" s="430"/>
      <c r="AA744" s="430"/>
      <c r="AB744" s="444"/>
      <c r="AC744" s="444"/>
      <c r="AD744" s="430"/>
      <c r="AE744" s="430"/>
      <c r="AF744" s="430"/>
      <c r="AG744" s="444"/>
      <c r="AH744" s="444"/>
      <c r="AI744" s="430"/>
      <c r="AJ744" s="430"/>
      <c r="AK744" s="430"/>
      <c r="AL744" s="476"/>
      <c r="AM744" s="430"/>
      <c r="AN744" s="430"/>
      <c r="AO744" s="430"/>
      <c r="AP744" s="430"/>
      <c r="AQ744" s="430"/>
      <c r="AR744" s="430"/>
      <c r="AS744" s="430"/>
      <c r="AT744" s="430"/>
      <c r="AU744" s="430"/>
      <c r="AV744" s="430"/>
      <c r="AW744" s="430"/>
      <c r="AX744" s="430"/>
    </row>
    <row r="745">
      <c r="B745" s="471"/>
      <c r="E745" s="471"/>
      <c r="H745" s="471"/>
      <c r="K745" s="471"/>
      <c r="M745" s="454"/>
      <c r="N745" s="424"/>
      <c r="O745" s="424"/>
      <c r="P745" s="430"/>
      <c r="Q745" s="444"/>
      <c r="R745" s="424"/>
      <c r="S745" s="430"/>
      <c r="T745" s="444"/>
      <c r="U745" s="430"/>
      <c r="V745" s="430"/>
      <c r="W745" s="444"/>
      <c r="X745" s="444"/>
      <c r="Y745" s="430"/>
      <c r="Z745" s="430"/>
      <c r="AA745" s="430"/>
      <c r="AB745" s="444"/>
      <c r="AC745" s="444"/>
      <c r="AD745" s="430"/>
      <c r="AE745" s="430"/>
      <c r="AF745" s="430"/>
      <c r="AG745" s="444"/>
      <c r="AH745" s="444"/>
      <c r="AI745" s="430"/>
      <c r="AJ745" s="430"/>
      <c r="AK745" s="430"/>
      <c r="AL745" s="476"/>
      <c r="AM745" s="430"/>
      <c r="AN745" s="430"/>
      <c r="AO745" s="430"/>
      <c r="AP745" s="430"/>
      <c r="AQ745" s="430"/>
      <c r="AR745" s="430"/>
      <c r="AS745" s="430"/>
      <c r="AT745" s="430"/>
      <c r="AU745" s="430"/>
      <c r="AV745" s="430"/>
      <c r="AW745" s="430"/>
      <c r="AX745" s="430"/>
    </row>
    <row r="746">
      <c r="B746" s="471"/>
      <c r="E746" s="471"/>
      <c r="H746" s="471"/>
      <c r="K746" s="471"/>
      <c r="M746" s="454"/>
      <c r="N746" s="424"/>
      <c r="O746" s="424"/>
      <c r="P746" s="430"/>
      <c r="Q746" s="444"/>
      <c r="R746" s="424"/>
      <c r="S746" s="430"/>
      <c r="T746" s="444"/>
      <c r="U746" s="430"/>
      <c r="V746" s="430"/>
      <c r="W746" s="444"/>
      <c r="X746" s="444"/>
      <c r="Y746" s="430"/>
      <c r="Z746" s="430"/>
      <c r="AA746" s="430"/>
      <c r="AB746" s="444"/>
      <c r="AC746" s="444"/>
      <c r="AD746" s="430"/>
      <c r="AE746" s="430"/>
      <c r="AF746" s="430"/>
      <c r="AG746" s="444"/>
      <c r="AH746" s="444"/>
      <c r="AI746" s="430"/>
      <c r="AJ746" s="430"/>
      <c r="AK746" s="430"/>
      <c r="AL746" s="476"/>
      <c r="AM746" s="430"/>
      <c r="AN746" s="430"/>
      <c r="AO746" s="430"/>
      <c r="AP746" s="430"/>
      <c r="AQ746" s="430"/>
      <c r="AR746" s="430"/>
      <c r="AS746" s="430"/>
      <c r="AT746" s="430"/>
      <c r="AU746" s="430"/>
      <c r="AV746" s="430"/>
      <c r="AW746" s="430"/>
      <c r="AX746" s="430"/>
    </row>
    <row r="747">
      <c r="B747" s="471"/>
      <c r="E747" s="471"/>
      <c r="H747" s="471"/>
      <c r="K747" s="471"/>
      <c r="M747" s="454"/>
      <c r="N747" s="424"/>
      <c r="O747" s="424"/>
      <c r="P747" s="430"/>
      <c r="Q747" s="444"/>
      <c r="R747" s="424"/>
      <c r="S747" s="430"/>
      <c r="T747" s="444"/>
      <c r="U747" s="430"/>
      <c r="V747" s="430"/>
      <c r="W747" s="444"/>
      <c r="X747" s="444"/>
      <c r="Y747" s="430"/>
      <c r="Z747" s="430"/>
      <c r="AA747" s="430"/>
      <c r="AB747" s="444"/>
      <c r="AC747" s="444"/>
      <c r="AD747" s="430"/>
      <c r="AE747" s="430"/>
      <c r="AF747" s="430"/>
      <c r="AG747" s="444"/>
      <c r="AH747" s="444"/>
      <c r="AI747" s="430"/>
      <c r="AJ747" s="430"/>
      <c r="AK747" s="430"/>
      <c r="AL747" s="476"/>
      <c r="AM747" s="430"/>
      <c r="AN747" s="430"/>
      <c r="AO747" s="430"/>
      <c r="AP747" s="430"/>
      <c r="AQ747" s="430"/>
      <c r="AR747" s="430"/>
      <c r="AS747" s="430"/>
      <c r="AT747" s="430"/>
      <c r="AU747" s="430"/>
      <c r="AV747" s="430"/>
      <c r="AW747" s="430"/>
      <c r="AX747" s="430"/>
    </row>
    <row r="748">
      <c r="B748" s="471"/>
      <c r="E748" s="471"/>
      <c r="H748" s="471"/>
      <c r="K748" s="471"/>
      <c r="M748" s="454"/>
      <c r="N748" s="424"/>
      <c r="O748" s="424"/>
      <c r="P748" s="430"/>
      <c r="Q748" s="444"/>
      <c r="R748" s="424"/>
      <c r="S748" s="430"/>
      <c r="T748" s="444"/>
      <c r="U748" s="430"/>
      <c r="V748" s="430"/>
      <c r="W748" s="444"/>
      <c r="X748" s="444"/>
      <c r="Y748" s="430"/>
      <c r="Z748" s="430"/>
      <c r="AA748" s="430"/>
      <c r="AB748" s="444"/>
      <c r="AC748" s="444"/>
      <c r="AD748" s="430"/>
      <c r="AE748" s="430"/>
      <c r="AF748" s="430"/>
      <c r="AG748" s="444"/>
      <c r="AH748" s="444"/>
      <c r="AI748" s="430"/>
      <c r="AJ748" s="430"/>
      <c r="AK748" s="430"/>
      <c r="AL748" s="476"/>
      <c r="AM748" s="430"/>
      <c r="AN748" s="430"/>
      <c r="AO748" s="430"/>
      <c r="AP748" s="430"/>
      <c r="AQ748" s="430"/>
      <c r="AR748" s="430"/>
      <c r="AS748" s="430"/>
      <c r="AT748" s="430"/>
      <c r="AU748" s="430"/>
      <c r="AV748" s="430"/>
      <c r="AW748" s="430"/>
      <c r="AX748" s="430"/>
    </row>
    <row r="749">
      <c r="B749" s="471"/>
      <c r="E749" s="471"/>
      <c r="H749" s="471"/>
      <c r="K749" s="471"/>
      <c r="M749" s="454"/>
      <c r="N749" s="424"/>
      <c r="O749" s="424"/>
      <c r="P749" s="430"/>
      <c r="Q749" s="444"/>
      <c r="R749" s="424"/>
      <c r="S749" s="430"/>
      <c r="T749" s="444"/>
      <c r="U749" s="430"/>
      <c r="V749" s="430"/>
      <c r="W749" s="444"/>
      <c r="X749" s="444"/>
      <c r="Y749" s="430"/>
      <c r="Z749" s="430"/>
      <c r="AA749" s="430"/>
      <c r="AB749" s="444"/>
      <c r="AC749" s="444"/>
      <c r="AD749" s="430"/>
      <c r="AE749" s="430"/>
      <c r="AF749" s="430"/>
      <c r="AG749" s="444"/>
      <c r="AH749" s="444"/>
      <c r="AI749" s="430"/>
      <c r="AJ749" s="430"/>
      <c r="AK749" s="430"/>
      <c r="AL749" s="476"/>
      <c r="AM749" s="430"/>
      <c r="AN749" s="430"/>
      <c r="AO749" s="430"/>
      <c r="AP749" s="430"/>
      <c r="AQ749" s="430"/>
      <c r="AR749" s="430"/>
      <c r="AS749" s="430"/>
      <c r="AT749" s="430"/>
      <c r="AU749" s="430"/>
      <c r="AV749" s="430"/>
      <c r="AW749" s="430"/>
      <c r="AX749" s="430"/>
    </row>
    <row r="750">
      <c r="B750" s="471"/>
      <c r="E750" s="471"/>
      <c r="H750" s="471"/>
      <c r="K750" s="471"/>
      <c r="M750" s="454"/>
      <c r="N750" s="424"/>
      <c r="O750" s="424"/>
      <c r="P750" s="430"/>
      <c r="Q750" s="444"/>
      <c r="R750" s="424"/>
      <c r="S750" s="430"/>
      <c r="T750" s="444"/>
      <c r="U750" s="430"/>
      <c r="V750" s="430"/>
      <c r="W750" s="444"/>
      <c r="X750" s="444"/>
      <c r="Y750" s="430"/>
      <c r="Z750" s="430"/>
      <c r="AA750" s="430"/>
      <c r="AB750" s="444"/>
      <c r="AC750" s="444"/>
      <c r="AD750" s="430"/>
      <c r="AE750" s="430"/>
      <c r="AF750" s="430"/>
      <c r="AG750" s="444"/>
      <c r="AH750" s="444"/>
      <c r="AI750" s="430"/>
      <c r="AJ750" s="430"/>
      <c r="AK750" s="430"/>
      <c r="AL750" s="476"/>
      <c r="AM750" s="430"/>
      <c r="AN750" s="430"/>
      <c r="AO750" s="430"/>
      <c r="AP750" s="430"/>
      <c r="AQ750" s="430"/>
      <c r="AR750" s="430"/>
      <c r="AS750" s="430"/>
      <c r="AT750" s="430"/>
      <c r="AU750" s="430"/>
      <c r="AV750" s="430"/>
      <c r="AW750" s="430"/>
      <c r="AX750" s="430"/>
    </row>
    <row r="751">
      <c r="B751" s="471"/>
      <c r="E751" s="471"/>
      <c r="H751" s="471"/>
      <c r="K751" s="471"/>
      <c r="M751" s="454"/>
      <c r="N751" s="424"/>
      <c r="O751" s="424"/>
      <c r="P751" s="430"/>
      <c r="Q751" s="444"/>
      <c r="R751" s="424"/>
      <c r="S751" s="430"/>
      <c r="T751" s="444"/>
      <c r="U751" s="430"/>
      <c r="V751" s="430"/>
      <c r="W751" s="444"/>
      <c r="X751" s="444"/>
      <c r="Y751" s="430"/>
      <c r="Z751" s="430"/>
      <c r="AA751" s="430"/>
      <c r="AB751" s="444"/>
      <c r="AC751" s="444"/>
      <c r="AD751" s="430"/>
      <c r="AE751" s="430"/>
      <c r="AF751" s="430"/>
      <c r="AG751" s="444"/>
      <c r="AH751" s="444"/>
      <c r="AI751" s="430"/>
      <c r="AJ751" s="430"/>
      <c r="AK751" s="430"/>
      <c r="AL751" s="476"/>
      <c r="AM751" s="430"/>
      <c r="AN751" s="430"/>
      <c r="AO751" s="430"/>
      <c r="AP751" s="430"/>
      <c r="AQ751" s="430"/>
      <c r="AR751" s="430"/>
      <c r="AS751" s="430"/>
      <c r="AT751" s="430"/>
      <c r="AU751" s="430"/>
      <c r="AV751" s="430"/>
      <c r="AW751" s="430"/>
      <c r="AX751" s="430"/>
    </row>
    <row r="752">
      <c r="B752" s="471"/>
      <c r="E752" s="471"/>
      <c r="H752" s="471"/>
      <c r="K752" s="471"/>
      <c r="M752" s="454"/>
      <c r="N752" s="424"/>
      <c r="O752" s="424"/>
      <c r="P752" s="430"/>
      <c r="Q752" s="444"/>
      <c r="R752" s="424"/>
      <c r="S752" s="430"/>
      <c r="T752" s="444"/>
      <c r="U752" s="430"/>
      <c r="V752" s="430"/>
      <c r="W752" s="444"/>
      <c r="X752" s="444"/>
      <c r="Y752" s="430"/>
      <c r="Z752" s="430"/>
      <c r="AA752" s="430"/>
      <c r="AB752" s="444"/>
      <c r="AC752" s="444"/>
      <c r="AD752" s="430"/>
      <c r="AE752" s="430"/>
      <c r="AF752" s="430"/>
      <c r="AG752" s="444"/>
      <c r="AH752" s="444"/>
      <c r="AI752" s="430"/>
      <c r="AJ752" s="430"/>
      <c r="AK752" s="430"/>
      <c r="AL752" s="476"/>
      <c r="AM752" s="430"/>
      <c r="AN752" s="430"/>
      <c r="AO752" s="430"/>
      <c r="AP752" s="430"/>
      <c r="AQ752" s="430"/>
      <c r="AR752" s="430"/>
      <c r="AS752" s="430"/>
      <c r="AT752" s="430"/>
      <c r="AU752" s="430"/>
      <c r="AV752" s="430"/>
      <c r="AW752" s="430"/>
      <c r="AX752" s="430"/>
    </row>
    <row r="753">
      <c r="B753" s="471"/>
      <c r="E753" s="471"/>
      <c r="H753" s="471"/>
      <c r="K753" s="471"/>
      <c r="M753" s="454"/>
      <c r="N753" s="424"/>
      <c r="O753" s="424"/>
      <c r="P753" s="430"/>
      <c r="Q753" s="444"/>
      <c r="R753" s="424"/>
      <c r="S753" s="430"/>
      <c r="T753" s="444"/>
      <c r="U753" s="430"/>
      <c r="V753" s="430"/>
      <c r="W753" s="444"/>
      <c r="X753" s="444"/>
      <c r="Y753" s="430"/>
      <c r="Z753" s="430"/>
      <c r="AA753" s="430"/>
      <c r="AB753" s="444"/>
      <c r="AC753" s="444"/>
      <c r="AD753" s="430"/>
      <c r="AE753" s="430"/>
      <c r="AF753" s="430"/>
      <c r="AG753" s="444"/>
      <c r="AH753" s="444"/>
      <c r="AI753" s="430"/>
      <c r="AJ753" s="430"/>
      <c r="AK753" s="430"/>
      <c r="AL753" s="476"/>
      <c r="AM753" s="430"/>
      <c r="AN753" s="430"/>
      <c r="AO753" s="430"/>
      <c r="AP753" s="430"/>
      <c r="AQ753" s="430"/>
      <c r="AR753" s="430"/>
      <c r="AS753" s="430"/>
      <c r="AT753" s="430"/>
      <c r="AU753" s="430"/>
      <c r="AV753" s="430"/>
      <c r="AW753" s="430"/>
      <c r="AX753" s="430"/>
    </row>
    <row r="754">
      <c r="B754" s="471"/>
      <c r="E754" s="471"/>
      <c r="H754" s="471"/>
      <c r="K754" s="471"/>
      <c r="M754" s="454"/>
      <c r="N754" s="424"/>
      <c r="O754" s="424"/>
      <c r="P754" s="430"/>
      <c r="Q754" s="444"/>
      <c r="R754" s="424"/>
      <c r="S754" s="430"/>
      <c r="T754" s="444"/>
      <c r="U754" s="430"/>
      <c r="V754" s="430"/>
      <c r="W754" s="444"/>
      <c r="X754" s="444"/>
      <c r="Y754" s="430"/>
      <c r="Z754" s="430"/>
      <c r="AA754" s="430"/>
      <c r="AB754" s="444"/>
      <c r="AC754" s="444"/>
      <c r="AD754" s="430"/>
      <c r="AE754" s="430"/>
      <c r="AF754" s="430"/>
      <c r="AG754" s="444"/>
      <c r="AH754" s="444"/>
      <c r="AI754" s="430"/>
      <c r="AJ754" s="430"/>
      <c r="AK754" s="430"/>
      <c r="AL754" s="476"/>
      <c r="AM754" s="430"/>
      <c r="AN754" s="430"/>
      <c r="AO754" s="430"/>
      <c r="AP754" s="430"/>
      <c r="AQ754" s="430"/>
      <c r="AR754" s="430"/>
      <c r="AS754" s="430"/>
      <c r="AT754" s="430"/>
      <c r="AU754" s="430"/>
      <c r="AV754" s="430"/>
      <c r="AW754" s="430"/>
      <c r="AX754" s="430"/>
    </row>
    <row r="755">
      <c r="B755" s="471"/>
      <c r="E755" s="471"/>
      <c r="H755" s="471"/>
      <c r="K755" s="471"/>
      <c r="M755" s="454"/>
      <c r="N755" s="424"/>
      <c r="O755" s="424"/>
      <c r="P755" s="430"/>
      <c r="Q755" s="444"/>
      <c r="R755" s="424"/>
      <c r="S755" s="430"/>
      <c r="T755" s="444"/>
      <c r="U755" s="430"/>
      <c r="V755" s="430"/>
      <c r="W755" s="444"/>
      <c r="X755" s="444"/>
      <c r="Y755" s="430"/>
      <c r="Z755" s="430"/>
      <c r="AA755" s="430"/>
      <c r="AB755" s="444"/>
      <c r="AC755" s="444"/>
      <c r="AD755" s="430"/>
      <c r="AE755" s="430"/>
      <c r="AF755" s="430"/>
      <c r="AG755" s="444"/>
      <c r="AH755" s="444"/>
      <c r="AI755" s="430"/>
      <c r="AJ755" s="430"/>
      <c r="AK755" s="430"/>
      <c r="AL755" s="476"/>
      <c r="AM755" s="430"/>
      <c r="AN755" s="430"/>
      <c r="AO755" s="430"/>
      <c r="AP755" s="430"/>
      <c r="AQ755" s="430"/>
      <c r="AR755" s="430"/>
      <c r="AS755" s="430"/>
      <c r="AT755" s="430"/>
      <c r="AU755" s="430"/>
      <c r="AV755" s="430"/>
      <c r="AW755" s="430"/>
      <c r="AX755" s="430"/>
    </row>
    <row r="756">
      <c r="B756" s="471"/>
      <c r="E756" s="471"/>
      <c r="H756" s="471"/>
      <c r="K756" s="471"/>
      <c r="M756" s="454"/>
      <c r="N756" s="424"/>
      <c r="O756" s="424"/>
      <c r="P756" s="430"/>
      <c r="Q756" s="444"/>
      <c r="R756" s="424"/>
      <c r="S756" s="430"/>
      <c r="T756" s="444"/>
      <c r="U756" s="430"/>
      <c r="V756" s="430"/>
      <c r="W756" s="444"/>
      <c r="X756" s="444"/>
      <c r="Y756" s="430"/>
      <c r="Z756" s="430"/>
      <c r="AA756" s="430"/>
      <c r="AB756" s="444"/>
      <c r="AC756" s="444"/>
      <c r="AD756" s="430"/>
      <c r="AE756" s="430"/>
      <c r="AF756" s="430"/>
      <c r="AG756" s="444"/>
      <c r="AH756" s="444"/>
      <c r="AI756" s="430"/>
      <c r="AJ756" s="430"/>
      <c r="AK756" s="430"/>
      <c r="AL756" s="476"/>
      <c r="AM756" s="430"/>
      <c r="AN756" s="430"/>
      <c r="AO756" s="430"/>
      <c r="AP756" s="430"/>
      <c r="AQ756" s="430"/>
      <c r="AR756" s="430"/>
      <c r="AS756" s="430"/>
      <c r="AT756" s="430"/>
      <c r="AU756" s="430"/>
      <c r="AV756" s="430"/>
      <c r="AW756" s="430"/>
      <c r="AX756" s="430"/>
    </row>
    <row r="757">
      <c r="B757" s="471"/>
      <c r="E757" s="471"/>
      <c r="H757" s="471"/>
      <c r="K757" s="471"/>
      <c r="M757" s="454"/>
      <c r="N757" s="424"/>
      <c r="O757" s="424"/>
      <c r="P757" s="430"/>
      <c r="Q757" s="444"/>
      <c r="R757" s="424"/>
      <c r="S757" s="430"/>
      <c r="T757" s="444"/>
      <c r="U757" s="430"/>
      <c r="V757" s="430"/>
      <c r="W757" s="444"/>
      <c r="X757" s="444"/>
      <c r="Y757" s="430"/>
      <c r="Z757" s="430"/>
      <c r="AA757" s="430"/>
      <c r="AB757" s="444"/>
      <c r="AC757" s="444"/>
      <c r="AD757" s="430"/>
      <c r="AE757" s="430"/>
      <c r="AF757" s="430"/>
      <c r="AG757" s="444"/>
      <c r="AH757" s="444"/>
      <c r="AI757" s="430"/>
      <c r="AJ757" s="430"/>
      <c r="AK757" s="430"/>
      <c r="AL757" s="476"/>
      <c r="AM757" s="430"/>
      <c r="AN757" s="430"/>
      <c r="AO757" s="430"/>
      <c r="AP757" s="430"/>
      <c r="AQ757" s="430"/>
      <c r="AR757" s="430"/>
      <c r="AS757" s="430"/>
      <c r="AT757" s="430"/>
      <c r="AU757" s="430"/>
      <c r="AV757" s="430"/>
      <c r="AW757" s="430"/>
      <c r="AX757" s="430"/>
    </row>
    <row r="758">
      <c r="B758" s="471"/>
      <c r="E758" s="471"/>
      <c r="H758" s="471"/>
      <c r="K758" s="471"/>
      <c r="M758" s="454"/>
      <c r="N758" s="424"/>
      <c r="O758" s="424"/>
      <c r="P758" s="430"/>
      <c r="Q758" s="444"/>
      <c r="R758" s="424"/>
      <c r="S758" s="430"/>
      <c r="T758" s="444"/>
      <c r="U758" s="430"/>
      <c r="V758" s="430"/>
      <c r="W758" s="444"/>
      <c r="X758" s="444"/>
      <c r="Y758" s="430"/>
      <c r="Z758" s="430"/>
      <c r="AA758" s="430"/>
      <c r="AB758" s="444"/>
      <c r="AC758" s="444"/>
      <c r="AD758" s="430"/>
      <c r="AE758" s="430"/>
      <c r="AF758" s="430"/>
      <c r="AG758" s="444"/>
      <c r="AH758" s="444"/>
      <c r="AI758" s="430"/>
      <c r="AJ758" s="430"/>
      <c r="AK758" s="430"/>
      <c r="AL758" s="476"/>
      <c r="AM758" s="430"/>
      <c r="AN758" s="430"/>
      <c r="AO758" s="430"/>
      <c r="AP758" s="430"/>
      <c r="AQ758" s="430"/>
      <c r="AR758" s="430"/>
      <c r="AS758" s="430"/>
      <c r="AT758" s="430"/>
      <c r="AU758" s="430"/>
      <c r="AV758" s="430"/>
      <c r="AW758" s="430"/>
      <c r="AX758" s="430"/>
    </row>
    <row r="759">
      <c r="B759" s="471"/>
      <c r="E759" s="471"/>
      <c r="H759" s="471"/>
      <c r="K759" s="471"/>
      <c r="M759" s="454"/>
      <c r="N759" s="424"/>
      <c r="O759" s="424"/>
      <c r="P759" s="430"/>
      <c r="Q759" s="444"/>
      <c r="R759" s="424"/>
      <c r="S759" s="430"/>
      <c r="T759" s="444"/>
      <c r="U759" s="430"/>
      <c r="V759" s="430"/>
      <c r="W759" s="444"/>
      <c r="X759" s="444"/>
      <c r="Y759" s="430"/>
      <c r="Z759" s="430"/>
      <c r="AA759" s="430"/>
      <c r="AB759" s="444"/>
      <c r="AC759" s="444"/>
      <c r="AD759" s="430"/>
      <c r="AE759" s="430"/>
      <c r="AF759" s="430"/>
      <c r="AG759" s="444"/>
      <c r="AH759" s="444"/>
      <c r="AI759" s="430"/>
      <c r="AJ759" s="430"/>
      <c r="AK759" s="430"/>
      <c r="AL759" s="476"/>
      <c r="AM759" s="430"/>
      <c r="AN759" s="430"/>
      <c r="AO759" s="430"/>
      <c r="AP759" s="430"/>
      <c r="AQ759" s="430"/>
      <c r="AR759" s="430"/>
      <c r="AS759" s="430"/>
      <c r="AT759" s="430"/>
      <c r="AU759" s="430"/>
      <c r="AV759" s="430"/>
      <c r="AW759" s="430"/>
      <c r="AX759" s="430"/>
    </row>
    <row r="760">
      <c r="B760" s="471"/>
      <c r="E760" s="471"/>
      <c r="H760" s="471"/>
      <c r="K760" s="471"/>
      <c r="M760" s="454"/>
      <c r="N760" s="424"/>
      <c r="O760" s="424"/>
      <c r="P760" s="430"/>
      <c r="Q760" s="444"/>
      <c r="R760" s="424"/>
      <c r="S760" s="430"/>
      <c r="T760" s="444"/>
      <c r="U760" s="430"/>
      <c r="V760" s="430"/>
      <c r="W760" s="444"/>
      <c r="X760" s="444"/>
      <c r="Y760" s="430"/>
      <c r="Z760" s="430"/>
      <c r="AA760" s="430"/>
      <c r="AB760" s="444"/>
      <c r="AC760" s="444"/>
      <c r="AD760" s="430"/>
      <c r="AE760" s="430"/>
      <c r="AF760" s="430"/>
      <c r="AG760" s="444"/>
      <c r="AH760" s="444"/>
      <c r="AI760" s="430"/>
      <c r="AJ760" s="430"/>
      <c r="AK760" s="430"/>
      <c r="AL760" s="476"/>
      <c r="AM760" s="430"/>
      <c r="AN760" s="430"/>
      <c r="AO760" s="430"/>
      <c r="AP760" s="430"/>
      <c r="AQ760" s="430"/>
      <c r="AR760" s="430"/>
      <c r="AS760" s="430"/>
      <c r="AT760" s="430"/>
      <c r="AU760" s="430"/>
      <c r="AV760" s="430"/>
      <c r="AW760" s="430"/>
      <c r="AX760" s="430"/>
    </row>
    <row r="761">
      <c r="B761" s="471"/>
      <c r="E761" s="471"/>
      <c r="H761" s="471"/>
      <c r="K761" s="471"/>
      <c r="M761" s="454"/>
      <c r="N761" s="424"/>
      <c r="O761" s="424"/>
      <c r="P761" s="430"/>
      <c r="Q761" s="444"/>
      <c r="R761" s="424"/>
      <c r="S761" s="430"/>
      <c r="T761" s="444"/>
      <c r="U761" s="430"/>
      <c r="V761" s="430"/>
      <c r="W761" s="444"/>
      <c r="X761" s="444"/>
      <c r="Y761" s="430"/>
      <c r="Z761" s="430"/>
      <c r="AA761" s="430"/>
      <c r="AB761" s="444"/>
      <c r="AC761" s="444"/>
      <c r="AD761" s="430"/>
      <c r="AE761" s="430"/>
      <c r="AF761" s="430"/>
      <c r="AG761" s="444"/>
      <c r="AH761" s="444"/>
      <c r="AI761" s="430"/>
      <c r="AJ761" s="430"/>
      <c r="AK761" s="430"/>
      <c r="AL761" s="476"/>
      <c r="AM761" s="430"/>
      <c r="AN761" s="430"/>
      <c r="AO761" s="430"/>
      <c r="AP761" s="430"/>
      <c r="AQ761" s="430"/>
      <c r="AR761" s="430"/>
      <c r="AS761" s="430"/>
      <c r="AT761" s="430"/>
      <c r="AU761" s="430"/>
      <c r="AV761" s="430"/>
      <c r="AW761" s="430"/>
      <c r="AX761" s="430"/>
    </row>
    <row r="762">
      <c r="B762" s="471"/>
      <c r="E762" s="471"/>
      <c r="H762" s="471"/>
      <c r="K762" s="471"/>
      <c r="M762" s="454"/>
      <c r="N762" s="424"/>
      <c r="O762" s="424"/>
      <c r="P762" s="430"/>
      <c r="Q762" s="444"/>
      <c r="R762" s="424"/>
      <c r="S762" s="430"/>
      <c r="T762" s="444"/>
      <c r="U762" s="430"/>
      <c r="V762" s="430"/>
      <c r="W762" s="444"/>
      <c r="X762" s="444"/>
      <c r="Y762" s="430"/>
      <c r="Z762" s="430"/>
      <c r="AA762" s="430"/>
      <c r="AB762" s="444"/>
      <c r="AC762" s="444"/>
      <c r="AD762" s="430"/>
      <c r="AE762" s="430"/>
      <c r="AF762" s="430"/>
      <c r="AG762" s="444"/>
      <c r="AH762" s="444"/>
      <c r="AI762" s="430"/>
      <c r="AJ762" s="430"/>
      <c r="AK762" s="430"/>
      <c r="AL762" s="476"/>
      <c r="AM762" s="430"/>
      <c r="AN762" s="430"/>
      <c r="AO762" s="430"/>
      <c r="AP762" s="430"/>
      <c r="AQ762" s="430"/>
      <c r="AR762" s="430"/>
      <c r="AS762" s="430"/>
      <c r="AT762" s="430"/>
      <c r="AU762" s="430"/>
      <c r="AV762" s="430"/>
      <c r="AW762" s="430"/>
      <c r="AX762" s="430"/>
    </row>
    <row r="763">
      <c r="B763" s="471"/>
      <c r="E763" s="471"/>
      <c r="H763" s="471"/>
      <c r="K763" s="471"/>
      <c r="M763" s="454"/>
      <c r="N763" s="424"/>
      <c r="O763" s="424"/>
      <c r="P763" s="430"/>
      <c r="Q763" s="444"/>
      <c r="R763" s="424"/>
      <c r="S763" s="430"/>
      <c r="T763" s="444"/>
      <c r="U763" s="430"/>
      <c r="V763" s="430"/>
      <c r="W763" s="444"/>
      <c r="X763" s="444"/>
      <c r="Y763" s="430"/>
      <c r="Z763" s="430"/>
      <c r="AA763" s="430"/>
      <c r="AB763" s="444"/>
      <c r="AC763" s="444"/>
      <c r="AD763" s="430"/>
      <c r="AE763" s="430"/>
      <c r="AF763" s="430"/>
      <c r="AG763" s="444"/>
      <c r="AH763" s="444"/>
      <c r="AI763" s="430"/>
      <c r="AJ763" s="430"/>
      <c r="AK763" s="430"/>
      <c r="AL763" s="476"/>
      <c r="AM763" s="430"/>
      <c r="AN763" s="430"/>
      <c r="AO763" s="430"/>
      <c r="AP763" s="430"/>
      <c r="AQ763" s="430"/>
      <c r="AR763" s="430"/>
      <c r="AS763" s="430"/>
      <c r="AT763" s="430"/>
      <c r="AU763" s="430"/>
      <c r="AV763" s="430"/>
      <c r="AW763" s="430"/>
      <c r="AX763" s="430"/>
    </row>
    <row r="764">
      <c r="B764" s="471"/>
      <c r="E764" s="471"/>
      <c r="H764" s="471"/>
      <c r="K764" s="471"/>
      <c r="M764" s="454"/>
      <c r="N764" s="424"/>
      <c r="O764" s="424"/>
      <c r="P764" s="430"/>
      <c r="Q764" s="444"/>
      <c r="R764" s="424"/>
      <c r="S764" s="430"/>
      <c r="T764" s="444"/>
      <c r="U764" s="430"/>
      <c r="V764" s="430"/>
      <c r="W764" s="444"/>
      <c r="X764" s="444"/>
      <c r="Y764" s="430"/>
      <c r="Z764" s="430"/>
      <c r="AA764" s="430"/>
      <c r="AB764" s="444"/>
      <c r="AC764" s="444"/>
      <c r="AD764" s="430"/>
      <c r="AE764" s="430"/>
      <c r="AF764" s="430"/>
      <c r="AG764" s="444"/>
      <c r="AH764" s="444"/>
      <c r="AI764" s="430"/>
      <c r="AJ764" s="430"/>
      <c r="AK764" s="430"/>
      <c r="AL764" s="476"/>
      <c r="AM764" s="430"/>
      <c r="AN764" s="430"/>
      <c r="AO764" s="430"/>
      <c r="AP764" s="430"/>
      <c r="AQ764" s="430"/>
      <c r="AR764" s="430"/>
      <c r="AS764" s="430"/>
      <c r="AT764" s="430"/>
      <c r="AU764" s="430"/>
      <c r="AV764" s="430"/>
      <c r="AW764" s="430"/>
      <c r="AX764" s="430"/>
    </row>
    <row r="765">
      <c r="B765" s="471"/>
      <c r="E765" s="471"/>
      <c r="H765" s="471"/>
      <c r="K765" s="471"/>
      <c r="M765" s="454"/>
      <c r="N765" s="424"/>
      <c r="O765" s="424"/>
      <c r="P765" s="430"/>
      <c r="Q765" s="444"/>
      <c r="R765" s="424"/>
      <c r="S765" s="430"/>
      <c r="T765" s="444"/>
      <c r="U765" s="430"/>
      <c r="V765" s="430"/>
      <c r="W765" s="444"/>
      <c r="X765" s="444"/>
      <c r="Y765" s="430"/>
      <c r="Z765" s="430"/>
      <c r="AA765" s="430"/>
      <c r="AB765" s="444"/>
      <c r="AC765" s="444"/>
      <c r="AD765" s="430"/>
      <c r="AE765" s="430"/>
      <c r="AF765" s="430"/>
      <c r="AG765" s="444"/>
      <c r="AH765" s="444"/>
      <c r="AI765" s="430"/>
      <c r="AJ765" s="430"/>
      <c r="AK765" s="430"/>
      <c r="AL765" s="476"/>
      <c r="AM765" s="430"/>
      <c r="AN765" s="430"/>
      <c r="AO765" s="430"/>
      <c r="AP765" s="430"/>
      <c r="AQ765" s="430"/>
      <c r="AR765" s="430"/>
      <c r="AS765" s="430"/>
      <c r="AT765" s="430"/>
      <c r="AU765" s="430"/>
      <c r="AV765" s="430"/>
      <c r="AW765" s="430"/>
      <c r="AX765" s="430"/>
    </row>
    <row r="766">
      <c r="B766" s="471"/>
      <c r="E766" s="471"/>
      <c r="H766" s="471"/>
      <c r="K766" s="471"/>
      <c r="M766" s="454"/>
      <c r="N766" s="424"/>
      <c r="O766" s="424"/>
      <c r="P766" s="430"/>
      <c r="Q766" s="444"/>
      <c r="R766" s="424"/>
      <c r="S766" s="430"/>
      <c r="T766" s="444"/>
      <c r="U766" s="430"/>
      <c r="V766" s="430"/>
      <c r="W766" s="444"/>
      <c r="X766" s="444"/>
      <c r="Y766" s="430"/>
      <c r="Z766" s="430"/>
      <c r="AA766" s="430"/>
      <c r="AB766" s="444"/>
      <c r="AC766" s="444"/>
      <c r="AD766" s="430"/>
      <c r="AE766" s="430"/>
      <c r="AF766" s="430"/>
      <c r="AG766" s="444"/>
      <c r="AH766" s="444"/>
      <c r="AI766" s="430"/>
      <c r="AJ766" s="430"/>
      <c r="AK766" s="430"/>
      <c r="AL766" s="476"/>
      <c r="AM766" s="430"/>
      <c r="AN766" s="430"/>
      <c r="AO766" s="430"/>
      <c r="AP766" s="430"/>
      <c r="AQ766" s="430"/>
      <c r="AR766" s="430"/>
      <c r="AS766" s="430"/>
      <c r="AT766" s="430"/>
      <c r="AU766" s="430"/>
      <c r="AV766" s="430"/>
      <c r="AW766" s="430"/>
      <c r="AX766" s="430"/>
    </row>
    <row r="767">
      <c r="B767" s="471"/>
      <c r="E767" s="471"/>
      <c r="H767" s="471"/>
      <c r="K767" s="471"/>
      <c r="M767" s="454"/>
      <c r="N767" s="424"/>
      <c r="O767" s="424"/>
      <c r="P767" s="430"/>
      <c r="Q767" s="444"/>
      <c r="R767" s="424"/>
      <c r="S767" s="430"/>
      <c r="T767" s="444"/>
      <c r="U767" s="430"/>
      <c r="V767" s="430"/>
      <c r="W767" s="444"/>
      <c r="X767" s="444"/>
      <c r="Y767" s="430"/>
      <c r="Z767" s="430"/>
      <c r="AA767" s="430"/>
      <c r="AB767" s="444"/>
      <c r="AC767" s="444"/>
      <c r="AD767" s="430"/>
      <c r="AE767" s="430"/>
      <c r="AF767" s="430"/>
      <c r="AG767" s="444"/>
      <c r="AH767" s="444"/>
      <c r="AI767" s="430"/>
      <c r="AJ767" s="430"/>
      <c r="AK767" s="430"/>
      <c r="AL767" s="476"/>
      <c r="AM767" s="430"/>
      <c r="AN767" s="430"/>
      <c r="AO767" s="430"/>
      <c r="AP767" s="430"/>
      <c r="AQ767" s="430"/>
      <c r="AR767" s="430"/>
      <c r="AS767" s="430"/>
      <c r="AT767" s="430"/>
      <c r="AU767" s="430"/>
      <c r="AV767" s="430"/>
      <c r="AW767" s="430"/>
      <c r="AX767" s="430"/>
    </row>
    <row r="768">
      <c r="B768" s="471"/>
      <c r="E768" s="471"/>
      <c r="H768" s="471"/>
      <c r="K768" s="471"/>
      <c r="M768" s="454"/>
      <c r="N768" s="424"/>
      <c r="O768" s="424"/>
      <c r="P768" s="430"/>
      <c r="Q768" s="444"/>
      <c r="R768" s="424"/>
      <c r="S768" s="430"/>
      <c r="T768" s="444"/>
      <c r="U768" s="430"/>
      <c r="V768" s="430"/>
      <c r="W768" s="444"/>
      <c r="X768" s="444"/>
      <c r="Y768" s="430"/>
      <c r="Z768" s="430"/>
      <c r="AA768" s="430"/>
      <c r="AB768" s="444"/>
      <c r="AC768" s="444"/>
      <c r="AD768" s="430"/>
      <c r="AE768" s="430"/>
      <c r="AF768" s="430"/>
      <c r="AG768" s="444"/>
      <c r="AH768" s="444"/>
      <c r="AI768" s="430"/>
      <c r="AJ768" s="430"/>
      <c r="AK768" s="430"/>
      <c r="AL768" s="476"/>
      <c r="AM768" s="430"/>
      <c r="AN768" s="430"/>
      <c r="AO768" s="430"/>
      <c r="AP768" s="430"/>
      <c r="AQ768" s="430"/>
      <c r="AR768" s="430"/>
      <c r="AS768" s="430"/>
      <c r="AT768" s="430"/>
      <c r="AU768" s="430"/>
      <c r="AV768" s="430"/>
      <c r="AW768" s="430"/>
      <c r="AX768" s="430"/>
    </row>
    <row r="769">
      <c r="B769" s="471"/>
      <c r="E769" s="471"/>
      <c r="H769" s="471"/>
      <c r="K769" s="471"/>
      <c r="M769" s="454"/>
      <c r="N769" s="424"/>
      <c r="O769" s="424"/>
      <c r="P769" s="430"/>
      <c r="Q769" s="444"/>
      <c r="R769" s="424"/>
      <c r="S769" s="430"/>
      <c r="T769" s="444"/>
      <c r="U769" s="430"/>
      <c r="V769" s="430"/>
      <c r="W769" s="444"/>
      <c r="X769" s="444"/>
      <c r="Y769" s="430"/>
      <c r="Z769" s="430"/>
      <c r="AA769" s="430"/>
      <c r="AB769" s="444"/>
      <c r="AC769" s="444"/>
      <c r="AD769" s="430"/>
      <c r="AE769" s="430"/>
      <c r="AF769" s="430"/>
      <c r="AG769" s="444"/>
      <c r="AH769" s="444"/>
      <c r="AI769" s="430"/>
      <c r="AJ769" s="430"/>
      <c r="AK769" s="430"/>
      <c r="AL769" s="476"/>
      <c r="AM769" s="430"/>
      <c r="AN769" s="430"/>
      <c r="AO769" s="430"/>
      <c r="AP769" s="430"/>
      <c r="AQ769" s="430"/>
      <c r="AR769" s="430"/>
      <c r="AS769" s="430"/>
      <c r="AT769" s="430"/>
      <c r="AU769" s="430"/>
      <c r="AV769" s="430"/>
      <c r="AW769" s="430"/>
      <c r="AX769" s="430"/>
    </row>
    <row r="770">
      <c r="B770" s="471"/>
      <c r="E770" s="471"/>
      <c r="H770" s="471"/>
      <c r="K770" s="471"/>
      <c r="M770" s="454"/>
      <c r="N770" s="424"/>
      <c r="O770" s="424"/>
      <c r="P770" s="430"/>
      <c r="Q770" s="444"/>
      <c r="R770" s="424"/>
      <c r="S770" s="430"/>
      <c r="T770" s="444"/>
      <c r="U770" s="430"/>
      <c r="V770" s="430"/>
      <c r="W770" s="444"/>
      <c r="X770" s="444"/>
      <c r="Y770" s="430"/>
      <c r="Z770" s="430"/>
      <c r="AA770" s="430"/>
      <c r="AB770" s="444"/>
      <c r="AC770" s="444"/>
      <c r="AD770" s="430"/>
      <c r="AE770" s="430"/>
      <c r="AF770" s="430"/>
      <c r="AG770" s="444"/>
      <c r="AH770" s="444"/>
      <c r="AI770" s="430"/>
      <c r="AJ770" s="430"/>
      <c r="AK770" s="430"/>
      <c r="AL770" s="476"/>
      <c r="AM770" s="430"/>
      <c r="AN770" s="430"/>
      <c r="AO770" s="430"/>
      <c r="AP770" s="430"/>
      <c r="AQ770" s="430"/>
      <c r="AR770" s="430"/>
      <c r="AS770" s="430"/>
      <c r="AT770" s="430"/>
      <c r="AU770" s="430"/>
      <c r="AV770" s="430"/>
      <c r="AW770" s="430"/>
      <c r="AX770" s="430"/>
    </row>
    <row r="771">
      <c r="B771" s="471"/>
      <c r="E771" s="471"/>
      <c r="H771" s="471"/>
      <c r="K771" s="471"/>
      <c r="M771" s="454"/>
      <c r="N771" s="424"/>
      <c r="O771" s="424"/>
      <c r="P771" s="430"/>
      <c r="Q771" s="444"/>
      <c r="R771" s="424"/>
      <c r="S771" s="430"/>
      <c r="T771" s="444"/>
      <c r="U771" s="430"/>
      <c r="V771" s="430"/>
      <c r="W771" s="444"/>
      <c r="X771" s="444"/>
      <c r="Y771" s="430"/>
      <c r="Z771" s="430"/>
      <c r="AA771" s="430"/>
      <c r="AB771" s="444"/>
      <c r="AC771" s="444"/>
      <c r="AD771" s="430"/>
      <c r="AE771" s="430"/>
      <c r="AF771" s="430"/>
      <c r="AG771" s="444"/>
      <c r="AH771" s="444"/>
      <c r="AI771" s="430"/>
      <c r="AJ771" s="430"/>
      <c r="AK771" s="430"/>
      <c r="AL771" s="476"/>
      <c r="AM771" s="430"/>
      <c r="AN771" s="430"/>
      <c r="AO771" s="430"/>
      <c r="AP771" s="430"/>
      <c r="AQ771" s="430"/>
      <c r="AR771" s="430"/>
      <c r="AS771" s="430"/>
      <c r="AT771" s="430"/>
      <c r="AU771" s="430"/>
      <c r="AV771" s="430"/>
      <c r="AW771" s="430"/>
      <c r="AX771" s="430"/>
    </row>
    <row r="772">
      <c r="B772" s="471"/>
      <c r="E772" s="471"/>
      <c r="H772" s="471"/>
      <c r="K772" s="471"/>
      <c r="M772" s="454"/>
      <c r="N772" s="424"/>
      <c r="O772" s="424"/>
      <c r="P772" s="430"/>
      <c r="Q772" s="444"/>
      <c r="R772" s="424"/>
      <c r="S772" s="430"/>
      <c r="T772" s="444"/>
      <c r="U772" s="430"/>
      <c r="V772" s="430"/>
      <c r="W772" s="444"/>
      <c r="X772" s="444"/>
      <c r="Y772" s="430"/>
      <c r="Z772" s="430"/>
      <c r="AA772" s="430"/>
      <c r="AB772" s="444"/>
      <c r="AC772" s="444"/>
      <c r="AD772" s="430"/>
      <c r="AE772" s="430"/>
      <c r="AF772" s="430"/>
      <c r="AG772" s="444"/>
      <c r="AH772" s="444"/>
      <c r="AI772" s="430"/>
      <c r="AJ772" s="430"/>
      <c r="AK772" s="430"/>
      <c r="AL772" s="476"/>
      <c r="AM772" s="430"/>
      <c r="AN772" s="430"/>
      <c r="AO772" s="430"/>
      <c r="AP772" s="430"/>
      <c r="AQ772" s="430"/>
      <c r="AR772" s="430"/>
      <c r="AS772" s="430"/>
      <c r="AT772" s="430"/>
      <c r="AU772" s="430"/>
      <c r="AV772" s="430"/>
      <c r="AW772" s="430"/>
      <c r="AX772" s="430"/>
    </row>
    <row r="773">
      <c r="B773" s="471"/>
      <c r="E773" s="471"/>
      <c r="H773" s="471"/>
      <c r="K773" s="471"/>
      <c r="M773" s="454"/>
      <c r="N773" s="424"/>
      <c r="O773" s="424"/>
      <c r="P773" s="430"/>
      <c r="Q773" s="444"/>
      <c r="R773" s="424"/>
      <c r="S773" s="430"/>
      <c r="T773" s="444"/>
      <c r="U773" s="430"/>
      <c r="V773" s="430"/>
      <c r="W773" s="444"/>
      <c r="X773" s="444"/>
      <c r="Y773" s="430"/>
      <c r="Z773" s="430"/>
      <c r="AA773" s="430"/>
      <c r="AB773" s="444"/>
      <c r="AC773" s="444"/>
      <c r="AD773" s="430"/>
      <c r="AE773" s="430"/>
      <c r="AF773" s="430"/>
      <c r="AG773" s="444"/>
      <c r="AH773" s="444"/>
      <c r="AI773" s="430"/>
      <c r="AJ773" s="430"/>
      <c r="AK773" s="430"/>
      <c r="AL773" s="476"/>
      <c r="AM773" s="430"/>
      <c r="AN773" s="430"/>
      <c r="AO773" s="430"/>
      <c r="AP773" s="430"/>
      <c r="AQ773" s="430"/>
      <c r="AR773" s="430"/>
      <c r="AS773" s="430"/>
      <c r="AT773" s="430"/>
      <c r="AU773" s="430"/>
      <c r="AV773" s="430"/>
      <c r="AW773" s="430"/>
      <c r="AX773" s="430"/>
    </row>
    <row r="774">
      <c r="B774" s="471"/>
      <c r="E774" s="471"/>
      <c r="H774" s="471"/>
      <c r="K774" s="471"/>
      <c r="M774" s="454"/>
      <c r="N774" s="424"/>
      <c r="O774" s="424"/>
      <c r="P774" s="430"/>
      <c r="Q774" s="444"/>
      <c r="R774" s="424"/>
      <c r="S774" s="430"/>
      <c r="T774" s="444"/>
      <c r="U774" s="430"/>
      <c r="V774" s="430"/>
      <c r="W774" s="444"/>
      <c r="X774" s="444"/>
      <c r="Y774" s="430"/>
      <c r="Z774" s="430"/>
      <c r="AA774" s="430"/>
      <c r="AB774" s="444"/>
      <c r="AC774" s="444"/>
      <c r="AD774" s="430"/>
      <c r="AE774" s="430"/>
      <c r="AF774" s="430"/>
      <c r="AG774" s="444"/>
      <c r="AH774" s="444"/>
      <c r="AI774" s="430"/>
      <c r="AJ774" s="430"/>
      <c r="AK774" s="430"/>
      <c r="AL774" s="476"/>
      <c r="AM774" s="430"/>
      <c r="AN774" s="430"/>
      <c r="AO774" s="430"/>
      <c r="AP774" s="430"/>
      <c r="AQ774" s="430"/>
      <c r="AR774" s="430"/>
      <c r="AS774" s="430"/>
      <c r="AT774" s="430"/>
      <c r="AU774" s="430"/>
      <c r="AV774" s="430"/>
      <c r="AW774" s="430"/>
      <c r="AX774" s="430"/>
    </row>
    <row r="775">
      <c r="B775" s="471"/>
      <c r="E775" s="471"/>
      <c r="H775" s="471"/>
      <c r="K775" s="471"/>
      <c r="M775" s="454"/>
      <c r="N775" s="424"/>
      <c r="O775" s="424"/>
      <c r="P775" s="430"/>
      <c r="Q775" s="444"/>
      <c r="R775" s="424"/>
      <c r="S775" s="430"/>
      <c r="T775" s="444"/>
      <c r="U775" s="430"/>
      <c r="V775" s="430"/>
      <c r="W775" s="444"/>
      <c r="X775" s="444"/>
      <c r="Y775" s="430"/>
      <c r="Z775" s="430"/>
      <c r="AA775" s="430"/>
      <c r="AB775" s="444"/>
      <c r="AC775" s="444"/>
      <c r="AD775" s="430"/>
      <c r="AE775" s="430"/>
      <c r="AF775" s="430"/>
      <c r="AG775" s="444"/>
      <c r="AH775" s="444"/>
      <c r="AI775" s="430"/>
      <c r="AJ775" s="430"/>
      <c r="AK775" s="430"/>
      <c r="AL775" s="476"/>
      <c r="AM775" s="430"/>
      <c r="AN775" s="430"/>
      <c r="AO775" s="430"/>
      <c r="AP775" s="430"/>
      <c r="AQ775" s="430"/>
      <c r="AR775" s="430"/>
      <c r="AS775" s="430"/>
      <c r="AT775" s="430"/>
      <c r="AU775" s="430"/>
      <c r="AV775" s="430"/>
      <c r="AW775" s="430"/>
      <c r="AX775" s="430"/>
    </row>
    <row r="776">
      <c r="B776" s="471"/>
      <c r="E776" s="471"/>
      <c r="H776" s="471"/>
      <c r="K776" s="471"/>
      <c r="M776" s="454"/>
      <c r="N776" s="424"/>
      <c r="O776" s="424"/>
      <c r="P776" s="430"/>
      <c r="Q776" s="444"/>
      <c r="R776" s="424"/>
      <c r="S776" s="430"/>
      <c r="T776" s="444"/>
      <c r="U776" s="430"/>
      <c r="V776" s="430"/>
      <c r="W776" s="444"/>
      <c r="X776" s="444"/>
      <c r="Y776" s="430"/>
      <c r="Z776" s="430"/>
      <c r="AA776" s="430"/>
      <c r="AB776" s="444"/>
      <c r="AC776" s="444"/>
      <c r="AD776" s="430"/>
      <c r="AE776" s="430"/>
      <c r="AF776" s="430"/>
      <c r="AG776" s="444"/>
      <c r="AH776" s="444"/>
      <c r="AI776" s="430"/>
      <c r="AJ776" s="430"/>
      <c r="AK776" s="430"/>
      <c r="AL776" s="476"/>
      <c r="AM776" s="430"/>
      <c r="AN776" s="430"/>
      <c r="AO776" s="430"/>
      <c r="AP776" s="430"/>
      <c r="AQ776" s="430"/>
      <c r="AR776" s="430"/>
      <c r="AS776" s="430"/>
      <c r="AT776" s="430"/>
      <c r="AU776" s="430"/>
      <c r="AV776" s="430"/>
      <c r="AW776" s="430"/>
      <c r="AX776" s="430"/>
    </row>
    <row r="777">
      <c r="B777" s="471"/>
      <c r="E777" s="471"/>
      <c r="H777" s="471"/>
      <c r="K777" s="471"/>
      <c r="M777" s="454"/>
      <c r="N777" s="424"/>
      <c r="O777" s="424"/>
      <c r="P777" s="430"/>
      <c r="Q777" s="444"/>
      <c r="R777" s="424"/>
      <c r="S777" s="430"/>
      <c r="T777" s="444"/>
      <c r="U777" s="430"/>
      <c r="V777" s="430"/>
      <c r="W777" s="444"/>
      <c r="X777" s="444"/>
      <c r="Y777" s="430"/>
      <c r="Z777" s="430"/>
      <c r="AA777" s="430"/>
      <c r="AB777" s="444"/>
      <c r="AC777" s="444"/>
      <c r="AD777" s="430"/>
      <c r="AE777" s="430"/>
      <c r="AF777" s="430"/>
      <c r="AG777" s="444"/>
      <c r="AH777" s="444"/>
      <c r="AI777" s="430"/>
      <c r="AJ777" s="430"/>
      <c r="AK777" s="430"/>
      <c r="AL777" s="476"/>
      <c r="AM777" s="430"/>
      <c r="AN777" s="430"/>
      <c r="AO777" s="430"/>
      <c r="AP777" s="430"/>
      <c r="AQ777" s="430"/>
      <c r="AR777" s="430"/>
      <c r="AS777" s="430"/>
      <c r="AT777" s="430"/>
      <c r="AU777" s="430"/>
      <c r="AV777" s="430"/>
      <c r="AW777" s="430"/>
      <c r="AX777" s="430"/>
    </row>
    <row r="778">
      <c r="B778" s="471"/>
      <c r="E778" s="471"/>
      <c r="H778" s="471"/>
      <c r="K778" s="471"/>
      <c r="M778" s="454"/>
      <c r="N778" s="424"/>
      <c r="O778" s="424"/>
      <c r="P778" s="430"/>
      <c r="Q778" s="444"/>
      <c r="R778" s="424"/>
      <c r="S778" s="430"/>
      <c r="T778" s="444"/>
      <c r="U778" s="430"/>
      <c r="V778" s="430"/>
      <c r="W778" s="444"/>
      <c r="X778" s="444"/>
      <c r="Y778" s="430"/>
      <c r="Z778" s="430"/>
      <c r="AA778" s="430"/>
      <c r="AB778" s="444"/>
      <c r="AC778" s="444"/>
      <c r="AD778" s="430"/>
      <c r="AE778" s="430"/>
      <c r="AF778" s="430"/>
      <c r="AG778" s="444"/>
      <c r="AH778" s="444"/>
      <c r="AI778" s="430"/>
      <c r="AJ778" s="430"/>
      <c r="AK778" s="430"/>
      <c r="AL778" s="476"/>
      <c r="AM778" s="430"/>
      <c r="AN778" s="430"/>
      <c r="AO778" s="430"/>
      <c r="AP778" s="430"/>
      <c r="AQ778" s="430"/>
      <c r="AR778" s="430"/>
      <c r="AS778" s="430"/>
      <c r="AT778" s="430"/>
      <c r="AU778" s="430"/>
      <c r="AV778" s="430"/>
      <c r="AW778" s="430"/>
      <c r="AX778" s="430"/>
    </row>
    <row r="779">
      <c r="B779" s="471"/>
      <c r="E779" s="471"/>
      <c r="H779" s="471"/>
      <c r="K779" s="471"/>
      <c r="M779" s="454"/>
      <c r="N779" s="424"/>
      <c r="O779" s="424"/>
      <c r="P779" s="430"/>
      <c r="Q779" s="444"/>
      <c r="R779" s="424"/>
      <c r="S779" s="430"/>
      <c r="T779" s="444"/>
      <c r="U779" s="430"/>
      <c r="V779" s="430"/>
      <c r="W779" s="444"/>
      <c r="X779" s="444"/>
      <c r="Y779" s="430"/>
      <c r="Z779" s="430"/>
      <c r="AA779" s="430"/>
      <c r="AB779" s="444"/>
      <c r="AC779" s="444"/>
      <c r="AD779" s="430"/>
      <c r="AE779" s="430"/>
      <c r="AF779" s="430"/>
      <c r="AG779" s="444"/>
      <c r="AH779" s="444"/>
      <c r="AI779" s="430"/>
      <c r="AJ779" s="430"/>
      <c r="AK779" s="430"/>
      <c r="AL779" s="476"/>
      <c r="AM779" s="430"/>
      <c r="AN779" s="430"/>
      <c r="AO779" s="430"/>
      <c r="AP779" s="430"/>
      <c r="AQ779" s="430"/>
      <c r="AR779" s="430"/>
      <c r="AS779" s="430"/>
      <c r="AT779" s="430"/>
      <c r="AU779" s="430"/>
      <c r="AV779" s="430"/>
      <c r="AW779" s="430"/>
      <c r="AX779" s="430"/>
    </row>
    <row r="780">
      <c r="B780" s="471"/>
      <c r="E780" s="471"/>
      <c r="H780" s="471"/>
      <c r="K780" s="471"/>
      <c r="M780" s="454"/>
      <c r="N780" s="424"/>
      <c r="O780" s="424"/>
      <c r="P780" s="430"/>
      <c r="Q780" s="444"/>
      <c r="R780" s="424"/>
      <c r="S780" s="430"/>
      <c r="T780" s="444"/>
      <c r="U780" s="430"/>
      <c r="V780" s="430"/>
      <c r="W780" s="444"/>
      <c r="X780" s="444"/>
      <c r="Y780" s="430"/>
      <c r="Z780" s="430"/>
      <c r="AA780" s="430"/>
      <c r="AB780" s="444"/>
      <c r="AC780" s="444"/>
      <c r="AD780" s="430"/>
      <c r="AE780" s="430"/>
      <c r="AF780" s="430"/>
      <c r="AG780" s="444"/>
      <c r="AH780" s="444"/>
      <c r="AI780" s="430"/>
      <c r="AJ780" s="430"/>
      <c r="AK780" s="430"/>
      <c r="AL780" s="476"/>
      <c r="AM780" s="430"/>
      <c r="AN780" s="430"/>
      <c r="AO780" s="430"/>
      <c r="AP780" s="430"/>
      <c r="AQ780" s="430"/>
      <c r="AR780" s="430"/>
      <c r="AS780" s="430"/>
      <c r="AT780" s="430"/>
      <c r="AU780" s="430"/>
      <c r="AV780" s="430"/>
      <c r="AW780" s="430"/>
      <c r="AX780" s="430"/>
    </row>
    <row r="781">
      <c r="B781" s="471"/>
      <c r="E781" s="471"/>
      <c r="H781" s="471"/>
      <c r="K781" s="471"/>
      <c r="M781" s="454"/>
      <c r="N781" s="424"/>
      <c r="O781" s="424"/>
      <c r="P781" s="430"/>
      <c r="Q781" s="444"/>
      <c r="R781" s="424"/>
      <c r="S781" s="430"/>
      <c r="T781" s="444"/>
      <c r="U781" s="430"/>
      <c r="V781" s="430"/>
      <c r="W781" s="444"/>
      <c r="X781" s="444"/>
      <c r="Y781" s="430"/>
      <c r="Z781" s="430"/>
      <c r="AA781" s="430"/>
      <c r="AB781" s="444"/>
      <c r="AC781" s="444"/>
      <c r="AD781" s="430"/>
      <c r="AE781" s="430"/>
      <c r="AF781" s="430"/>
      <c r="AG781" s="444"/>
      <c r="AH781" s="444"/>
      <c r="AI781" s="430"/>
      <c r="AJ781" s="430"/>
      <c r="AK781" s="430"/>
      <c r="AL781" s="476"/>
      <c r="AM781" s="430"/>
      <c r="AN781" s="430"/>
      <c r="AO781" s="430"/>
      <c r="AP781" s="430"/>
      <c r="AQ781" s="430"/>
      <c r="AR781" s="430"/>
      <c r="AS781" s="430"/>
      <c r="AT781" s="430"/>
      <c r="AU781" s="430"/>
      <c r="AV781" s="430"/>
      <c r="AW781" s="430"/>
      <c r="AX781" s="430"/>
    </row>
    <row r="782">
      <c r="B782" s="471"/>
      <c r="E782" s="471"/>
      <c r="H782" s="471"/>
      <c r="K782" s="471"/>
      <c r="M782" s="454"/>
      <c r="N782" s="424"/>
      <c r="O782" s="424"/>
      <c r="P782" s="430"/>
      <c r="Q782" s="444"/>
      <c r="R782" s="424"/>
      <c r="S782" s="430"/>
      <c r="T782" s="444"/>
      <c r="U782" s="430"/>
      <c r="V782" s="430"/>
      <c r="W782" s="444"/>
      <c r="X782" s="444"/>
      <c r="Y782" s="430"/>
      <c r="Z782" s="430"/>
      <c r="AA782" s="430"/>
      <c r="AB782" s="444"/>
      <c r="AC782" s="444"/>
      <c r="AD782" s="430"/>
      <c r="AE782" s="430"/>
      <c r="AF782" s="430"/>
      <c r="AG782" s="444"/>
      <c r="AH782" s="444"/>
      <c r="AI782" s="430"/>
      <c r="AJ782" s="430"/>
      <c r="AK782" s="430"/>
      <c r="AL782" s="476"/>
      <c r="AM782" s="430"/>
      <c r="AN782" s="430"/>
      <c r="AO782" s="430"/>
      <c r="AP782" s="430"/>
      <c r="AQ782" s="430"/>
      <c r="AR782" s="430"/>
      <c r="AS782" s="430"/>
      <c r="AT782" s="430"/>
      <c r="AU782" s="430"/>
      <c r="AV782" s="430"/>
      <c r="AW782" s="430"/>
      <c r="AX782" s="430"/>
    </row>
    <row r="783">
      <c r="B783" s="471"/>
      <c r="E783" s="471"/>
      <c r="H783" s="471"/>
      <c r="K783" s="471"/>
      <c r="M783" s="454"/>
      <c r="N783" s="424"/>
      <c r="O783" s="424"/>
      <c r="P783" s="430"/>
      <c r="Q783" s="444"/>
      <c r="R783" s="424"/>
      <c r="S783" s="430"/>
      <c r="T783" s="444"/>
      <c r="U783" s="430"/>
      <c r="V783" s="430"/>
      <c r="W783" s="444"/>
      <c r="X783" s="444"/>
      <c r="Y783" s="430"/>
      <c r="Z783" s="430"/>
      <c r="AA783" s="430"/>
      <c r="AB783" s="444"/>
      <c r="AC783" s="444"/>
      <c r="AD783" s="430"/>
      <c r="AE783" s="430"/>
      <c r="AF783" s="430"/>
      <c r="AG783" s="444"/>
      <c r="AH783" s="444"/>
      <c r="AI783" s="430"/>
      <c r="AJ783" s="430"/>
      <c r="AK783" s="430"/>
      <c r="AL783" s="476"/>
      <c r="AM783" s="430"/>
      <c r="AN783" s="430"/>
      <c r="AO783" s="430"/>
      <c r="AP783" s="430"/>
      <c r="AQ783" s="430"/>
      <c r="AR783" s="430"/>
      <c r="AS783" s="430"/>
      <c r="AT783" s="430"/>
      <c r="AU783" s="430"/>
      <c r="AV783" s="430"/>
      <c r="AW783" s="430"/>
      <c r="AX783" s="430"/>
    </row>
    <row r="784">
      <c r="B784" s="471"/>
      <c r="E784" s="471"/>
      <c r="H784" s="471"/>
      <c r="K784" s="471"/>
      <c r="M784" s="454"/>
      <c r="N784" s="424"/>
      <c r="O784" s="424"/>
      <c r="P784" s="430"/>
      <c r="Q784" s="444"/>
      <c r="R784" s="424"/>
      <c r="S784" s="430"/>
      <c r="T784" s="444"/>
      <c r="U784" s="430"/>
      <c r="V784" s="430"/>
      <c r="W784" s="444"/>
      <c r="X784" s="444"/>
      <c r="Y784" s="430"/>
      <c r="Z784" s="430"/>
      <c r="AA784" s="430"/>
      <c r="AB784" s="444"/>
      <c r="AC784" s="444"/>
      <c r="AD784" s="430"/>
      <c r="AE784" s="430"/>
      <c r="AF784" s="430"/>
      <c r="AG784" s="444"/>
      <c r="AH784" s="444"/>
      <c r="AI784" s="430"/>
      <c r="AJ784" s="430"/>
      <c r="AK784" s="430"/>
      <c r="AL784" s="476"/>
      <c r="AM784" s="430"/>
      <c r="AN784" s="430"/>
      <c r="AO784" s="430"/>
      <c r="AP784" s="430"/>
      <c r="AQ784" s="430"/>
      <c r="AR784" s="430"/>
      <c r="AS784" s="430"/>
      <c r="AT784" s="430"/>
      <c r="AU784" s="430"/>
      <c r="AV784" s="430"/>
      <c r="AW784" s="430"/>
      <c r="AX784" s="430"/>
    </row>
    <row r="785">
      <c r="B785" s="471"/>
      <c r="E785" s="471"/>
      <c r="H785" s="471"/>
      <c r="K785" s="471"/>
      <c r="M785" s="454"/>
      <c r="N785" s="424"/>
      <c r="O785" s="424"/>
      <c r="P785" s="430"/>
      <c r="Q785" s="444"/>
      <c r="R785" s="424"/>
      <c r="S785" s="430"/>
      <c r="T785" s="444"/>
      <c r="U785" s="430"/>
      <c r="V785" s="430"/>
      <c r="W785" s="444"/>
      <c r="X785" s="444"/>
      <c r="Y785" s="430"/>
      <c r="Z785" s="430"/>
      <c r="AA785" s="430"/>
      <c r="AB785" s="444"/>
      <c r="AC785" s="444"/>
      <c r="AD785" s="430"/>
      <c r="AE785" s="430"/>
      <c r="AF785" s="430"/>
      <c r="AG785" s="444"/>
      <c r="AH785" s="444"/>
      <c r="AI785" s="430"/>
      <c r="AJ785" s="430"/>
      <c r="AK785" s="430"/>
      <c r="AL785" s="476"/>
      <c r="AM785" s="430"/>
      <c r="AN785" s="430"/>
      <c r="AO785" s="430"/>
      <c r="AP785" s="430"/>
      <c r="AQ785" s="430"/>
      <c r="AR785" s="430"/>
      <c r="AS785" s="430"/>
      <c r="AT785" s="430"/>
      <c r="AU785" s="430"/>
      <c r="AV785" s="430"/>
      <c r="AW785" s="430"/>
      <c r="AX785" s="430"/>
    </row>
    <row r="786">
      <c r="B786" s="471"/>
      <c r="E786" s="471"/>
      <c r="H786" s="471"/>
      <c r="K786" s="471"/>
      <c r="M786" s="454"/>
      <c r="N786" s="424"/>
      <c r="O786" s="424"/>
      <c r="P786" s="430"/>
      <c r="Q786" s="444"/>
      <c r="R786" s="424"/>
      <c r="S786" s="430"/>
      <c r="T786" s="444"/>
      <c r="U786" s="430"/>
      <c r="V786" s="430"/>
      <c r="W786" s="444"/>
      <c r="X786" s="444"/>
      <c r="Y786" s="430"/>
      <c r="Z786" s="430"/>
      <c r="AA786" s="430"/>
      <c r="AB786" s="444"/>
      <c r="AC786" s="444"/>
      <c r="AD786" s="430"/>
      <c r="AE786" s="430"/>
      <c r="AF786" s="430"/>
      <c r="AG786" s="444"/>
      <c r="AH786" s="444"/>
      <c r="AI786" s="430"/>
      <c r="AJ786" s="430"/>
      <c r="AK786" s="430"/>
      <c r="AL786" s="476"/>
      <c r="AM786" s="430"/>
      <c r="AN786" s="430"/>
      <c r="AO786" s="430"/>
      <c r="AP786" s="430"/>
      <c r="AQ786" s="430"/>
      <c r="AR786" s="430"/>
      <c r="AS786" s="430"/>
      <c r="AT786" s="430"/>
      <c r="AU786" s="430"/>
      <c r="AV786" s="430"/>
      <c r="AW786" s="430"/>
      <c r="AX786" s="430"/>
    </row>
    <row r="787">
      <c r="B787" s="471"/>
      <c r="E787" s="471"/>
      <c r="H787" s="471"/>
      <c r="K787" s="471"/>
      <c r="M787" s="454"/>
      <c r="N787" s="424"/>
      <c r="O787" s="424"/>
      <c r="P787" s="430"/>
      <c r="Q787" s="444"/>
      <c r="R787" s="424"/>
      <c r="S787" s="430"/>
      <c r="T787" s="444"/>
      <c r="U787" s="430"/>
      <c r="V787" s="430"/>
      <c r="W787" s="444"/>
      <c r="X787" s="444"/>
      <c r="Y787" s="430"/>
      <c r="Z787" s="430"/>
      <c r="AA787" s="430"/>
      <c r="AB787" s="444"/>
      <c r="AC787" s="444"/>
      <c r="AD787" s="430"/>
      <c r="AE787" s="430"/>
      <c r="AF787" s="430"/>
      <c r="AG787" s="444"/>
      <c r="AH787" s="444"/>
      <c r="AI787" s="430"/>
      <c r="AJ787" s="430"/>
      <c r="AK787" s="430"/>
      <c r="AL787" s="476"/>
      <c r="AM787" s="430"/>
      <c r="AN787" s="430"/>
      <c r="AO787" s="430"/>
      <c r="AP787" s="430"/>
      <c r="AQ787" s="430"/>
      <c r="AR787" s="430"/>
      <c r="AS787" s="430"/>
      <c r="AT787" s="430"/>
      <c r="AU787" s="430"/>
      <c r="AV787" s="430"/>
      <c r="AW787" s="430"/>
      <c r="AX787" s="430"/>
    </row>
    <row r="788">
      <c r="B788" s="471"/>
      <c r="E788" s="471"/>
      <c r="H788" s="471"/>
      <c r="K788" s="471"/>
      <c r="M788" s="454"/>
      <c r="N788" s="424"/>
      <c r="O788" s="424"/>
      <c r="P788" s="430"/>
      <c r="Q788" s="444"/>
      <c r="R788" s="424"/>
      <c r="S788" s="430"/>
      <c r="T788" s="444"/>
      <c r="U788" s="430"/>
      <c r="V788" s="430"/>
      <c r="W788" s="444"/>
      <c r="X788" s="444"/>
      <c r="Y788" s="430"/>
      <c r="Z788" s="430"/>
      <c r="AA788" s="430"/>
      <c r="AB788" s="444"/>
      <c r="AC788" s="444"/>
      <c r="AD788" s="430"/>
      <c r="AE788" s="430"/>
      <c r="AF788" s="430"/>
      <c r="AG788" s="444"/>
      <c r="AH788" s="444"/>
      <c r="AI788" s="430"/>
      <c r="AJ788" s="430"/>
      <c r="AK788" s="430"/>
      <c r="AL788" s="476"/>
      <c r="AM788" s="430"/>
      <c r="AN788" s="430"/>
      <c r="AO788" s="430"/>
      <c r="AP788" s="430"/>
      <c r="AQ788" s="430"/>
      <c r="AR788" s="430"/>
      <c r="AS788" s="430"/>
      <c r="AT788" s="430"/>
      <c r="AU788" s="430"/>
      <c r="AV788" s="430"/>
      <c r="AW788" s="430"/>
      <c r="AX788" s="430"/>
    </row>
    <row r="789">
      <c r="B789" s="471"/>
      <c r="E789" s="471"/>
      <c r="H789" s="471"/>
      <c r="K789" s="471"/>
      <c r="M789" s="454"/>
      <c r="N789" s="424"/>
      <c r="O789" s="424"/>
      <c r="P789" s="430"/>
      <c r="Q789" s="444"/>
      <c r="R789" s="424"/>
      <c r="S789" s="430"/>
      <c r="T789" s="444"/>
      <c r="U789" s="430"/>
      <c r="V789" s="430"/>
      <c r="W789" s="444"/>
      <c r="X789" s="444"/>
      <c r="Y789" s="430"/>
      <c r="Z789" s="430"/>
      <c r="AA789" s="430"/>
      <c r="AB789" s="444"/>
      <c r="AC789" s="444"/>
      <c r="AD789" s="430"/>
      <c r="AE789" s="430"/>
      <c r="AF789" s="430"/>
      <c r="AG789" s="444"/>
      <c r="AH789" s="444"/>
      <c r="AI789" s="430"/>
      <c r="AJ789" s="430"/>
      <c r="AK789" s="430"/>
      <c r="AL789" s="476"/>
      <c r="AM789" s="430"/>
      <c r="AN789" s="430"/>
      <c r="AO789" s="430"/>
      <c r="AP789" s="430"/>
      <c r="AQ789" s="430"/>
      <c r="AR789" s="430"/>
      <c r="AS789" s="430"/>
      <c r="AT789" s="430"/>
      <c r="AU789" s="430"/>
      <c r="AV789" s="430"/>
      <c r="AW789" s="430"/>
      <c r="AX789" s="430"/>
    </row>
    <row r="790">
      <c r="B790" s="471"/>
      <c r="E790" s="471"/>
      <c r="H790" s="471"/>
      <c r="K790" s="471"/>
      <c r="M790" s="454"/>
      <c r="N790" s="424"/>
      <c r="O790" s="424"/>
      <c r="P790" s="430"/>
      <c r="Q790" s="444"/>
      <c r="R790" s="424"/>
      <c r="S790" s="430"/>
      <c r="T790" s="444"/>
      <c r="U790" s="430"/>
      <c r="V790" s="430"/>
      <c r="W790" s="444"/>
      <c r="X790" s="444"/>
      <c r="Y790" s="430"/>
      <c r="Z790" s="430"/>
      <c r="AA790" s="430"/>
      <c r="AB790" s="444"/>
      <c r="AC790" s="444"/>
      <c r="AD790" s="430"/>
      <c r="AE790" s="430"/>
      <c r="AF790" s="430"/>
      <c r="AG790" s="444"/>
      <c r="AH790" s="444"/>
      <c r="AI790" s="430"/>
      <c r="AJ790" s="430"/>
      <c r="AK790" s="430"/>
      <c r="AL790" s="476"/>
      <c r="AM790" s="430"/>
      <c r="AN790" s="430"/>
      <c r="AO790" s="430"/>
      <c r="AP790" s="430"/>
      <c r="AQ790" s="430"/>
      <c r="AR790" s="430"/>
      <c r="AS790" s="430"/>
      <c r="AT790" s="430"/>
      <c r="AU790" s="430"/>
      <c r="AV790" s="430"/>
      <c r="AW790" s="430"/>
      <c r="AX790" s="430"/>
    </row>
    <row r="791">
      <c r="B791" s="471"/>
      <c r="E791" s="471"/>
      <c r="H791" s="471"/>
      <c r="K791" s="471"/>
      <c r="M791" s="454"/>
      <c r="N791" s="424"/>
      <c r="O791" s="424"/>
      <c r="P791" s="430"/>
      <c r="Q791" s="444"/>
      <c r="R791" s="424"/>
      <c r="S791" s="430"/>
      <c r="T791" s="444"/>
      <c r="U791" s="430"/>
      <c r="V791" s="430"/>
      <c r="W791" s="444"/>
      <c r="X791" s="444"/>
      <c r="Y791" s="430"/>
      <c r="Z791" s="430"/>
      <c r="AA791" s="430"/>
      <c r="AB791" s="444"/>
      <c r="AC791" s="444"/>
      <c r="AD791" s="430"/>
      <c r="AE791" s="430"/>
      <c r="AF791" s="430"/>
      <c r="AG791" s="444"/>
      <c r="AH791" s="444"/>
      <c r="AI791" s="430"/>
      <c r="AJ791" s="430"/>
      <c r="AK791" s="430"/>
      <c r="AL791" s="476"/>
      <c r="AM791" s="430"/>
      <c r="AN791" s="430"/>
      <c r="AO791" s="430"/>
      <c r="AP791" s="430"/>
      <c r="AQ791" s="430"/>
      <c r="AR791" s="430"/>
      <c r="AS791" s="430"/>
      <c r="AT791" s="430"/>
      <c r="AU791" s="430"/>
      <c r="AV791" s="430"/>
      <c r="AW791" s="430"/>
      <c r="AX791" s="430"/>
    </row>
    <row r="792">
      <c r="B792" s="471"/>
      <c r="E792" s="471"/>
      <c r="H792" s="471"/>
      <c r="K792" s="471"/>
      <c r="M792" s="454"/>
      <c r="N792" s="424"/>
      <c r="O792" s="424"/>
      <c r="P792" s="430"/>
      <c r="Q792" s="444"/>
      <c r="R792" s="424"/>
      <c r="S792" s="430"/>
      <c r="T792" s="444"/>
      <c r="U792" s="430"/>
      <c r="V792" s="430"/>
      <c r="W792" s="444"/>
      <c r="X792" s="444"/>
      <c r="Y792" s="430"/>
      <c r="Z792" s="430"/>
      <c r="AA792" s="430"/>
      <c r="AB792" s="444"/>
      <c r="AC792" s="444"/>
      <c r="AD792" s="430"/>
      <c r="AE792" s="430"/>
      <c r="AF792" s="430"/>
      <c r="AG792" s="444"/>
      <c r="AH792" s="444"/>
      <c r="AI792" s="430"/>
      <c r="AJ792" s="430"/>
      <c r="AK792" s="430"/>
      <c r="AL792" s="476"/>
      <c r="AM792" s="430"/>
      <c r="AN792" s="430"/>
      <c r="AO792" s="430"/>
      <c r="AP792" s="430"/>
      <c r="AQ792" s="430"/>
      <c r="AR792" s="430"/>
      <c r="AS792" s="430"/>
      <c r="AT792" s="430"/>
      <c r="AU792" s="430"/>
      <c r="AV792" s="430"/>
      <c r="AW792" s="430"/>
      <c r="AX792" s="430"/>
    </row>
    <row r="793">
      <c r="B793" s="471"/>
      <c r="E793" s="471"/>
      <c r="H793" s="471"/>
      <c r="K793" s="471"/>
      <c r="M793" s="454"/>
      <c r="N793" s="424"/>
      <c r="O793" s="424"/>
      <c r="P793" s="430"/>
      <c r="Q793" s="444"/>
      <c r="R793" s="424"/>
      <c r="S793" s="430"/>
      <c r="T793" s="444"/>
      <c r="U793" s="430"/>
      <c r="V793" s="430"/>
      <c r="W793" s="444"/>
      <c r="X793" s="444"/>
      <c r="Y793" s="430"/>
      <c r="Z793" s="430"/>
      <c r="AA793" s="430"/>
      <c r="AB793" s="444"/>
      <c r="AC793" s="444"/>
      <c r="AD793" s="430"/>
      <c r="AE793" s="430"/>
      <c r="AF793" s="430"/>
      <c r="AG793" s="444"/>
      <c r="AH793" s="444"/>
      <c r="AI793" s="430"/>
      <c r="AJ793" s="430"/>
      <c r="AK793" s="430"/>
      <c r="AL793" s="476"/>
      <c r="AM793" s="430"/>
      <c r="AN793" s="430"/>
      <c r="AO793" s="430"/>
      <c r="AP793" s="430"/>
      <c r="AQ793" s="430"/>
      <c r="AR793" s="430"/>
      <c r="AS793" s="430"/>
      <c r="AT793" s="430"/>
      <c r="AU793" s="430"/>
      <c r="AV793" s="430"/>
      <c r="AW793" s="430"/>
      <c r="AX793" s="430"/>
    </row>
    <row r="794">
      <c r="B794" s="471"/>
      <c r="E794" s="471"/>
      <c r="H794" s="471"/>
      <c r="K794" s="471"/>
      <c r="M794" s="454"/>
      <c r="N794" s="424"/>
      <c r="O794" s="424"/>
      <c r="P794" s="430"/>
      <c r="Q794" s="444"/>
      <c r="R794" s="424"/>
      <c r="S794" s="430"/>
      <c r="T794" s="444"/>
      <c r="U794" s="430"/>
      <c r="V794" s="430"/>
      <c r="W794" s="444"/>
      <c r="X794" s="444"/>
      <c r="Y794" s="430"/>
      <c r="Z794" s="430"/>
      <c r="AA794" s="430"/>
      <c r="AB794" s="444"/>
      <c r="AC794" s="444"/>
      <c r="AD794" s="430"/>
      <c r="AE794" s="430"/>
      <c r="AF794" s="430"/>
      <c r="AG794" s="444"/>
      <c r="AH794" s="444"/>
      <c r="AI794" s="430"/>
      <c r="AJ794" s="430"/>
      <c r="AK794" s="430"/>
      <c r="AL794" s="476"/>
      <c r="AM794" s="430"/>
      <c r="AN794" s="430"/>
      <c r="AO794" s="430"/>
      <c r="AP794" s="430"/>
      <c r="AQ794" s="430"/>
      <c r="AR794" s="430"/>
      <c r="AS794" s="430"/>
      <c r="AT794" s="430"/>
      <c r="AU794" s="430"/>
      <c r="AV794" s="430"/>
      <c r="AW794" s="430"/>
      <c r="AX794" s="430"/>
    </row>
    <row r="795">
      <c r="B795" s="471"/>
      <c r="E795" s="471"/>
      <c r="H795" s="471"/>
      <c r="K795" s="471"/>
      <c r="M795" s="454"/>
      <c r="N795" s="424"/>
      <c r="O795" s="424"/>
      <c r="P795" s="430"/>
      <c r="Q795" s="444"/>
      <c r="R795" s="424"/>
      <c r="S795" s="430"/>
      <c r="T795" s="444"/>
      <c r="U795" s="430"/>
      <c r="V795" s="430"/>
      <c r="W795" s="444"/>
      <c r="X795" s="444"/>
      <c r="Y795" s="430"/>
      <c r="Z795" s="430"/>
      <c r="AA795" s="430"/>
      <c r="AB795" s="444"/>
      <c r="AC795" s="444"/>
      <c r="AD795" s="430"/>
      <c r="AE795" s="430"/>
      <c r="AF795" s="430"/>
      <c r="AG795" s="444"/>
      <c r="AH795" s="444"/>
      <c r="AI795" s="430"/>
      <c r="AJ795" s="430"/>
      <c r="AK795" s="430"/>
      <c r="AL795" s="476"/>
      <c r="AM795" s="430"/>
      <c r="AN795" s="430"/>
      <c r="AO795" s="430"/>
      <c r="AP795" s="430"/>
      <c r="AQ795" s="430"/>
      <c r="AR795" s="430"/>
      <c r="AS795" s="430"/>
      <c r="AT795" s="430"/>
      <c r="AU795" s="430"/>
      <c r="AV795" s="430"/>
      <c r="AW795" s="430"/>
      <c r="AX795" s="430"/>
    </row>
    <row r="796">
      <c r="B796" s="471"/>
      <c r="E796" s="471"/>
      <c r="H796" s="471"/>
      <c r="K796" s="471"/>
      <c r="M796" s="454"/>
      <c r="N796" s="424"/>
      <c r="O796" s="424"/>
      <c r="P796" s="430"/>
      <c r="Q796" s="444"/>
      <c r="R796" s="424"/>
      <c r="S796" s="430"/>
      <c r="T796" s="444"/>
      <c r="U796" s="430"/>
      <c r="V796" s="430"/>
      <c r="W796" s="444"/>
      <c r="X796" s="444"/>
      <c r="Y796" s="430"/>
      <c r="Z796" s="430"/>
      <c r="AA796" s="430"/>
      <c r="AB796" s="444"/>
      <c r="AC796" s="444"/>
      <c r="AD796" s="430"/>
      <c r="AE796" s="430"/>
      <c r="AF796" s="430"/>
      <c r="AG796" s="444"/>
      <c r="AH796" s="444"/>
      <c r="AI796" s="430"/>
      <c r="AJ796" s="430"/>
      <c r="AK796" s="430"/>
      <c r="AL796" s="476"/>
      <c r="AM796" s="430"/>
      <c r="AN796" s="430"/>
      <c r="AO796" s="430"/>
      <c r="AP796" s="430"/>
      <c r="AQ796" s="430"/>
      <c r="AR796" s="430"/>
      <c r="AS796" s="430"/>
      <c r="AT796" s="430"/>
      <c r="AU796" s="430"/>
      <c r="AV796" s="430"/>
      <c r="AW796" s="430"/>
      <c r="AX796" s="430"/>
    </row>
    <row r="797">
      <c r="B797" s="471"/>
      <c r="E797" s="471"/>
      <c r="H797" s="471"/>
      <c r="K797" s="471"/>
      <c r="M797" s="454"/>
      <c r="N797" s="424"/>
      <c r="O797" s="424"/>
      <c r="P797" s="430"/>
      <c r="Q797" s="444"/>
      <c r="R797" s="424"/>
      <c r="S797" s="430"/>
      <c r="T797" s="444"/>
      <c r="U797" s="430"/>
      <c r="V797" s="430"/>
      <c r="W797" s="444"/>
      <c r="X797" s="444"/>
      <c r="Y797" s="430"/>
      <c r="Z797" s="430"/>
      <c r="AA797" s="430"/>
      <c r="AB797" s="444"/>
      <c r="AC797" s="444"/>
      <c r="AD797" s="430"/>
      <c r="AE797" s="430"/>
      <c r="AF797" s="430"/>
      <c r="AG797" s="444"/>
      <c r="AH797" s="444"/>
      <c r="AI797" s="430"/>
      <c r="AJ797" s="430"/>
      <c r="AK797" s="430"/>
      <c r="AL797" s="476"/>
      <c r="AM797" s="430"/>
      <c r="AN797" s="430"/>
      <c r="AO797" s="430"/>
      <c r="AP797" s="430"/>
      <c r="AQ797" s="430"/>
      <c r="AR797" s="430"/>
      <c r="AS797" s="430"/>
      <c r="AT797" s="430"/>
      <c r="AU797" s="430"/>
      <c r="AV797" s="430"/>
      <c r="AW797" s="430"/>
      <c r="AX797" s="430"/>
    </row>
    <row r="798">
      <c r="B798" s="471"/>
      <c r="E798" s="471"/>
      <c r="H798" s="471"/>
      <c r="K798" s="471"/>
      <c r="M798" s="454"/>
      <c r="N798" s="424"/>
      <c r="O798" s="424"/>
      <c r="P798" s="430"/>
      <c r="Q798" s="444"/>
      <c r="R798" s="424"/>
      <c r="S798" s="430"/>
      <c r="T798" s="444"/>
      <c r="U798" s="430"/>
      <c r="V798" s="430"/>
      <c r="W798" s="444"/>
      <c r="X798" s="444"/>
      <c r="Y798" s="430"/>
      <c r="Z798" s="430"/>
      <c r="AA798" s="430"/>
      <c r="AB798" s="444"/>
      <c r="AC798" s="444"/>
      <c r="AD798" s="430"/>
      <c r="AE798" s="430"/>
      <c r="AF798" s="430"/>
      <c r="AG798" s="444"/>
      <c r="AH798" s="444"/>
      <c r="AI798" s="430"/>
      <c r="AJ798" s="430"/>
      <c r="AK798" s="430"/>
      <c r="AL798" s="476"/>
      <c r="AM798" s="430"/>
      <c r="AN798" s="430"/>
      <c r="AO798" s="430"/>
      <c r="AP798" s="430"/>
      <c r="AQ798" s="430"/>
      <c r="AR798" s="430"/>
      <c r="AS798" s="430"/>
      <c r="AT798" s="430"/>
      <c r="AU798" s="430"/>
      <c r="AV798" s="430"/>
      <c r="AW798" s="430"/>
      <c r="AX798" s="430"/>
    </row>
    <row r="799">
      <c r="B799" s="471"/>
      <c r="E799" s="471"/>
      <c r="H799" s="471"/>
      <c r="K799" s="471"/>
      <c r="M799" s="454"/>
      <c r="N799" s="424"/>
      <c r="O799" s="424"/>
      <c r="P799" s="430"/>
      <c r="Q799" s="444"/>
      <c r="R799" s="424"/>
      <c r="S799" s="430"/>
      <c r="T799" s="444"/>
      <c r="U799" s="430"/>
      <c r="V799" s="430"/>
      <c r="W799" s="444"/>
      <c r="X799" s="444"/>
      <c r="Y799" s="430"/>
      <c r="Z799" s="430"/>
      <c r="AA799" s="430"/>
      <c r="AB799" s="444"/>
      <c r="AC799" s="444"/>
      <c r="AD799" s="430"/>
      <c r="AE799" s="430"/>
      <c r="AF799" s="430"/>
      <c r="AG799" s="444"/>
      <c r="AH799" s="444"/>
      <c r="AI799" s="430"/>
      <c r="AJ799" s="430"/>
      <c r="AK799" s="430"/>
      <c r="AL799" s="476"/>
      <c r="AM799" s="430"/>
      <c r="AN799" s="430"/>
      <c r="AO799" s="430"/>
      <c r="AP799" s="430"/>
      <c r="AQ799" s="430"/>
      <c r="AR799" s="430"/>
      <c r="AS799" s="430"/>
      <c r="AT799" s="430"/>
      <c r="AU799" s="430"/>
      <c r="AV799" s="430"/>
      <c r="AW799" s="430"/>
      <c r="AX799" s="430"/>
    </row>
    <row r="800">
      <c r="B800" s="471"/>
      <c r="E800" s="471"/>
      <c r="H800" s="471"/>
      <c r="K800" s="471"/>
      <c r="M800" s="454"/>
      <c r="N800" s="424"/>
      <c r="O800" s="424"/>
      <c r="P800" s="430"/>
      <c r="Q800" s="444"/>
      <c r="R800" s="424"/>
      <c r="S800" s="430"/>
      <c r="T800" s="444"/>
      <c r="U800" s="430"/>
      <c r="V800" s="430"/>
      <c r="W800" s="444"/>
      <c r="X800" s="444"/>
      <c r="Y800" s="430"/>
      <c r="Z800" s="430"/>
      <c r="AA800" s="430"/>
      <c r="AB800" s="444"/>
      <c r="AC800" s="444"/>
      <c r="AD800" s="430"/>
      <c r="AE800" s="430"/>
      <c r="AF800" s="430"/>
      <c r="AG800" s="444"/>
      <c r="AH800" s="444"/>
      <c r="AI800" s="430"/>
      <c r="AJ800" s="430"/>
      <c r="AK800" s="430"/>
      <c r="AL800" s="476"/>
      <c r="AM800" s="430"/>
      <c r="AN800" s="430"/>
      <c r="AO800" s="430"/>
      <c r="AP800" s="430"/>
      <c r="AQ800" s="430"/>
      <c r="AR800" s="430"/>
      <c r="AS800" s="430"/>
      <c r="AT800" s="430"/>
      <c r="AU800" s="430"/>
      <c r="AV800" s="430"/>
      <c r="AW800" s="430"/>
      <c r="AX800" s="430"/>
    </row>
    <row r="801">
      <c r="B801" s="471"/>
      <c r="E801" s="471"/>
      <c r="H801" s="471"/>
      <c r="K801" s="471"/>
      <c r="M801" s="454"/>
      <c r="N801" s="424"/>
      <c r="O801" s="424"/>
      <c r="P801" s="430"/>
      <c r="Q801" s="444"/>
      <c r="R801" s="424"/>
      <c r="S801" s="430"/>
      <c r="T801" s="444"/>
      <c r="U801" s="430"/>
      <c r="V801" s="430"/>
      <c r="W801" s="444"/>
      <c r="X801" s="444"/>
      <c r="Y801" s="430"/>
      <c r="Z801" s="430"/>
      <c r="AA801" s="430"/>
      <c r="AB801" s="444"/>
      <c r="AC801" s="444"/>
      <c r="AD801" s="430"/>
      <c r="AE801" s="430"/>
      <c r="AF801" s="430"/>
      <c r="AG801" s="444"/>
      <c r="AH801" s="444"/>
      <c r="AI801" s="430"/>
      <c r="AJ801" s="430"/>
      <c r="AK801" s="430"/>
      <c r="AL801" s="476"/>
      <c r="AM801" s="430"/>
      <c r="AN801" s="430"/>
      <c r="AO801" s="430"/>
      <c r="AP801" s="430"/>
      <c r="AQ801" s="430"/>
      <c r="AR801" s="430"/>
      <c r="AS801" s="430"/>
      <c r="AT801" s="430"/>
      <c r="AU801" s="430"/>
      <c r="AV801" s="430"/>
      <c r="AW801" s="430"/>
      <c r="AX801" s="430"/>
    </row>
    <row r="802">
      <c r="B802" s="471"/>
      <c r="E802" s="471"/>
      <c r="H802" s="471"/>
      <c r="K802" s="471"/>
      <c r="M802" s="454"/>
      <c r="N802" s="424"/>
      <c r="O802" s="424"/>
      <c r="P802" s="430"/>
      <c r="Q802" s="444"/>
      <c r="R802" s="424"/>
      <c r="S802" s="430"/>
      <c r="T802" s="444"/>
      <c r="U802" s="430"/>
      <c r="V802" s="430"/>
      <c r="W802" s="444"/>
      <c r="X802" s="444"/>
      <c r="Y802" s="430"/>
      <c r="Z802" s="430"/>
      <c r="AA802" s="430"/>
      <c r="AB802" s="444"/>
      <c r="AC802" s="444"/>
      <c r="AD802" s="430"/>
      <c r="AE802" s="430"/>
      <c r="AF802" s="430"/>
      <c r="AG802" s="444"/>
      <c r="AH802" s="444"/>
      <c r="AI802" s="430"/>
      <c r="AJ802" s="430"/>
      <c r="AK802" s="430"/>
      <c r="AL802" s="476"/>
      <c r="AM802" s="430"/>
      <c r="AN802" s="430"/>
      <c r="AO802" s="430"/>
      <c r="AP802" s="430"/>
      <c r="AQ802" s="430"/>
      <c r="AR802" s="430"/>
      <c r="AS802" s="430"/>
      <c r="AT802" s="430"/>
      <c r="AU802" s="430"/>
      <c r="AV802" s="430"/>
      <c r="AW802" s="430"/>
      <c r="AX802" s="430"/>
    </row>
    <row r="803">
      <c r="B803" s="471"/>
      <c r="E803" s="471"/>
      <c r="H803" s="471"/>
      <c r="K803" s="471"/>
      <c r="M803" s="454"/>
      <c r="N803" s="424"/>
      <c r="O803" s="424"/>
      <c r="P803" s="430"/>
      <c r="Q803" s="444"/>
      <c r="R803" s="424"/>
      <c r="S803" s="430"/>
      <c r="T803" s="444"/>
      <c r="U803" s="430"/>
      <c r="V803" s="430"/>
      <c r="W803" s="444"/>
      <c r="X803" s="444"/>
      <c r="Y803" s="430"/>
      <c r="Z803" s="430"/>
      <c r="AA803" s="430"/>
      <c r="AB803" s="444"/>
      <c r="AC803" s="444"/>
      <c r="AD803" s="430"/>
      <c r="AE803" s="430"/>
      <c r="AF803" s="430"/>
      <c r="AG803" s="444"/>
      <c r="AH803" s="444"/>
      <c r="AI803" s="430"/>
      <c r="AJ803" s="430"/>
      <c r="AK803" s="430"/>
      <c r="AL803" s="476"/>
      <c r="AM803" s="430"/>
      <c r="AN803" s="430"/>
      <c r="AO803" s="430"/>
      <c r="AP803" s="430"/>
      <c r="AQ803" s="430"/>
      <c r="AR803" s="430"/>
      <c r="AS803" s="430"/>
      <c r="AT803" s="430"/>
      <c r="AU803" s="430"/>
      <c r="AV803" s="430"/>
      <c r="AW803" s="430"/>
      <c r="AX803" s="430"/>
    </row>
    <row r="804">
      <c r="B804" s="471"/>
      <c r="E804" s="471"/>
      <c r="H804" s="471"/>
      <c r="K804" s="471"/>
      <c r="M804" s="454"/>
      <c r="N804" s="424"/>
      <c r="O804" s="424"/>
      <c r="P804" s="430"/>
      <c r="Q804" s="444"/>
      <c r="R804" s="424"/>
      <c r="S804" s="430"/>
      <c r="T804" s="444"/>
      <c r="U804" s="430"/>
      <c r="V804" s="430"/>
      <c r="W804" s="444"/>
      <c r="X804" s="444"/>
      <c r="Y804" s="430"/>
      <c r="Z804" s="430"/>
      <c r="AA804" s="430"/>
      <c r="AB804" s="444"/>
      <c r="AC804" s="444"/>
      <c r="AD804" s="430"/>
      <c r="AE804" s="430"/>
      <c r="AF804" s="430"/>
      <c r="AG804" s="444"/>
      <c r="AH804" s="444"/>
      <c r="AI804" s="430"/>
      <c r="AJ804" s="430"/>
      <c r="AK804" s="430"/>
      <c r="AL804" s="476"/>
      <c r="AM804" s="430"/>
      <c r="AN804" s="430"/>
      <c r="AO804" s="430"/>
      <c r="AP804" s="430"/>
      <c r="AQ804" s="430"/>
      <c r="AR804" s="430"/>
      <c r="AS804" s="430"/>
      <c r="AT804" s="430"/>
      <c r="AU804" s="430"/>
      <c r="AV804" s="430"/>
      <c r="AW804" s="430"/>
      <c r="AX804" s="430"/>
    </row>
    <row r="805">
      <c r="B805" s="471"/>
      <c r="E805" s="471"/>
      <c r="H805" s="471"/>
      <c r="K805" s="471"/>
      <c r="M805" s="454"/>
      <c r="N805" s="424"/>
      <c r="O805" s="424"/>
      <c r="P805" s="430"/>
      <c r="Q805" s="444"/>
      <c r="R805" s="424"/>
      <c r="S805" s="430"/>
      <c r="T805" s="444"/>
      <c r="U805" s="430"/>
      <c r="V805" s="430"/>
      <c r="W805" s="444"/>
      <c r="X805" s="444"/>
      <c r="Y805" s="430"/>
      <c r="Z805" s="430"/>
      <c r="AA805" s="430"/>
      <c r="AB805" s="444"/>
      <c r="AC805" s="444"/>
      <c r="AD805" s="430"/>
      <c r="AE805" s="430"/>
      <c r="AF805" s="430"/>
      <c r="AG805" s="444"/>
      <c r="AH805" s="444"/>
      <c r="AI805" s="430"/>
      <c r="AJ805" s="430"/>
      <c r="AK805" s="430"/>
      <c r="AL805" s="476"/>
      <c r="AM805" s="430"/>
      <c r="AN805" s="430"/>
      <c r="AO805" s="430"/>
      <c r="AP805" s="430"/>
      <c r="AQ805" s="430"/>
      <c r="AR805" s="430"/>
      <c r="AS805" s="430"/>
      <c r="AT805" s="430"/>
      <c r="AU805" s="430"/>
      <c r="AV805" s="430"/>
      <c r="AW805" s="430"/>
      <c r="AX805" s="430"/>
    </row>
    <row r="806">
      <c r="B806" s="471"/>
      <c r="E806" s="471"/>
      <c r="H806" s="471"/>
      <c r="K806" s="471"/>
      <c r="M806" s="454"/>
      <c r="N806" s="424"/>
      <c r="O806" s="424"/>
      <c r="P806" s="430"/>
      <c r="Q806" s="444"/>
      <c r="R806" s="424"/>
      <c r="S806" s="430"/>
      <c r="T806" s="444"/>
      <c r="U806" s="430"/>
      <c r="V806" s="430"/>
      <c r="W806" s="444"/>
      <c r="X806" s="444"/>
      <c r="Y806" s="430"/>
      <c r="Z806" s="430"/>
      <c r="AA806" s="430"/>
      <c r="AB806" s="444"/>
      <c r="AC806" s="444"/>
      <c r="AD806" s="430"/>
      <c r="AE806" s="430"/>
      <c r="AF806" s="430"/>
      <c r="AG806" s="444"/>
      <c r="AH806" s="444"/>
      <c r="AI806" s="430"/>
      <c r="AJ806" s="430"/>
      <c r="AK806" s="430"/>
      <c r="AL806" s="476"/>
      <c r="AM806" s="430"/>
      <c r="AN806" s="430"/>
      <c r="AO806" s="430"/>
      <c r="AP806" s="430"/>
      <c r="AQ806" s="430"/>
      <c r="AR806" s="430"/>
      <c r="AS806" s="430"/>
      <c r="AT806" s="430"/>
      <c r="AU806" s="430"/>
      <c r="AV806" s="430"/>
      <c r="AW806" s="430"/>
      <c r="AX806" s="430"/>
    </row>
    <row r="807">
      <c r="B807" s="471"/>
      <c r="E807" s="471"/>
      <c r="H807" s="471"/>
      <c r="K807" s="471"/>
      <c r="M807" s="454"/>
      <c r="N807" s="424"/>
      <c r="O807" s="424"/>
      <c r="P807" s="430"/>
      <c r="Q807" s="444"/>
      <c r="R807" s="424"/>
      <c r="S807" s="430"/>
      <c r="T807" s="444"/>
      <c r="U807" s="430"/>
      <c r="V807" s="430"/>
      <c r="W807" s="444"/>
      <c r="X807" s="444"/>
      <c r="Y807" s="430"/>
      <c r="Z807" s="430"/>
      <c r="AA807" s="430"/>
      <c r="AB807" s="444"/>
      <c r="AC807" s="444"/>
      <c r="AD807" s="430"/>
      <c r="AE807" s="430"/>
      <c r="AF807" s="430"/>
      <c r="AG807" s="444"/>
      <c r="AH807" s="444"/>
      <c r="AI807" s="430"/>
      <c r="AJ807" s="430"/>
      <c r="AK807" s="430"/>
      <c r="AL807" s="476"/>
      <c r="AM807" s="430"/>
      <c r="AN807" s="430"/>
      <c r="AO807" s="430"/>
      <c r="AP807" s="430"/>
      <c r="AQ807" s="430"/>
      <c r="AR807" s="430"/>
      <c r="AS807" s="430"/>
      <c r="AT807" s="430"/>
      <c r="AU807" s="430"/>
      <c r="AV807" s="430"/>
      <c r="AW807" s="430"/>
      <c r="AX807" s="430"/>
    </row>
    <row r="808">
      <c r="B808" s="471"/>
      <c r="E808" s="471"/>
      <c r="H808" s="471"/>
      <c r="K808" s="471"/>
      <c r="M808" s="454"/>
      <c r="N808" s="424"/>
      <c r="O808" s="424"/>
      <c r="P808" s="430"/>
      <c r="Q808" s="444"/>
      <c r="R808" s="424"/>
      <c r="S808" s="430"/>
      <c r="T808" s="444"/>
      <c r="U808" s="430"/>
      <c r="V808" s="430"/>
      <c r="W808" s="444"/>
      <c r="X808" s="444"/>
      <c r="Y808" s="430"/>
      <c r="Z808" s="430"/>
      <c r="AA808" s="430"/>
      <c r="AB808" s="444"/>
      <c r="AC808" s="444"/>
      <c r="AD808" s="430"/>
      <c r="AE808" s="430"/>
      <c r="AF808" s="430"/>
      <c r="AG808" s="444"/>
      <c r="AH808" s="444"/>
      <c r="AI808" s="430"/>
      <c r="AJ808" s="430"/>
      <c r="AK808" s="430"/>
      <c r="AL808" s="476"/>
      <c r="AM808" s="430"/>
      <c r="AN808" s="430"/>
      <c r="AO808" s="430"/>
      <c r="AP808" s="430"/>
      <c r="AQ808" s="430"/>
      <c r="AR808" s="430"/>
      <c r="AS808" s="430"/>
      <c r="AT808" s="430"/>
      <c r="AU808" s="430"/>
      <c r="AV808" s="430"/>
      <c r="AW808" s="430"/>
      <c r="AX808" s="430"/>
    </row>
    <row r="809">
      <c r="B809" s="471"/>
      <c r="E809" s="471"/>
      <c r="H809" s="471"/>
      <c r="K809" s="471"/>
      <c r="M809" s="454"/>
      <c r="N809" s="424"/>
      <c r="O809" s="424"/>
      <c r="P809" s="430"/>
      <c r="Q809" s="444"/>
      <c r="R809" s="424"/>
      <c r="S809" s="430"/>
      <c r="T809" s="444"/>
      <c r="U809" s="430"/>
      <c r="V809" s="430"/>
      <c r="W809" s="444"/>
      <c r="X809" s="444"/>
      <c r="Y809" s="430"/>
      <c r="Z809" s="430"/>
      <c r="AA809" s="430"/>
      <c r="AB809" s="444"/>
      <c r="AC809" s="444"/>
      <c r="AD809" s="430"/>
      <c r="AE809" s="430"/>
      <c r="AF809" s="430"/>
      <c r="AG809" s="444"/>
      <c r="AH809" s="444"/>
      <c r="AI809" s="430"/>
      <c r="AJ809" s="430"/>
      <c r="AK809" s="430"/>
      <c r="AL809" s="476"/>
      <c r="AM809" s="430"/>
      <c r="AN809" s="430"/>
      <c r="AO809" s="430"/>
      <c r="AP809" s="430"/>
      <c r="AQ809" s="430"/>
      <c r="AR809" s="430"/>
      <c r="AS809" s="430"/>
      <c r="AT809" s="430"/>
      <c r="AU809" s="430"/>
      <c r="AV809" s="430"/>
      <c r="AW809" s="430"/>
      <c r="AX809" s="430"/>
    </row>
    <row r="810">
      <c r="B810" s="471"/>
      <c r="E810" s="471"/>
      <c r="H810" s="471"/>
      <c r="K810" s="471"/>
      <c r="M810" s="454"/>
      <c r="N810" s="424"/>
      <c r="O810" s="424"/>
      <c r="P810" s="430"/>
      <c r="Q810" s="444"/>
      <c r="R810" s="424"/>
      <c r="S810" s="430"/>
      <c r="T810" s="444"/>
      <c r="U810" s="430"/>
      <c r="V810" s="430"/>
      <c r="W810" s="444"/>
      <c r="X810" s="444"/>
      <c r="Y810" s="430"/>
      <c r="Z810" s="430"/>
      <c r="AA810" s="430"/>
      <c r="AB810" s="444"/>
      <c r="AC810" s="444"/>
      <c r="AD810" s="430"/>
      <c r="AE810" s="430"/>
      <c r="AF810" s="430"/>
      <c r="AG810" s="444"/>
      <c r="AH810" s="444"/>
      <c r="AI810" s="430"/>
      <c r="AJ810" s="430"/>
      <c r="AK810" s="430"/>
      <c r="AL810" s="476"/>
      <c r="AM810" s="430"/>
      <c r="AN810" s="430"/>
      <c r="AO810" s="430"/>
      <c r="AP810" s="430"/>
      <c r="AQ810" s="430"/>
      <c r="AR810" s="430"/>
      <c r="AS810" s="430"/>
      <c r="AT810" s="430"/>
      <c r="AU810" s="430"/>
      <c r="AV810" s="430"/>
      <c r="AW810" s="430"/>
      <c r="AX810" s="430"/>
    </row>
    <row r="811">
      <c r="B811" s="471"/>
      <c r="E811" s="471"/>
      <c r="H811" s="471"/>
      <c r="K811" s="471"/>
      <c r="M811" s="454"/>
      <c r="N811" s="424"/>
      <c r="O811" s="424"/>
      <c r="P811" s="430"/>
      <c r="Q811" s="444"/>
      <c r="R811" s="424"/>
      <c r="S811" s="430"/>
      <c r="T811" s="444"/>
      <c r="U811" s="430"/>
      <c r="V811" s="430"/>
      <c r="W811" s="444"/>
      <c r="X811" s="444"/>
      <c r="Y811" s="430"/>
      <c r="Z811" s="430"/>
      <c r="AA811" s="430"/>
      <c r="AB811" s="444"/>
      <c r="AC811" s="444"/>
      <c r="AD811" s="430"/>
      <c r="AE811" s="430"/>
      <c r="AF811" s="430"/>
      <c r="AG811" s="444"/>
      <c r="AH811" s="444"/>
      <c r="AI811" s="430"/>
      <c r="AJ811" s="430"/>
      <c r="AK811" s="430"/>
      <c r="AL811" s="476"/>
      <c r="AM811" s="430"/>
      <c r="AN811" s="430"/>
      <c r="AO811" s="430"/>
      <c r="AP811" s="430"/>
      <c r="AQ811" s="430"/>
      <c r="AR811" s="430"/>
      <c r="AS811" s="430"/>
      <c r="AT811" s="430"/>
      <c r="AU811" s="430"/>
      <c r="AV811" s="430"/>
      <c r="AW811" s="430"/>
      <c r="AX811" s="430"/>
    </row>
    <row r="812">
      <c r="B812" s="471"/>
      <c r="E812" s="471"/>
      <c r="H812" s="471"/>
      <c r="K812" s="471"/>
      <c r="M812" s="454"/>
      <c r="N812" s="424"/>
      <c r="O812" s="424"/>
      <c r="P812" s="430"/>
      <c r="Q812" s="444"/>
      <c r="R812" s="424"/>
      <c r="S812" s="430"/>
      <c r="T812" s="444"/>
      <c r="U812" s="430"/>
      <c r="V812" s="430"/>
      <c r="W812" s="444"/>
      <c r="X812" s="444"/>
      <c r="Y812" s="430"/>
      <c r="Z812" s="430"/>
      <c r="AA812" s="430"/>
      <c r="AB812" s="444"/>
      <c r="AC812" s="444"/>
      <c r="AD812" s="430"/>
      <c r="AE812" s="430"/>
      <c r="AF812" s="430"/>
      <c r="AG812" s="444"/>
      <c r="AH812" s="444"/>
      <c r="AI812" s="430"/>
      <c r="AJ812" s="430"/>
      <c r="AK812" s="430"/>
      <c r="AL812" s="476"/>
      <c r="AM812" s="430"/>
      <c r="AN812" s="430"/>
      <c r="AO812" s="430"/>
      <c r="AP812" s="430"/>
      <c r="AQ812" s="430"/>
      <c r="AR812" s="430"/>
      <c r="AS812" s="430"/>
      <c r="AT812" s="430"/>
      <c r="AU812" s="430"/>
      <c r="AV812" s="430"/>
      <c r="AW812" s="430"/>
      <c r="AX812" s="430"/>
    </row>
    <row r="813">
      <c r="B813" s="471"/>
      <c r="E813" s="471"/>
      <c r="H813" s="471"/>
      <c r="K813" s="471"/>
      <c r="M813" s="454"/>
      <c r="N813" s="424"/>
      <c r="O813" s="424"/>
      <c r="P813" s="430"/>
      <c r="Q813" s="444"/>
      <c r="R813" s="424"/>
      <c r="S813" s="430"/>
      <c r="T813" s="444"/>
      <c r="U813" s="430"/>
      <c r="V813" s="430"/>
      <c r="W813" s="444"/>
      <c r="X813" s="444"/>
      <c r="Y813" s="430"/>
      <c r="Z813" s="430"/>
      <c r="AA813" s="430"/>
      <c r="AB813" s="444"/>
      <c r="AC813" s="444"/>
      <c r="AD813" s="430"/>
      <c r="AE813" s="430"/>
      <c r="AF813" s="430"/>
      <c r="AG813" s="444"/>
      <c r="AH813" s="444"/>
      <c r="AI813" s="430"/>
      <c r="AJ813" s="430"/>
      <c r="AK813" s="430"/>
      <c r="AL813" s="476"/>
      <c r="AM813" s="430"/>
      <c r="AN813" s="430"/>
      <c r="AO813" s="430"/>
      <c r="AP813" s="430"/>
      <c r="AQ813" s="430"/>
      <c r="AR813" s="430"/>
      <c r="AS813" s="430"/>
      <c r="AT813" s="430"/>
      <c r="AU813" s="430"/>
      <c r="AV813" s="430"/>
      <c r="AW813" s="430"/>
      <c r="AX813" s="430"/>
    </row>
    <row r="814">
      <c r="B814" s="471"/>
      <c r="E814" s="471"/>
      <c r="H814" s="471"/>
      <c r="K814" s="471"/>
      <c r="M814" s="454"/>
      <c r="N814" s="424"/>
      <c r="O814" s="424"/>
      <c r="P814" s="430"/>
      <c r="Q814" s="444"/>
      <c r="R814" s="424"/>
      <c r="S814" s="430"/>
      <c r="T814" s="444"/>
      <c r="U814" s="430"/>
      <c r="V814" s="430"/>
      <c r="W814" s="444"/>
      <c r="X814" s="444"/>
      <c r="Y814" s="430"/>
      <c r="Z814" s="430"/>
      <c r="AA814" s="430"/>
      <c r="AB814" s="444"/>
      <c r="AC814" s="444"/>
      <c r="AD814" s="430"/>
      <c r="AE814" s="430"/>
      <c r="AF814" s="430"/>
      <c r="AG814" s="444"/>
      <c r="AH814" s="444"/>
      <c r="AI814" s="430"/>
      <c r="AJ814" s="430"/>
      <c r="AK814" s="430"/>
      <c r="AL814" s="476"/>
      <c r="AM814" s="430"/>
      <c r="AN814" s="430"/>
      <c r="AO814" s="430"/>
      <c r="AP814" s="430"/>
      <c r="AQ814" s="430"/>
      <c r="AR814" s="430"/>
      <c r="AS814" s="430"/>
      <c r="AT814" s="430"/>
      <c r="AU814" s="430"/>
      <c r="AV814" s="430"/>
      <c r="AW814" s="430"/>
      <c r="AX814" s="430"/>
    </row>
    <row r="815">
      <c r="B815" s="471"/>
      <c r="E815" s="471"/>
      <c r="H815" s="471"/>
      <c r="K815" s="471"/>
      <c r="M815" s="454"/>
      <c r="N815" s="424"/>
      <c r="O815" s="424"/>
      <c r="P815" s="430"/>
      <c r="Q815" s="444"/>
      <c r="R815" s="424"/>
      <c r="S815" s="430"/>
      <c r="T815" s="444"/>
      <c r="U815" s="430"/>
      <c r="V815" s="430"/>
      <c r="W815" s="444"/>
      <c r="X815" s="444"/>
      <c r="Y815" s="430"/>
      <c r="Z815" s="430"/>
      <c r="AA815" s="430"/>
      <c r="AB815" s="444"/>
      <c r="AC815" s="444"/>
      <c r="AD815" s="430"/>
      <c r="AE815" s="430"/>
      <c r="AF815" s="430"/>
      <c r="AG815" s="444"/>
      <c r="AH815" s="444"/>
      <c r="AI815" s="430"/>
      <c r="AJ815" s="430"/>
      <c r="AK815" s="430"/>
      <c r="AL815" s="476"/>
      <c r="AM815" s="430"/>
      <c r="AN815" s="430"/>
      <c r="AO815" s="430"/>
      <c r="AP815" s="430"/>
      <c r="AQ815" s="430"/>
      <c r="AR815" s="430"/>
      <c r="AS815" s="430"/>
      <c r="AT815" s="430"/>
      <c r="AU815" s="430"/>
      <c r="AV815" s="430"/>
      <c r="AW815" s="430"/>
      <c r="AX815" s="430"/>
    </row>
    <row r="816">
      <c r="B816" s="471"/>
      <c r="E816" s="471"/>
      <c r="H816" s="471"/>
      <c r="K816" s="471"/>
      <c r="M816" s="454"/>
      <c r="N816" s="424"/>
      <c r="O816" s="424"/>
      <c r="P816" s="430"/>
      <c r="Q816" s="444"/>
      <c r="R816" s="424"/>
      <c r="S816" s="430"/>
      <c r="T816" s="444"/>
      <c r="U816" s="430"/>
      <c r="V816" s="430"/>
      <c r="W816" s="444"/>
      <c r="X816" s="444"/>
      <c r="Y816" s="430"/>
      <c r="Z816" s="430"/>
      <c r="AA816" s="430"/>
      <c r="AB816" s="444"/>
      <c r="AC816" s="444"/>
      <c r="AD816" s="430"/>
      <c r="AE816" s="430"/>
      <c r="AF816" s="430"/>
      <c r="AG816" s="444"/>
      <c r="AH816" s="444"/>
      <c r="AI816" s="430"/>
      <c r="AJ816" s="430"/>
      <c r="AK816" s="430"/>
      <c r="AL816" s="476"/>
      <c r="AM816" s="430"/>
      <c r="AN816" s="430"/>
      <c r="AO816" s="430"/>
      <c r="AP816" s="430"/>
      <c r="AQ816" s="430"/>
      <c r="AR816" s="430"/>
      <c r="AS816" s="430"/>
      <c r="AT816" s="430"/>
      <c r="AU816" s="430"/>
      <c r="AV816" s="430"/>
      <c r="AW816" s="430"/>
      <c r="AX816" s="430"/>
    </row>
    <row r="817">
      <c r="B817" s="471"/>
      <c r="E817" s="471"/>
      <c r="H817" s="471"/>
      <c r="K817" s="471"/>
      <c r="M817" s="454"/>
      <c r="N817" s="424"/>
      <c r="O817" s="424"/>
      <c r="P817" s="430"/>
      <c r="Q817" s="444"/>
      <c r="R817" s="424"/>
      <c r="S817" s="430"/>
      <c r="T817" s="444"/>
      <c r="U817" s="430"/>
      <c r="V817" s="430"/>
      <c r="W817" s="444"/>
      <c r="X817" s="444"/>
      <c r="Y817" s="430"/>
      <c r="Z817" s="430"/>
      <c r="AA817" s="430"/>
      <c r="AB817" s="444"/>
      <c r="AC817" s="444"/>
      <c r="AD817" s="430"/>
      <c r="AE817" s="430"/>
      <c r="AF817" s="430"/>
      <c r="AG817" s="444"/>
      <c r="AH817" s="444"/>
      <c r="AI817" s="430"/>
      <c r="AJ817" s="430"/>
      <c r="AK817" s="430"/>
      <c r="AL817" s="476"/>
      <c r="AM817" s="430"/>
      <c r="AN817" s="430"/>
      <c r="AO817" s="430"/>
      <c r="AP817" s="430"/>
      <c r="AQ817" s="430"/>
      <c r="AR817" s="430"/>
      <c r="AS817" s="430"/>
      <c r="AT817" s="430"/>
      <c r="AU817" s="430"/>
      <c r="AV817" s="430"/>
      <c r="AW817" s="430"/>
      <c r="AX817" s="430"/>
    </row>
    <row r="818">
      <c r="B818" s="471"/>
      <c r="E818" s="471"/>
      <c r="H818" s="471"/>
      <c r="K818" s="471"/>
      <c r="M818" s="454"/>
      <c r="N818" s="424"/>
      <c r="O818" s="424"/>
      <c r="P818" s="430"/>
      <c r="Q818" s="444"/>
      <c r="R818" s="424"/>
      <c r="S818" s="430"/>
      <c r="T818" s="444"/>
      <c r="U818" s="430"/>
      <c r="V818" s="430"/>
      <c r="W818" s="444"/>
      <c r="X818" s="444"/>
      <c r="Y818" s="430"/>
      <c r="Z818" s="430"/>
      <c r="AA818" s="430"/>
      <c r="AB818" s="444"/>
      <c r="AC818" s="444"/>
      <c r="AD818" s="430"/>
      <c r="AE818" s="430"/>
      <c r="AF818" s="430"/>
      <c r="AG818" s="444"/>
      <c r="AH818" s="444"/>
      <c r="AI818" s="430"/>
      <c r="AJ818" s="430"/>
      <c r="AK818" s="430"/>
      <c r="AL818" s="476"/>
      <c r="AM818" s="430"/>
      <c r="AN818" s="430"/>
      <c r="AO818" s="430"/>
      <c r="AP818" s="430"/>
      <c r="AQ818" s="430"/>
      <c r="AR818" s="430"/>
      <c r="AS818" s="430"/>
      <c r="AT818" s="430"/>
      <c r="AU818" s="430"/>
      <c r="AV818" s="430"/>
      <c r="AW818" s="430"/>
      <c r="AX818" s="430"/>
    </row>
    <row r="819">
      <c r="B819" s="471"/>
      <c r="E819" s="471"/>
      <c r="H819" s="471"/>
      <c r="K819" s="471"/>
      <c r="M819" s="454"/>
      <c r="N819" s="424"/>
      <c r="O819" s="424"/>
      <c r="P819" s="430"/>
      <c r="Q819" s="444"/>
      <c r="R819" s="424"/>
      <c r="S819" s="430"/>
      <c r="T819" s="444"/>
      <c r="U819" s="430"/>
      <c r="V819" s="430"/>
      <c r="W819" s="444"/>
      <c r="X819" s="444"/>
      <c r="Y819" s="430"/>
      <c r="Z819" s="430"/>
      <c r="AA819" s="430"/>
      <c r="AB819" s="444"/>
      <c r="AC819" s="444"/>
      <c r="AD819" s="430"/>
      <c r="AE819" s="430"/>
      <c r="AF819" s="430"/>
      <c r="AG819" s="444"/>
      <c r="AH819" s="444"/>
      <c r="AI819" s="430"/>
      <c r="AJ819" s="430"/>
      <c r="AK819" s="430"/>
      <c r="AL819" s="476"/>
      <c r="AM819" s="430"/>
      <c r="AN819" s="430"/>
      <c r="AO819" s="430"/>
      <c r="AP819" s="430"/>
      <c r="AQ819" s="430"/>
      <c r="AR819" s="430"/>
      <c r="AS819" s="430"/>
      <c r="AT819" s="430"/>
      <c r="AU819" s="430"/>
      <c r="AV819" s="430"/>
      <c r="AW819" s="430"/>
      <c r="AX819" s="430"/>
    </row>
    <row r="820">
      <c r="B820" s="471"/>
      <c r="E820" s="471"/>
      <c r="H820" s="471"/>
      <c r="K820" s="471"/>
      <c r="M820" s="454"/>
      <c r="N820" s="424"/>
      <c r="O820" s="424"/>
      <c r="P820" s="430"/>
      <c r="Q820" s="444"/>
      <c r="R820" s="424"/>
      <c r="S820" s="430"/>
      <c r="T820" s="444"/>
      <c r="U820" s="430"/>
      <c r="V820" s="430"/>
      <c r="W820" s="444"/>
      <c r="X820" s="444"/>
      <c r="Y820" s="430"/>
      <c r="Z820" s="430"/>
      <c r="AA820" s="430"/>
      <c r="AB820" s="444"/>
      <c r="AC820" s="444"/>
      <c r="AD820" s="430"/>
      <c r="AE820" s="430"/>
      <c r="AF820" s="430"/>
      <c r="AG820" s="444"/>
      <c r="AH820" s="444"/>
      <c r="AI820" s="430"/>
      <c r="AJ820" s="430"/>
      <c r="AK820" s="430"/>
      <c r="AL820" s="476"/>
      <c r="AM820" s="430"/>
      <c r="AN820" s="430"/>
      <c r="AO820" s="430"/>
      <c r="AP820" s="430"/>
      <c r="AQ820" s="430"/>
      <c r="AR820" s="430"/>
      <c r="AS820" s="430"/>
      <c r="AT820" s="430"/>
      <c r="AU820" s="430"/>
      <c r="AV820" s="430"/>
      <c r="AW820" s="430"/>
      <c r="AX820" s="430"/>
    </row>
    <row r="821">
      <c r="B821" s="471"/>
      <c r="E821" s="471"/>
      <c r="H821" s="471"/>
      <c r="K821" s="471"/>
      <c r="M821" s="454"/>
      <c r="N821" s="424"/>
      <c r="O821" s="424"/>
      <c r="P821" s="430"/>
      <c r="Q821" s="444"/>
      <c r="R821" s="424"/>
      <c r="S821" s="430"/>
      <c r="T821" s="444"/>
      <c r="U821" s="430"/>
      <c r="V821" s="430"/>
      <c r="W821" s="444"/>
      <c r="X821" s="444"/>
      <c r="Y821" s="430"/>
      <c r="Z821" s="430"/>
      <c r="AA821" s="430"/>
      <c r="AB821" s="444"/>
      <c r="AC821" s="444"/>
      <c r="AD821" s="430"/>
      <c r="AE821" s="430"/>
      <c r="AF821" s="430"/>
      <c r="AG821" s="444"/>
      <c r="AH821" s="444"/>
      <c r="AI821" s="430"/>
      <c r="AJ821" s="430"/>
      <c r="AK821" s="430"/>
      <c r="AL821" s="476"/>
      <c r="AM821" s="430"/>
      <c r="AN821" s="430"/>
      <c r="AO821" s="430"/>
      <c r="AP821" s="430"/>
      <c r="AQ821" s="430"/>
      <c r="AR821" s="430"/>
      <c r="AS821" s="430"/>
      <c r="AT821" s="430"/>
      <c r="AU821" s="430"/>
      <c r="AV821" s="430"/>
      <c r="AW821" s="430"/>
      <c r="AX821" s="430"/>
    </row>
    <row r="822">
      <c r="B822" s="471"/>
      <c r="E822" s="471"/>
      <c r="H822" s="471"/>
      <c r="K822" s="471"/>
      <c r="M822" s="454"/>
      <c r="N822" s="424"/>
      <c r="O822" s="424"/>
      <c r="P822" s="430"/>
      <c r="Q822" s="444"/>
      <c r="R822" s="424"/>
      <c r="S822" s="430"/>
      <c r="T822" s="444"/>
      <c r="U822" s="430"/>
      <c r="V822" s="430"/>
      <c r="W822" s="444"/>
      <c r="X822" s="444"/>
      <c r="Y822" s="430"/>
      <c r="Z822" s="430"/>
      <c r="AA822" s="430"/>
      <c r="AB822" s="444"/>
      <c r="AC822" s="444"/>
      <c r="AD822" s="430"/>
      <c r="AE822" s="430"/>
      <c r="AF822" s="430"/>
      <c r="AG822" s="444"/>
      <c r="AH822" s="444"/>
      <c r="AI822" s="430"/>
      <c r="AJ822" s="430"/>
      <c r="AK822" s="430"/>
      <c r="AL822" s="476"/>
      <c r="AM822" s="430"/>
      <c r="AN822" s="430"/>
      <c r="AO822" s="430"/>
      <c r="AP822" s="430"/>
      <c r="AQ822" s="430"/>
      <c r="AR822" s="430"/>
      <c r="AS822" s="430"/>
      <c r="AT822" s="430"/>
      <c r="AU822" s="430"/>
      <c r="AV822" s="430"/>
      <c r="AW822" s="430"/>
      <c r="AX822" s="430"/>
    </row>
    <row r="823">
      <c r="B823" s="471"/>
      <c r="E823" s="471"/>
      <c r="H823" s="471"/>
      <c r="K823" s="471"/>
      <c r="M823" s="454"/>
      <c r="N823" s="424"/>
      <c r="O823" s="424"/>
      <c r="P823" s="430"/>
      <c r="Q823" s="444"/>
      <c r="R823" s="424"/>
      <c r="S823" s="430"/>
      <c r="T823" s="444"/>
      <c r="U823" s="430"/>
      <c r="V823" s="430"/>
      <c r="W823" s="444"/>
      <c r="X823" s="444"/>
      <c r="Y823" s="430"/>
      <c r="Z823" s="430"/>
      <c r="AA823" s="430"/>
      <c r="AB823" s="444"/>
      <c r="AC823" s="444"/>
      <c r="AD823" s="430"/>
      <c r="AE823" s="430"/>
      <c r="AF823" s="430"/>
      <c r="AG823" s="444"/>
      <c r="AH823" s="444"/>
      <c r="AI823" s="430"/>
      <c r="AJ823" s="430"/>
      <c r="AK823" s="430"/>
      <c r="AL823" s="476"/>
      <c r="AM823" s="430"/>
      <c r="AN823" s="430"/>
      <c r="AO823" s="430"/>
      <c r="AP823" s="430"/>
      <c r="AQ823" s="430"/>
      <c r="AR823" s="430"/>
      <c r="AS823" s="430"/>
      <c r="AT823" s="430"/>
      <c r="AU823" s="430"/>
      <c r="AV823" s="430"/>
      <c r="AW823" s="430"/>
      <c r="AX823" s="430"/>
    </row>
    <row r="824">
      <c r="B824" s="471"/>
      <c r="E824" s="471"/>
      <c r="H824" s="471"/>
      <c r="K824" s="471"/>
      <c r="M824" s="454"/>
      <c r="N824" s="424"/>
      <c r="O824" s="424"/>
      <c r="P824" s="430"/>
      <c r="Q824" s="444"/>
      <c r="R824" s="424"/>
      <c r="S824" s="430"/>
      <c r="T824" s="444"/>
      <c r="U824" s="430"/>
      <c r="V824" s="430"/>
      <c r="W824" s="444"/>
      <c r="X824" s="444"/>
      <c r="Y824" s="430"/>
      <c r="Z824" s="430"/>
      <c r="AA824" s="430"/>
      <c r="AB824" s="444"/>
      <c r="AC824" s="444"/>
      <c r="AD824" s="430"/>
      <c r="AE824" s="430"/>
      <c r="AF824" s="430"/>
      <c r="AG824" s="444"/>
      <c r="AH824" s="444"/>
      <c r="AI824" s="430"/>
      <c r="AJ824" s="430"/>
      <c r="AK824" s="430"/>
      <c r="AL824" s="476"/>
      <c r="AM824" s="430"/>
      <c r="AN824" s="430"/>
      <c r="AO824" s="430"/>
      <c r="AP824" s="430"/>
      <c r="AQ824" s="430"/>
      <c r="AR824" s="430"/>
      <c r="AS824" s="430"/>
      <c r="AT824" s="430"/>
      <c r="AU824" s="430"/>
      <c r="AV824" s="430"/>
      <c r="AW824" s="430"/>
      <c r="AX824" s="430"/>
    </row>
    <row r="825">
      <c r="B825" s="471"/>
      <c r="E825" s="471"/>
      <c r="H825" s="471"/>
      <c r="K825" s="471"/>
      <c r="M825" s="454"/>
      <c r="N825" s="424"/>
      <c r="O825" s="424"/>
      <c r="P825" s="430"/>
      <c r="Q825" s="444"/>
      <c r="R825" s="424"/>
      <c r="S825" s="430"/>
      <c r="T825" s="444"/>
      <c r="U825" s="430"/>
      <c r="V825" s="430"/>
      <c r="W825" s="444"/>
      <c r="X825" s="444"/>
      <c r="Y825" s="430"/>
      <c r="Z825" s="430"/>
      <c r="AA825" s="430"/>
      <c r="AB825" s="444"/>
      <c r="AC825" s="444"/>
      <c r="AD825" s="430"/>
      <c r="AE825" s="430"/>
      <c r="AF825" s="430"/>
      <c r="AG825" s="444"/>
      <c r="AH825" s="444"/>
      <c r="AI825" s="430"/>
      <c r="AJ825" s="430"/>
      <c r="AK825" s="430"/>
      <c r="AL825" s="476"/>
      <c r="AM825" s="430"/>
      <c r="AN825" s="430"/>
      <c r="AO825" s="430"/>
      <c r="AP825" s="430"/>
      <c r="AQ825" s="430"/>
      <c r="AR825" s="430"/>
      <c r="AS825" s="430"/>
      <c r="AT825" s="430"/>
      <c r="AU825" s="430"/>
      <c r="AV825" s="430"/>
      <c r="AW825" s="430"/>
      <c r="AX825" s="430"/>
    </row>
    <row r="826">
      <c r="B826" s="471"/>
      <c r="E826" s="471"/>
      <c r="H826" s="471"/>
      <c r="K826" s="471"/>
      <c r="M826" s="454"/>
      <c r="N826" s="424"/>
      <c r="O826" s="424"/>
      <c r="P826" s="430"/>
      <c r="Q826" s="444"/>
      <c r="R826" s="424"/>
      <c r="S826" s="430"/>
      <c r="T826" s="444"/>
      <c r="U826" s="430"/>
      <c r="V826" s="430"/>
      <c r="W826" s="444"/>
      <c r="X826" s="444"/>
      <c r="Y826" s="430"/>
      <c r="Z826" s="430"/>
      <c r="AA826" s="430"/>
      <c r="AB826" s="444"/>
      <c r="AC826" s="444"/>
      <c r="AD826" s="430"/>
      <c r="AE826" s="430"/>
      <c r="AF826" s="430"/>
      <c r="AG826" s="444"/>
      <c r="AH826" s="444"/>
      <c r="AI826" s="430"/>
      <c r="AJ826" s="430"/>
      <c r="AK826" s="430"/>
      <c r="AL826" s="476"/>
      <c r="AM826" s="430"/>
      <c r="AN826" s="430"/>
      <c r="AO826" s="430"/>
      <c r="AP826" s="430"/>
      <c r="AQ826" s="430"/>
      <c r="AR826" s="430"/>
      <c r="AS826" s="430"/>
      <c r="AT826" s="430"/>
      <c r="AU826" s="430"/>
      <c r="AV826" s="430"/>
      <c r="AW826" s="430"/>
      <c r="AX826" s="430"/>
    </row>
    <row r="827">
      <c r="B827" s="471"/>
      <c r="E827" s="471"/>
      <c r="H827" s="471"/>
      <c r="K827" s="471"/>
      <c r="M827" s="454"/>
      <c r="N827" s="424"/>
      <c r="O827" s="424"/>
      <c r="P827" s="430"/>
      <c r="Q827" s="444"/>
      <c r="R827" s="424"/>
      <c r="S827" s="430"/>
      <c r="T827" s="444"/>
      <c r="U827" s="430"/>
      <c r="V827" s="430"/>
      <c r="W827" s="444"/>
      <c r="X827" s="444"/>
      <c r="Y827" s="430"/>
      <c r="Z827" s="430"/>
      <c r="AA827" s="430"/>
      <c r="AB827" s="444"/>
      <c r="AC827" s="444"/>
      <c r="AD827" s="430"/>
      <c r="AE827" s="430"/>
      <c r="AF827" s="430"/>
      <c r="AG827" s="444"/>
      <c r="AH827" s="444"/>
      <c r="AI827" s="430"/>
      <c r="AJ827" s="430"/>
      <c r="AK827" s="430"/>
      <c r="AL827" s="476"/>
      <c r="AM827" s="430"/>
      <c r="AN827" s="430"/>
      <c r="AO827" s="430"/>
      <c r="AP827" s="430"/>
      <c r="AQ827" s="430"/>
      <c r="AR827" s="430"/>
      <c r="AS827" s="430"/>
      <c r="AT827" s="430"/>
      <c r="AU827" s="430"/>
      <c r="AV827" s="430"/>
      <c r="AW827" s="430"/>
      <c r="AX827" s="430"/>
    </row>
    <row r="828">
      <c r="B828" s="471"/>
      <c r="E828" s="471"/>
      <c r="H828" s="471"/>
      <c r="K828" s="471"/>
      <c r="M828" s="454"/>
      <c r="N828" s="424"/>
      <c r="O828" s="424"/>
      <c r="P828" s="430"/>
      <c r="Q828" s="444"/>
      <c r="R828" s="424"/>
      <c r="S828" s="430"/>
      <c r="T828" s="444"/>
      <c r="U828" s="430"/>
      <c r="V828" s="430"/>
      <c r="W828" s="444"/>
      <c r="X828" s="444"/>
      <c r="Y828" s="430"/>
      <c r="Z828" s="430"/>
      <c r="AA828" s="430"/>
      <c r="AB828" s="444"/>
      <c r="AC828" s="444"/>
      <c r="AD828" s="430"/>
      <c r="AE828" s="430"/>
      <c r="AF828" s="430"/>
      <c r="AG828" s="444"/>
      <c r="AH828" s="444"/>
      <c r="AI828" s="430"/>
      <c r="AJ828" s="430"/>
      <c r="AK828" s="430"/>
      <c r="AL828" s="476"/>
      <c r="AM828" s="430"/>
      <c r="AN828" s="430"/>
      <c r="AO828" s="430"/>
      <c r="AP828" s="430"/>
      <c r="AQ828" s="430"/>
      <c r="AR828" s="430"/>
      <c r="AS828" s="430"/>
      <c r="AT828" s="430"/>
      <c r="AU828" s="430"/>
      <c r="AV828" s="430"/>
      <c r="AW828" s="430"/>
      <c r="AX828" s="430"/>
    </row>
    <row r="829">
      <c r="B829" s="471"/>
      <c r="E829" s="471"/>
      <c r="H829" s="471"/>
      <c r="K829" s="471"/>
      <c r="M829" s="454"/>
      <c r="N829" s="424"/>
      <c r="O829" s="424"/>
      <c r="P829" s="430"/>
      <c r="Q829" s="444"/>
      <c r="R829" s="424"/>
      <c r="S829" s="430"/>
      <c r="T829" s="444"/>
      <c r="U829" s="430"/>
      <c r="V829" s="430"/>
      <c r="W829" s="444"/>
      <c r="X829" s="444"/>
      <c r="Y829" s="430"/>
      <c r="Z829" s="430"/>
      <c r="AA829" s="430"/>
      <c r="AB829" s="444"/>
      <c r="AC829" s="444"/>
      <c r="AD829" s="430"/>
      <c r="AE829" s="430"/>
      <c r="AF829" s="430"/>
      <c r="AG829" s="444"/>
      <c r="AH829" s="444"/>
      <c r="AI829" s="430"/>
      <c r="AJ829" s="430"/>
      <c r="AK829" s="430"/>
      <c r="AL829" s="476"/>
      <c r="AM829" s="430"/>
      <c r="AN829" s="430"/>
      <c r="AO829" s="430"/>
      <c r="AP829" s="430"/>
      <c r="AQ829" s="430"/>
      <c r="AR829" s="430"/>
      <c r="AS829" s="430"/>
      <c r="AT829" s="430"/>
      <c r="AU829" s="430"/>
      <c r="AV829" s="430"/>
      <c r="AW829" s="430"/>
      <c r="AX829" s="430"/>
    </row>
    <row r="830">
      <c r="B830" s="471"/>
      <c r="E830" s="471"/>
      <c r="H830" s="471"/>
      <c r="K830" s="471"/>
      <c r="M830" s="454"/>
      <c r="N830" s="424"/>
      <c r="O830" s="424"/>
      <c r="P830" s="430"/>
      <c r="Q830" s="444"/>
      <c r="R830" s="424"/>
      <c r="S830" s="430"/>
      <c r="T830" s="444"/>
      <c r="U830" s="430"/>
      <c r="V830" s="430"/>
      <c r="W830" s="444"/>
      <c r="X830" s="444"/>
      <c r="Y830" s="430"/>
      <c r="Z830" s="430"/>
      <c r="AA830" s="430"/>
      <c r="AB830" s="444"/>
      <c r="AC830" s="444"/>
      <c r="AD830" s="430"/>
      <c r="AE830" s="430"/>
      <c r="AF830" s="430"/>
      <c r="AG830" s="444"/>
      <c r="AH830" s="444"/>
      <c r="AI830" s="430"/>
      <c r="AJ830" s="430"/>
      <c r="AK830" s="430"/>
      <c r="AL830" s="476"/>
      <c r="AM830" s="430"/>
      <c r="AN830" s="430"/>
      <c r="AO830" s="430"/>
      <c r="AP830" s="430"/>
      <c r="AQ830" s="430"/>
      <c r="AR830" s="430"/>
      <c r="AS830" s="430"/>
      <c r="AT830" s="430"/>
      <c r="AU830" s="430"/>
      <c r="AV830" s="430"/>
      <c r="AW830" s="430"/>
      <c r="AX830" s="430"/>
    </row>
    <row r="831">
      <c r="B831" s="471"/>
      <c r="E831" s="471"/>
      <c r="H831" s="471"/>
      <c r="K831" s="471"/>
      <c r="M831" s="454"/>
      <c r="N831" s="424"/>
      <c r="O831" s="424"/>
      <c r="P831" s="430"/>
      <c r="Q831" s="444"/>
      <c r="R831" s="424"/>
      <c r="S831" s="430"/>
      <c r="T831" s="444"/>
      <c r="U831" s="430"/>
      <c r="V831" s="430"/>
      <c r="W831" s="444"/>
      <c r="X831" s="444"/>
      <c r="Y831" s="430"/>
      <c r="Z831" s="430"/>
      <c r="AA831" s="430"/>
      <c r="AB831" s="444"/>
      <c r="AC831" s="444"/>
      <c r="AD831" s="430"/>
      <c r="AE831" s="430"/>
      <c r="AF831" s="430"/>
      <c r="AG831" s="444"/>
      <c r="AH831" s="444"/>
      <c r="AI831" s="430"/>
      <c r="AJ831" s="430"/>
      <c r="AK831" s="430"/>
      <c r="AL831" s="476"/>
      <c r="AM831" s="430"/>
      <c r="AN831" s="430"/>
      <c r="AO831" s="430"/>
      <c r="AP831" s="430"/>
      <c r="AQ831" s="430"/>
      <c r="AR831" s="430"/>
      <c r="AS831" s="430"/>
      <c r="AT831" s="430"/>
      <c r="AU831" s="430"/>
      <c r="AV831" s="430"/>
      <c r="AW831" s="430"/>
      <c r="AX831" s="430"/>
    </row>
    <row r="832">
      <c r="B832" s="471"/>
      <c r="E832" s="471"/>
      <c r="H832" s="471"/>
      <c r="K832" s="471"/>
      <c r="M832" s="454"/>
      <c r="N832" s="424"/>
      <c r="O832" s="424"/>
      <c r="P832" s="430"/>
      <c r="Q832" s="444"/>
      <c r="R832" s="424"/>
      <c r="S832" s="430"/>
      <c r="T832" s="444"/>
      <c r="U832" s="430"/>
      <c r="V832" s="430"/>
      <c r="W832" s="444"/>
      <c r="X832" s="444"/>
      <c r="Y832" s="430"/>
      <c r="Z832" s="430"/>
      <c r="AA832" s="430"/>
      <c r="AB832" s="444"/>
      <c r="AC832" s="444"/>
      <c r="AD832" s="430"/>
      <c r="AE832" s="430"/>
      <c r="AF832" s="430"/>
      <c r="AG832" s="444"/>
      <c r="AH832" s="444"/>
      <c r="AI832" s="430"/>
      <c r="AJ832" s="430"/>
      <c r="AK832" s="430"/>
      <c r="AL832" s="476"/>
      <c r="AM832" s="430"/>
      <c r="AN832" s="430"/>
      <c r="AO832" s="430"/>
      <c r="AP832" s="430"/>
      <c r="AQ832" s="430"/>
      <c r="AR832" s="430"/>
      <c r="AS832" s="430"/>
      <c r="AT832" s="430"/>
      <c r="AU832" s="430"/>
      <c r="AV832" s="430"/>
      <c r="AW832" s="430"/>
      <c r="AX832" s="430"/>
    </row>
    <row r="833">
      <c r="B833" s="471"/>
      <c r="E833" s="471"/>
      <c r="H833" s="471"/>
      <c r="K833" s="471"/>
      <c r="M833" s="454"/>
      <c r="N833" s="424"/>
      <c r="O833" s="424"/>
      <c r="P833" s="430"/>
      <c r="Q833" s="444"/>
      <c r="R833" s="424"/>
      <c r="S833" s="430"/>
      <c r="T833" s="444"/>
      <c r="U833" s="430"/>
      <c r="V833" s="430"/>
      <c r="W833" s="444"/>
      <c r="X833" s="444"/>
      <c r="Y833" s="430"/>
      <c r="Z833" s="430"/>
      <c r="AA833" s="430"/>
      <c r="AB833" s="444"/>
      <c r="AC833" s="444"/>
      <c r="AD833" s="430"/>
      <c r="AE833" s="430"/>
      <c r="AF833" s="430"/>
      <c r="AG833" s="444"/>
      <c r="AH833" s="444"/>
      <c r="AI833" s="430"/>
      <c r="AJ833" s="430"/>
      <c r="AK833" s="430"/>
      <c r="AL833" s="476"/>
      <c r="AM833" s="430"/>
      <c r="AN833" s="430"/>
      <c r="AO833" s="430"/>
      <c r="AP833" s="430"/>
      <c r="AQ833" s="430"/>
      <c r="AR833" s="430"/>
      <c r="AS833" s="430"/>
      <c r="AT833" s="430"/>
      <c r="AU833" s="430"/>
      <c r="AV833" s="430"/>
      <c r="AW833" s="430"/>
      <c r="AX833" s="430"/>
    </row>
    <row r="834">
      <c r="B834" s="471"/>
      <c r="E834" s="471"/>
      <c r="H834" s="471"/>
      <c r="K834" s="471"/>
      <c r="M834" s="454"/>
      <c r="N834" s="424"/>
      <c r="O834" s="424"/>
      <c r="P834" s="430"/>
      <c r="Q834" s="444"/>
      <c r="R834" s="424"/>
      <c r="S834" s="430"/>
      <c r="T834" s="444"/>
      <c r="U834" s="430"/>
      <c r="V834" s="430"/>
      <c r="W834" s="444"/>
      <c r="X834" s="444"/>
      <c r="Y834" s="430"/>
      <c r="Z834" s="430"/>
      <c r="AA834" s="430"/>
      <c r="AB834" s="444"/>
      <c r="AC834" s="444"/>
      <c r="AD834" s="430"/>
      <c r="AE834" s="430"/>
      <c r="AF834" s="430"/>
      <c r="AG834" s="444"/>
      <c r="AH834" s="444"/>
      <c r="AI834" s="430"/>
      <c r="AJ834" s="430"/>
      <c r="AK834" s="430"/>
      <c r="AL834" s="476"/>
      <c r="AM834" s="430"/>
      <c r="AN834" s="430"/>
      <c r="AO834" s="430"/>
      <c r="AP834" s="430"/>
      <c r="AQ834" s="430"/>
      <c r="AR834" s="430"/>
      <c r="AS834" s="430"/>
      <c r="AT834" s="430"/>
      <c r="AU834" s="430"/>
      <c r="AV834" s="430"/>
      <c r="AW834" s="430"/>
      <c r="AX834" s="430"/>
    </row>
    <row r="835">
      <c r="B835" s="471"/>
      <c r="E835" s="471"/>
      <c r="H835" s="471"/>
      <c r="K835" s="471"/>
      <c r="M835" s="454"/>
      <c r="N835" s="424"/>
      <c r="O835" s="424"/>
      <c r="P835" s="430"/>
      <c r="Q835" s="444"/>
      <c r="R835" s="424"/>
      <c r="S835" s="430"/>
      <c r="T835" s="444"/>
      <c r="U835" s="430"/>
      <c r="V835" s="430"/>
      <c r="W835" s="444"/>
      <c r="X835" s="444"/>
      <c r="Y835" s="430"/>
      <c r="Z835" s="430"/>
      <c r="AA835" s="430"/>
      <c r="AB835" s="444"/>
      <c r="AC835" s="444"/>
      <c r="AD835" s="430"/>
      <c r="AE835" s="430"/>
      <c r="AF835" s="430"/>
      <c r="AG835" s="444"/>
      <c r="AH835" s="444"/>
      <c r="AI835" s="430"/>
      <c r="AJ835" s="430"/>
      <c r="AK835" s="430"/>
      <c r="AL835" s="476"/>
      <c r="AM835" s="430"/>
      <c r="AN835" s="430"/>
      <c r="AO835" s="430"/>
      <c r="AP835" s="430"/>
      <c r="AQ835" s="430"/>
      <c r="AR835" s="430"/>
      <c r="AS835" s="430"/>
      <c r="AT835" s="430"/>
      <c r="AU835" s="430"/>
      <c r="AV835" s="430"/>
      <c r="AW835" s="430"/>
      <c r="AX835" s="430"/>
    </row>
    <row r="836">
      <c r="B836" s="471"/>
      <c r="E836" s="471"/>
      <c r="H836" s="471"/>
      <c r="K836" s="471"/>
      <c r="M836" s="454"/>
      <c r="N836" s="424"/>
      <c r="O836" s="424"/>
      <c r="P836" s="430"/>
      <c r="Q836" s="444"/>
      <c r="R836" s="424"/>
      <c r="S836" s="430"/>
      <c r="T836" s="444"/>
      <c r="U836" s="430"/>
      <c r="V836" s="430"/>
      <c r="W836" s="444"/>
      <c r="X836" s="444"/>
      <c r="Y836" s="430"/>
      <c r="Z836" s="430"/>
      <c r="AA836" s="430"/>
      <c r="AB836" s="444"/>
      <c r="AC836" s="444"/>
      <c r="AD836" s="430"/>
      <c r="AE836" s="430"/>
      <c r="AF836" s="430"/>
      <c r="AG836" s="444"/>
      <c r="AH836" s="444"/>
      <c r="AI836" s="430"/>
      <c r="AJ836" s="430"/>
      <c r="AK836" s="430"/>
      <c r="AL836" s="476"/>
      <c r="AM836" s="430"/>
      <c r="AN836" s="430"/>
      <c r="AO836" s="430"/>
      <c r="AP836" s="430"/>
      <c r="AQ836" s="430"/>
      <c r="AR836" s="430"/>
      <c r="AS836" s="430"/>
      <c r="AT836" s="430"/>
      <c r="AU836" s="430"/>
      <c r="AV836" s="430"/>
      <c r="AW836" s="430"/>
      <c r="AX836" s="430"/>
    </row>
    <row r="837">
      <c r="B837" s="471"/>
      <c r="E837" s="471"/>
      <c r="H837" s="471"/>
      <c r="K837" s="471"/>
      <c r="M837" s="454"/>
      <c r="N837" s="424"/>
      <c r="O837" s="424"/>
      <c r="P837" s="430"/>
      <c r="Q837" s="444"/>
      <c r="R837" s="424"/>
      <c r="S837" s="430"/>
      <c r="T837" s="444"/>
      <c r="U837" s="430"/>
      <c r="V837" s="430"/>
      <c r="W837" s="444"/>
      <c r="X837" s="444"/>
      <c r="Y837" s="430"/>
      <c r="Z837" s="430"/>
      <c r="AA837" s="430"/>
      <c r="AB837" s="444"/>
      <c r="AC837" s="444"/>
      <c r="AD837" s="430"/>
      <c r="AE837" s="430"/>
      <c r="AF837" s="430"/>
      <c r="AG837" s="444"/>
      <c r="AH837" s="444"/>
      <c r="AI837" s="430"/>
      <c r="AJ837" s="430"/>
      <c r="AK837" s="430"/>
      <c r="AL837" s="476"/>
      <c r="AM837" s="430"/>
      <c r="AN837" s="430"/>
      <c r="AO837" s="430"/>
      <c r="AP837" s="430"/>
      <c r="AQ837" s="430"/>
      <c r="AR837" s="430"/>
      <c r="AS837" s="430"/>
      <c r="AT837" s="430"/>
      <c r="AU837" s="430"/>
      <c r="AV837" s="430"/>
      <c r="AW837" s="430"/>
      <c r="AX837" s="430"/>
    </row>
    <row r="838">
      <c r="B838" s="471"/>
      <c r="E838" s="471"/>
      <c r="H838" s="471"/>
      <c r="K838" s="471"/>
      <c r="M838" s="454"/>
      <c r="N838" s="424"/>
      <c r="O838" s="424"/>
      <c r="P838" s="430"/>
      <c r="Q838" s="444"/>
      <c r="R838" s="424"/>
      <c r="S838" s="430"/>
      <c r="T838" s="444"/>
      <c r="U838" s="430"/>
      <c r="V838" s="430"/>
      <c r="W838" s="444"/>
      <c r="X838" s="444"/>
      <c r="Y838" s="430"/>
      <c r="Z838" s="430"/>
      <c r="AA838" s="430"/>
      <c r="AB838" s="444"/>
      <c r="AC838" s="444"/>
      <c r="AD838" s="430"/>
      <c r="AE838" s="430"/>
      <c r="AF838" s="430"/>
      <c r="AG838" s="444"/>
      <c r="AH838" s="444"/>
      <c r="AI838" s="430"/>
      <c r="AJ838" s="430"/>
      <c r="AK838" s="430"/>
      <c r="AL838" s="476"/>
      <c r="AM838" s="430"/>
      <c r="AN838" s="430"/>
      <c r="AO838" s="430"/>
      <c r="AP838" s="430"/>
      <c r="AQ838" s="430"/>
      <c r="AR838" s="430"/>
      <c r="AS838" s="430"/>
      <c r="AT838" s="430"/>
      <c r="AU838" s="430"/>
      <c r="AV838" s="430"/>
      <c r="AW838" s="430"/>
      <c r="AX838" s="430"/>
    </row>
    <row r="839">
      <c r="B839" s="471"/>
      <c r="E839" s="471"/>
      <c r="H839" s="471"/>
      <c r="K839" s="471"/>
      <c r="M839" s="454"/>
      <c r="N839" s="424"/>
      <c r="O839" s="424"/>
      <c r="P839" s="430"/>
      <c r="Q839" s="444"/>
      <c r="R839" s="424"/>
      <c r="S839" s="430"/>
      <c r="T839" s="444"/>
      <c r="U839" s="430"/>
      <c r="V839" s="430"/>
      <c r="W839" s="444"/>
      <c r="X839" s="444"/>
      <c r="Y839" s="430"/>
      <c r="Z839" s="430"/>
      <c r="AA839" s="430"/>
      <c r="AB839" s="444"/>
      <c r="AC839" s="444"/>
      <c r="AD839" s="430"/>
      <c r="AE839" s="430"/>
      <c r="AF839" s="430"/>
      <c r="AG839" s="444"/>
      <c r="AH839" s="444"/>
      <c r="AI839" s="430"/>
      <c r="AJ839" s="430"/>
      <c r="AK839" s="430"/>
      <c r="AL839" s="476"/>
      <c r="AM839" s="430"/>
      <c r="AN839" s="430"/>
      <c r="AO839" s="430"/>
      <c r="AP839" s="430"/>
      <c r="AQ839" s="430"/>
      <c r="AR839" s="430"/>
      <c r="AS839" s="430"/>
      <c r="AT839" s="430"/>
      <c r="AU839" s="430"/>
      <c r="AV839" s="430"/>
      <c r="AW839" s="430"/>
      <c r="AX839" s="430"/>
    </row>
    <row r="840">
      <c r="B840" s="471"/>
      <c r="E840" s="471"/>
      <c r="H840" s="471"/>
      <c r="K840" s="471"/>
      <c r="M840" s="454"/>
      <c r="N840" s="424"/>
      <c r="O840" s="424"/>
      <c r="P840" s="430"/>
      <c r="Q840" s="444"/>
      <c r="R840" s="424"/>
      <c r="S840" s="430"/>
      <c r="T840" s="444"/>
      <c r="U840" s="430"/>
      <c r="V840" s="430"/>
      <c r="W840" s="444"/>
      <c r="X840" s="444"/>
      <c r="Y840" s="430"/>
      <c r="Z840" s="430"/>
      <c r="AA840" s="430"/>
      <c r="AB840" s="444"/>
      <c r="AC840" s="444"/>
      <c r="AD840" s="430"/>
      <c r="AE840" s="430"/>
      <c r="AF840" s="430"/>
      <c r="AG840" s="444"/>
      <c r="AH840" s="444"/>
      <c r="AI840" s="430"/>
      <c r="AJ840" s="430"/>
      <c r="AK840" s="430"/>
      <c r="AL840" s="476"/>
      <c r="AM840" s="430"/>
      <c r="AN840" s="430"/>
      <c r="AO840" s="430"/>
      <c r="AP840" s="430"/>
      <c r="AQ840" s="430"/>
      <c r="AR840" s="430"/>
      <c r="AS840" s="430"/>
      <c r="AT840" s="430"/>
      <c r="AU840" s="430"/>
      <c r="AV840" s="430"/>
      <c r="AW840" s="430"/>
      <c r="AX840" s="430"/>
    </row>
    <row r="841">
      <c r="B841" s="471"/>
      <c r="E841" s="471"/>
      <c r="H841" s="471"/>
      <c r="K841" s="471"/>
      <c r="M841" s="454"/>
      <c r="N841" s="424"/>
      <c r="O841" s="424"/>
      <c r="P841" s="430"/>
      <c r="Q841" s="444"/>
      <c r="R841" s="424"/>
      <c r="S841" s="430"/>
      <c r="T841" s="444"/>
      <c r="U841" s="430"/>
      <c r="V841" s="430"/>
      <c r="W841" s="444"/>
      <c r="X841" s="444"/>
      <c r="Y841" s="430"/>
      <c r="Z841" s="430"/>
      <c r="AA841" s="430"/>
      <c r="AB841" s="444"/>
      <c r="AC841" s="444"/>
      <c r="AD841" s="430"/>
      <c r="AE841" s="430"/>
      <c r="AF841" s="430"/>
      <c r="AG841" s="444"/>
      <c r="AH841" s="444"/>
      <c r="AI841" s="430"/>
      <c r="AJ841" s="430"/>
      <c r="AK841" s="430"/>
      <c r="AL841" s="476"/>
      <c r="AM841" s="430"/>
      <c r="AN841" s="430"/>
      <c r="AO841" s="430"/>
      <c r="AP841" s="430"/>
      <c r="AQ841" s="430"/>
      <c r="AR841" s="430"/>
      <c r="AS841" s="430"/>
      <c r="AT841" s="430"/>
      <c r="AU841" s="430"/>
      <c r="AV841" s="430"/>
      <c r="AW841" s="430"/>
      <c r="AX841" s="430"/>
    </row>
    <row r="842">
      <c r="B842" s="471"/>
      <c r="E842" s="471"/>
      <c r="H842" s="471"/>
      <c r="K842" s="471"/>
      <c r="M842" s="454"/>
      <c r="N842" s="424"/>
      <c r="O842" s="424"/>
      <c r="P842" s="430"/>
      <c r="Q842" s="444"/>
      <c r="R842" s="424"/>
      <c r="S842" s="430"/>
      <c r="T842" s="444"/>
      <c r="U842" s="430"/>
      <c r="V842" s="430"/>
      <c r="W842" s="444"/>
      <c r="X842" s="444"/>
      <c r="Y842" s="430"/>
      <c r="Z842" s="430"/>
      <c r="AA842" s="430"/>
      <c r="AB842" s="444"/>
      <c r="AC842" s="444"/>
      <c r="AD842" s="430"/>
      <c r="AE842" s="430"/>
      <c r="AF842" s="430"/>
      <c r="AG842" s="444"/>
      <c r="AH842" s="444"/>
      <c r="AI842" s="430"/>
      <c r="AJ842" s="430"/>
      <c r="AK842" s="430"/>
      <c r="AL842" s="476"/>
      <c r="AM842" s="430"/>
      <c r="AN842" s="430"/>
      <c r="AO842" s="430"/>
      <c r="AP842" s="430"/>
      <c r="AQ842" s="430"/>
      <c r="AR842" s="430"/>
      <c r="AS842" s="430"/>
      <c r="AT842" s="430"/>
      <c r="AU842" s="430"/>
      <c r="AV842" s="430"/>
      <c r="AW842" s="430"/>
      <c r="AX842" s="430"/>
    </row>
    <row r="843">
      <c r="B843" s="471"/>
      <c r="E843" s="471"/>
      <c r="H843" s="471"/>
      <c r="K843" s="471"/>
      <c r="M843" s="454"/>
      <c r="N843" s="424"/>
      <c r="O843" s="424"/>
      <c r="P843" s="430"/>
      <c r="Q843" s="444"/>
      <c r="R843" s="424"/>
      <c r="S843" s="430"/>
      <c r="T843" s="444"/>
      <c r="U843" s="430"/>
      <c r="V843" s="430"/>
      <c r="W843" s="444"/>
      <c r="X843" s="444"/>
      <c r="Y843" s="430"/>
      <c r="Z843" s="430"/>
      <c r="AA843" s="430"/>
      <c r="AB843" s="444"/>
      <c r="AC843" s="444"/>
      <c r="AD843" s="430"/>
      <c r="AE843" s="430"/>
      <c r="AF843" s="430"/>
      <c r="AG843" s="444"/>
      <c r="AH843" s="444"/>
      <c r="AI843" s="430"/>
      <c r="AJ843" s="430"/>
      <c r="AK843" s="430"/>
      <c r="AL843" s="476"/>
      <c r="AM843" s="430"/>
      <c r="AN843" s="430"/>
      <c r="AO843" s="430"/>
      <c r="AP843" s="430"/>
      <c r="AQ843" s="430"/>
      <c r="AR843" s="430"/>
      <c r="AS843" s="430"/>
      <c r="AT843" s="430"/>
      <c r="AU843" s="430"/>
      <c r="AV843" s="430"/>
      <c r="AW843" s="430"/>
      <c r="AX843" s="430"/>
    </row>
    <row r="844">
      <c r="B844" s="471"/>
      <c r="E844" s="471"/>
      <c r="H844" s="471"/>
      <c r="K844" s="471"/>
      <c r="M844" s="454"/>
      <c r="N844" s="424"/>
      <c r="O844" s="424"/>
      <c r="P844" s="430"/>
      <c r="Q844" s="444"/>
      <c r="R844" s="424"/>
      <c r="S844" s="430"/>
      <c r="T844" s="444"/>
      <c r="U844" s="430"/>
      <c r="V844" s="430"/>
      <c r="W844" s="444"/>
      <c r="X844" s="444"/>
      <c r="Y844" s="430"/>
      <c r="Z844" s="430"/>
      <c r="AA844" s="430"/>
      <c r="AB844" s="444"/>
      <c r="AC844" s="444"/>
      <c r="AD844" s="430"/>
      <c r="AE844" s="430"/>
      <c r="AF844" s="430"/>
      <c r="AG844" s="444"/>
      <c r="AH844" s="444"/>
      <c r="AI844" s="430"/>
      <c r="AJ844" s="430"/>
      <c r="AK844" s="430"/>
      <c r="AL844" s="476"/>
      <c r="AM844" s="430"/>
      <c r="AN844" s="430"/>
      <c r="AO844" s="430"/>
      <c r="AP844" s="430"/>
      <c r="AQ844" s="430"/>
      <c r="AR844" s="430"/>
      <c r="AS844" s="430"/>
      <c r="AT844" s="430"/>
      <c r="AU844" s="430"/>
      <c r="AV844" s="430"/>
      <c r="AW844" s="430"/>
      <c r="AX844" s="430"/>
    </row>
    <row r="845">
      <c r="B845" s="471"/>
      <c r="E845" s="471"/>
      <c r="H845" s="471"/>
      <c r="K845" s="471"/>
      <c r="M845" s="454"/>
      <c r="N845" s="424"/>
      <c r="O845" s="424"/>
      <c r="P845" s="430"/>
      <c r="Q845" s="444"/>
      <c r="R845" s="424"/>
      <c r="S845" s="430"/>
      <c r="T845" s="444"/>
      <c r="U845" s="430"/>
      <c r="V845" s="430"/>
      <c r="W845" s="444"/>
      <c r="X845" s="444"/>
      <c r="Y845" s="430"/>
      <c r="Z845" s="430"/>
      <c r="AA845" s="430"/>
      <c r="AB845" s="444"/>
      <c r="AC845" s="444"/>
      <c r="AD845" s="430"/>
      <c r="AE845" s="430"/>
      <c r="AF845" s="430"/>
      <c r="AG845" s="444"/>
      <c r="AH845" s="444"/>
      <c r="AI845" s="430"/>
      <c r="AJ845" s="430"/>
      <c r="AK845" s="430"/>
      <c r="AL845" s="476"/>
      <c r="AM845" s="430"/>
      <c r="AN845" s="430"/>
      <c r="AO845" s="430"/>
      <c r="AP845" s="430"/>
      <c r="AQ845" s="430"/>
      <c r="AR845" s="430"/>
      <c r="AS845" s="430"/>
      <c r="AT845" s="430"/>
      <c r="AU845" s="430"/>
      <c r="AV845" s="430"/>
      <c r="AW845" s="430"/>
      <c r="AX845" s="430"/>
    </row>
    <row r="846">
      <c r="B846" s="471"/>
      <c r="E846" s="471"/>
      <c r="H846" s="471"/>
      <c r="K846" s="471"/>
      <c r="M846" s="454"/>
      <c r="N846" s="424"/>
      <c r="O846" s="424"/>
      <c r="P846" s="430"/>
      <c r="Q846" s="444"/>
      <c r="R846" s="424"/>
      <c r="S846" s="430"/>
      <c r="T846" s="444"/>
      <c r="U846" s="430"/>
      <c r="V846" s="430"/>
      <c r="W846" s="444"/>
      <c r="X846" s="444"/>
      <c r="Y846" s="430"/>
      <c r="Z846" s="430"/>
      <c r="AA846" s="430"/>
      <c r="AB846" s="444"/>
      <c r="AC846" s="444"/>
      <c r="AD846" s="430"/>
      <c r="AE846" s="430"/>
      <c r="AF846" s="430"/>
      <c r="AG846" s="444"/>
      <c r="AH846" s="444"/>
      <c r="AI846" s="430"/>
      <c r="AJ846" s="430"/>
      <c r="AK846" s="430"/>
      <c r="AL846" s="476"/>
      <c r="AM846" s="430"/>
      <c r="AN846" s="430"/>
      <c r="AO846" s="430"/>
      <c r="AP846" s="430"/>
      <c r="AQ846" s="430"/>
      <c r="AR846" s="430"/>
      <c r="AS846" s="430"/>
      <c r="AT846" s="430"/>
      <c r="AU846" s="430"/>
      <c r="AV846" s="430"/>
      <c r="AW846" s="430"/>
      <c r="AX846" s="430"/>
    </row>
    <row r="847">
      <c r="B847" s="471"/>
      <c r="E847" s="471"/>
      <c r="H847" s="471"/>
      <c r="K847" s="471"/>
      <c r="M847" s="454"/>
      <c r="N847" s="424"/>
      <c r="O847" s="424"/>
      <c r="P847" s="430"/>
      <c r="Q847" s="444"/>
      <c r="R847" s="424"/>
      <c r="S847" s="430"/>
      <c r="T847" s="444"/>
      <c r="U847" s="430"/>
      <c r="V847" s="430"/>
      <c r="W847" s="444"/>
      <c r="X847" s="444"/>
      <c r="Y847" s="430"/>
      <c r="Z847" s="430"/>
      <c r="AA847" s="430"/>
      <c r="AB847" s="444"/>
      <c r="AC847" s="444"/>
      <c r="AD847" s="430"/>
      <c r="AE847" s="430"/>
      <c r="AF847" s="430"/>
      <c r="AG847" s="444"/>
      <c r="AH847" s="444"/>
      <c r="AI847" s="430"/>
      <c r="AJ847" s="430"/>
      <c r="AK847" s="430"/>
      <c r="AL847" s="476"/>
      <c r="AM847" s="430"/>
      <c r="AN847" s="430"/>
      <c r="AO847" s="430"/>
      <c r="AP847" s="430"/>
      <c r="AQ847" s="430"/>
      <c r="AR847" s="430"/>
      <c r="AS847" s="430"/>
      <c r="AT847" s="430"/>
      <c r="AU847" s="430"/>
      <c r="AV847" s="430"/>
      <c r="AW847" s="430"/>
      <c r="AX847" s="430"/>
    </row>
    <row r="848">
      <c r="B848" s="471"/>
      <c r="E848" s="471"/>
      <c r="H848" s="471"/>
      <c r="K848" s="471"/>
      <c r="M848" s="454"/>
      <c r="N848" s="424"/>
      <c r="O848" s="424"/>
      <c r="P848" s="430"/>
      <c r="Q848" s="444"/>
      <c r="R848" s="424"/>
      <c r="S848" s="430"/>
      <c r="T848" s="444"/>
      <c r="U848" s="430"/>
      <c r="V848" s="430"/>
      <c r="W848" s="444"/>
      <c r="X848" s="444"/>
      <c r="Y848" s="430"/>
      <c r="Z848" s="430"/>
      <c r="AA848" s="430"/>
      <c r="AB848" s="444"/>
      <c r="AC848" s="444"/>
      <c r="AD848" s="430"/>
      <c r="AE848" s="430"/>
      <c r="AF848" s="430"/>
      <c r="AG848" s="444"/>
      <c r="AH848" s="444"/>
      <c r="AI848" s="430"/>
      <c r="AJ848" s="430"/>
      <c r="AK848" s="430"/>
      <c r="AL848" s="476"/>
      <c r="AM848" s="430"/>
      <c r="AN848" s="430"/>
      <c r="AO848" s="430"/>
      <c r="AP848" s="430"/>
      <c r="AQ848" s="430"/>
      <c r="AR848" s="430"/>
      <c r="AS848" s="430"/>
      <c r="AT848" s="430"/>
      <c r="AU848" s="430"/>
      <c r="AV848" s="430"/>
      <c r="AW848" s="430"/>
      <c r="AX848" s="430"/>
    </row>
    <row r="849">
      <c r="B849" s="471"/>
      <c r="E849" s="471"/>
      <c r="H849" s="471"/>
      <c r="K849" s="471"/>
      <c r="M849" s="454"/>
      <c r="N849" s="424"/>
      <c r="O849" s="424"/>
      <c r="P849" s="430"/>
      <c r="Q849" s="444"/>
      <c r="R849" s="424"/>
      <c r="S849" s="430"/>
      <c r="T849" s="444"/>
      <c r="U849" s="430"/>
      <c r="V849" s="430"/>
      <c r="W849" s="444"/>
      <c r="X849" s="444"/>
      <c r="Y849" s="430"/>
      <c r="Z849" s="430"/>
      <c r="AA849" s="430"/>
      <c r="AB849" s="444"/>
      <c r="AC849" s="444"/>
      <c r="AD849" s="430"/>
      <c r="AE849" s="430"/>
      <c r="AF849" s="430"/>
      <c r="AG849" s="444"/>
      <c r="AH849" s="444"/>
      <c r="AI849" s="430"/>
      <c r="AJ849" s="430"/>
      <c r="AK849" s="430"/>
      <c r="AL849" s="476"/>
      <c r="AM849" s="430"/>
      <c r="AN849" s="430"/>
      <c r="AO849" s="430"/>
      <c r="AP849" s="430"/>
      <c r="AQ849" s="430"/>
      <c r="AR849" s="430"/>
      <c r="AS849" s="430"/>
      <c r="AT849" s="430"/>
      <c r="AU849" s="430"/>
      <c r="AV849" s="430"/>
      <c r="AW849" s="430"/>
      <c r="AX849" s="430"/>
    </row>
    <row r="850">
      <c r="B850" s="471"/>
      <c r="E850" s="471"/>
      <c r="H850" s="471"/>
      <c r="K850" s="471"/>
      <c r="M850" s="454"/>
      <c r="N850" s="424"/>
      <c r="O850" s="424"/>
      <c r="P850" s="430"/>
      <c r="Q850" s="444"/>
      <c r="R850" s="424"/>
      <c r="S850" s="430"/>
      <c r="T850" s="444"/>
      <c r="U850" s="430"/>
      <c r="V850" s="430"/>
      <c r="W850" s="444"/>
      <c r="X850" s="444"/>
      <c r="Y850" s="430"/>
      <c r="Z850" s="430"/>
      <c r="AA850" s="430"/>
      <c r="AB850" s="444"/>
      <c r="AC850" s="444"/>
      <c r="AD850" s="430"/>
      <c r="AE850" s="430"/>
      <c r="AF850" s="430"/>
      <c r="AG850" s="444"/>
      <c r="AH850" s="444"/>
      <c r="AI850" s="430"/>
      <c r="AJ850" s="430"/>
      <c r="AK850" s="430"/>
      <c r="AL850" s="476"/>
      <c r="AM850" s="430"/>
      <c r="AN850" s="430"/>
      <c r="AO850" s="430"/>
      <c r="AP850" s="430"/>
      <c r="AQ850" s="430"/>
      <c r="AR850" s="430"/>
      <c r="AS850" s="430"/>
      <c r="AT850" s="430"/>
      <c r="AU850" s="430"/>
      <c r="AV850" s="430"/>
      <c r="AW850" s="430"/>
      <c r="AX850" s="430"/>
    </row>
    <row r="851">
      <c r="B851" s="471"/>
      <c r="E851" s="471"/>
      <c r="H851" s="471"/>
      <c r="K851" s="471"/>
      <c r="M851" s="454"/>
      <c r="N851" s="424"/>
      <c r="O851" s="424"/>
      <c r="P851" s="430"/>
      <c r="Q851" s="444"/>
      <c r="R851" s="424"/>
      <c r="S851" s="430"/>
      <c r="T851" s="444"/>
      <c r="U851" s="430"/>
      <c r="V851" s="430"/>
      <c r="W851" s="444"/>
      <c r="X851" s="444"/>
      <c r="Y851" s="430"/>
      <c r="Z851" s="430"/>
      <c r="AA851" s="430"/>
      <c r="AB851" s="444"/>
      <c r="AC851" s="444"/>
      <c r="AD851" s="430"/>
      <c r="AE851" s="430"/>
      <c r="AF851" s="430"/>
      <c r="AG851" s="444"/>
      <c r="AH851" s="444"/>
      <c r="AI851" s="430"/>
      <c r="AJ851" s="430"/>
      <c r="AK851" s="430"/>
      <c r="AL851" s="476"/>
      <c r="AM851" s="430"/>
      <c r="AN851" s="430"/>
      <c r="AO851" s="430"/>
      <c r="AP851" s="430"/>
      <c r="AQ851" s="430"/>
      <c r="AR851" s="430"/>
      <c r="AS851" s="430"/>
      <c r="AT851" s="430"/>
      <c r="AU851" s="430"/>
      <c r="AV851" s="430"/>
      <c r="AW851" s="430"/>
      <c r="AX851" s="430"/>
    </row>
    <row r="852">
      <c r="B852" s="471"/>
      <c r="E852" s="471"/>
      <c r="H852" s="471"/>
      <c r="K852" s="471"/>
      <c r="M852" s="454"/>
      <c r="N852" s="424"/>
      <c r="O852" s="424"/>
      <c r="P852" s="430"/>
      <c r="Q852" s="444"/>
      <c r="R852" s="424"/>
      <c r="S852" s="430"/>
      <c r="T852" s="444"/>
      <c r="U852" s="430"/>
      <c r="V852" s="430"/>
      <c r="W852" s="444"/>
      <c r="X852" s="444"/>
      <c r="Y852" s="430"/>
      <c r="Z852" s="430"/>
      <c r="AA852" s="430"/>
      <c r="AB852" s="444"/>
      <c r="AC852" s="444"/>
      <c r="AD852" s="430"/>
      <c r="AE852" s="430"/>
      <c r="AF852" s="430"/>
      <c r="AG852" s="444"/>
      <c r="AH852" s="444"/>
      <c r="AI852" s="430"/>
      <c r="AJ852" s="430"/>
      <c r="AK852" s="430"/>
      <c r="AL852" s="476"/>
      <c r="AM852" s="430"/>
      <c r="AN852" s="430"/>
      <c r="AO852" s="430"/>
      <c r="AP852" s="430"/>
      <c r="AQ852" s="430"/>
      <c r="AR852" s="430"/>
      <c r="AS852" s="430"/>
      <c r="AT852" s="430"/>
      <c r="AU852" s="430"/>
      <c r="AV852" s="430"/>
      <c r="AW852" s="430"/>
      <c r="AX852" s="430"/>
    </row>
    <row r="853">
      <c r="B853" s="471"/>
      <c r="E853" s="471"/>
      <c r="H853" s="471"/>
      <c r="K853" s="471"/>
      <c r="M853" s="454"/>
      <c r="N853" s="424"/>
      <c r="O853" s="424"/>
      <c r="P853" s="430"/>
      <c r="Q853" s="444"/>
      <c r="R853" s="424"/>
      <c r="S853" s="430"/>
      <c r="T853" s="444"/>
      <c r="U853" s="430"/>
      <c r="V853" s="430"/>
      <c r="W853" s="444"/>
      <c r="X853" s="444"/>
      <c r="Y853" s="430"/>
      <c r="Z853" s="430"/>
      <c r="AA853" s="430"/>
      <c r="AB853" s="444"/>
      <c r="AC853" s="444"/>
      <c r="AD853" s="430"/>
      <c r="AE853" s="430"/>
      <c r="AF853" s="430"/>
      <c r="AG853" s="444"/>
      <c r="AH853" s="444"/>
      <c r="AI853" s="430"/>
      <c r="AJ853" s="430"/>
      <c r="AK853" s="430"/>
      <c r="AL853" s="476"/>
      <c r="AM853" s="430"/>
      <c r="AN853" s="430"/>
      <c r="AO853" s="430"/>
      <c r="AP853" s="430"/>
      <c r="AQ853" s="430"/>
      <c r="AR853" s="430"/>
      <c r="AS853" s="430"/>
      <c r="AT853" s="430"/>
      <c r="AU853" s="430"/>
      <c r="AV853" s="430"/>
      <c r="AW853" s="430"/>
      <c r="AX853" s="430"/>
    </row>
    <row r="854">
      <c r="B854" s="471"/>
      <c r="E854" s="471"/>
      <c r="H854" s="471"/>
      <c r="K854" s="471"/>
      <c r="M854" s="454"/>
      <c r="N854" s="424"/>
      <c r="O854" s="424"/>
      <c r="P854" s="430"/>
      <c r="Q854" s="444"/>
      <c r="R854" s="424"/>
      <c r="S854" s="430"/>
      <c r="T854" s="444"/>
      <c r="U854" s="430"/>
      <c r="V854" s="430"/>
      <c r="W854" s="444"/>
      <c r="X854" s="444"/>
      <c r="Y854" s="430"/>
      <c r="Z854" s="430"/>
      <c r="AA854" s="430"/>
      <c r="AB854" s="444"/>
      <c r="AC854" s="444"/>
      <c r="AD854" s="430"/>
      <c r="AE854" s="430"/>
      <c r="AF854" s="430"/>
      <c r="AG854" s="444"/>
      <c r="AH854" s="444"/>
      <c r="AI854" s="430"/>
      <c r="AJ854" s="430"/>
      <c r="AK854" s="430"/>
      <c r="AL854" s="476"/>
      <c r="AM854" s="430"/>
      <c r="AN854" s="430"/>
      <c r="AO854" s="430"/>
      <c r="AP854" s="430"/>
      <c r="AQ854" s="430"/>
      <c r="AR854" s="430"/>
      <c r="AS854" s="430"/>
      <c r="AT854" s="430"/>
      <c r="AU854" s="430"/>
      <c r="AV854" s="430"/>
      <c r="AW854" s="430"/>
      <c r="AX854" s="430"/>
    </row>
    <row r="855">
      <c r="B855" s="471"/>
      <c r="E855" s="471"/>
      <c r="H855" s="471"/>
      <c r="K855" s="471"/>
      <c r="M855" s="454"/>
      <c r="N855" s="424"/>
      <c r="O855" s="424"/>
      <c r="P855" s="430"/>
      <c r="Q855" s="444"/>
      <c r="R855" s="424"/>
      <c r="S855" s="430"/>
      <c r="T855" s="444"/>
      <c r="U855" s="430"/>
      <c r="V855" s="430"/>
      <c r="W855" s="444"/>
      <c r="X855" s="444"/>
      <c r="Y855" s="430"/>
      <c r="Z855" s="430"/>
      <c r="AA855" s="430"/>
      <c r="AB855" s="444"/>
      <c r="AC855" s="444"/>
      <c r="AD855" s="430"/>
      <c r="AE855" s="430"/>
      <c r="AF855" s="430"/>
      <c r="AG855" s="444"/>
      <c r="AH855" s="444"/>
      <c r="AI855" s="430"/>
      <c r="AJ855" s="430"/>
      <c r="AK855" s="430"/>
      <c r="AL855" s="476"/>
      <c r="AM855" s="430"/>
      <c r="AN855" s="430"/>
      <c r="AO855" s="430"/>
      <c r="AP855" s="430"/>
      <c r="AQ855" s="430"/>
      <c r="AR855" s="430"/>
      <c r="AS855" s="430"/>
      <c r="AT855" s="430"/>
      <c r="AU855" s="430"/>
      <c r="AV855" s="430"/>
      <c r="AW855" s="430"/>
      <c r="AX855" s="430"/>
    </row>
    <row r="856">
      <c r="B856" s="471"/>
      <c r="E856" s="471"/>
      <c r="H856" s="471"/>
      <c r="K856" s="471"/>
      <c r="M856" s="454"/>
      <c r="N856" s="424"/>
      <c r="O856" s="424"/>
      <c r="P856" s="430"/>
      <c r="Q856" s="444"/>
      <c r="R856" s="424"/>
      <c r="S856" s="430"/>
      <c r="T856" s="444"/>
      <c r="U856" s="430"/>
      <c r="V856" s="430"/>
      <c r="W856" s="444"/>
      <c r="X856" s="444"/>
      <c r="Y856" s="430"/>
      <c r="Z856" s="430"/>
      <c r="AA856" s="430"/>
      <c r="AB856" s="444"/>
      <c r="AC856" s="444"/>
      <c r="AD856" s="430"/>
      <c r="AE856" s="430"/>
      <c r="AF856" s="430"/>
      <c r="AG856" s="444"/>
      <c r="AH856" s="444"/>
      <c r="AI856" s="430"/>
      <c r="AJ856" s="430"/>
      <c r="AK856" s="430"/>
      <c r="AL856" s="476"/>
      <c r="AM856" s="430"/>
      <c r="AN856" s="430"/>
      <c r="AO856" s="430"/>
      <c r="AP856" s="430"/>
      <c r="AQ856" s="430"/>
      <c r="AR856" s="430"/>
      <c r="AS856" s="430"/>
      <c r="AT856" s="430"/>
      <c r="AU856" s="430"/>
      <c r="AV856" s="430"/>
      <c r="AW856" s="430"/>
      <c r="AX856" s="430"/>
    </row>
    <row r="857">
      <c r="B857" s="471"/>
      <c r="E857" s="471"/>
      <c r="H857" s="471"/>
      <c r="K857" s="471"/>
      <c r="M857" s="454"/>
      <c r="N857" s="424"/>
      <c r="O857" s="424"/>
      <c r="P857" s="430"/>
      <c r="Q857" s="444"/>
      <c r="R857" s="424"/>
      <c r="S857" s="430"/>
      <c r="T857" s="444"/>
      <c r="U857" s="430"/>
      <c r="V857" s="430"/>
      <c r="W857" s="444"/>
      <c r="X857" s="444"/>
      <c r="Y857" s="430"/>
      <c r="Z857" s="430"/>
      <c r="AA857" s="430"/>
      <c r="AB857" s="444"/>
      <c r="AC857" s="444"/>
      <c r="AD857" s="430"/>
      <c r="AE857" s="430"/>
      <c r="AF857" s="430"/>
      <c r="AG857" s="444"/>
      <c r="AH857" s="444"/>
      <c r="AI857" s="430"/>
      <c r="AJ857" s="430"/>
      <c r="AK857" s="430"/>
      <c r="AL857" s="476"/>
      <c r="AM857" s="430"/>
      <c r="AN857" s="430"/>
      <c r="AO857" s="430"/>
      <c r="AP857" s="430"/>
      <c r="AQ857" s="430"/>
      <c r="AR857" s="430"/>
      <c r="AS857" s="430"/>
      <c r="AT857" s="430"/>
      <c r="AU857" s="430"/>
      <c r="AV857" s="430"/>
      <c r="AW857" s="430"/>
      <c r="AX857" s="430"/>
    </row>
    <row r="858">
      <c r="B858" s="471"/>
      <c r="E858" s="471"/>
      <c r="H858" s="471"/>
      <c r="K858" s="471"/>
      <c r="M858" s="454"/>
      <c r="N858" s="424"/>
      <c r="O858" s="424"/>
      <c r="P858" s="430"/>
      <c r="Q858" s="444"/>
      <c r="R858" s="424"/>
      <c r="S858" s="430"/>
      <c r="T858" s="444"/>
      <c r="U858" s="430"/>
      <c r="V858" s="430"/>
      <c r="W858" s="444"/>
      <c r="X858" s="444"/>
      <c r="Y858" s="430"/>
      <c r="Z858" s="430"/>
      <c r="AA858" s="430"/>
      <c r="AB858" s="444"/>
      <c r="AC858" s="444"/>
      <c r="AD858" s="430"/>
      <c r="AE858" s="430"/>
      <c r="AF858" s="430"/>
      <c r="AG858" s="444"/>
      <c r="AH858" s="444"/>
      <c r="AI858" s="430"/>
      <c r="AJ858" s="430"/>
      <c r="AK858" s="430"/>
      <c r="AL858" s="476"/>
      <c r="AM858" s="430"/>
      <c r="AN858" s="430"/>
      <c r="AO858" s="430"/>
      <c r="AP858" s="430"/>
      <c r="AQ858" s="430"/>
      <c r="AR858" s="430"/>
      <c r="AS858" s="430"/>
      <c r="AT858" s="430"/>
      <c r="AU858" s="430"/>
      <c r="AV858" s="430"/>
      <c r="AW858" s="430"/>
      <c r="AX858" s="430"/>
    </row>
    <row r="859">
      <c r="B859" s="471"/>
      <c r="E859" s="471"/>
      <c r="H859" s="471"/>
      <c r="K859" s="471"/>
      <c r="M859" s="454"/>
      <c r="N859" s="424"/>
      <c r="O859" s="424"/>
      <c r="P859" s="430"/>
      <c r="Q859" s="444"/>
      <c r="R859" s="424"/>
      <c r="S859" s="430"/>
      <c r="T859" s="444"/>
      <c r="U859" s="430"/>
      <c r="V859" s="430"/>
      <c r="W859" s="444"/>
      <c r="X859" s="444"/>
      <c r="Y859" s="430"/>
      <c r="Z859" s="430"/>
      <c r="AA859" s="430"/>
      <c r="AB859" s="444"/>
      <c r="AC859" s="444"/>
      <c r="AD859" s="430"/>
      <c r="AE859" s="430"/>
      <c r="AF859" s="430"/>
      <c r="AG859" s="444"/>
      <c r="AH859" s="444"/>
      <c r="AI859" s="430"/>
      <c r="AJ859" s="430"/>
      <c r="AK859" s="430"/>
      <c r="AL859" s="476"/>
      <c r="AM859" s="430"/>
      <c r="AN859" s="430"/>
      <c r="AO859" s="430"/>
      <c r="AP859" s="430"/>
      <c r="AQ859" s="430"/>
      <c r="AR859" s="430"/>
      <c r="AS859" s="430"/>
      <c r="AT859" s="430"/>
      <c r="AU859" s="430"/>
      <c r="AV859" s="430"/>
      <c r="AW859" s="430"/>
      <c r="AX859" s="430"/>
    </row>
    <row r="860">
      <c r="B860" s="471"/>
      <c r="E860" s="471"/>
      <c r="H860" s="471"/>
      <c r="K860" s="471"/>
      <c r="M860" s="454"/>
      <c r="N860" s="424"/>
      <c r="O860" s="424"/>
      <c r="P860" s="430"/>
      <c r="Q860" s="444"/>
      <c r="R860" s="424"/>
      <c r="S860" s="430"/>
      <c r="T860" s="444"/>
      <c r="U860" s="430"/>
      <c r="V860" s="430"/>
      <c r="W860" s="444"/>
      <c r="X860" s="444"/>
      <c r="Y860" s="430"/>
      <c r="Z860" s="430"/>
      <c r="AA860" s="430"/>
      <c r="AB860" s="444"/>
      <c r="AC860" s="444"/>
      <c r="AD860" s="430"/>
      <c r="AE860" s="430"/>
      <c r="AF860" s="430"/>
      <c r="AG860" s="444"/>
      <c r="AH860" s="444"/>
      <c r="AI860" s="430"/>
      <c r="AJ860" s="430"/>
      <c r="AK860" s="430"/>
      <c r="AL860" s="476"/>
      <c r="AM860" s="430"/>
      <c r="AN860" s="430"/>
      <c r="AO860" s="430"/>
      <c r="AP860" s="430"/>
      <c r="AQ860" s="430"/>
      <c r="AR860" s="430"/>
      <c r="AS860" s="430"/>
      <c r="AT860" s="430"/>
      <c r="AU860" s="430"/>
      <c r="AV860" s="430"/>
      <c r="AW860" s="430"/>
      <c r="AX860" s="430"/>
    </row>
    <row r="861">
      <c r="B861" s="471"/>
      <c r="E861" s="471"/>
      <c r="H861" s="471"/>
      <c r="K861" s="471"/>
      <c r="M861" s="454"/>
      <c r="N861" s="424"/>
      <c r="O861" s="424"/>
      <c r="P861" s="430"/>
      <c r="Q861" s="444"/>
      <c r="R861" s="424"/>
      <c r="S861" s="430"/>
      <c r="T861" s="444"/>
      <c r="U861" s="430"/>
      <c r="V861" s="430"/>
      <c r="W861" s="444"/>
      <c r="X861" s="444"/>
      <c r="Y861" s="430"/>
      <c r="Z861" s="430"/>
      <c r="AA861" s="430"/>
      <c r="AB861" s="444"/>
      <c r="AC861" s="444"/>
      <c r="AD861" s="430"/>
      <c r="AE861" s="430"/>
      <c r="AF861" s="430"/>
      <c r="AG861" s="444"/>
      <c r="AH861" s="444"/>
      <c r="AI861" s="430"/>
      <c r="AJ861" s="430"/>
      <c r="AK861" s="430"/>
      <c r="AL861" s="476"/>
      <c r="AM861" s="430"/>
      <c r="AN861" s="430"/>
      <c r="AO861" s="430"/>
      <c r="AP861" s="430"/>
      <c r="AQ861" s="430"/>
      <c r="AR861" s="430"/>
      <c r="AS861" s="430"/>
      <c r="AT861" s="430"/>
      <c r="AU861" s="430"/>
      <c r="AV861" s="430"/>
      <c r="AW861" s="430"/>
      <c r="AX861" s="430"/>
    </row>
    <row r="862">
      <c r="B862" s="471"/>
      <c r="E862" s="471"/>
      <c r="H862" s="471"/>
      <c r="K862" s="471"/>
      <c r="M862" s="454"/>
      <c r="N862" s="424"/>
      <c r="O862" s="424"/>
      <c r="P862" s="430"/>
      <c r="Q862" s="444"/>
      <c r="R862" s="424"/>
      <c r="S862" s="430"/>
      <c r="T862" s="444"/>
      <c r="U862" s="430"/>
      <c r="V862" s="430"/>
      <c r="W862" s="444"/>
      <c r="X862" s="444"/>
      <c r="Y862" s="430"/>
      <c r="Z862" s="430"/>
      <c r="AA862" s="430"/>
      <c r="AB862" s="444"/>
      <c r="AC862" s="444"/>
      <c r="AD862" s="430"/>
      <c r="AE862" s="430"/>
      <c r="AF862" s="430"/>
      <c r="AG862" s="444"/>
      <c r="AH862" s="444"/>
      <c r="AI862" s="430"/>
      <c r="AJ862" s="430"/>
      <c r="AK862" s="430"/>
      <c r="AL862" s="476"/>
      <c r="AM862" s="430"/>
      <c r="AN862" s="430"/>
      <c r="AO862" s="430"/>
      <c r="AP862" s="430"/>
      <c r="AQ862" s="430"/>
      <c r="AR862" s="430"/>
      <c r="AS862" s="430"/>
      <c r="AT862" s="430"/>
      <c r="AU862" s="430"/>
      <c r="AV862" s="430"/>
      <c r="AW862" s="430"/>
      <c r="AX862" s="430"/>
    </row>
    <row r="863">
      <c r="B863" s="471"/>
      <c r="E863" s="471"/>
      <c r="H863" s="471"/>
      <c r="K863" s="471"/>
      <c r="M863" s="454"/>
      <c r="N863" s="424"/>
      <c r="O863" s="424"/>
      <c r="P863" s="430"/>
      <c r="Q863" s="444"/>
      <c r="R863" s="424"/>
      <c r="S863" s="430"/>
      <c r="T863" s="444"/>
      <c r="U863" s="430"/>
      <c r="V863" s="430"/>
      <c r="W863" s="444"/>
      <c r="X863" s="444"/>
      <c r="Y863" s="430"/>
      <c r="Z863" s="430"/>
      <c r="AA863" s="430"/>
      <c r="AB863" s="444"/>
      <c r="AC863" s="444"/>
      <c r="AD863" s="430"/>
      <c r="AE863" s="430"/>
      <c r="AF863" s="430"/>
      <c r="AG863" s="444"/>
      <c r="AH863" s="444"/>
      <c r="AI863" s="430"/>
      <c r="AJ863" s="430"/>
      <c r="AK863" s="430"/>
      <c r="AL863" s="476"/>
      <c r="AM863" s="430"/>
      <c r="AN863" s="430"/>
      <c r="AO863" s="430"/>
      <c r="AP863" s="430"/>
      <c r="AQ863" s="430"/>
      <c r="AR863" s="430"/>
      <c r="AS863" s="430"/>
      <c r="AT863" s="430"/>
      <c r="AU863" s="430"/>
      <c r="AV863" s="430"/>
      <c r="AW863" s="430"/>
      <c r="AX863" s="430"/>
    </row>
    <row r="864">
      <c r="B864" s="471"/>
      <c r="E864" s="471"/>
      <c r="H864" s="471"/>
      <c r="K864" s="471"/>
      <c r="M864" s="454"/>
      <c r="N864" s="424"/>
      <c r="O864" s="424"/>
      <c r="P864" s="430"/>
      <c r="Q864" s="444"/>
      <c r="R864" s="424"/>
      <c r="S864" s="430"/>
      <c r="T864" s="444"/>
      <c r="U864" s="430"/>
      <c r="V864" s="430"/>
      <c r="W864" s="444"/>
      <c r="X864" s="444"/>
      <c r="Y864" s="430"/>
      <c r="Z864" s="430"/>
      <c r="AA864" s="430"/>
      <c r="AB864" s="444"/>
      <c r="AC864" s="444"/>
      <c r="AD864" s="430"/>
      <c r="AE864" s="430"/>
      <c r="AF864" s="430"/>
      <c r="AG864" s="444"/>
      <c r="AH864" s="444"/>
      <c r="AI864" s="430"/>
      <c r="AJ864" s="430"/>
      <c r="AK864" s="430"/>
      <c r="AL864" s="476"/>
      <c r="AM864" s="430"/>
      <c r="AN864" s="430"/>
      <c r="AO864" s="430"/>
      <c r="AP864" s="430"/>
      <c r="AQ864" s="430"/>
      <c r="AR864" s="430"/>
      <c r="AS864" s="430"/>
      <c r="AT864" s="430"/>
      <c r="AU864" s="430"/>
      <c r="AV864" s="430"/>
      <c r="AW864" s="430"/>
      <c r="AX864" s="430"/>
    </row>
    <row r="865">
      <c r="B865" s="471"/>
      <c r="E865" s="471"/>
      <c r="H865" s="471"/>
      <c r="K865" s="471"/>
      <c r="M865" s="454"/>
      <c r="N865" s="424"/>
      <c r="O865" s="424"/>
      <c r="P865" s="430"/>
      <c r="Q865" s="444"/>
      <c r="R865" s="424"/>
      <c r="S865" s="430"/>
      <c r="T865" s="444"/>
      <c r="U865" s="430"/>
      <c r="V865" s="430"/>
      <c r="W865" s="444"/>
      <c r="X865" s="444"/>
      <c r="Y865" s="430"/>
      <c r="Z865" s="430"/>
      <c r="AA865" s="430"/>
      <c r="AB865" s="444"/>
      <c r="AC865" s="444"/>
      <c r="AD865" s="430"/>
      <c r="AE865" s="430"/>
      <c r="AF865" s="430"/>
      <c r="AG865" s="444"/>
      <c r="AH865" s="444"/>
      <c r="AI865" s="430"/>
      <c r="AJ865" s="430"/>
      <c r="AK865" s="430"/>
      <c r="AL865" s="476"/>
      <c r="AM865" s="430"/>
      <c r="AN865" s="430"/>
      <c r="AO865" s="430"/>
      <c r="AP865" s="430"/>
      <c r="AQ865" s="430"/>
      <c r="AR865" s="430"/>
      <c r="AS865" s="430"/>
      <c r="AT865" s="430"/>
      <c r="AU865" s="430"/>
      <c r="AV865" s="430"/>
      <c r="AW865" s="430"/>
      <c r="AX865" s="430"/>
    </row>
    <row r="866">
      <c r="B866" s="471"/>
      <c r="E866" s="471"/>
      <c r="H866" s="471"/>
      <c r="K866" s="471"/>
      <c r="M866" s="454"/>
      <c r="N866" s="424"/>
      <c r="O866" s="424"/>
      <c r="P866" s="430"/>
      <c r="Q866" s="444"/>
      <c r="R866" s="424"/>
      <c r="S866" s="430"/>
      <c r="T866" s="444"/>
      <c r="U866" s="430"/>
      <c r="V866" s="430"/>
      <c r="W866" s="444"/>
      <c r="X866" s="444"/>
      <c r="Y866" s="430"/>
      <c r="Z866" s="430"/>
      <c r="AA866" s="430"/>
      <c r="AB866" s="444"/>
      <c r="AC866" s="444"/>
      <c r="AD866" s="430"/>
      <c r="AE866" s="430"/>
      <c r="AF866" s="430"/>
      <c r="AG866" s="444"/>
      <c r="AH866" s="444"/>
      <c r="AI866" s="430"/>
      <c r="AJ866" s="430"/>
      <c r="AK866" s="430"/>
      <c r="AL866" s="476"/>
      <c r="AM866" s="430"/>
      <c r="AN866" s="430"/>
      <c r="AO866" s="430"/>
      <c r="AP866" s="430"/>
      <c r="AQ866" s="430"/>
      <c r="AR866" s="430"/>
      <c r="AS866" s="430"/>
      <c r="AT866" s="430"/>
      <c r="AU866" s="430"/>
      <c r="AV866" s="430"/>
      <c r="AW866" s="430"/>
      <c r="AX866" s="430"/>
    </row>
    <row r="867">
      <c r="B867" s="471"/>
      <c r="E867" s="471"/>
      <c r="H867" s="471"/>
      <c r="K867" s="471"/>
      <c r="M867" s="454"/>
      <c r="N867" s="424"/>
      <c r="O867" s="424"/>
      <c r="P867" s="430"/>
      <c r="Q867" s="444"/>
      <c r="R867" s="424"/>
      <c r="S867" s="430"/>
      <c r="T867" s="444"/>
      <c r="U867" s="430"/>
      <c r="V867" s="430"/>
      <c r="W867" s="444"/>
      <c r="X867" s="444"/>
      <c r="Y867" s="430"/>
      <c r="Z867" s="430"/>
      <c r="AA867" s="430"/>
      <c r="AB867" s="444"/>
      <c r="AC867" s="444"/>
      <c r="AD867" s="430"/>
      <c r="AE867" s="430"/>
      <c r="AF867" s="430"/>
      <c r="AG867" s="444"/>
      <c r="AH867" s="444"/>
      <c r="AI867" s="430"/>
      <c r="AJ867" s="430"/>
      <c r="AK867" s="430"/>
      <c r="AL867" s="476"/>
      <c r="AM867" s="430"/>
      <c r="AN867" s="430"/>
      <c r="AO867" s="430"/>
      <c r="AP867" s="430"/>
      <c r="AQ867" s="430"/>
      <c r="AR867" s="430"/>
      <c r="AS867" s="430"/>
      <c r="AT867" s="430"/>
      <c r="AU867" s="430"/>
      <c r="AV867" s="430"/>
      <c r="AW867" s="430"/>
      <c r="AX867" s="430"/>
    </row>
    <row r="868">
      <c r="B868" s="471"/>
      <c r="E868" s="471"/>
      <c r="H868" s="471"/>
      <c r="K868" s="471"/>
      <c r="M868" s="454"/>
      <c r="N868" s="424"/>
      <c r="O868" s="424"/>
      <c r="P868" s="430"/>
      <c r="Q868" s="444"/>
      <c r="R868" s="424"/>
      <c r="S868" s="430"/>
      <c r="T868" s="444"/>
      <c r="U868" s="430"/>
      <c r="V868" s="430"/>
      <c r="W868" s="444"/>
      <c r="X868" s="444"/>
      <c r="Y868" s="430"/>
      <c r="Z868" s="430"/>
      <c r="AA868" s="430"/>
      <c r="AB868" s="444"/>
      <c r="AC868" s="444"/>
      <c r="AD868" s="430"/>
      <c r="AE868" s="430"/>
      <c r="AF868" s="430"/>
      <c r="AG868" s="444"/>
      <c r="AH868" s="444"/>
      <c r="AI868" s="430"/>
      <c r="AJ868" s="430"/>
      <c r="AK868" s="430"/>
      <c r="AL868" s="476"/>
      <c r="AM868" s="430"/>
      <c r="AN868" s="430"/>
      <c r="AO868" s="430"/>
      <c r="AP868" s="430"/>
      <c r="AQ868" s="430"/>
      <c r="AR868" s="430"/>
      <c r="AS868" s="430"/>
      <c r="AT868" s="430"/>
      <c r="AU868" s="430"/>
      <c r="AV868" s="430"/>
      <c r="AW868" s="430"/>
      <c r="AX868" s="430"/>
    </row>
    <row r="869">
      <c r="B869" s="471"/>
      <c r="E869" s="471"/>
      <c r="H869" s="471"/>
      <c r="K869" s="471"/>
      <c r="M869" s="454"/>
      <c r="N869" s="424"/>
      <c r="O869" s="424"/>
      <c r="P869" s="430"/>
      <c r="Q869" s="444"/>
      <c r="R869" s="424"/>
      <c r="S869" s="430"/>
      <c r="T869" s="444"/>
      <c r="U869" s="430"/>
      <c r="V869" s="430"/>
      <c r="W869" s="444"/>
      <c r="X869" s="444"/>
      <c r="Y869" s="430"/>
      <c r="Z869" s="430"/>
      <c r="AA869" s="430"/>
      <c r="AB869" s="444"/>
      <c r="AC869" s="444"/>
      <c r="AD869" s="430"/>
      <c r="AE869" s="430"/>
      <c r="AF869" s="430"/>
      <c r="AG869" s="444"/>
      <c r="AH869" s="444"/>
      <c r="AI869" s="430"/>
      <c r="AJ869" s="430"/>
      <c r="AK869" s="430"/>
      <c r="AL869" s="476"/>
      <c r="AM869" s="430"/>
      <c r="AN869" s="430"/>
      <c r="AO869" s="430"/>
      <c r="AP869" s="430"/>
      <c r="AQ869" s="430"/>
      <c r="AR869" s="430"/>
      <c r="AS869" s="430"/>
      <c r="AT869" s="430"/>
      <c r="AU869" s="430"/>
      <c r="AV869" s="430"/>
      <c r="AW869" s="430"/>
      <c r="AX869" s="430"/>
    </row>
    <row r="870">
      <c r="B870" s="471"/>
      <c r="E870" s="471"/>
      <c r="H870" s="471"/>
      <c r="K870" s="471"/>
      <c r="M870" s="454"/>
      <c r="N870" s="424"/>
      <c r="O870" s="424"/>
      <c r="P870" s="430"/>
      <c r="Q870" s="444"/>
      <c r="R870" s="424"/>
      <c r="S870" s="430"/>
      <c r="T870" s="444"/>
      <c r="U870" s="430"/>
      <c r="V870" s="430"/>
      <c r="W870" s="444"/>
      <c r="X870" s="444"/>
      <c r="Y870" s="430"/>
      <c r="Z870" s="430"/>
      <c r="AA870" s="430"/>
      <c r="AB870" s="444"/>
      <c r="AC870" s="444"/>
      <c r="AD870" s="430"/>
      <c r="AE870" s="430"/>
      <c r="AF870" s="430"/>
      <c r="AG870" s="444"/>
      <c r="AH870" s="444"/>
      <c r="AI870" s="430"/>
      <c r="AJ870" s="430"/>
      <c r="AK870" s="430"/>
      <c r="AL870" s="476"/>
      <c r="AM870" s="430"/>
      <c r="AN870" s="430"/>
      <c r="AO870" s="430"/>
      <c r="AP870" s="430"/>
      <c r="AQ870" s="430"/>
      <c r="AR870" s="430"/>
      <c r="AS870" s="430"/>
      <c r="AT870" s="430"/>
      <c r="AU870" s="430"/>
      <c r="AV870" s="430"/>
      <c r="AW870" s="430"/>
      <c r="AX870" s="430"/>
    </row>
    <row r="871">
      <c r="B871" s="471"/>
      <c r="E871" s="471"/>
      <c r="H871" s="471"/>
      <c r="K871" s="471"/>
      <c r="M871" s="454"/>
      <c r="N871" s="424"/>
      <c r="O871" s="424"/>
      <c r="P871" s="430"/>
      <c r="Q871" s="444"/>
      <c r="R871" s="424"/>
      <c r="S871" s="430"/>
      <c r="T871" s="444"/>
      <c r="U871" s="430"/>
      <c r="V871" s="430"/>
      <c r="W871" s="444"/>
      <c r="X871" s="444"/>
      <c r="Y871" s="430"/>
      <c r="Z871" s="430"/>
      <c r="AA871" s="430"/>
      <c r="AB871" s="444"/>
      <c r="AC871" s="444"/>
      <c r="AD871" s="430"/>
      <c r="AE871" s="430"/>
      <c r="AF871" s="430"/>
      <c r="AG871" s="444"/>
      <c r="AH871" s="444"/>
      <c r="AI871" s="430"/>
      <c r="AJ871" s="430"/>
      <c r="AK871" s="430"/>
      <c r="AL871" s="476"/>
      <c r="AM871" s="430"/>
      <c r="AN871" s="430"/>
      <c r="AO871" s="430"/>
      <c r="AP871" s="430"/>
      <c r="AQ871" s="430"/>
      <c r="AR871" s="430"/>
      <c r="AS871" s="430"/>
      <c r="AT871" s="430"/>
      <c r="AU871" s="430"/>
      <c r="AV871" s="430"/>
      <c r="AW871" s="430"/>
      <c r="AX871" s="430"/>
    </row>
    <row r="872">
      <c r="B872" s="471"/>
      <c r="E872" s="471"/>
      <c r="H872" s="471"/>
      <c r="K872" s="471"/>
      <c r="M872" s="454"/>
      <c r="N872" s="424"/>
      <c r="O872" s="424"/>
      <c r="P872" s="430"/>
      <c r="Q872" s="444"/>
      <c r="R872" s="424"/>
      <c r="S872" s="430"/>
      <c r="T872" s="444"/>
      <c r="U872" s="430"/>
      <c r="V872" s="430"/>
      <c r="W872" s="444"/>
      <c r="X872" s="444"/>
      <c r="Y872" s="430"/>
      <c r="Z872" s="430"/>
      <c r="AA872" s="430"/>
      <c r="AB872" s="444"/>
      <c r="AC872" s="444"/>
      <c r="AD872" s="430"/>
      <c r="AE872" s="430"/>
      <c r="AF872" s="430"/>
      <c r="AG872" s="444"/>
      <c r="AH872" s="444"/>
      <c r="AI872" s="430"/>
      <c r="AJ872" s="430"/>
      <c r="AK872" s="430"/>
      <c r="AL872" s="476"/>
      <c r="AM872" s="430"/>
      <c r="AN872" s="430"/>
      <c r="AO872" s="430"/>
      <c r="AP872" s="430"/>
      <c r="AQ872" s="430"/>
      <c r="AR872" s="430"/>
      <c r="AS872" s="430"/>
      <c r="AT872" s="430"/>
      <c r="AU872" s="430"/>
      <c r="AV872" s="430"/>
      <c r="AW872" s="430"/>
      <c r="AX872" s="430"/>
    </row>
    <row r="873">
      <c r="B873" s="471"/>
      <c r="E873" s="471"/>
      <c r="H873" s="471"/>
      <c r="K873" s="471"/>
      <c r="M873" s="454"/>
      <c r="N873" s="424"/>
      <c r="O873" s="424"/>
      <c r="P873" s="430"/>
      <c r="Q873" s="444"/>
      <c r="R873" s="424"/>
      <c r="S873" s="430"/>
      <c r="T873" s="444"/>
      <c r="U873" s="430"/>
      <c r="V873" s="430"/>
      <c r="W873" s="444"/>
      <c r="X873" s="444"/>
      <c r="Y873" s="430"/>
      <c r="Z873" s="430"/>
      <c r="AA873" s="430"/>
      <c r="AB873" s="444"/>
      <c r="AC873" s="444"/>
      <c r="AD873" s="430"/>
      <c r="AE873" s="430"/>
      <c r="AF873" s="430"/>
      <c r="AG873" s="444"/>
      <c r="AH873" s="444"/>
      <c r="AI873" s="430"/>
      <c r="AJ873" s="430"/>
      <c r="AK873" s="430"/>
      <c r="AL873" s="476"/>
      <c r="AM873" s="430"/>
      <c r="AN873" s="430"/>
      <c r="AO873" s="430"/>
      <c r="AP873" s="430"/>
      <c r="AQ873" s="430"/>
      <c r="AR873" s="430"/>
      <c r="AS873" s="430"/>
      <c r="AT873" s="430"/>
      <c r="AU873" s="430"/>
      <c r="AV873" s="430"/>
      <c r="AW873" s="430"/>
      <c r="AX873" s="430"/>
    </row>
    <row r="874">
      <c r="B874" s="471"/>
      <c r="E874" s="471"/>
      <c r="H874" s="471"/>
      <c r="K874" s="471"/>
      <c r="M874" s="454"/>
      <c r="N874" s="424"/>
      <c r="O874" s="424"/>
      <c r="P874" s="430"/>
      <c r="Q874" s="444"/>
      <c r="R874" s="424"/>
      <c r="S874" s="430"/>
      <c r="T874" s="444"/>
      <c r="U874" s="430"/>
      <c r="V874" s="430"/>
      <c r="W874" s="444"/>
      <c r="X874" s="444"/>
      <c r="Y874" s="430"/>
      <c r="Z874" s="430"/>
      <c r="AA874" s="430"/>
      <c r="AB874" s="444"/>
      <c r="AC874" s="444"/>
      <c r="AD874" s="430"/>
      <c r="AE874" s="430"/>
      <c r="AF874" s="430"/>
      <c r="AG874" s="444"/>
      <c r="AH874" s="444"/>
      <c r="AI874" s="430"/>
      <c r="AJ874" s="430"/>
      <c r="AK874" s="430"/>
      <c r="AL874" s="476"/>
      <c r="AM874" s="430"/>
      <c r="AN874" s="430"/>
      <c r="AO874" s="430"/>
      <c r="AP874" s="430"/>
      <c r="AQ874" s="430"/>
      <c r="AR874" s="430"/>
      <c r="AS874" s="430"/>
      <c r="AT874" s="430"/>
      <c r="AU874" s="430"/>
      <c r="AV874" s="430"/>
      <c r="AW874" s="430"/>
      <c r="AX874" s="430"/>
    </row>
    <row r="875">
      <c r="B875" s="471"/>
      <c r="E875" s="471"/>
      <c r="H875" s="471"/>
      <c r="K875" s="471"/>
      <c r="M875" s="454"/>
      <c r="N875" s="424"/>
      <c r="O875" s="424"/>
      <c r="P875" s="430"/>
      <c r="Q875" s="444"/>
      <c r="R875" s="424"/>
      <c r="S875" s="430"/>
      <c r="T875" s="444"/>
      <c r="U875" s="430"/>
      <c r="V875" s="430"/>
      <c r="W875" s="444"/>
      <c r="X875" s="444"/>
      <c r="Y875" s="430"/>
      <c r="Z875" s="430"/>
      <c r="AA875" s="430"/>
      <c r="AB875" s="444"/>
      <c r="AC875" s="444"/>
      <c r="AD875" s="430"/>
      <c r="AE875" s="430"/>
      <c r="AF875" s="430"/>
      <c r="AG875" s="444"/>
      <c r="AH875" s="444"/>
      <c r="AI875" s="430"/>
      <c r="AJ875" s="430"/>
      <c r="AK875" s="430"/>
      <c r="AL875" s="476"/>
      <c r="AM875" s="430"/>
      <c r="AN875" s="430"/>
      <c r="AO875" s="430"/>
      <c r="AP875" s="430"/>
      <c r="AQ875" s="430"/>
      <c r="AR875" s="430"/>
      <c r="AS875" s="430"/>
      <c r="AT875" s="430"/>
      <c r="AU875" s="430"/>
      <c r="AV875" s="430"/>
      <c r="AW875" s="430"/>
      <c r="AX875" s="430"/>
    </row>
    <row r="876">
      <c r="B876" s="471"/>
      <c r="E876" s="471"/>
      <c r="H876" s="471"/>
      <c r="K876" s="471"/>
      <c r="M876" s="454"/>
      <c r="N876" s="424"/>
      <c r="O876" s="424"/>
      <c r="P876" s="430"/>
      <c r="Q876" s="444"/>
      <c r="R876" s="424"/>
      <c r="S876" s="430"/>
      <c r="T876" s="444"/>
      <c r="U876" s="430"/>
      <c r="V876" s="430"/>
      <c r="W876" s="444"/>
      <c r="X876" s="444"/>
      <c r="Y876" s="430"/>
      <c r="Z876" s="430"/>
      <c r="AA876" s="430"/>
      <c r="AB876" s="444"/>
      <c r="AC876" s="444"/>
      <c r="AD876" s="430"/>
      <c r="AE876" s="430"/>
      <c r="AF876" s="430"/>
      <c r="AG876" s="444"/>
      <c r="AH876" s="444"/>
      <c r="AI876" s="430"/>
      <c r="AJ876" s="430"/>
      <c r="AK876" s="430"/>
      <c r="AL876" s="476"/>
      <c r="AM876" s="430"/>
      <c r="AN876" s="430"/>
      <c r="AO876" s="430"/>
      <c r="AP876" s="430"/>
      <c r="AQ876" s="430"/>
      <c r="AR876" s="430"/>
      <c r="AS876" s="430"/>
      <c r="AT876" s="430"/>
      <c r="AU876" s="430"/>
      <c r="AV876" s="430"/>
      <c r="AW876" s="430"/>
      <c r="AX876" s="430"/>
    </row>
    <row r="877">
      <c r="B877" s="471"/>
      <c r="E877" s="471"/>
      <c r="H877" s="471"/>
      <c r="K877" s="471"/>
      <c r="M877" s="454"/>
      <c r="N877" s="424"/>
      <c r="O877" s="424"/>
      <c r="P877" s="430"/>
      <c r="Q877" s="444"/>
      <c r="R877" s="424"/>
      <c r="S877" s="430"/>
      <c r="T877" s="444"/>
      <c r="U877" s="430"/>
      <c r="V877" s="430"/>
      <c r="W877" s="444"/>
      <c r="X877" s="444"/>
      <c r="Y877" s="430"/>
      <c r="Z877" s="430"/>
      <c r="AA877" s="430"/>
      <c r="AB877" s="444"/>
      <c r="AC877" s="444"/>
      <c r="AD877" s="430"/>
      <c r="AE877" s="430"/>
      <c r="AF877" s="430"/>
      <c r="AG877" s="444"/>
      <c r="AH877" s="444"/>
      <c r="AI877" s="430"/>
      <c r="AJ877" s="430"/>
      <c r="AK877" s="430"/>
      <c r="AL877" s="476"/>
      <c r="AM877" s="430"/>
      <c r="AN877" s="430"/>
      <c r="AO877" s="430"/>
      <c r="AP877" s="430"/>
      <c r="AQ877" s="430"/>
      <c r="AR877" s="430"/>
      <c r="AS877" s="430"/>
      <c r="AT877" s="430"/>
      <c r="AU877" s="430"/>
      <c r="AV877" s="430"/>
      <c r="AW877" s="430"/>
      <c r="AX877" s="430"/>
    </row>
    <row r="878">
      <c r="B878" s="471"/>
      <c r="E878" s="471"/>
      <c r="H878" s="471"/>
      <c r="K878" s="471"/>
      <c r="M878" s="454"/>
      <c r="N878" s="424"/>
      <c r="O878" s="424"/>
      <c r="P878" s="430"/>
      <c r="Q878" s="444"/>
      <c r="R878" s="424"/>
      <c r="S878" s="430"/>
      <c r="T878" s="444"/>
      <c r="U878" s="430"/>
      <c r="V878" s="430"/>
      <c r="W878" s="444"/>
      <c r="X878" s="444"/>
      <c r="Y878" s="430"/>
      <c r="Z878" s="430"/>
      <c r="AA878" s="430"/>
      <c r="AB878" s="444"/>
      <c r="AC878" s="444"/>
      <c r="AD878" s="430"/>
      <c r="AE878" s="430"/>
      <c r="AF878" s="430"/>
      <c r="AG878" s="444"/>
      <c r="AH878" s="444"/>
      <c r="AI878" s="430"/>
      <c r="AJ878" s="430"/>
      <c r="AK878" s="430"/>
      <c r="AL878" s="476"/>
      <c r="AM878" s="430"/>
      <c r="AN878" s="430"/>
      <c r="AO878" s="430"/>
      <c r="AP878" s="430"/>
      <c r="AQ878" s="430"/>
      <c r="AR878" s="430"/>
      <c r="AS878" s="430"/>
      <c r="AT878" s="430"/>
      <c r="AU878" s="430"/>
      <c r="AV878" s="430"/>
      <c r="AW878" s="430"/>
      <c r="AX878" s="430"/>
    </row>
    <row r="879">
      <c r="B879" s="471"/>
      <c r="E879" s="471"/>
      <c r="H879" s="471"/>
      <c r="K879" s="471"/>
      <c r="M879" s="454"/>
      <c r="N879" s="424"/>
      <c r="O879" s="424"/>
      <c r="P879" s="430"/>
      <c r="Q879" s="444"/>
      <c r="R879" s="424"/>
      <c r="S879" s="430"/>
      <c r="T879" s="444"/>
      <c r="U879" s="430"/>
      <c r="V879" s="430"/>
      <c r="W879" s="444"/>
      <c r="X879" s="444"/>
      <c r="Y879" s="430"/>
      <c r="Z879" s="430"/>
      <c r="AA879" s="430"/>
      <c r="AB879" s="444"/>
      <c r="AC879" s="444"/>
      <c r="AD879" s="430"/>
      <c r="AE879" s="430"/>
      <c r="AF879" s="430"/>
      <c r="AG879" s="444"/>
      <c r="AH879" s="444"/>
      <c r="AI879" s="430"/>
      <c r="AJ879" s="430"/>
      <c r="AK879" s="430"/>
      <c r="AL879" s="476"/>
      <c r="AM879" s="430"/>
      <c r="AN879" s="430"/>
      <c r="AO879" s="430"/>
      <c r="AP879" s="430"/>
      <c r="AQ879" s="430"/>
      <c r="AR879" s="430"/>
      <c r="AS879" s="430"/>
      <c r="AT879" s="430"/>
      <c r="AU879" s="430"/>
      <c r="AV879" s="430"/>
      <c r="AW879" s="430"/>
      <c r="AX879" s="430"/>
    </row>
    <row r="880">
      <c r="B880" s="471"/>
      <c r="E880" s="471"/>
      <c r="H880" s="471"/>
      <c r="K880" s="471"/>
      <c r="M880" s="454"/>
      <c r="N880" s="424"/>
      <c r="O880" s="424"/>
      <c r="P880" s="430"/>
      <c r="Q880" s="444"/>
      <c r="R880" s="424"/>
      <c r="S880" s="430"/>
      <c r="T880" s="444"/>
      <c r="U880" s="430"/>
      <c r="V880" s="430"/>
      <c r="W880" s="444"/>
      <c r="X880" s="444"/>
      <c r="Y880" s="430"/>
      <c r="Z880" s="430"/>
      <c r="AA880" s="430"/>
      <c r="AB880" s="444"/>
      <c r="AC880" s="444"/>
      <c r="AD880" s="430"/>
      <c r="AE880" s="430"/>
      <c r="AF880" s="430"/>
      <c r="AG880" s="444"/>
      <c r="AH880" s="444"/>
      <c r="AI880" s="430"/>
      <c r="AJ880" s="430"/>
      <c r="AK880" s="430"/>
      <c r="AL880" s="476"/>
      <c r="AM880" s="430"/>
      <c r="AN880" s="430"/>
      <c r="AO880" s="430"/>
      <c r="AP880" s="430"/>
      <c r="AQ880" s="430"/>
      <c r="AR880" s="430"/>
      <c r="AS880" s="430"/>
      <c r="AT880" s="430"/>
      <c r="AU880" s="430"/>
      <c r="AV880" s="430"/>
      <c r="AW880" s="430"/>
      <c r="AX880" s="430"/>
    </row>
    <row r="881">
      <c r="B881" s="471"/>
      <c r="E881" s="471"/>
      <c r="H881" s="471"/>
      <c r="K881" s="471"/>
      <c r="M881" s="454"/>
      <c r="N881" s="424"/>
      <c r="O881" s="424"/>
      <c r="P881" s="430"/>
      <c r="Q881" s="444"/>
      <c r="R881" s="424"/>
      <c r="S881" s="430"/>
      <c r="T881" s="444"/>
      <c r="U881" s="430"/>
      <c r="V881" s="430"/>
      <c r="W881" s="444"/>
      <c r="X881" s="444"/>
      <c r="Y881" s="430"/>
      <c r="Z881" s="430"/>
      <c r="AA881" s="430"/>
      <c r="AB881" s="444"/>
      <c r="AC881" s="444"/>
      <c r="AD881" s="430"/>
      <c r="AE881" s="430"/>
      <c r="AF881" s="430"/>
      <c r="AG881" s="444"/>
      <c r="AH881" s="444"/>
      <c r="AI881" s="430"/>
      <c r="AJ881" s="430"/>
      <c r="AK881" s="430"/>
      <c r="AL881" s="476"/>
      <c r="AM881" s="430"/>
      <c r="AN881" s="430"/>
      <c r="AO881" s="430"/>
      <c r="AP881" s="430"/>
      <c r="AQ881" s="430"/>
      <c r="AR881" s="430"/>
      <c r="AS881" s="430"/>
      <c r="AT881" s="430"/>
      <c r="AU881" s="430"/>
      <c r="AV881" s="430"/>
      <c r="AW881" s="430"/>
      <c r="AX881" s="430"/>
    </row>
    <row r="882">
      <c r="B882" s="471"/>
      <c r="E882" s="471"/>
      <c r="H882" s="471"/>
      <c r="K882" s="471"/>
      <c r="M882" s="454"/>
      <c r="N882" s="424"/>
      <c r="O882" s="424"/>
      <c r="P882" s="430"/>
      <c r="Q882" s="444"/>
      <c r="R882" s="424"/>
      <c r="S882" s="430"/>
      <c r="T882" s="444"/>
      <c r="U882" s="430"/>
      <c r="V882" s="430"/>
      <c r="W882" s="444"/>
      <c r="X882" s="444"/>
      <c r="Y882" s="430"/>
      <c r="Z882" s="430"/>
      <c r="AA882" s="430"/>
      <c r="AB882" s="444"/>
      <c r="AC882" s="444"/>
      <c r="AD882" s="430"/>
      <c r="AE882" s="430"/>
      <c r="AF882" s="430"/>
      <c r="AG882" s="444"/>
      <c r="AH882" s="444"/>
      <c r="AI882" s="430"/>
      <c r="AJ882" s="430"/>
      <c r="AK882" s="430"/>
      <c r="AL882" s="476"/>
      <c r="AM882" s="430"/>
      <c r="AN882" s="430"/>
      <c r="AO882" s="430"/>
      <c r="AP882" s="430"/>
      <c r="AQ882" s="430"/>
      <c r="AR882" s="430"/>
      <c r="AS882" s="430"/>
      <c r="AT882" s="430"/>
      <c r="AU882" s="430"/>
      <c r="AV882" s="430"/>
      <c r="AW882" s="430"/>
      <c r="AX882" s="430"/>
    </row>
    <row r="883">
      <c r="B883" s="471"/>
      <c r="E883" s="471"/>
      <c r="H883" s="471"/>
      <c r="K883" s="471"/>
      <c r="M883" s="454"/>
      <c r="N883" s="424"/>
      <c r="O883" s="424"/>
      <c r="P883" s="430"/>
      <c r="Q883" s="444"/>
      <c r="R883" s="424"/>
      <c r="S883" s="430"/>
      <c r="T883" s="444"/>
      <c r="U883" s="430"/>
      <c r="V883" s="430"/>
      <c r="W883" s="444"/>
      <c r="X883" s="444"/>
      <c r="Y883" s="430"/>
      <c r="Z883" s="430"/>
      <c r="AA883" s="430"/>
      <c r="AB883" s="444"/>
      <c r="AC883" s="444"/>
      <c r="AD883" s="430"/>
      <c r="AE883" s="430"/>
      <c r="AF883" s="430"/>
      <c r="AG883" s="444"/>
      <c r="AH883" s="444"/>
      <c r="AI883" s="430"/>
      <c r="AJ883" s="430"/>
      <c r="AK883" s="430"/>
      <c r="AL883" s="476"/>
      <c r="AM883" s="430"/>
      <c r="AN883" s="430"/>
      <c r="AO883" s="430"/>
      <c r="AP883" s="430"/>
      <c r="AQ883" s="430"/>
      <c r="AR883" s="430"/>
      <c r="AS883" s="430"/>
      <c r="AT883" s="430"/>
      <c r="AU883" s="430"/>
      <c r="AV883" s="430"/>
      <c r="AW883" s="430"/>
      <c r="AX883" s="430"/>
    </row>
    <row r="884">
      <c r="B884" s="471"/>
      <c r="E884" s="471"/>
      <c r="H884" s="471"/>
      <c r="K884" s="471"/>
      <c r="M884" s="454"/>
      <c r="N884" s="424"/>
      <c r="O884" s="424"/>
      <c r="P884" s="430"/>
      <c r="Q884" s="444"/>
      <c r="R884" s="424"/>
      <c r="S884" s="430"/>
      <c r="T884" s="444"/>
      <c r="U884" s="430"/>
      <c r="V884" s="430"/>
      <c r="W884" s="444"/>
      <c r="X884" s="444"/>
      <c r="Y884" s="430"/>
      <c r="Z884" s="430"/>
      <c r="AA884" s="430"/>
      <c r="AB884" s="444"/>
      <c r="AC884" s="444"/>
      <c r="AD884" s="430"/>
      <c r="AE884" s="430"/>
      <c r="AF884" s="430"/>
      <c r="AG884" s="444"/>
      <c r="AH884" s="444"/>
      <c r="AI884" s="430"/>
      <c r="AJ884" s="430"/>
      <c r="AK884" s="430"/>
      <c r="AL884" s="476"/>
      <c r="AM884" s="430"/>
      <c r="AN884" s="430"/>
      <c r="AO884" s="430"/>
      <c r="AP884" s="430"/>
      <c r="AQ884" s="430"/>
      <c r="AR884" s="430"/>
      <c r="AS884" s="430"/>
      <c r="AT884" s="430"/>
      <c r="AU884" s="430"/>
      <c r="AV884" s="430"/>
      <c r="AW884" s="430"/>
      <c r="AX884" s="430"/>
    </row>
    <row r="885">
      <c r="B885" s="471"/>
      <c r="E885" s="471"/>
      <c r="H885" s="471"/>
      <c r="K885" s="471"/>
      <c r="M885" s="454"/>
      <c r="N885" s="424"/>
      <c r="O885" s="424"/>
      <c r="P885" s="430"/>
      <c r="Q885" s="444"/>
      <c r="R885" s="424"/>
      <c r="S885" s="430"/>
      <c r="T885" s="444"/>
      <c r="U885" s="430"/>
      <c r="V885" s="430"/>
      <c r="W885" s="444"/>
      <c r="X885" s="444"/>
      <c r="Y885" s="430"/>
      <c r="Z885" s="430"/>
      <c r="AA885" s="430"/>
      <c r="AB885" s="444"/>
      <c r="AC885" s="444"/>
      <c r="AD885" s="430"/>
      <c r="AE885" s="430"/>
      <c r="AF885" s="430"/>
      <c r="AG885" s="444"/>
      <c r="AH885" s="444"/>
      <c r="AI885" s="430"/>
      <c r="AJ885" s="430"/>
      <c r="AK885" s="430"/>
      <c r="AL885" s="476"/>
      <c r="AM885" s="430"/>
      <c r="AN885" s="430"/>
      <c r="AO885" s="430"/>
      <c r="AP885" s="430"/>
      <c r="AQ885" s="430"/>
      <c r="AR885" s="430"/>
      <c r="AS885" s="430"/>
      <c r="AT885" s="430"/>
      <c r="AU885" s="430"/>
      <c r="AV885" s="430"/>
      <c r="AW885" s="430"/>
      <c r="AX885" s="430"/>
    </row>
    <row r="886">
      <c r="B886" s="471"/>
      <c r="E886" s="471"/>
      <c r="H886" s="471"/>
      <c r="K886" s="471"/>
      <c r="M886" s="454"/>
      <c r="N886" s="424"/>
      <c r="O886" s="424"/>
      <c r="P886" s="430"/>
      <c r="Q886" s="444"/>
      <c r="R886" s="424"/>
      <c r="S886" s="430"/>
      <c r="T886" s="444"/>
      <c r="U886" s="430"/>
      <c r="V886" s="430"/>
      <c r="W886" s="444"/>
      <c r="X886" s="444"/>
      <c r="Y886" s="430"/>
      <c r="Z886" s="430"/>
      <c r="AA886" s="430"/>
      <c r="AB886" s="444"/>
      <c r="AC886" s="444"/>
      <c r="AD886" s="430"/>
      <c r="AE886" s="430"/>
      <c r="AF886" s="430"/>
      <c r="AG886" s="444"/>
      <c r="AH886" s="444"/>
      <c r="AI886" s="430"/>
      <c r="AJ886" s="430"/>
      <c r="AK886" s="430"/>
      <c r="AL886" s="476"/>
      <c r="AM886" s="430"/>
      <c r="AN886" s="430"/>
      <c r="AO886" s="430"/>
      <c r="AP886" s="430"/>
      <c r="AQ886" s="430"/>
      <c r="AR886" s="430"/>
      <c r="AS886" s="430"/>
      <c r="AT886" s="430"/>
      <c r="AU886" s="430"/>
      <c r="AV886" s="430"/>
      <c r="AW886" s="430"/>
      <c r="AX886" s="430"/>
    </row>
    <row r="887">
      <c r="B887" s="471"/>
      <c r="E887" s="471"/>
      <c r="H887" s="471"/>
      <c r="K887" s="471"/>
      <c r="M887" s="454"/>
      <c r="N887" s="424"/>
      <c r="O887" s="424"/>
      <c r="P887" s="430"/>
      <c r="Q887" s="444"/>
      <c r="R887" s="424"/>
      <c r="S887" s="430"/>
      <c r="T887" s="444"/>
      <c r="U887" s="430"/>
      <c r="V887" s="430"/>
      <c r="W887" s="444"/>
      <c r="X887" s="444"/>
      <c r="Y887" s="430"/>
      <c r="Z887" s="430"/>
      <c r="AA887" s="430"/>
      <c r="AB887" s="444"/>
      <c r="AC887" s="444"/>
      <c r="AD887" s="430"/>
      <c r="AE887" s="430"/>
      <c r="AF887" s="430"/>
      <c r="AG887" s="444"/>
      <c r="AH887" s="444"/>
      <c r="AI887" s="430"/>
      <c r="AJ887" s="430"/>
      <c r="AK887" s="430"/>
      <c r="AL887" s="476"/>
      <c r="AM887" s="430"/>
      <c r="AN887" s="430"/>
      <c r="AO887" s="430"/>
      <c r="AP887" s="430"/>
      <c r="AQ887" s="430"/>
      <c r="AR887" s="430"/>
      <c r="AS887" s="430"/>
      <c r="AT887" s="430"/>
      <c r="AU887" s="430"/>
      <c r="AV887" s="430"/>
      <c r="AW887" s="430"/>
      <c r="AX887" s="430"/>
    </row>
    <row r="888">
      <c r="B888" s="471"/>
      <c r="E888" s="471"/>
      <c r="H888" s="471"/>
      <c r="K888" s="471"/>
      <c r="M888" s="454"/>
      <c r="N888" s="424"/>
      <c r="O888" s="424"/>
      <c r="P888" s="430"/>
      <c r="Q888" s="444"/>
      <c r="R888" s="424"/>
      <c r="S888" s="430"/>
      <c r="T888" s="444"/>
      <c r="U888" s="430"/>
      <c r="V888" s="430"/>
      <c r="W888" s="444"/>
      <c r="X888" s="444"/>
      <c r="Y888" s="430"/>
      <c r="Z888" s="430"/>
      <c r="AA888" s="430"/>
      <c r="AB888" s="444"/>
      <c r="AC888" s="444"/>
      <c r="AD888" s="430"/>
      <c r="AE888" s="430"/>
      <c r="AF888" s="430"/>
      <c r="AG888" s="444"/>
      <c r="AH888" s="444"/>
      <c r="AI888" s="430"/>
      <c r="AJ888" s="430"/>
      <c r="AK888" s="430"/>
      <c r="AL888" s="476"/>
      <c r="AM888" s="430"/>
      <c r="AN888" s="430"/>
      <c r="AO888" s="430"/>
      <c r="AP888" s="430"/>
      <c r="AQ888" s="430"/>
      <c r="AR888" s="430"/>
      <c r="AS888" s="430"/>
      <c r="AT888" s="430"/>
      <c r="AU888" s="430"/>
      <c r="AV888" s="430"/>
      <c r="AW888" s="430"/>
      <c r="AX888" s="430"/>
    </row>
    <row r="889">
      <c r="B889" s="471"/>
      <c r="E889" s="471"/>
      <c r="H889" s="471"/>
      <c r="K889" s="471"/>
      <c r="M889" s="454"/>
      <c r="N889" s="424"/>
      <c r="O889" s="424"/>
      <c r="P889" s="430"/>
      <c r="Q889" s="444"/>
      <c r="R889" s="424"/>
      <c r="S889" s="430"/>
      <c r="T889" s="444"/>
      <c r="U889" s="430"/>
      <c r="V889" s="430"/>
      <c r="W889" s="444"/>
      <c r="X889" s="444"/>
      <c r="Y889" s="430"/>
      <c r="Z889" s="430"/>
      <c r="AA889" s="430"/>
      <c r="AB889" s="444"/>
      <c r="AC889" s="444"/>
      <c r="AD889" s="430"/>
      <c r="AE889" s="430"/>
      <c r="AF889" s="430"/>
      <c r="AG889" s="444"/>
      <c r="AH889" s="444"/>
      <c r="AI889" s="430"/>
      <c r="AJ889" s="430"/>
      <c r="AK889" s="430"/>
      <c r="AL889" s="476"/>
      <c r="AM889" s="430"/>
      <c r="AN889" s="430"/>
      <c r="AO889" s="430"/>
      <c r="AP889" s="430"/>
      <c r="AQ889" s="430"/>
      <c r="AR889" s="430"/>
      <c r="AS889" s="430"/>
      <c r="AT889" s="430"/>
      <c r="AU889" s="430"/>
      <c r="AV889" s="430"/>
      <c r="AW889" s="430"/>
      <c r="AX889" s="430"/>
    </row>
    <row r="890">
      <c r="B890" s="471"/>
      <c r="E890" s="471"/>
      <c r="H890" s="471"/>
      <c r="K890" s="471"/>
      <c r="M890" s="454"/>
      <c r="N890" s="424"/>
      <c r="O890" s="424"/>
      <c r="P890" s="430"/>
      <c r="Q890" s="444"/>
      <c r="R890" s="424"/>
      <c r="S890" s="430"/>
      <c r="T890" s="444"/>
      <c r="U890" s="430"/>
      <c r="V890" s="430"/>
      <c r="W890" s="444"/>
      <c r="X890" s="444"/>
      <c r="Y890" s="430"/>
      <c r="Z890" s="430"/>
      <c r="AA890" s="430"/>
      <c r="AB890" s="444"/>
      <c r="AC890" s="444"/>
      <c r="AD890" s="430"/>
      <c r="AE890" s="430"/>
      <c r="AF890" s="430"/>
      <c r="AG890" s="444"/>
      <c r="AH890" s="444"/>
      <c r="AI890" s="430"/>
      <c r="AJ890" s="430"/>
      <c r="AK890" s="430"/>
      <c r="AL890" s="476"/>
      <c r="AM890" s="430"/>
      <c r="AN890" s="430"/>
      <c r="AO890" s="430"/>
      <c r="AP890" s="430"/>
      <c r="AQ890" s="430"/>
      <c r="AR890" s="430"/>
      <c r="AS890" s="430"/>
      <c r="AT890" s="430"/>
      <c r="AU890" s="430"/>
      <c r="AV890" s="430"/>
      <c r="AW890" s="430"/>
      <c r="AX890" s="430"/>
    </row>
    <row r="891">
      <c r="B891" s="471"/>
      <c r="E891" s="471"/>
      <c r="H891" s="471"/>
      <c r="K891" s="471"/>
      <c r="M891" s="454"/>
      <c r="N891" s="424"/>
      <c r="O891" s="424"/>
      <c r="P891" s="430"/>
      <c r="Q891" s="444"/>
      <c r="R891" s="424"/>
      <c r="S891" s="430"/>
      <c r="T891" s="444"/>
      <c r="U891" s="430"/>
      <c r="V891" s="430"/>
      <c r="W891" s="444"/>
      <c r="X891" s="444"/>
      <c r="Y891" s="430"/>
      <c r="Z891" s="430"/>
      <c r="AA891" s="430"/>
      <c r="AB891" s="444"/>
      <c r="AC891" s="444"/>
      <c r="AD891" s="430"/>
      <c r="AE891" s="430"/>
      <c r="AF891" s="430"/>
      <c r="AG891" s="444"/>
      <c r="AH891" s="444"/>
      <c r="AI891" s="430"/>
      <c r="AJ891" s="430"/>
      <c r="AK891" s="430"/>
      <c r="AL891" s="476"/>
      <c r="AM891" s="430"/>
      <c r="AN891" s="430"/>
      <c r="AO891" s="430"/>
      <c r="AP891" s="430"/>
      <c r="AQ891" s="430"/>
      <c r="AR891" s="430"/>
      <c r="AS891" s="430"/>
      <c r="AT891" s="430"/>
      <c r="AU891" s="430"/>
      <c r="AV891" s="430"/>
      <c r="AW891" s="430"/>
      <c r="AX891" s="430"/>
    </row>
    <row r="892">
      <c r="B892" s="471"/>
      <c r="E892" s="471"/>
      <c r="H892" s="471"/>
      <c r="K892" s="471"/>
      <c r="M892" s="454"/>
      <c r="N892" s="424"/>
      <c r="O892" s="424"/>
      <c r="P892" s="430"/>
      <c r="Q892" s="444"/>
      <c r="R892" s="424"/>
      <c r="S892" s="430"/>
      <c r="T892" s="444"/>
      <c r="U892" s="430"/>
      <c r="V892" s="430"/>
      <c r="W892" s="444"/>
      <c r="X892" s="444"/>
      <c r="Y892" s="430"/>
      <c r="Z892" s="430"/>
      <c r="AA892" s="430"/>
      <c r="AB892" s="444"/>
      <c r="AC892" s="444"/>
      <c r="AD892" s="430"/>
      <c r="AE892" s="430"/>
      <c r="AF892" s="430"/>
      <c r="AG892" s="444"/>
      <c r="AH892" s="444"/>
      <c r="AI892" s="430"/>
      <c r="AJ892" s="430"/>
      <c r="AK892" s="430"/>
      <c r="AL892" s="476"/>
      <c r="AM892" s="430"/>
      <c r="AN892" s="430"/>
      <c r="AO892" s="430"/>
      <c r="AP892" s="430"/>
      <c r="AQ892" s="430"/>
      <c r="AR892" s="430"/>
      <c r="AS892" s="430"/>
      <c r="AT892" s="430"/>
      <c r="AU892" s="430"/>
      <c r="AV892" s="430"/>
      <c r="AW892" s="430"/>
      <c r="AX892" s="430"/>
    </row>
    <row r="893">
      <c r="B893" s="471"/>
      <c r="E893" s="471"/>
      <c r="H893" s="471"/>
      <c r="K893" s="471"/>
      <c r="M893" s="454"/>
      <c r="N893" s="424"/>
      <c r="O893" s="424"/>
      <c r="P893" s="430"/>
      <c r="Q893" s="444"/>
      <c r="R893" s="424"/>
      <c r="S893" s="430"/>
      <c r="T893" s="444"/>
      <c r="U893" s="430"/>
      <c r="V893" s="430"/>
      <c r="W893" s="444"/>
      <c r="X893" s="444"/>
      <c r="Y893" s="430"/>
      <c r="Z893" s="430"/>
      <c r="AA893" s="430"/>
      <c r="AB893" s="444"/>
      <c r="AC893" s="444"/>
      <c r="AD893" s="430"/>
      <c r="AE893" s="430"/>
      <c r="AF893" s="430"/>
      <c r="AG893" s="444"/>
      <c r="AH893" s="444"/>
      <c r="AI893" s="430"/>
      <c r="AJ893" s="430"/>
      <c r="AK893" s="430"/>
      <c r="AL893" s="476"/>
      <c r="AM893" s="430"/>
      <c r="AN893" s="430"/>
      <c r="AO893" s="430"/>
      <c r="AP893" s="430"/>
      <c r="AQ893" s="430"/>
      <c r="AR893" s="430"/>
      <c r="AS893" s="430"/>
      <c r="AT893" s="430"/>
      <c r="AU893" s="430"/>
      <c r="AV893" s="430"/>
      <c r="AW893" s="430"/>
      <c r="AX893" s="430"/>
    </row>
    <row r="894">
      <c r="B894" s="471"/>
      <c r="E894" s="471"/>
      <c r="H894" s="471"/>
      <c r="K894" s="471"/>
      <c r="M894" s="454"/>
      <c r="N894" s="424"/>
      <c r="O894" s="424"/>
      <c r="P894" s="430"/>
      <c r="Q894" s="444"/>
      <c r="R894" s="424"/>
      <c r="S894" s="430"/>
      <c r="T894" s="444"/>
      <c r="U894" s="430"/>
      <c r="V894" s="430"/>
      <c r="W894" s="444"/>
      <c r="X894" s="444"/>
      <c r="Y894" s="430"/>
      <c r="Z894" s="430"/>
      <c r="AA894" s="430"/>
      <c r="AB894" s="444"/>
      <c r="AC894" s="444"/>
      <c r="AD894" s="430"/>
      <c r="AE894" s="430"/>
      <c r="AF894" s="430"/>
      <c r="AG894" s="444"/>
      <c r="AH894" s="444"/>
      <c r="AI894" s="430"/>
      <c r="AJ894" s="430"/>
      <c r="AK894" s="430"/>
      <c r="AL894" s="476"/>
      <c r="AM894" s="430"/>
      <c r="AN894" s="430"/>
      <c r="AO894" s="430"/>
      <c r="AP894" s="430"/>
      <c r="AQ894" s="430"/>
      <c r="AR894" s="430"/>
      <c r="AS894" s="430"/>
      <c r="AT894" s="430"/>
      <c r="AU894" s="430"/>
      <c r="AV894" s="430"/>
      <c r="AW894" s="430"/>
      <c r="AX894" s="430"/>
    </row>
    <row r="895">
      <c r="B895" s="471"/>
      <c r="E895" s="471"/>
      <c r="H895" s="471"/>
      <c r="K895" s="471"/>
      <c r="M895" s="454"/>
      <c r="N895" s="424"/>
      <c r="O895" s="424"/>
      <c r="P895" s="430"/>
      <c r="Q895" s="444"/>
      <c r="R895" s="424"/>
      <c r="S895" s="430"/>
      <c r="T895" s="444"/>
      <c r="U895" s="430"/>
      <c r="V895" s="430"/>
      <c r="W895" s="444"/>
      <c r="X895" s="444"/>
      <c r="Y895" s="430"/>
      <c r="Z895" s="430"/>
      <c r="AA895" s="430"/>
      <c r="AB895" s="444"/>
      <c r="AC895" s="444"/>
      <c r="AD895" s="430"/>
      <c r="AE895" s="430"/>
      <c r="AF895" s="430"/>
      <c r="AG895" s="444"/>
      <c r="AH895" s="444"/>
      <c r="AI895" s="430"/>
      <c r="AJ895" s="430"/>
      <c r="AK895" s="430"/>
      <c r="AL895" s="476"/>
      <c r="AM895" s="430"/>
      <c r="AN895" s="430"/>
      <c r="AO895" s="430"/>
      <c r="AP895" s="430"/>
      <c r="AQ895" s="430"/>
      <c r="AR895" s="430"/>
      <c r="AS895" s="430"/>
      <c r="AT895" s="430"/>
      <c r="AU895" s="430"/>
      <c r="AV895" s="430"/>
      <c r="AW895" s="430"/>
      <c r="AX895" s="430"/>
    </row>
    <row r="896">
      <c r="B896" s="471"/>
      <c r="E896" s="471"/>
      <c r="H896" s="471"/>
      <c r="K896" s="471"/>
      <c r="M896" s="454"/>
      <c r="N896" s="424"/>
      <c r="O896" s="424"/>
      <c r="P896" s="430"/>
      <c r="Q896" s="444"/>
      <c r="R896" s="424"/>
      <c r="S896" s="430"/>
      <c r="T896" s="444"/>
      <c r="U896" s="430"/>
      <c r="V896" s="430"/>
      <c r="W896" s="444"/>
      <c r="X896" s="444"/>
      <c r="Y896" s="430"/>
      <c r="Z896" s="430"/>
      <c r="AA896" s="430"/>
      <c r="AB896" s="444"/>
      <c r="AC896" s="444"/>
      <c r="AD896" s="430"/>
      <c r="AE896" s="430"/>
      <c r="AF896" s="430"/>
      <c r="AG896" s="444"/>
      <c r="AH896" s="444"/>
      <c r="AI896" s="430"/>
      <c r="AJ896" s="430"/>
      <c r="AK896" s="430"/>
      <c r="AL896" s="476"/>
      <c r="AM896" s="430"/>
      <c r="AN896" s="430"/>
      <c r="AO896" s="430"/>
      <c r="AP896" s="430"/>
      <c r="AQ896" s="430"/>
      <c r="AR896" s="430"/>
      <c r="AS896" s="430"/>
      <c r="AT896" s="430"/>
      <c r="AU896" s="430"/>
      <c r="AV896" s="430"/>
      <c r="AW896" s="430"/>
      <c r="AX896" s="430"/>
    </row>
    <row r="897">
      <c r="B897" s="471"/>
      <c r="E897" s="471"/>
      <c r="H897" s="471"/>
      <c r="K897" s="471"/>
      <c r="M897" s="454"/>
      <c r="N897" s="424"/>
      <c r="O897" s="424"/>
      <c r="P897" s="430"/>
      <c r="Q897" s="444"/>
      <c r="R897" s="424"/>
      <c r="S897" s="430"/>
      <c r="T897" s="444"/>
      <c r="U897" s="430"/>
      <c r="V897" s="430"/>
      <c r="W897" s="444"/>
      <c r="X897" s="444"/>
      <c r="Y897" s="430"/>
      <c r="Z897" s="430"/>
      <c r="AA897" s="430"/>
      <c r="AB897" s="444"/>
      <c r="AC897" s="444"/>
      <c r="AD897" s="430"/>
      <c r="AE897" s="430"/>
      <c r="AF897" s="430"/>
      <c r="AG897" s="444"/>
      <c r="AH897" s="444"/>
      <c r="AI897" s="430"/>
      <c r="AJ897" s="430"/>
      <c r="AK897" s="430"/>
      <c r="AL897" s="476"/>
      <c r="AM897" s="430"/>
      <c r="AN897" s="430"/>
      <c r="AO897" s="430"/>
      <c r="AP897" s="430"/>
      <c r="AQ897" s="430"/>
      <c r="AR897" s="430"/>
      <c r="AS897" s="430"/>
      <c r="AT897" s="430"/>
      <c r="AU897" s="430"/>
      <c r="AV897" s="430"/>
      <c r="AW897" s="430"/>
      <c r="AX897" s="430"/>
    </row>
    <row r="898">
      <c r="B898" s="471"/>
      <c r="E898" s="471"/>
      <c r="H898" s="471"/>
      <c r="K898" s="471"/>
      <c r="M898" s="454"/>
      <c r="N898" s="424"/>
      <c r="O898" s="424"/>
      <c r="P898" s="430"/>
      <c r="Q898" s="444"/>
      <c r="R898" s="424"/>
      <c r="S898" s="430"/>
      <c r="T898" s="444"/>
      <c r="U898" s="430"/>
      <c r="V898" s="430"/>
      <c r="W898" s="444"/>
      <c r="X898" s="444"/>
      <c r="Y898" s="430"/>
      <c r="Z898" s="430"/>
      <c r="AA898" s="430"/>
      <c r="AB898" s="444"/>
      <c r="AC898" s="444"/>
      <c r="AD898" s="430"/>
      <c r="AE898" s="430"/>
      <c r="AF898" s="430"/>
      <c r="AG898" s="444"/>
      <c r="AH898" s="444"/>
      <c r="AI898" s="430"/>
      <c r="AJ898" s="430"/>
      <c r="AK898" s="430"/>
      <c r="AL898" s="476"/>
      <c r="AM898" s="430"/>
      <c r="AN898" s="430"/>
      <c r="AO898" s="430"/>
      <c r="AP898" s="430"/>
      <c r="AQ898" s="430"/>
      <c r="AR898" s="430"/>
      <c r="AS898" s="430"/>
      <c r="AT898" s="430"/>
      <c r="AU898" s="430"/>
      <c r="AV898" s="430"/>
      <c r="AW898" s="430"/>
      <c r="AX898" s="430"/>
    </row>
    <row r="899">
      <c r="B899" s="471"/>
      <c r="E899" s="471"/>
      <c r="H899" s="471"/>
      <c r="K899" s="471"/>
      <c r="M899" s="454"/>
      <c r="N899" s="424"/>
      <c r="O899" s="424"/>
      <c r="P899" s="430"/>
      <c r="Q899" s="444"/>
      <c r="R899" s="424"/>
      <c r="S899" s="430"/>
      <c r="T899" s="444"/>
      <c r="U899" s="430"/>
      <c r="V899" s="430"/>
      <c r="W899" s="444"/>
      <c r="X899" s="444"/>
      <c r="Y899" s="430"/>
      <c r="Z899" s="430"/>
      <c r="AA899" s="430"/>
      <c r="AB899" s="444"/>
      <c r="AC899" s="444"/>
      <c r="AD899" s="430"/>
      <c r="AE899" s="430"/>
      <c r="AF899" s="430"/>
      <c r="AG899" s="444"/>
      <c r="AH899" s="444"/>
      <c r="AI899" s="430"/>
      <c r="AJ899" s="430"/>
      <c r="AK899" s="430"/>
      <c r="AL899" s="476"/>
      <c r="AM899" s="430"/>
      <c r="AN899" s="430"/>
      <c r="AO899" s="430"/>
      <c r="AP899" s="430"/>
      <c r="AQ899" s="430"/>
      <c r="AR899" s="430"/>
      <c r="AS899" s="430"/>
      <c r="AT899" s="430"/>
      <c r="AU899" s="430"/>
      <c r="AV899" s="430"/>
      <c r="AW899" s="430"/>
      <c r="AX899" s="430"/>
    </row>
    <row r="900">
      <c r="B900" s="471"/>
      <c r="E900" s="471"/>
      <c r="H900" s="471"/>
      <c r="K900" s="471"/>
      <c r="M900" s="454"/>
      <c r="N900" s="424"/>
      <c r="O900" s="424"/>
      <c r="P900" s="430"/>
      <c r="Q900" s="444"/>
      <c r="R900" s="424"/>
      <c r="S900" s="430"/>
      <c r="T900" s="444"/>
      <c r="U900" s="430"/>
      <c r="V900" s="430"/>
      <c r="W900" s="444"/>
      <c r="X900" s="444"/>
      <c r="Y900" s="430"/>
      <c r="Z900" s="430"/>
      <c r="AA900" s="430"/>
      <c r="AB900" s="444"/>
      <c r="AC900" s="444"/>
      <c r="AD900" s="430"/>
      <c r="AE900" s="430"/>
      <c r="AF900" s="430"/>
      <c r="AG900" s="444"/>
      <c r="AH900" s="444"/>
      <c r="AI900" s="430"/>
      <c r="AJ900" s="430"/>
      <c r="AK900" s="430"/>
      <c r="AL900" s="476"/>
      <c r="AM900" s="430"/>
      <c r="AN900" s="430"/>
      <c r="AO900" s="430"/>
      <c r="AP900" s="430"/>
      <c r="AQ900" s="430"/>
      <c r="AR900" s="430"/>
      <c r="AS900" s="430"/>
      <c r="AT900" s="430"/>
      <c r="AU900" s="430"/>
      <c r="AV900" s="430"/>
      <c r="AW900" s="430"/>
      <c r="AX900" s="430"/>
    </row>
    <row r="901">
      <c r="B901" s="471"/>
      <c r="E901" s="471"/>
      <c r="H901" s="471"/>
      <c r="K901" s="471"/>
      <c r="M901" s="454"/>
      <c r="N901" s="424"/>
      <c r="O901" s="424"/>
      <c r="P901" s="430"/>
      <c r="Q901" s="444"/>
      <c r="R901" s="424"/>
      <c r="S901" s="430"/>
      <c r="T901" s="444"/>
      <c r="U901" s="430"/>
      <c r="V901" s="430"/>
      <c r="W901" s="444"/>
      <c r="X901" s="444"/>
      <c r="Y901" s="430"/>
      <c r="Z901" s="430"/>
      <c r="AA901" s="430"/>
      <c r="AB901" s="444"/>
      <c r="AC901" s="444"/>
      <c r="AD901" s="430"/>
      <c r="AE901" s="430"/>
      <c r="AF901" s="430"/>
      <c r="AG901" s="444"/>
      <c r="AH901" s="444"/>
      <c r="AI901" s="430"/>
      <c r="AJ901" s="430"/>
      <c r="AK901" s="430"/>
      <c r="AL901" s="476"/>
      <c r="AM901" s="430"/>
      <c r="AN901" s="430"/>
      <c r="AO901" s="430"/>
      <c r="AP901" s="430"/>
      <c r="AQ901" s="430"/>
      <c r="AR901" s="430"/>
      <c r="AS901" s="430"/>
      <c r="AT901" s="430"/>
      <c r="AU901" s="430"/>
      <c r="AV901" s="430"/>
      <c r="AW901" s="430"/>
      <c r="AX901" s="430"/>
    </row>
    <row r="902">
      <c r="B902" s="471"/>
      <c r="E902" s="471"/>
      <c r="H902" s="471"/>
      <c r="K902" s="471"/>
      <c r="M902" s="454"/>
      <c r="N902" s="424"/>
      <c r="O902" s="424"/>
      <c r="P902" s="430"/>
      <c r="Q902" s="444"/>
      <c r="R902" s="424"/>
      <c r="S902" s="430"/>
      <c r="T902" s="444"/>
      <c r="U902" s="430"/>
      <c r="V902" s="430"/>
      <c r="W902" s="444"/>
      <c r="X902" s="444"/>
      <c r="Y902" s="430"/>
      <c r="Z902" s="430"/>
      <c r="AA902" s="430"/>
      <c r="AB902" s="444"/>
      <c r="AC902" s="444"/>
      <c r="AD902" s="430"/>
      <c r="AE902" s="430"/>
      <c r="AF902" s="430"/>
      <c r="AG902" s="444"/>
      <c r="AH902" s="444"/>
      <c r="AI902" s="430"/>
      <c r="AJ902" s="430"/>
      <c r="AK902" s="430"/>
      <c r="AL902" s="476"/>
      <c r="AM902" s="430"/>
      <c r="AN902" s="430"/>
      <c r="AO902" s="430"/>
      <c r="AP902" s="430"/>
      <c r="AQ902" s="430"/>
      <c r="AR902" s="430"/>
      <c r="AS902" s="430"/>
      <c r="AT902" s="430"/>
      <c r="AU902" s="430"/>
      <c r="AV902" s="430"/>
      <c r="AW902" s="430"/>
      <c r="AX902" s="430"/>
    </row>
    <row r="903">
      <c r="B903" s="471"/>
      <c r="E903" s="471"/>
      <c r="H903" s="471"/>
      <c r="K903" s="471"/>
      <c r="M903" s="454"/>
      <c r="N903" s="424"/>
      <c r="O903" s="424"/>
      <c r="P903" s="430"/>
      <c r="Q903" s="444"/>
      <c r="R903" s="424"/>
      <c r="S903" s="430"/>
      <c r="T903" s="444"/>
      <c r="U903" s="430"/>
      <c r="V903" s="430"/>
      <c r="W903" s="444"/>
      <c r="X903" s="444"/>
      <c r="Y903" s="430"/>
      <c r="Z903" s="430"/>
      <c r="AA903" s="430"/>
      <c r="AB903" s="444"/>
      <c r="AC903" s="444"/>
      <c r="AD903" s="430"/>
      <c r="AE903" s="430"/>
      <c r="AF903" s="430"/>
      <c r="AG903" s="444"/>
      <c r="AH903" s="444"/>
      <c r="AI903" s="430"/>
      <c r="AJ903" s="430"/>
      <c r="AK903" s="430"/>
      <c r="AL903" s="476"/>
      <c r="AM903" s="430"/>
      <c r="AN903" s="430"/>
      <c r="AO903" s="430"/>
      <c r="AP903" s="430"/>
      <c r="AQ903" s="430"/>
      <c r="AR903" s="430"/>
      <c r="AS903" s="430"/>
      <c r="AT903" s="430"/>
      <c r="AU903" s="430"/>
      <c r="AV903" s="430"/>
      <c r="AW903" s="430"/>
      <c r="AX903" s="430"/>
    </row>
    <row r="904">
      <c r="B904" s="471"/>
      <c r="E904" s="471"/>
      <c r="H904" s="471"/>
      <c r="K904" s="471"/>
      <c r="M904" s="454"/>
      <c r="N904" s="424"/>
      <c r="O904" s="424"/>
      <c r="P904" s="430"/>
      <c r="Q904" s="444"/>
      <c r="R904" s="424"/>
      <c r="S904" s="430"/>
      <c r="T904" s="444"/>
      <c r="U904" s="430"/>
      <c r="V904" s="430"/>
      <c r="W904" s="444"/>
      <c r="X904" s="444"/>
      <c r="Y904" s="430"/>
      <c r="Z904" s="430"/>
      <c r="AA904" s="430"/>
      <c r="AB904" s="444"/>
      <c r="AC904" s="444"/>
      <c r="AD904" s="430"/>
      <c r="AE904" s="430"/>
      <c r="AF904" s="430"/>
      <c r="AG904" s="444"/>
      <c r="AH904" s="444"/>
      <c r="AI904" s="430"/>
      <c r="AJ904" s="430"/>
      <c r="AK904" s="430"/>
      <c r="AL904" s="476"/>
      <c r="AM904" s="430"/>
      <c r="AN904" s="430"/>
      <c r="AO904" s="430"/>
      <c r="AP904" s="430"/>
      <c r="AQ904" s="430"/>
      <c r="AR904" s="430"/>
      <c r="AS904" s="430"/>
      <c r="AT904" s="430"/>
      <c r="AU904" s="430"/>
      <c r="AV904" s="430"/>
      <c r="AW904" s="430"/>
      <c r="AX904" s="430"/>
    </row>
    <row r="905">
      <c r="B905" s="471"/>
      <c r="E905" s="471"/>
      <c r="H905" s="471"/>
      <c r="K905" s="471"/>
      <c r="M905" s="454"/>
      <c r="N905" s="424"/>
      <c r="O905" s="424"/>
      <c r="P905" s="430"/>
      <c r="Q905" s="444"/>
      <c r="R905" s="424"/>
      <c r="S905" s="430"/>
      <c r="T905" s="444"/>
      <c r="U905" s="430"/>
      <c r="V905" s="430"/>
      <c r="W905" s="444"/>
      <c r="X905" s="444"/>
      <c r="Y905" s="430"/>
      <c r="Z905" s="430"/>
      <c r="AA905" s="430"/>
      <c r="AB905" s="444"/>
      <c r="AC905" s="444"/>
      <c r="AD905" s="430"/>
      <c r="AE905" s="430"/>
      <c r="AF905" s="430"/>
      <c r="AG905" s="444"/>
      <c r="AH905" s="444"/>
      <c r="AI905" s="430"/>
      <c r="AJ905" s="430"/>
      <c r="AK905" s="430"/>
      <c r="AL905" s="476"/>
      <c r="AM905" s="430"/>
      <c r="AN905" s="430"/>
      <c r="AO905" s="430"/>
      <c r="AP905" s="430"/>
      <c r="AQ905" s="430"/>
      <c r="AR905" s="430"/>
      <c r="AS905" s="430"/>
      <c r="AT905" s="430"/>
      <c r="AU905" s="430"/>
      <c r="AV905" s="430"/>
      <c r="AW905" s="430"/>
      <c r="AX905" s="430"/>
    </row>
    <row r="906">
      <c r="B906" s="471"/>
      <c r="E906" s="471"/>
      <c r="H906" s="471"/>
      <c r="K906" s="471"/>
      <c r="M906" s="454"/>
      <c r="N906" s="424"/>
      <c r="O906" s="424"/>
      <c r="P906" s="430"/>
      <c r="Q906" s="444"/>
      <c r="R906" s="424"/>
      <c r="S906" s="430"/>
      <c r="T906" s="444"/>
      <c r="U906" s="430"/>
      <c r="V906" s="430"/>
      <c r="W906" s="444"/>
      <c r="X906" s="444"/>
      <c r="Y906" s="430"/>
      <c r="Z906" s="430"/>
      <c r="AA906" s="430"/>
      <c r="AB906" s="444"/>
      <c r="AC906" s="444"/>
      <c r="AD906" s="430"/>
      <c r="AE906" s="430"/>
      <c r="AF906" s="430"/>
      <c r="AG906" s="444"/>
      <c r="AH906" s="444"/>
      <c r="AI906" s="430"/>
      <c r="AJ906" s="430"/>
      <c r="AK906" s="430"/>
      <c r="AL906" s="476"/>
      <c r="AM906" s="430"/>
      <c r="AN906" s="430"/>
      <c r="AO906" s="430"/>
      <c r="AP906" s="430"/>
      <c r="AQ906" s="430"/>
      <c r="AR906" s="430"/>
      <c r="AS906" s="430"/>
      <c r="AT906" s="430"/>
      <c r="AU906" s="430"/>
      <c r="AV906" s="430"/>
      <c r="AW906" s="430"/>
      <c r="AX906" s="430"/>
    </row>
    <row r="907">
      <c r="B907" s="471"/>
      <c r="E907" s="471"/>
      <c r="H907" s="471"/>
      <c r="K907" s="471"/>
      <c r="M907" s="454"/>
      <c r="N907" s="424"/>
      <c r="O907" s="424"/>
      <c r="P907" s="430"/>
      <c r="Q907" s="444"/>
      <c r="R907" s="424"/>
      <c r="S907" s="430"/>
      <c r="T907" s="444"/>
      <c r="U907" s="430"/>
      <c r="V907" s="430"/>
      <c r="W907" s="444"/>
      <c r="X907" s="444"/>
      <c r="Y907" s="430"/>
      <c r="Z907" s="430"/>
      <c r="AA907" s="430"/>
      <c r="AB907" s="444"/>
      <c r="AC907" s="444"/>
      <c r="AD907" s="430"/>
      <c r="AE907" s="430"/>
      <c r="AF907" s="430"/>
      <c r="AG907" s="444"/>
      <c r="AH907" s="444"/>
      <c r="AI907" s="430"/>
      <c r="AJ907" s="430"/>
      <c r="AK907" s="430"/>
      <c r="AL907" s="476"/>
      <c r="AM907" s="430"/>
      <c r="AN907" s="430"/>
      <c r="AO907" s="430"/>
      <c r="AP907" s="430"/>
      <c r="AQ907" s="430"/>
      <c r="AR907" s="430"/>
      <c r="AS907" s="430"/>
      <c r="AT907" s="430"/>
      <c r="AU907" s="430"/>
      <c r="AV907" s="430"/>
      <c r="AW907" s="430"/>
      <c r="AX907" s="430"/>
    </row>
    <row r="908">
      <c r="B908" s="471"/>
      <c r="E908" s="471"/>
      <c r="H908" s="471"/>
      <c r="K908" s="471"/>
      <c r="M908" s="454"/>
      <c r="N908" s="424"/>
      <c r="O908" s="424"/>
      <c r="P908" s="430"/>
      <c r="Q908" s="444"/>
      <c r="R908" s="424"/>
      <c r="S908" s="430"/>
      <c r="T908" s="444"/>
      <c r="U908" s="430"/>
      <c r="V908" s="430"/>
      <c r="W908" s="444"/>
      <c r="X908" s="444"/>
      <c r="Y908" s="430"/>
      <c r="Z908" s="430"/>
      <c r="AA908" s="430"/>
      <c r="AB908" s="444"/>
      <c r="AC908" s="444"/>
      <c r="AD908" s="430"/>
      <c r="AE908" s="430"/>
      <c r="AF908" s="430"/>
      <c r="AG908" s="444"/>
      <c r="AH908" s="444"/>
      <c r="AI908" s="430"/>
      <c r="AJ908" s="430"/>
      <c r="AK908" s="430"/>
      <c r="AL908" s="476"/>
      <c r="AM908" s="430"/>
      <c r="AN908" s="430"/>
      <c r="AO908" s="430"/>
      <c r="AP908" s="430"/>
      <c r="AQ908" s="430"/>
      <c r="AR908" s="430"/>
      <c r="AS908" s="430"/>
      <c r="AT908" s="430"/>
      <c r="AU908" s="430"/>
      <c r="AV908" s="430"/>
      <c r="AW908" s="430"/>
      <c r="AX908" s="430"/>
    </row>
    <row r="909">
      <c r="B909" s="471"/>
      <c r="E909" s="471"/>
      <c r="H909" s="471"/>
      <c r="K909" s="471"/>
      <c r="M909" s="454"/>
      <c r="N909" s="424"/>
      <c r="O909" s="424"/>
      <c r="P909" s="430"/>
      <c r="Q909" s="444"/>
      <c r="R909" s="424"/>
      <c r="S909" s="430"/>
      <c r="T909" s="444"/>
      <c r="U909" s="430"/>
      <c r="V909" s="430"/>
      <c r="W909" s="444"/>
      <c r="X909" s="444"/>
      <c r="Y909" s="430"/>
      <c r="Z909" s="430"/>
      <c r="AA909" s="430"/>
      <c r="AB909" s="444"/>
      <c r="AC909" s="444"/>
      <c r="AD909" s="430"/>
      <c r="AE909" s="430"/>
      <c r="AF909" s="430"/>
      <c r="AG909" s="444"/>
      <c r="AH909" s="444"/>
      <c r="AI909" s="430"/>
      <c r="AJ909" s="430"/>
      <c r="AK909" s="430"/>
      <c r="AL909" s="476"/>
      <c r="AM909" s="430"/>
      <c r="AN909" s="430"/>
      <c r="AO909" s="430"/>
      <c r="AP909" s="430"/>
      <c r="AQ909" s="430"/>
      <c r="AR909" s="430"/>
      <c r="AS909" s="430"/>
      <c r="AT909" s="430"/>
      <c r="AU909" s="430"/>
      <c r="AV909" s="430"/>
      <c r="AW909" s="430"/>
      <c r="AX909" s="430"/>
    </row>
    <row r="910">
      <c r="B910" s="471"/>
      <c r="E910" s="471"/>
      <c r="H910" s="471"/>
      <c r="K910" s="471"/>
      <c r="M910" s="454"/>
      <c r="N910" s="424"/>
      <c r="O910" s="424"/>
      <c r="P910" s="430"/>
      <c r="Q910" s="444"/>
      <c r="R910" s="424"/>
      <c r="S910" s="430"/>
      <c r="T910" s="444"/>
      <c r="U910" s="430"/>
      <c r="V910" s="430"/>
      <c r="W910" s="444"/>
      <c r="X910" s="444"/>
      <c r="Y910" s="430"/>
      <c r="Z910" s="430"/>
      <c r="AA910" s="430"/>
      <c r="AB910" s="444"/>
      <c r="AC910" s="444"/>
      <c r="AD910" s="430"/>
      <c r="AE910" s="430"/>
      <c r="AF910" s="430"/>
      <c r="AG910" s="444"/>
      <c r="AH910" s="444"/>
      <c r="AI910" s="430"/>
      <c r="AJ910" s="430"/>
      <c r="AK910" s="430"/>
      <c r="AL910" s="476"/>
      <c r="AM910" s="430"/>
      <c r="AN910" s="430"/>
      <c r="AO910" s="430"/>
      <c r="AP910" s="430"/>
      <c r="AQ910" s="430"/>
      <c r="AR910" s="430"/>
      <c r="AS910" s="430"/>
      <c r="AT910" s="430"/>
      <c r="AU910" s="430"/>
      <c r="AV910" s="430"/>
      <c r="AW910" s="430"/>
      <c r="AX910" s="430"/>
    </row>
    <row r="911">
      <c r="B911" s="471"/>
      <c r="E911" s="471"/>
      <c r="H911" s="471"/>
      <c r="K911" s="471"/>
      <c r="M911" s="454"/>
      <c r="N911" s="424"/>
      <c r="O911" s="424"/>
      <c r="P911" s="430"/>
      <c r="Q911" s="444"/>
      <c r="R911" s="424"/>
      <c r="S911" s="430"/>
      <c r="T911" s="444"/>
      <c r="U911" s="430"/>
      <c r="V911" s="430"/>
      <c r="W911" s="444"/>
      <c r="X911" s="444"/>
      <c r="Y911" s="430"/>
      <c r="Z911" s="430"/>
      <c r="AA911" s="430"/>
      <c r="AB911" s="444"/>
      <c r="AC911" s="444"/>
      <c r="AD911" s="430"/>
      <c r="AE911" s="430"/>
      <c r="AF911" s="430"/>
      <c r="AG911" s="444"/>
      <c r="AH911" s="444"/>
      <c r="AI911" s="430"/>
      <c r="AJ911" s="430"/>
      <c r="AK911" s="430"/>
      <c r="AL911" s="476"/>
      <c r="AM911" s="430"/>
      <c r="AN911" s="430"/>
      <c r="AO911" s="430"/>
      <c r="AP911" s="430"/>
      <c r="AQ911" s="430"/>
      <c r="AR911" s="430"/>
      <c r="AS911" s="430"/>
      <c r="AT911" s="430"/>
      <c r="AU911" s="430"/>
      <c r="AV911" s="430"/>
      <c r="AW911" s="430"/>
      <c r="AX911" s="430"/>
    </row>
    <row r="912">
      <c r="B912" s="471"/>
      <c r="E912" s="471"/>
      <c r="H912" s="471"/>
      <c r="K912" s="471"/>
      <c r="M912" s="454"/>
      <c r="N912" s="424"/>
      <c r="O912" s="424"/>
      <c r="P912" s="430"/>
      <c r="Q912" s="444"/>
      <c r="R912" s="424"/>
      <c r="S912" s="430"/>
      <c r="T912" s="444"/>
      <c r="U912" s="430"/>
      <c r="V912" s="430"/>
      <c r="W912" s="444"/>
      <c r="X912" s="444"/>
      <c r="Y912" s="430"/>
      <c r="Z912" s="430"/>
      <c r="AA912" s="430"/>
      <c r="AB912" s="444"/>
      <c r="AC912" s="444"/>
      <c r="AD912" s="430"/>
      <c r="AE912" s="430"/>
      <c r="AF912" s="430"/>
      <c r="AG912" s="444"/>
      <c r="AH912" s="444"/>
      <c r="AI912" s="430"/>
      <c r="AJ912" s="430"/>
      <c r="AK912" s="430"/>
      <c r="AL912" s="476"/>
      <c r="AM912" s="430"/>
      <c r="AN912" s="430"/>
      <c r="AO912" s="430"/>
      <c r="AP912" s="430"/>
      <c r="AQ912" s="430"/>
      <c r="AR912" s="430"/>
      <c r="AS912" s="430"/>
      <c r="AT912" s="430"/>
      <c r="AU912" s="430"/>
      <c r="AV912" s="430"/>
      <c r="AW912" s="430"/>
      <c r="AX912" s="430"/>
    </row>
    <row r="913">
      <c r="B913" s="471"/>
      <c r="E913" s="471"/>
      <c r="H913" s="471"/>
      <c r="K913" s="471"/>
      <c r="M913" s="454"/>
      <c r="N913" s="424"/>
      <c r="O913" s="424"/>
      <c r="P913" s="430"/>
      <c r="Q913" s="444"/>
      <c r="R913" s="424"/>
      <c r="S913" s="430"/>
      <c r="T913" s="444"/>
      <c r="U913" s="430"/>
      <c r="V913" s="430"/>
      <c r="W913" s="444"/>
      <c r="X913" s="444"/>
      <c r="Y913" s="430"/>
      <c r="Z913" s="430"/>
      <c r="AA913" s="430"/>
      <c r="AB913" s="444"/>
      <c r="AC913" s="444"/>
      <c r="AD913" s="430"/>
      <c r="AE913" s="430"/>
      <c r="AF913" s="430"/>
      <c r="AG913" s="444"/>
      <c r="AH913" s="444"/>
      <c r="AI913" s="430"/>
      <c r="AJ913" s="430"/>
      <c r="AK913" s="430"/>
      <c r="AL913" s="476"/>
      <c r="AM913" s="430"/>
      <c r="AN913" s="430"/>
      <c r="AO913" s="430"/>
      <c r="AP913" s="430"/>
      <c r="AQ913" s="430"/>
      <c r="AR913" s="430"/>
      <c r="AS913" s="430"/>
      <c r="AT913" s="430"/>
      <c r="AU913" s="430"/>
      <c r="AV913" s="430"/>
      <c r="AW913" s="430"/>
      <c r="AX913" s="430"/>
    </row>
    <row r="914">
      <c r="B914" s="471"/>
      <c r="E914" s="471"/>
      <c r="H914" s="471"/>
      <c r="K914" s="471"/>
      <c r="M914" s="454"/>
      <c r="N914" s="424"/>
      <c r="O914" s="424"/>
      <c r="P914" s="430"/>
      <c r="Q914" s="444"/>
      <c r="R914" s="424"/>
      <c r="S914" s="430"/>
      <c r="T914" s="444"/>
      <c r="U914" s="430"/>
      <c r="V914" s="430"/>
      <c r="W914" s="444"/>
      <c r="X914" s="444"/>
      <c r="Y914" s="430"/>
      <c r="Z914" s="430"/>
      <c r="AA914" s="430"/>
      <c r="AB914" s="444"/>
      <c r="AC914" s="444"/>
      <c r="AD914" s="430"/>
      <c r="AE914" s="430"/>
      <c r="AF914" s="430"/>
      <c r="AG914" s="444"/>
      <c r="AH914" s="444"/>
      <c r="AI914" s="430"/>
      <c r="AJ914" s="430"/>
      <c r="AK914" s="430"/>
      <c r="AL914" s="476"/>
      <c r="AM914" s="430"/>
      <c r="AN914" s="430"/>
      <c r="AO914" s="430"/>
      <c r="AP914" s="430"/>
      <c r="AQ914" s="430"/>
      <c r="AR914" s="430"/>
      <c r="AS914" s="430"/>
      <c r="AT914" s="430"/>
      <c r="AU914" s="430"/>
      <c r="AV914" s="430"/>
      <c r="AW914" s="430"/>
      <c r="AX914" s="430"/>
    </row>
    <row r="915">
      <c r="B915" s="471"/>
      <c r="E915" s="471"/>
      <c r="H915" s="471"/>
      <c r="K915" s="471"/>
      <c r="M915" s="454"/>
      <c r="N915" s="424"/>
      <c r="O915" s="424"/>
      <c r="P915" s="430"/>
      <c r="Q915" s="444"/>
      <c r="R915" s="424"/>
      <c r="S915" s="430"/>
      <c r="T915" s="444"/>
      <c r="U915" s="430"/>
      <c r="V915" s="430"/>
      <c r="W915" s="444"/>
      <c r="X915" s="444"/>
      <c r="Y915" s="430"/>
      <c r="Z915" s="430"/>
      <c r="AA915" s="430"/>
      <c r="AB915" s="444"/>
      <c r="AC915" s="444"/>
      <c r="AD915" s="430"/>
      <c r="AE915" s="430"/>
      <c r="AF915" s="430"/>
      <c r="AG915" s="444"/>
      <c r="AH915" s="444"/>
      <c r="AI915" s="430"/>
      <c r="AJ915" s="430"/>
      <c r="AK915" s="430"/>
      <c r="AL915" s="476"/>
      <c r="AM915" s="430"/>
      <c r="AN915" s="430"/>
      <c r="AO915" s="430"/>
      <c r="AP915" s="430"/>
      <c r="AQ915" s="430"/>
      <c r="AR915" s="430"/>
      <c r="AS915" s="430"/>
      <c r="AT915" s="430"/>
      <c r="AU915" s="430"/>
      <c r="AV915" s="430"/>
      <c r="AW915" s="430"/>
      <c r="AX915" s="430"/>
    </row>
    <row r="916">
      <c r="B916" s="471"/>
      <c r="E916" s="471"/>
      <c r="H916" s="471"/>
      <c r="K916" s="471"/>
      <c r="M916" s="454"/>
      <c r="N916" s="424"/>
      <c r="O916" s="424"/>
      <c r="P916" s="430"/>
      <c r="Q916" s="444"/>
      <c r="R916" s="424"/>
      <c r="S916" s="430"/>
      <c r="T916" s="444"/>
      <c r="U916" s="430"/>
      <c r="V916" s="430"/>
      <c r="W916" s="444"/>
      <c r="X916" s="444"/>
      <c r="Y916" s="430"/>
      <c r="Z916" s="430"/>
      <c r="AA916" s="430"/>
      <c r="AB916" s="444"/>
      <c r="AC916" s="444"/>
      <c r="AD916" s="430"/>
      <c r="AE916" s="430"/>
      <c r="AF916" s="430"/>
      <c r="AG916" s="444"/>
      <c r="AH916" s="444"/>
      <c r="AI916" s="430"/>
      <c r="AJ916" s="430"/>
      <c r="AK916" s="430"/>
      <c r="AL916" s="476"/>
      <c r="AM916" s="430"/>
      <c r="AN916" s="430"/>
      <c r="AO916" s="430"/>
      <c r="AP916" s="430"/>
      <c r="AQ916" s="430"/>
      <c r="AR916" s="430"/>
      <c r="AS916" s="430"/>
      <c r="AT916" s="430"/>
      <c r="AU916" s="430"/>
      <c r="AV916" s="430"/>
      <c r="AW916" s="430"/>
      <c r="AX916" s="430"/>
    </row>
    <row r="917">
      <c r="B917" s="471"/>
      <c r="E917" s="471"/>
      <c r="H917" s="471"/>
      <c r="K917" s="471"/>
      <c r="M917" s="454"/>
      <c r="N917" s="424"/>
      <c r="O917" s="424"/>
      <c r="P917" s="430"/>
      <c r="Q917" s="444"/>
      <c r="R917" s="424"/>
      <c r="S917" s="430"/>
      <c r="T917" s="444"/>
      <c r="U917" s="430"/>
      <c r="V917" s="430"/>
      <c r="W917" s="444"/>
      <c r="X917" s="444"/>
      <c r="Y917" s="430"/>
      <c r="Z917" s="430"/>
      <c r="AA917" s="430"/>
      <c r="AB917" s="444"/>
      <c r="AC917" s="444"/>
      <c r="AD917" s="430"/>
      <c r="AE917" s="430"/>
      <c r="AF917" s="430"/>
      <c r="AG917" s="444"/>
      <c r="AH917" s="444"/>
      <c r="AI917" s="430"/>
      <c r="AJ917" s="430"/>
      <c r="AK917" s="430"/>
      <c r="AL917" s="476"/>
      <c r="AM917" s="430"/>
      <c r="AN917" s="430"/>
      <c r="AO917" s="430"/>
      <c r="AP917" s="430"/>
      <c r="AQ917" s="430"/>
      <c r="AR917" s="430"/>
      <c r="AS917" s="430"/>
      <c r="AT917" s="430"/>
      <c r="AU917" s="430"/>
      <c r="AV917" s="430"/>
      <c r="AW917" s="430"/>
      <c r="AX917" s="430"/>
    </row>
    <row r="918">
      <c r="B918" s="471"/>
      <c r="E918" s="471"/>
      <c r="H918" s="471"/>
      <c r="K918" s="471"/>
      <c r="M918" s="454"/>
      <c r="N918" s="424"/>
      <c r="O918" s="424"/>
      <c r="P918" s="430"/>
      <c r="Q918" s="444"/>
      <c r="R918" s="424"/>
      <c r="S918" s="430"/>
      <c r="T918" s="444"/>
      <c r="U918" s="430"/>
      <c r="V918" s="430"/>
      <c r="W918" s="444"/>
      <c r="X918" s="444"/>
      <c r="Y918" s="430"/>
      <c r="Z918" s="430"/>
      <c r="AA918" s="430"/>
      <c r="AB918" s="444"/>
      <c r="AC918" s="444"/>
      <c r="AD918" s="430"/>
      <c r="AE918" s="430"/>
      <c r="AF918" s="430"/>
      <c r="AG918" s="444"/>
      <c r="AH918" s="444"/>
      <c r="AI918" s="430"/>
      <c r="AJ918" s="430"/>
      <c r="AK918" s="430"/>
      <c r="AL918" s="476"/>
      <c r="AM918" s="430"/>
      <c r="AN918" s="430"/>
      <c r="AO918" s="430"/>
      <c r="AP918" s="430"/>
      <c r="AQ918" s="430"/>
      <c r="AR918" s="430"/>
      <c r="AS918" s="430"/>
      <c r="AT918" s="430"/>
      <c r="AU918" s="430"/>
      <c r="AV918" s="430"/>
      <c r="AW918" s="430"/>
      <c r="AX918" s="430"/>
    </row>
    <row r="919">
      <c r="B919" s="471"/>
      <c r="E919" s="471"/>
      <c r="H919" s="471"/>
      <c r="K919" s="471"/>
      <c r="M919" s="454"/>
      <c r="N919" s="424"/>
      <c r="O919" s="424"/>
      <c r="P919" s="430"/>
      <c r="Q919" s="444"/>
      <c r="R919" s="424"/>
      <c r="S919" s="430"/>
      <c r="T919" s="444"/>
      <c r="U919" s="430"/>
      <c r="V919" s="430"/>
      <c r="W919" s="444"/>
      <c r="X919" s="444"/>
      <c r="Y919" s="430"/>
      <c r="Z919" s="430"/>
      <c r="AA919" s="430"/>
      <c r="AB919" s="444"/>
      <c r="AC919" s="444"/>
      <c r="AD919" s="430"/>
      <c r="AE919" s="430"/>
      <c r="AF919" s="430"/>
      <c r="AG919" s="444"/>
      <c r="AH919" s="444"/>
      <c r="AI919" s="430"/>
      <c r="AJ919" s="430"/>
      <c r="AK919" s="430"/>
      <c r="AL919" s="476"/>
      <c r="AM919" s="430"/>
      <c r="AN919" s="430"/>
      <c r="AO919" s="430"/>
      <c r="AP919" s="430"/>
      <c r="AQ919" s="430"/>
      <c r="AR919" s="430"/>
      <c r="AS919" s="430"/>
      <c r="AT919" s="430"/>
      <c r="AU919" s="430"/>
      <c r="AV919" s="430"/>
      <c r="AW919" s="430"/>
      <c r="AX919" s="430"/>
    </row>
    <row r="920">
      <c r="B920" s="471"/>
      <c r="E920" s="471"/>
      <c r="H920" s="471"/>
      <c r="K920" s="471"/>
      <c r="M920" s="454"/>
      <c r="N920" s="424"/>
      <c r="O920" s="424"/>
      <c r="P920" s="430"/>
      <c r="Q920" s="444"/>
      <c r="R920" s="424"/>
      <c r="S920" s="430"/>
      <c r="T920" s="444"/>
      <c r="U920" s="430"/>
      <c r="V920" s="430"/>
      <c r="W920" s="444"/>
      <c r="X920" s="444"/>
      <c r="Y920" s="430"/>
      <c r="Z920" s="430"/>
      <c r="AA920" s="430"/>
      <c r="AB920" s="444"/>
      <c r="AC920" s="444"/>
      <c r="AD920" s="430"/>
      <c r="AE920" s="430"/>
      <c r="AF920" s="430"/>
      <c r="AG920" s="444"/>
      <c r="AH920" s="444"/>
      <c r="AI920" s="430"/>
      <c r="AJ920" s="430"/>
      <c r="AK920" s="430"/>
      <c r="AL920" s="476"/>
      <c r="AM920" s="430"/>
      <c r="AN920" s="430"/>
      <c r="AO920" s="430"/>
      <c r="AP920" s="430"/>
      <c r="AQ920" s="430"/>
      <c r="AR920" s="430"/>
      <c r="AS920" s="430"/>
      <c r="AT920" s="430"/>
      <c r="AU920" s="430"/>
      <c r="AV920" s="430"/>
      <c r="AW920" s="430"/>
      <c r="AX920" s="430"/>
    </row>
    <row r="921">
      <c r="B921" s="471"/>
      <c r="E921" s="471"/>
      <c r="H921" s="471"/>
      <c r="K921" s="471"/>
      <c r="M921" s="454"/>
      <c r="N921" s="424"/>
      <c r="O921" s="424"/>
      <c r="P921" s="430"/>
      <c r="Q921" s="444"/>
      <c r="R921" s="424"/>
      <c r="S921" s="430"/>
      <c r="T921" s="444"/>
      <c r="U921" s="430"/>
      <c r="V921" s="430"/>
      <c r="W921" s="444"/>
      <c r="X921" s="444"/>
      <c r="Y921" s="430"/>
      <c r="Z921" s="430"/>
      <c r="AA921" s="430"/>
      <c r="AB921" s="444"/>
      <c r="AC921" s="444"/>
      <c r="AD921" s="430"/>
      <c r="AE921" s="430"/>
      <c r="AF921" s="430"/>
      <c r="AG921" s="444"/>
      <c r="AH921" s="444"/>
      <c r="AI921" s="430"/>
      <c r="AJ921" s="430"/>
      <c r="AK921" s="430"/>
      <c r="AL921" s="476"/>
      <c r="AM921" s="430"/>
      <c r="AN921" s="430"/>
      <c r="AO921" s="430"/>
      <c r="AP921" s="430"/>
      <c r="AQ921" s="430"/>
      <c r="AR921" s="430"/>
      <c r="AS921" s="430"/>
      <c r="AT921" s="430"/>
      <c r="AU921" s="430"/>
      <c r="AV921" s="430"/>
      <c r="AW921" s="430"/>
      <c r="AX921" s="430"/>
    </row>
    <row r="922">
      <c r="B922" s="471"/>
      <c r="E922" s="471"/>
      <c r="H922" s="471"/>
      <c r="K922" s="471"/>
      <c r="M922" s="454"/>
      <c r="N922" s="424"/>
      <c r="O922" s="424"/>
      <c r="P922" s="430"/>
      <c r="Q922" s="444"/>
      <c r="R922" s="424"/>
      <c r="S922" s="430"/>
      <c r="T922" s="444"/>
      <c r="U922" s="430"/>
      <c r="V922" s="430"/>
      <c r="W922" s="444"/>
      <c r="X922" s="444"/>
      <c r="Y922" s="430"/>
      <c r="Z922" s="430"/>
      <c r="AA922" s="430"/>
      <c r="AB922" s="444"/>
      <c r="AC922" s="444"/>
      <c r="AD922" s="430"/>
      <c r="AE922" s="430"/>
      <c r="AF922" s="430"/>
      <c r="AG922" s="444"/>
      <c r="AH922" s="444"/>
      <c r="AI922" s="430"/>
      <c r="AJ922" s="430"/>
      <c r="AK922" s="430"/>
      <c r="AL922" s="476"/>
      <c r="AM922" s="430"/>
      <c r="AN922" s="430"/>
      <c r="AO922" s="430"/>
      <c r="AP922" s="430"/>
      <c r="AQ922" s="430"/>
      <c r="AR922" s="430"/>
      <c r="AS922" s="430"/>
      <c r="AT922" s="430"/>
      <c r="AU922" s="430"/>
      <c r="AV922" s="430"/>
      <c r="AW922" s="430"/>
      <c r="AX922" s="430"/>
    </row>
    <row r="923">
      <c r="B923" s="471"/>
      <c r="E923" s="471"/>
      <c r="H923" s="471"/>
      <c r="K923" s="471"/>
      <c r="M923" s="454"/>
      <c r="N923" s="424"/>
      <c r="O923" s="424"/>
      <c r="P923" s="430"/>
      <c r="Q923" s="444"/>
      <c r="R923" s="424"/>
      <c r="S923" s="430"/>
      <c r="T923" s="444"/>
      <c r="U923" s="430"/>
      <c r="V923" s="430"/>
      <c r="W923" s="444"/>
      <c r="X923" s="444"/>
      <c r="Y923" s="430"/>
      <c r="Z923" s="430"/>
      <c r="AA923" s="430"/>
      <c r="AB923" s="444"/>
      <c r="AC923" s="444"/>
      <c r="AD923" s="430"/>
      <c r="AE923" s="430"/>
      <c r="AF923" s="430"/>
      <c r="AG923" s="444"/>
      <c r="AH923" s="444"/>
      <c r="AI923" s="430"/>
      <c r="AJ923" s="430"/>
      <c r="AK923" s="430"/>
      <c r="AL923" s="476"/>
      <c r="AM923" s="430"/>
      <c r="AN923" s="430"/>
      <c r="AO923" s="430"/>
      <c r="AP923" s="430"/>
      <c r="AQ923" s="430"/>
      <c r="AR923" s="430"/>
      <c r="AS923" s="430"/>
      <c r="AT923" s="430"/>
      <c r="AU923" s="430"/>
      <c r="AV923" s="430"/>
      <c r="AW923" s="430"/>
      <c r="AX923" s="430"/>
    </row>
    <row r="924">
      <c r="B924" s="471"/>
      <c r="E924" s="471"/>
      <c r="H924" s="471"/>
      <c r="K924" s="471"/>
      <c r="M924" s="454"/>
      <c r="N924" s="424"/>
      <c r="O924" s="424"/>
      <c r="P924" s="430"/>
      <c r="Q924" s="444"/>
      <c r="R924" s="424"/>
      <c r="S924" s="430"/>
      <c r="T924" s="444"/>
      <c r="U924" s="430"/>
      <c r="V924" s="430"/>
      <c r="W924" s="444"/>
      <c r="X924" s="444"/>
      <c r="Y924" s="430"/>
      <c r="Z924" s="430"/>
      <c r="AA924" s="430"/>
      <c r="AB924" s="444"/>
      <c r="AC924" s="444"/>
      <c r="AD924" s="430"/>
      <c r="AE924" s="430"/>
      <c r="AF924" s="430"/>
      <c r="AG924" s="444"/>
      <c r="AH924" s="444"/>
      <c r="AI924" s="430"/>
      <c r="AJ924" s="430"/>
      <c r="AK924" s="430"/>
      <c r="AL924" s="476"/>
      <c r="AM924" s="430"/>
      <c r="AN924" s="430"/>
      <c r="AO924" s="430"/>
      <c r="AP924" s="430"/>
      <c r="AQ924" s="430"/>
      <c r="AR924" s="430"/>
      <c r="AS924" s="430"/>
      <c r="AT924" s="430"/>
      <c r="AU924" s="430"/>
      <c r="AV924" s="430"/>
      <c r="AW924" s="430"/>
      <c r="AX924" s="430"/>
    </row>
    <row r="925">
      <c r="B925" s="471"/>
      <c r="E925" s="471"/>
      <c r="H925" s="471"/>
      <c r="K925" s="471"/>
      <c r="M925" s="454"/>
      <c r="N925" s="424"/>
      <c r="O925" s="424"/>
      <c r="P925" s="430"/>
      <c r="Q925" s="444"/>
      <c r="R925" s="424"/>
      <c r="S925" s="430"/>
      <c r="T925" s="444"/>
      <c r="U925" s="430"/>
      <c r="V925" s="430"/>
      <c r="W925" s="444"/>
      <c r="X925" s="444"/>
      <c r="Y925" s="430"/>
      <c r="Z925" s="430"/>
      <c r="AA925" s="430"/>
      <c r="AB925" s="444"/>
      <c r="AC925" s="444"/>
      <c r="AD925" s="430"/>
      <c r="AE925" s="430"/>
      <c r="AF925" s="430"/>
      <c r="AG925" s="444"/>
      <c r="AH925" s="444"/>
      <c r="AI925" s="430"/>
      <c r="AJ925" s="430"/>
      <c r="AK925" s="430"/>
      <c r="AL925" s="476"/>
      <c r="AM925" s="430"/>
      <c r="AN925" s="430"/>
      <c r="AO925" s="430"/>
      <c r="AP925" s="430"/>
      <c r="AQ925" s="430"/>
      <c r="AR925" s="430"/>
      <c r="AS925" s="430"/>
      <c r="AT925" s="430"/>
      <c r="AU925" s="430"/>
      <c r="AV925" s="430"/>
      <c r="AW925" s="430"/>
      <c r="AX925" s="430"/>
    </row>
    <row r="926">
      <c r="B926" s="471"/>
      <c r="E926" s="471"/>
      <c r="H926" s="471"/>
      <c r="K926" s="471"/>
      <c r="M926" s="454"/>
      <c r="N926" s="424"/>
      <c r="O926" s="424"/>
      <c r="P926" s="430"/>
      <c r="Q926" s="444"/>
      <c r="R926" s="424"/>
      <c r="S926" s="430"/>
      <c r="T926" s="444"/>
      <c r="U926" s="430"/>
      <c r="V926" s="430"/>
      <c r="W926" s="444"/>
      <c r="X926" s="444"/>
      <c r="Y926" s="430"/>
      <c r="Z926" s="430"/>
      <c r="AA926" s="430"/>
      <c r="AB926" s="444"/>
      <c r="AC926" s="444"/>
      <c r="AD926" s="430"/>
      <c r="AE926" s="430"/>
      <c r="AF926" s="430"/>
      <c r="AG926" s="444"/>
      <c r="AH926" s="444"/>
      <c r="AI926" s="430"/>
      <c r="AJ926" s="430"/>
      <c r="AK926" s="430"/>
      <c r="AL926" s="476"/>
      <c r="AM926" s="430"/>
      <c r="AN926" s="430"/>
      <c r="AO926" s="430"/>
      <c r="AP926" s="430"/>
      <c r="AQ926" s="430"/>
      <c r="AR926" s="430"/>
      <c r="AS926" s="430"/>
      <c r="AT926" s="430"/>
      <c r="AU926" s="430"/>
      <c r="AV926" s="430"/>
      <c r="AW926" s="430"/>
      <c r="AX926" s="430"/>
    </row>
    <row r="927">
      <c r="B927" s="471"/>
      <c r="E927" s="471"/>
      <c r="H927" s="471"/>
      <c r="K927" s="471"/>
      <c r="M927" s="454"/>
      <c r="N927" s="424"/>
      <c r="O927" s="424"/>
      <c r="P927" s="430"/>
      <c r="Q927" s="444"/>
      <c r="R927" s="424"/>
      <c r="S927" s="430"/>
      <c r="T927" s="444"/>
      <c r="U927" s="430"/>
      <c r="V927" s="430"/>
      <c r="W927" s="444"/>
      <c r="X927" s="444"/>
      <c r="Y927" s="430"/>
      <c r="Z927" s="430"/>
      <c r="AA927" s="430"/>
      <c r="AB927" s="444"/>
      <c r="AC927" s="444"/>
      <c r="AD927" s="430"/>
      <c r="AE927" s="430"/>
      <c r="AF927" s="430"/>
      <c r="AG927" s="444"/>
      <c r="AH927" s="444"/>
      <c r="AI927" s="430"/>
      <c r="AJ927" s="430"/>
      <c r="AK927" s="430"/>
      <c r="AL927" s="476"/>
      <c r="AM927" s="430"/>
      <c r="AN927" s="430"/>
      <c r="AO927" s="430"/>
      <c r="AP927" s="430"/>
      <c r="AQ927" s="430"/>
      <c r="AR927" s="430"/>
      <c r="AS927" s="430"/>
      <c r="AT927" s="430"/>
      <c r="AU927" s="430"/>
      <c r="AV927" s="430"/>
      <c r="AW927" s="430"/>
      <c r="AX927" s="430"/>
    </row>
    <row r="928">
      <c r="B928" s="471"/>
      <c r="E928" s="471"/>
      <c r="H928" s="471"/>
      <c r="K928" s="471"/>
      <c r="M928" s="454"/>
      <c r="N928" s="424"/>
      <c r="O928" s="424"/>
      <c r="P928" s="430"/>
      <c r="Q928" s="444"/>
      <c r="R928" s="424"/>
      <c r="S928" s="430"/>
      <c r="T928" s="444"/>
      <c r="U928" s="430"/>
      <c r="V928" s="430"/>
      <c r="W928" s="444"/>
      <c r="X928" s="444"/>
      <c r="Y928" s="430"/>
      <c r="Z928" s="430"/>
      <c r="AA928" s="430"/>
      <c r="AB928" s="444"/>
      <c r="AC928" s="444"/>
      <c r="AD928" s="430"/>
      <c r="AE928" s="430"/>
      <c r="AF928" s="430"/>
      <c r="AG928" s="444"/>
      <c r="AH928" s="444"/>
      <c r="AI928" s="430"/>
      <c r="AJ928" s="430"/>
      <c r="AK928" s="430"/>
      <c r="AL928" s="476"/>
      <c r="AM928" s="430"/>
      <c r="AN928" s="430"/>
      <c r="AO928" s="430"/>
      <c r="AP928" s="430"/>
      <c r="AQ928" s="430"/>
      <c r="AR928" s="430"/>
      <c r="AS928" s="430"/>
      <c r="AT928" s="430"/>
      <c r="AU928" s="430"/>
      <c r="AV928" s="430"/>
      <c r="AW928" s="430"/>
      <c r="AX928" s="430"/>
    </row>
    <row r="929">
      <c r="B929" s="471"/>
      <c r="E929" s="471"/>
      <c r="H929" s="471"/>
      <c r="K929" s="471"/>
      <c r="M929" s="454"/>
      <c r="N929" s="424"/>
      <c r="O929" s="424"/>
      <c r="P929" s="430"/>
      <c r="Q929" s="444"/>
      <c r="R929" s="424"/>
      <c r="S929" s="430"/>
      <c r="T929" s="444"/>
      <c r="U929" s="430"/>
      <c r="V929" s="430"/>
      <c r="W929" s="444"/>
      <c r="X929" s="444"/>
      <c r="Y929" s="430"/>
      <c r="Z929" s="430"/>
      <c r="AA929" s="430"/>
      <c r="AB929" s="444"/>
      <c r="AC929" s="444"/>
      <c r="AD929" s="430"/>
      <c r="AE929" s="430"/>
      <c r="AF929" s="430"/>
      <c r="AG929" s="444"/>
      <c r="AH929" s="444"/>
      <c r="AI929" s="430"/>
      <c r="AJ929" s="430"/>
      <c r="AK929" s="430"/>
      <c r="AL929" s="476"/>
      <c r="AM929" s="430"/>
      <c r="AN929" s="430"/>
      <c r="AO929" s="430"/>
      <c r="AP929" s="430"/>
      <c r="AQ929" s="430"/>
      <c r="AR929" s="430"/>
      <c r="AS929" s="430"/>
      <c r="AT929" s="430"/>
      <c r="AU929" s="430"/>
      <c r="AV929" s="430"/>
      <c r="AW929" s="430"/>
      <c r="AX929" s="430"/>
    </row>
    <row r="930">
      <c r="B930" s="471"/>
      <c r="E930" s="471"/>
      <c r="H930" s="471"/>
      <c r="K930" s="471"/>
      <c r="M930" s="454"/>
      <c r="N930" s="424"/>
      <c r="O930" s="424"/>
      <c r="P930" s="430"/>
      <c r="Q930" s="444"/>
      <c r="R930" s="424"/>
      <c r="S930" s="430"/>
      <c r="T930" s="444"/>
      <c r="U930" s="430"/>
      <c r="V930" s="430"/>
      <c r="W930" s="444"/>
      <c r="X930" s="444"/>
      <c r="Y930" s="430"/>
      <c r="Z930" s="430"/>
      <c r="AA930" s="430"/>
      <c r="AB930" s="444"/>
      <c r="AC930" s="444"/>
      <c r="AD930" s="430"/>
      <c r="AE930" s="430"/>
      <c r="AF930" s="430"/>
      <c r="AG930" s="444"/>
      <c r="AH930" s="444"/>
      <c r="AI930" s="430"/>
      <c r="AJ930" s="430"/>
      <c r="AK930" s="430"/>
      <c r="AL930" s="476"/>
      <c r="AM930" s="430"/>
      <c r="AN930" s="430"/>
      <c r="AO930" s="430"/>
      <c r="AP930" s="430"/>
      <c r="AQ930" s="430"/>
      <c r="AR930" s="430"/>
      <c r="AS930" s="430"/>
      <c r="AT930" s="430"/>
      <c r="AU930" s="430"/>
      <c r="AV930" s="430"/>
      <c r="AW930" s="430"/>
      <c r="AX930" s="430"/>
    </row>
    <row r="931">
      <c r="B931" s="471"/>
      <c r="E931" s="471"/>
      <c r="H931" s="471"/>
      <c r="K931" s="471"/>
      <c r="M931" s="454"/>
      <c r="N931" s="424"/>
      <c r="O931" s="424"/>
      <c r="P931" s="430"/>
      <c r="Q931" s="444"/>
      <c r="R931" s="424"/>
      <c r="S931" s="430"/>
      <c r="T931" s="444"/>
      <c r="U931" s="430"/>
      <c r="V931" s="430"/>
      <c r="W931" s="444"/>
      <c r="X931" s="444"/>
      <c r="Y931" s="430"/>
      <c r="Z931" s="430"/>
      <c r="AA931" s="430"/>
      <c r="AB931" s="444"/>
      <c r="AC931" s="444"/>
      <c r="AD931" s="430"/>
      <c r="AE931" s="430"/>
      <c r="AF931" s="430"/>
      <c r="AG931" s="444"/>
      <c r="AH931" s="444"/>
      <c r="AI931" s="430"/>
      <c r="AJ931" s="430"/>
      <c r="AK931" s="430"/>
      <c r="AL931" s="476"/>
      <c r="AM931" s="430"/>
      <c r="AN931" s="430"/>
      <c r="AO931" s="430"/>
      <c r="AP931" s="430"/>
      <c r="AQ931" s="430"/>
      <c r="AR931" s="430"/>
      <c r="AS931" s="430"/>
      <c r="AT931" s="430"/>
      <c r="AU931" s="430"/>
      <c r="AV931" s="430"/>
      <c r="AW931" s="430"/>
      <c r="AX931" s="430"/>
    </row>
    <row r="932">
      <c r="B932" s="471"/>
      <c r="E932" s="471"/>
      <c r="H932" s="471"/>
      <c r="K932" s="471"/>
      <c r="M932" s="454"/>
      <c r="N932" s="424"/>
      <c r="O932" s="424"/>
      <c r="P932" s="430"/>
      <c r="Q932" s="444"/>
      <c r="R932" s="424"/>
      <c r="S932" s="430"/>
      <c r="T932" s="444"/>
      <c r="U932" s="430"/>
      <c r="V932" s="430"/>
      <c r="W932" s="444"/>
      <c r="X932" s="444"/>
      <c r="Y932" s="430"/>
      <c r="Z932" s="430"/>
      <c r="AA932" s="430"/>
      <c r="AB932" s="444"/>
      <c r="AC932" s="444"/>
      <c r="AD932" s="430"/>
      <c r="AE932" s="430"/>
      <c r="AF932" s="430"/>
      <c r="AG932" s="444"/>
      <c r="AH932" s="444"/>
      <c r="AI932" s="430"/>
      <c r="AJ932" s="430"/>
      <c r="AK932" s="430"/>
      <c r="AL932" s="476"/>
      <c r="AM932" s="430"/>
      <c r="AN932" s="430"/>
      <c r="AO932" s="430"/>
      <c r="AP932" s="430"/>
      <c r="AQ932" s="430"/>
      <c r="AR932" s="430"/>
      <c r="AS932" s="430"/>
      <c r="AT932" s="430"/>
      <c r="AU932" s="430"/>
      <c r="AV932" s="430"/>
      <c r="AW932" s="430"/>
      <c r="AX932" s="430"/>
    </row>
    <row r="933">
      <c r="B933" s="471"/>
      <c r="E933" s="471"/>
      <c r="H933" s="471"/>
      <c r="K933" s="471"/>
      <c r="M933" s="454"/>
      <c r="N933" s="424"/>
      <c r="O933" s="424"/>
      <c r="P933" s="430"/>
      <c r="Q933" s="444"/>
      <c r="R933" s="424"/>
      <c r="S933" s="430"/>
      <c r="T933" s="444"/>
      <c r="U933" s="430"/>
      <c r="V933" s="430"/>
      <c r="W933" s="444"/>
      <c r="X933" s="444"/>
      <c r="Y933" s="430"/>
      <c r="Z933" s="430"/>
      <c r="AA933" s="430"/>
      <c r="AB933" s="444"/>
      <c r="AC933" s="444"/>
      <c r="AD933" s="430"/>
      <c r="AE933" s="430"/>
      <c r="AF933" s="430"/>
      <c r="AG933" s="444"/>
      <c r="AH933" s="444"/>
      <c r="AI933" s="430"/>
      <c r="AJ933" s="430"/>
      <c r="AK933" s="430"/>
      <c r="AL933" s="476"/>
      <c r="AM933" s="430"/>
      <c r="AN933" s="430"/>
      <c r="AO933" s="430"/>
      <c r="AP933" s="430"/>
      <c r="AQ933" s="430"/>
      <c r="AR933" s="430"/>
      <c r="AS933" s="430"/>
      <c r="AT933" s="430"/>
      <c r="AU933" s="430"/>
      <c r="AV933" s="430"/>
      <c r="AW933" s="430"/>
      <c r="AX933" s="430"/>
    </row>
    <row r="934">
      <c r="B934" s="471"/>
      <c r="E934" s="471"/>
      <c r="H934" s="471"/>
      <c r="K934" s="471"/>
      <c r="M934" s="454"/>
      <c r="N934" s="424"/>
      <c r="O934" s="424"/>
      <c r="P934" s="430"/>
      <c r="Q934" s="444"/>
      <c r="R934" s="424"/>
      <c r="S934" s="430"/>
      <c r="T934" s="444"/>
      <c r="U934" s="430"/>
      <c r="V934" s="430"/>
      <c r="W934" s="444"/>
      <c r="X934" s="444"/>
      <c r="Y934" s="430"/>
      <c r="Z934" s="430"/>
      <c r="AA934" s="430"/>
      <c r="AB934" s="444"/>
      <c r="AC934" s="444"/>
      <c r="AD934" s="430"/>
      <c r="AE934" s="430"/>
      <c r="AF934" s="430"/>
      <c r="AG934" s="444"/>
      <c r="AH934" s="444"/>
      <c r="AI934" s="430"/>
      <c r="AJ934" s="430"/>
      <c r="AK934" s="430"/>
      <c r="AL934" s="476"/>
      <c r="AM934" s="430"/>
      <c r="AN934" s="430"/>
      <c r="AO934" s="430"/>
      <c r="AP934" s="430"/>
      <c r="AQ934" s="430"/>
      <c r="AR934" s="430"/>
      <c r="AS934" s="430"/>
      <c r="AT934" s="430"/>
      <c r="AU934" s="430"/>
      <c r="AV934" s="430"/>
      <c r="AW934" s="430"/>
      <c r="AX934" s="430"/>
    </row>
    <row r="935">
      <c r="B935" s="471"/>
      <c r="E935" s="471"/>
      <c r="H935" s="471"/>
      <c r="K935" s="471"/>
      <c r="M935" s="454"/>
      <c r="N935" s="424"/>
      <c r="O935" s="424"/>
      <c r="P935" s="430"/>
      <c r="Q935" s="444"/>
      <c r="R935" s="424"/>
      <c r="S935" s="430"/>
      <c r="T935" s="444"/>
      <c r="U935" s="430"/>
      <c r="V935" s="430"/>
      <c r="W935" s="444"/>
      <c r="X935" s="444"/>
      <c r="Y935" s="430"/>
      <c r="Z935" s="430"/>
      <c r="AA935" s="430"/>
      <c r="AB935" s="444"/>
      <c r="AC935" s="444"/>
      <c r="AD935" s="430"/>
      <c r="AE935" s="430"/>
      <c r="AF935" s="430"/>
      <c r="AG935" s="444"/>
      <c r="AH935" s="444"/>
      <c r="AI935" s="430"/>
      <c r="AJ935" s="430"/>
      <c r="AK935" s="430"/>
      <c r="AL935" s="476"/>
      <c r="AM935" s="430"/>
      <c r="AN935" s="430"/>
      <c r="AO935" s="430"/>
      <c r="AP935" s="430"/>
      <c r="AQ935" s="430"/>
      <c r="AR935" s="430"/>
      <c r="AS935" s="430"/>
      <c r="AT935" s="430"/>
      <c r="AU935" s="430"/>
      <c r="AV935" s="430"/>
      <c r="AW935" s="430"/>
      <c r="AX935" s="430"/>
    </row>
    <row r="936">
      <c r="B936" s="471"/>
      <c r="E936" s="471"/>
      <c r="H936" s="471"/>
      <c r="K936" s="471"/>
      <c r="M936" s="454"/>
      <c r="N936" s="424"/>
      <c r="O936" s="424"/>
      <c r="P936" s="430"/>
      <c r="Q936" s="444"/>
      <c r="R936" s="424"/>
      <c r="S936" s="430"/>
      <c r="T936" s="444"/>
      <c r="U936" s="430"/>
      <c r="V936" s="430"/>
      <c r="W936" s="444"/>
      <c r="X936" s="444"/>
      <c r="Y936" s="430"/>
      <c r="Z936" s="430"/>
      <c r="AA936" s="430"/>
      <c r="AB936" s="444"/>
      <c r="AC936" s="444"/>
      <c r="AD936" s="430"/>
      <c r="AE936" s="430"/>
      <c r="AF936" s="430"/>
      <c r="AG936" s="444"/>
      <c r="AH936" s="444"/>
      <c r="AI936" s="430"/>
      <c r="AJ936" s="430"/>
      <c r="AK936" s="430"/>
      <c r="AL936" s="476"/>
      <c r="AM936" s="430"/>
      <c r="AN936" s="430"/>
      <c r="AO936" s="430"/>
      <c r="AP936" s="430"/>
      <c r="AQ936" s="430"/>
      <c r="AR936" s="430"/>
      <c r="AS936" s="430"/>
      <c r="AT936" s="430"/>
      <c r="AU936" s="430"/>
      <c r="AV936" s="430"/>
      <c r="AW936" s="430"/>
      <c r="AX936" s="430"/>
    </row>
    <row r="937">
      <c r="B937" s="471"/>
      <c r="E937" s="471"/>
      <c r="H937" s="471"/>
      <c r="K937" s="471"/>
      <c r="M937" s="454"/>
      <c r="N937" s="424"/>
      <c r="O937" s="424"/>
      <c r="P937" s="430"/>
      <c r="Q937" s="444"/>
      <c r="R937" s="424"/>
      <c r="S937" s="430"/>
      <c r="T937" s="444"/>
      <c r="U937" s="430"/>
      <c r="V937" s="430"/>
      <c r="W937" s="444"/>
      <c r="X937" s="444"/>
      <c r="Y937" s="430"/>
      <c r="Z937" s="430"/>
      <c r="AA937" s="430"/>
      <c r="AB937" s="444"/>
      <c r="AC937" s="444"/>
      <c r="AD937" s="430"/>
      <c r="AE937" s="430"/>
      <c r="AF937" s="430"/>
      <c r="AG937" s="444"/>
      <c r="AH937" s="444"/>
      <c r="AI937" s="430"/>
      <c r="AJ937" s="430"/>
      <c r="AK937" s="430"/>
      <c r="AL937" s="476"/>
      <c r="AM937" s="430"/>
      <c r="AN937" s="430"/>
      <c r="AO937" s="430"/>
      <c r="AP937" s="430"/>
      <c r="AQ937" s="430"/>
      <c r="AR937" s="430"/>
      <c r="AS937" s="430"/>
      <c r="AT937" s="430"/>
      <c r="AU937" s="430"/>
      <c r="AV937" s="430"/>
      <c r="AW937" s="430"/>
      <c r="AX937" s="430"/>
    </row>
    <row r="938">
      <c r="B938" s="471"/>
      <c r="E938" s="471"/>
      <c r="H938" s="471"/>
      <c r="K938" s="471"/>
      <c r="M938" s="454"/>
      <c r="N938" s="424"/>
      <c r="O938" s="424"/>
      <c r="P938" s="430"/>
      <c r="Q938" s="444"/>
      <c r="R938" s="424"/>
      <c r="S938" s="430"/>
      <c r="T938" s="444"/>
      <c r="U938" s="430"/>
      <c r="V938" s="430"/>
      <c r="W938" s="444"/>
      <c r="X938" s="444"/>
      <c r="Y938" s="430"/>
      <c r="Z938" s="430"/>
      <c r="AA938" s="430"/>
      <c r="AB938" s="444"/>
      <c r="AC938" s="444"/>
      <c r="AD938" s="430"/>
      <c r="AE938" s="430"/>
      <c r="AF938" s="430"/>
      <c r="AG938" s="444"/>
      <c r="AH938" s="444"/>
      <c r="AI938" s="430"/>
      <c r="AJ938" s="430"/>
      <c r="AK938" s="430"/>
      <c r="AL938" s="476"/>
      <c r="AM938" s="430"/>
      <c r="AN938" s="430"/>
      <c r="AO938" s="430"/>
      <c r="AP938" s="430"/>
      <c r="AQ938" s="430"/>
      <c r="AR938" s="430"/>
      <c r="AS938" s="430"/>
      <c r="AT938" s="430"/>
      <c r="AU938" s="430"/>
      <c r="AV938" s="430"/>
      <c r="AW938" s="430"/>
      <c r="AX938" s="430"/>
    </row>
    <row r="939">
      <c r="B939" s="471"/>
      <c r="E939" s="471"/>
      <c r="H939" s="471"/>
      <c r="K939" s="471"/>
      <c r="M939" s="454"/>
      <c r="N939" s="424"/>
      <c r="O939" s="424"/>
      <c r="P939" s="430"/>
      <c r="Q939" s="444"/>
      <c r="R939" s="424"/>
      <c r="S939" s="430"/>
      <c r="T939" s="444"/>
      <c r="U939" s="430"/>
      <c r="V939" s="430"/>
      <c r="W939" s="444"/>
      <c r="X939" s="444"/>
      <c r="Y939" s="430"/>
      <c r="Z939" s="430"/>
      <c r="AA939" s="430"/>
      <c r="AB939" s="444"/>
      <c r="AC939" s="444"/>
      <c r="AD939" s="430"/>
      <c r="AE939" s="430"/>
      <c r="AF939" s="430"/>
      <c r="AG939" s="444"/>
      <c r="AH939" s="444"/>
      <c r="AI939" s="430"/>
      <c r="AJ939" s="430"/>
      <c r="AK939" s="430"/>
      <c r="AL939" s="476"/>
      <c r="AM939" s="430"/>
      <c r="AN939" s="430"/>
      <c r="AO939" s="430"/>
      <c r="AP939" s="430"/>
      <c r="AQ939" s="430"/>
      <c r="AR939" s="430"/>
      <c r="AS939" s="430"/>
      <c r="AT939" s="430"/>
      <c r="AU939" s="430"/>
      <c r="AV939" s="430"/>
      <c r="AW939" s="430"/>
      <c r="AX939" s="430"/>
    </row>
    <row r="940">
      <c r="B940" s="471"/>
      <c r="E940" s="471"/>
      <c r="H940" s="471"/>
      <c r="K940" s="471"/>
      <c r="M940" s="454"/>
      <c r="N940" s="424"/>
      <c r="O940" s="424"/>
      <c r="P940" s="430"/>
      <c r="Q940" s="444"/>
      <c r="R940" s="424"/>
      <c r="S940" s="430"/>
      <c r="T940" s="444"/>
      <c r="U940" s="430"/>
      <c r="V940" s="430"/>
      <c r="W940" s="444"/>
      <c r="X940" s="444"/>
      <c r="Y940" s="430"/>
      <c r="Z940" s="430"/>
      <c r="AA940" s="430"/>
      <c r="AB940" s="444"/>
      <c r="AC940" s="444"/>
      <c r="AD940" s="430"/>
      <c r="AE940" s="430"/>
      <c r="AF940" s="430"/>
      <c r="AG940" s="444"/>
      <c r="AH940" s="444"/>
      <c r="AI940" s="430"/>
      <c r="AJ940" s="430"/>
      <c r="AK940" s="430"/>
      <c r="AL940" s="476"/>
      <c r="AM940" s="430"/>
      <c r="AN940" s="430"/>
      <c r="AO940" s="430"/>
      <c r="AP940" s="430"/>
      <c r="AQ940" s="430"/>
      <c r="AR940" s="430"/>
      <c r="AS940" s="430"/>
      <c r="AT940" s="430"/>
      <c r="AU940" s="430"/>
      <c r="AV940" s="430"/>
      <c r="AW940" s="430"/>
      <c r="AX940" s="430"/>
    </row>
    <row r="941">
      <c r="B941" s="471"/>
      <c r="E941" s="471"/>
      <c r="H941" s="471"/>
      <c r="K941" s="471"/>
      <c r="M941" s="454"/>
      <c r="N941" s="424"/>
      <c r="O941" s="424"/>
      <c r="P941" s="430"/>
      <c r="Q941" s="444"/>
      <c r="R941" s="424"/>
      <c r="S941" s="430"/>
      <c r="T941" s="444"/>
      <c r="U941" s="430"/>
      <c r="V941" s="430"/>
      <c r="W941" s="444"/>
      <c r="X941" s="444"/>
      <c r="Y941" s="430"/>
      <c r="Z941" s="430"/>
      <c r="AA941" s="430"/>
      <c r="AB941" s="444"/>
      <c r="AC941" s="444"/>
      <c r="AD941" s="430"/>
      <c r="AE941" s="430"/>
      <c r="AF941" s="430"/>
      <c r="AG941" s="444"/>
      <c r="AH941" s="444"/>
      <c r="AI941" s="430"/>
      <c r="AJ941" s="430"/>
      <c r="AK941" s="430"/>
      <c r="AL941" s="476"/>
      <c r="AM941" s="430"/>
      <c r="AN941" s="430"/>
      <c r="AO941" s="430"/>
      <c r="AP941" s="430"/>
      <c r="AQ941" s="430"/>
      <c r="AR941" s="430"/>
      <c r="AS941" s="430"/>
      <c r="AT941" s="430"/>
      <c r="AU941" s="430"/>
      <c r="AV941" s="430"/>
      <c r="AW941" s="430"/>
      <c r="AX941" s="430"/>
    </row>
    <row r="942">
      <c r="B942" s="471"/>
      <c r="E942" s="471"/>
      <c r="H942" s="471"/>
      <c r="K942" s="471"/>
      <c r="M942" s="454"/>
      <c r="N942" s="424"/>
      <c r="O942" s="424"/>
      <c r="P942" s="430"/>
      <c r="Q942" s="444"/>
      <c r="R942" s="424"/>
      <c r="S942" s="430"/>
      <c r="T942" s="444"/>
      <c r="U942" s="430"/>
      <c r="V942" s="430"/>
      <c r="W942" s="444"/>
      <c r="X942" s="444"/>
      <c r="Y942" s="430"/>
      <c r="Z942" s="430"/>
      <c r="AA942" s="430"/>
      <c r="AB942" s="444"/>
      <c r="AC942" s="444"/>
      <c r="AD942" s="430"/>
      <c r="AE942" s="430"/>
      <c r="AF942" s="430"/>
      <c r="AG942" s="444"/>
      <c r="AH942" s="444"/>
      <c r="AI942" s="430"/>
      <c r="AJ942" s="430"/>
      <c r="AK942" s="430"/>
      <c r="AL942" s="476"/>
      <c r="AM942" s="430"/>
      <c r="AN942" s="430"/>
      <c r="AO942" s="430"/>
      <c r="AP942" s="430"/>
      <c r="AQ942" s="430"/>
      <c r="AR942" s="430"/>
      <c r="AS942" s="430"/>
      <c r="AT942" s="430"/>
      <c r="AU942" s="430"/>
      <c r="AV942" s="430"/>
      <c r="AW942" s="430"/>
      <c r="AX942" s="430"/>
    </row>
    <row r="943">
      <c r="B943" s="471"/>
      <c r="E943" s="471"/>
      <c r="H943" s="471"/>
      <c r="K943" s="471"/>
      <c r="M943" s="454"/>
      <c r="N943" s="424"/>
      <c r="O943" s="424"/>
      <c r="P943" s="430"/>
      <c r="Q943" s="444"/>
      <c r="R943" s="424"/>
      <c r="S943" s="430"/>
      <c r="T943" s="444"/>
      <c r="U943" s="430"/>
      <c r="V943" s="430"/>
      <c r="W943" s="444"/>
      <c r="X943" s="444"/>
      <c r="Y943" s="430"/>
      <c r="Z943" s="430"/>
      <c r="AA943" s="430"/>
      <c r="AB943" s="444"/>
      <c r="AC943" s="444"/>
      <c r="AD943" s="430"/>
      <c r="AE943" s="430"/>
      <c r="AF943" s="430"/>
      <c r="AG943" s="444"/>
      <c r="AH943" s="444"/>
      <c r="AI943" s="430"/>
      <c r="AJ943" s="430"/>
      <c r="AK943" s="430"/>
      <c r="AL943" s="476"/>
      <c r="AM943" s="430"/>
      <c r="AN943" s="430"/>
      <c r="AO943" s="430"/>
      <c r="AP943" s="430"/>
      <c r="AQ943" s="430"/>
      <c r="AR943" s="430"/>
      <c r="AS943" s="430"/>
      <c r="AT943" s="430"/>
      <c r="AU943" s="430"/>
      <c r="AV943" s="430"/>
      <c r="AW943" s="430"/>
      <c r="AX943" s="430"/>
    </row>
    <row r="944">
      <c r="B944" s="471"/>
      <c r="E944" s="471"/>
      <c r="H944" s="471"/>
      <c r="K944" s="471"/>
      <c r="M944" s="454"/>
      <c r="N944" s="424"/>
      <c r="O944" s="424"/>
      <c r="P944" s="430"/>
      <c r="Q944" s="444"/>
      <c r="R944" s="424"/>
      <c r="S944" s="430"/>
      <c r="T944" s="444"/>
      <c r="U944" s="430"/>
      <c r="V944" s="430"/>
      <c r="W944" s="444"/>
      <c r="X944" s="444"/>
      <c r="Y944" s="430"/>
      <c r="Z944" s="430"/>
      <c r="AA944" s="430"/>
      <c r="AB944" s="444"/>
      <c r="AC944" s="444"/>
      <c r="AD944" s="430"/>
      <c r="AE944" s="430"/>
      <c r="AF944" s="430"/>
      <c r="AG944" s="444"/>
      <c r="AH944" s="444"/>
      <c r="AI944" s="430"/>
      <c r="AJ944" s="430"/>
      <c r="AK944" s="430"/>
      <c r="AL944" s="476"/>
      <c r="AM944" s="430"/>
      <c r="AN944" s="430"/>
      <c r="AO944" s="430"/>
      <c r="AP944" s="430"/>
      <c r="AQ944" s="430"/>
      <c r="AR944" s="430"/>
      <c r="AS944" s="430"/>
      <c r="AT944" s="430"/>
      <c r="AU944" s="430"/>
      <c r="AV944" s="430"/>
      <c r="AW944" s="430"/>
      <c r="AX944" s="430"/>
    </row>
    <row r="945">
      <c r="B945" s="471"/>
      <c r="E945" s="471"/>
      <c r="H945" s="471"/>
      <c r="K945" s="471"/>
      <c r="M945" s="454"/>
      <c r="N945" s="424"/>
      <c r="O945" s="424"/>
      <c r="P945" s="430"/>
      <c r="Q945" s="444"/>
      <c r="R945" s="424"/>
      <c r="S945" s="430"/>
      <c r="T945" s="444"/>
      <c r="U945" s="430"/>
      <c r="V945" s="430"/>
      <c r="W945" s="444"/>
      <c r="X945" s="444"/>
      <c r="Y945" s="430"/>
      <c r="Z945" s="430"/>
      <c r="AA945" s="430"/>
      <c r="AB945" s="444"/>
      <c r="AC945" s="444"/>
      <c r="AD945" s="430"/>
      <c r="AE945" s="430"/>
      <c r="AF945" s="430"/>
      <c r="AG945" s="444"/>
      <c r="AH945" s="444"/>
      <c r="AI945" s="430"/>
      <c r="AJ945" s="430"/>
      <c r="AK945" s="430"/>
      <c r="AL945" s="476"/>
      <c r="AM945" s="430"/>
      <c r="AN945" s="430"/>
      <c r="AO945" s="430"/>
      <c r="AP945" s="430"/>
      <c r="AQ945" s="430"/>
      <c r="AR945" s="430"/>
      <c r="AS945" s="430"/>
      <c r="AT945" s="430"/>
      <c r="AU945" s="430"/>
      <c r="AV945" s="430"/>
      <c r="AW945" s="430"/>
      <c r="AX945" s="430"/>
    </row>
    <row r="946">
      <c r="B946" s="471"/>
      <c r="E946" s="471"/>
      <c r="H946" s="471"/>
      <c r="K946" s="471"/>
      <c r="M946" s="454"/>
      <c r="N946" s="424"/>
      <c r="O946" s="424"/>
      <c r="P946" s="430"/>
      <c r="Q946" s="444"/>
      <c r="R946" s="424"/>
      <c r="S946" s="430"/>
      <c r="T946" s="444"/>
      <c r="U946" s="430"/>
      <c r="V946" s="430"/>
      <c r="W946" s="444"/>
      <c r="X946" s="444"/>
      <c r="Y946" s="430"/>
      <c r="Z946" s="430"/>
      <c r="AA946" s="430"/>
      <c r="AB946" s="444"/>
      <c r="AC946" s="444"/>
      <c r="AD946" s="430"/>
      <c r="AE946" s="430"/>
      <c r="AF946" s="430"/>
      <c r="AG946" s="444"/>
      <c r="AH946" s="444"/>
      <c r="AI946" s="430"/>
      <c r="AJ946" s="430"/>
      <c r="AK946" s="430"/>
      <c r="AL946" s="476"/>
      <c r="AM946" s="430"/>
      <c r="AN946" s="430"/>
      <c r="AO946" s="430"/>
      <c r="AP946" s="430"/>
      <c r="AQ946" s="430"/>
      <c r="AR946" s="430"/>
      <c r="AS946" s="430"/>
      <c r="AT946" s="430"/>
      <c r="AU946" s="430"/>
      <c r="AV946" s="430"/>
      <c r="AW946" s="430"/>
      <c r="AX946" s="430"/>
    </row>
    <row r="947">
      <c r="B947" s="471"/>
      <c r="E947" s="471"/>
      <c r="H947" s="471"/>
      <c r="K947" s="471"/>
      <c r="M947" s="454"/>
      <c r="N947" s="424"/>
      <c r="O947" s="424"/>
      <c r="P947" s="430"/>
      <c r="Q947" s="444"/>
      <c r="R947" s="424"/>
      <c r="S947" s="430"/>
      <c r="T947" s="444"/>
      <c r="U947" s="430"/>
      <c r="V947" s="430"/>
      <c r="W947" s="444"/>
      <c r="X947" s="444"/>
      <c r="Y947" s="430"/>
      <c r="Z947" s="430"/>
      <c r="AA947" s="430"/>
      <c r="AB947" s="444"/>
      <c r="AC947" s="444"/>
      <c r="AD947" s="430"/>
      <c r="AE947" s="430"/>
      <c r="AF947" s="430"/>
      <c r="AG947" s="444"/>
      <c r="AH947" s="444"/>
      <c r="AI947" s="430"/>
      <c r="AJ947" s="430"/>
      <c r="AK947" s="430"/>
      <c r="AL947" s="476"/>
      <c r="AM947" s="430"/>
      <c r="AN947" s="430"/>
      <c r="AO947" s="430"/>
      <c r="AP947" s="430"/>
      <c r="AQ947" s="430"/>
      <c r="AR947" s="430"/>
      <c r="AS947" s="430"/>
      <c r="AT947" s="430"/>
      <c r="AU947" s="430"/>
      <c r="AV947" s="430"/>
      <c r="AW947" s="430"/>
      <c r="AX947" s="430"/>
    </row>
    <row r="948">
      <c r="B948" s="471"/>
      <c r="E948" s="471"/>
      <c r="H948" s="471"/>
      <c r="K948" s="471"/>
      <c r="M948" s="454"/>
      <c r="N948" s="424"/>
      <c r="O948" s="424"/>
      <c r="P948" s="430"/>
      <c r="Q948" s="444"/>
      <c r="R948" s="424"/>
      <c r="S948" s="430"/>
      <c r="T948" s="444"/>
      <c r="U948" s="430"/>
      <c r="V948" s="430"/>
      <c r="W948" s="444"/>
      <c r="X948" s="444"/>
      <c r="Y948" s="430"/>
      <c r="Z948" s="430"/>
      <c r="AA948" s="430"/>
      <c r="AB948" s="444"/>
      <c r="AC948" s="444"/>
      <c r="AD948" s="430"/>
      <c r="AE948" s="430"/>
      <c r="AF948" s="430"/>
      <c r="AG948" s="444"/>
      <c r="AH948" s="444"/>
      <c r="AI948" s="430"/>
      <c r="AJ948" s="430"/>
      <c r="AK948" s="430"/>
      <c r="AL948" s="476"/>
      <c r="AM948" s="430"/>
      <c r="AN948" s="430"/>
      <c r="AO948" s="430"/>
      <c r="AP948" s="430"/>
      <c r="AQ948" s="430"/>
      <c r="AR948" s="430"/>
      <c r="AS948" s="430"/>
      <c r="AT948" s="430"/>
      <c r="AU948" s="430"/>
      <c r="AV948" s="430"/>
      <c r="AW948" s="430"/>
      <c r="AX948" s="430"/>
    </row>
    <row r="949">
      <c r="B949" s="471"/>
      <c r="E949" s="471"/>
      <c r="H949" s="471"/>
      <c r="K949" s="471"/>
      <c r="M949" s="454"/>
      <c r="N949" s="424"/>
      <c r="O949" s="424"/>
      <c r="P949" s="430"/>
      <c r="Q949" s="444"/>
      <c r="R949" s="424"/>
      <c r="S949" s="430"/>
      <c r="T949" s="444"/>
      <c r="U949" s="430"/>
      <c r="V949" s="430"/>
      <c r="W949" s="444"/>
      <c r="X949" s="444"/>
      <c r="Y949" s="430"/>
      <c r="Z949" s="430"/>
      <c r="AA949" s="430"/>
      <c r="AB949" s="444"/>
      <c r="AC949" s="444"/>
      <c r="AD949" s="430"/>
      <c r="AE949" s="430"/>
      <c r="AF949" s="430"/>
      <c r="AG949" s="444"/>
      <c r="AH949" s="444"/>
      <c r="AI949" s="430"/>
      <c r="AJ949" s="430"/>
      <c r="AK949" s="430"/>
      <c r="AL949" s="476"/>
      <c r="AM949" s="430"/>
      <c r="AN949" s="430"/>
      <c r="AO949" s="430"/>
      <c r="AP949" s="430"/>
      <c r="AQ949" s="430"/>
      <c r="AR949" s="430"/>
      <c r="AS949" s="430"/>
      <c r="AT949" s="430"/>
      <c r="AU949" s="430"/>
      <c r="AV949" s="430"/>
      <c r="AW949" s="430"/>
      <c r="AX949" s="430"/>
    </row>
    <row r="950">
      <c r="B950" s="471"/>
      <c r="E950" s="471"/>
      <c r="H950" s="471"/>
      <c r="K950" s="471"/>
      <c r="M950" s="454"/>
      <c r="N950" s="424"/>
      <c r="O950" s="424"/>
      <c r="P950" s="430"/>
      <c r="Q950" s="444"/>
      <c r="R950" s="424"/>
      <c r="S950" s="430"/>
      <c r="T950" s="444"/>
      <c r="U950" s="430"/>
      <c r="V950" s="430"/>
      <c r="W950" s="444"/>
      <c r="X950" s="444"/>
      <c r="Y950" s="430"/>
      <c r="Z950" s="430"/>
      <c r="AA950" s="430"/>
      <c r="AB950" s="444"/>
      <c r="AC950" s="444"/>
      <c r="AD950" s="430"/>
      <c r="AE950" s="430"/>
      <c r="AF950" s="430"/>
      <c r="AG950" s="444"/>
      <c r="AH950" s="444"/>
      <c r="AI950" s="430"/>
      <c r="AJ950" s="430"/>
      <c r="AK950" s="430"/>
      <c r="AL950" s="476"/>
      <c r="AM950" s="430"/>
      <c r="AN950" s="430"/>
      <c r="AO950" s="430"/>
      <c r="AP950" s="430"/>
      <c r="AQ950" s="430"/>
      <c r="AR950" s="430"/>
      <c r="AS950" s="430"/>
      <c r="AT950" s="430"/>
      <c r="AU950" s="430"/>
      <c r="AV950" s="430"/>
      <c r="AW950" s="430"/>
      <c r="AX950" s="430"/>
    </row>
    <row r="951">
      <c r="B951" s="471"/>
      <c r="E951" s="471"/>
      <c r="H951" s="471"/>
      <c r="K951" s="471"/>
      <c r="M951" s="454"/>
      <c r="N951" s="424"/>
      <c r="O951" s="424"/>
      <c r="P951" s="430"/>
      <c r="Q951" s="444"/>
      <c r="R951" s="424"/>
      <c r="S951" s="430"/>
      <c r="T951" s="444"/>
      <c r="U951" s="430"/>
      <c r="V951" s="430"/>
      <c r="W951" s="444"/>
      <c r="X951" s="444"/>
      <c r="Y951" s="430"/>
      <c r="Z951" s="430"/>
      <c r="AA951" s="430"/>
      <c r="AB951" s="444"/>
      <c r="AC951" s="444"/>
      <c r="AD951" s="430"/>
      <c r="AE951" s="430"/>
      <c r="AF951" s="430"/>
      <c r="AG951" s="444"/>
      <c r="AH951" s="444"/>
      <c r="AI951" s="430"/>
      <c r="AJ951" s="430"/>
      <c r="AK951" s="430"/>
      <c r="AL951" s="476"/>
      <c r="AM951" s="430"/>
      <c r="AN951" s="430"/>
      <c r="AO951" s="430"/>
      <c r="AP951" s="430"/>
      <c r="AQ951" s="430"/>
      <c r="AR951" s="430"/>
      <c r="AS951" s="430"/>
      <c r="AT951" s="430"/>
      <c r="AU951" s="430"/>
      <c r="AV951" s="430"/>
      <c r="AW951" s="430"/>
      <c r="AX951" s="430"/>
    </row>
    <row r="952">
      <c r="B952" s="471"/>
      <c r="E952" s="471"/>
      <c r="H952" s="471"/>
      <c r="K952" s="471"/>
      <c r="M952" s="454"/>
      <c r="N952" s="424"/>
      <c r="O952" s="424"/>
      <c r="P952" s="430"/>
      <c r="Q952" s="444"/>
      <c r="R952" s="424"/>
      <c r="S952" s="430"/>
      <c r="T952" s="444"/>
      <c r="U952" s="430"/>
      <c r="V952" s="430"/>
      <c r="W952" s="444"/>
      <c r="X952" s="444"/>
      <c r="Y952" s="430"/>
      <c r="Z952" s="430"/>
      <c r="AA952" s="430"/>
      <c r="AB952" s="444"/>
      <c r="AC952" s="444"/>
      <c r="AD952" s="430"/>
      <c r="AE952" s="430"/>
      <c r="AF952" s="430"/>
      <c r="AG952" s="444"/>
      <c r="AH952" s="444"/>
      <c r="AI952" s="430"/>
      <c r="AJ952" s="430"/>
      <c r="AK952" s="430"/>
      <c r="AL952" s="476"/>
      <c r="AM952" s="430"/>
      <c r="AN952" s="430"/>
      <c r="AO952" s="430"/>
      <c r="AP952" s="430"/>
      <c r="AQ952" s="430"/>
      <c r="AR952" s="430"/>
      <c r="AS952" s="430"/>
      <c r="AT952" s="430"/>
      <c r="AU952" s="430"/>
      <c r="AV952" s="430"/>
      <c r="AW952" s="430"/>
      <c r="AX952" s="430"/>
    </row>
    <row r="953">
      <c r="B953" s="471"/>
      <c r="E953" s="471"/>
      <c r="H953" s="471"/>
      <c r="K953" s="471"/>
      <c r="M953" s="454"/>
      <c r="N953" s="424"/>
      <c r="O953" s="424"/>
      <c r="P953" s="430"/>
      <c r="Q953" s="444"/>
      <c r="R953" s="424"/>
      <c r="S953" s="430"/>
      <c r="T953" s="444"/>
      <c r="U953" s="430"/>
      <c r="V953" s="430"/>
      <c r="W953" s="444"/>
      <c r="X953" s="444"/>
      <c r="Y953" s="430"/>
      <c r="Z953" s="430"/>
      <c r="AA953" s="430"/>
      <c r="AB953" s="444"/>
      <c r="AC953" s="444"/>
      <c r="AD953" s="430"/>
      <c r="AE953" s="430"/>
      <c r="AF953" s="430"/>
      <c r="AG953" s="444"/>
      <c r="AH953" s="444"/>
      <c r="AI953" s="430"/>
      <c r="AJ953" s="430"/>
      <c r="AK953" s="430"/>
      <c r="AL953" s="476"/>
      <c r="AM953" s="430"/>
      <c r="AN953" s="430"/>
      <c r="AO953" s="430"/>
      <c r="AP953" s="430"/>
      <c r="AQ953" s="430"/>
      <c r="AR953" s="430"/>
      <c r="AS953" s="430"/>
      <c r="AT953" s="430"/>
      <c r="AU953" s="430"/>
      <c r="AV953" s="430"/>
      <c r="AW953" s="430"/>
      <c r="AX953" s="430"/>
    </row>
    <row r="954">
      <c r="B954" s="471"/>
      <c r="E954" s="471"/>
      <c r="H954" s="471"/>
      <c r="K954" s="471"/>
      <c r="M954" s="454"/>
      <c r="N954" s="424"/>
      <c r="O954" s="424"/>
      <c r="P954" s="430"/>
      <c r="Q954" s="444"/>
      <c r="R954" s="424"/>
      <c r="S954" s="430"/>
      <c r="T954" s="444"/>
      <c r="U954" s="430"/>
      <c r="V954" s="430"/>
      <c r="W954" s="444"/>
      <c r="X954" s="444"/>
      <c r="Y954" s="430"/>
      <c r="Z954" s="430"/>
      <c r="AA954" s="430"/>
      <c r="AB954" s="444"/>
      <c r="AC954" s="444"/>
      <c r="AD954" s="430"/>
      <c r="AE954" s="430"/>
      <c r="AF954" s="430"/>
      <c r="AG954" s="444"/>
      <c r="AH954" s="444"/>
      <c r="AI954" s="430"/>
      <c r="AJ954" s="430"/>
      <c r="AK954" s="430"/>
      <c r="AL954" s="476"/>
      <c r="AM954" s="430"/>
      <c r="AN954" s="430"/>
      <c r="AO954" s="430"/>
      <c r="AP954" s="430"/>
      <c r="AQ954" s="430"/>
      <c r="AR954" s="430"/>
      <c r="AS954" s="430"/>
      <c r="AT954" s="430"/>
      <c r="AU954" s="430"/>
      <c r="AV954" s="430"/>
      <c r="AW954" s="430"/>
      <c r="AX954" s="430"/>
    </row>
    <row r="955">
      <c r="B955" s="471"/>
      <c r="E955" s="471"/>
      <c r="H955" s="471"/>
      <c r="K955" s="471"/>
      <c r="M955" s="454"/>
      <c r="N955" s="424"/>
      <c r="O955" s="424"/>
      <c r="P955" s="430"/>
      <c r="Q955" s="444"/>
      <c r="R955" s="424"/>
      <c r="S955" s="430"/>
      <c r="T955" s="444"/>
      <c r="U955" s="430"/>
      <c r="V955" s="430"/>
      <c r="W955" s="444"/>
      <c r="X955" s="444"/>
      <c r="Y955" s="430"/>
      <c r="Z955" s="430"/>
      <c r="AA955" s="430"/>
      <c r="AB955" s="444"/>
      <c r="AC955" s="444"/>
      <c r="AD955" s="430"/>
      <c r="AE955" s="430"/>
      <c r="AF955" s="430"/>
      <c r="AG955" s="444"/>
      <c r="AH955" s="444"/>
      <c r="AI955" s="430"/>
      <c r="AJ955" s="430"/>
      <c r="AK955" s="430"/>
      <c r="AL955" s="476"/>
      <c r="AM955" s="430"/>
      <c r="AN955" s="430"/>
      <c r="AO955" s="430"/>
      <c r="AP955" s="430"/>
      <c r="AQ955" s="430"/>
      <c r="AR955" s="430"/>
      <c r="AS955" s="430"/>
      <c r="AT955" s="430"/>
      <c r="AU955" s="430"/>
      <c r="AV955" s="430"/>
      <c r="AW955" s="430"/>
      <c r="AX955" s="430"/>
    </row>
    <row r="956">
      <c r="B956" s="471"/>
      <c r="E956" s="471"/>
      <c r="H956" s="471"/>
      <c r="K956" s="471"/>
      <c r="M956" s="454"/>
      <c r="N956" s="424"/>
      <c r="O956" s="424"/>
      <c r="P956" s="430"/>
      <c r="Q956" s="444"/>
      <c r="R956" s="424"/>
      <c r="S956" s="430"/>
      <c r="T956" s="444"/>
      <c r="U956" s="430"/>
      <c r="V956" s="430"/>
      <c r="W956" s="444"/>
      <c r="X956" s="444"/>
      <c r="Y956" s="430"/>
      <c r="Z956" s="430"/>
      <c r="AA956" s="430"/>
      <c r="AB956" s="444"/>
      <c r="AC956" s="444"/>
      <c r="AD956" s="430"/>
      <c r="AE956" s="430"/>
      <c r="AF956" s="430"/>
      <c r="AG956" s="444"/>
      <c r="AH956" s="444"/>
      <c r="AI956" s="430"/>
      <c r="AJ956" s="430"/>
      <c r="AK956" s="430"/>
      <c r="AL956" s="476"/>
      <c r="AM956" s="430"/>
      <c r="AN956" s="430"/>
      <c r="AO956" s="430"/>
      <c r="AP956" s="430"/>
      <c r="AQ956" s="430"/>
      <c r="AR956" s="430"/>
      <c r="AS956" s="430"/>
      <c r="AT956" s="430"/>
      <c r="AU956" s="430"/>
      <c r="AV956" s="430"/>
      <c r="AW956" s="430"/>
      <c r="AX956" s="430"/>
    </row>
    <row r="957">
      <c r="B957" s="471"/>
      <c r="E957" s="471"/>
      <c r="H957" s="471"/>
      <c r="K957" s="471"/>
      <c r="M957" s="454"/>
      <c r="N957" s="424"/>
      <c r="O957" s="424"/>
      <c r="P957" s="430"/>
      <c r="Q957" s="444"/>
      <c r="R957" s="424"/>
      <c r="S957" s="430"/>
      <c r="T957" s="444"/>
      <c r="U957" s="430"/>
      <c r="V957" s="430"/>
      <c r="W957" s="444"/>
      <c r="X957" s="444"/>
      <c r="Y957" s="430"/>
      <c r="Z957" s="430"/>
      <c r="AA957" s="430"/>
      <c r="AB957" s="444"/>
      <c r="AC957" s="444"/>
      <c r="AD957" s="430"/>
      <c r="AE957" s="430"/>
      <c r="AF957" s="430"/>
      <c r="AG957" s="444"/>
      <c r="AH957" s="444"/>
      <c r="AI957" s="430"/>
      <c r="AJ957" s="430"/>
      <c r="AK957" s="430"/>
      <c r="AL957" s="476"/>
      <c r="AM957" s="430"/>
      <c r="AN957" s="430"/>
      <c r="AO957" s="430"/>
      <c r="AP957" s="430"/>
      <c r="AQ957" s="430"/>
      <c r="AR957" s="430"/>
      <c r="AS957" s="430"/>
      <c r="AT957" s="430"/>
      <c r="AU957" s="430"/>
      <c r="AV957" s="430"/>
      <c r="AW957" s="430"/>
      <c r="AX957" s="430"/>
    </row>
    <row r="958">
      <c r="B958" s="471"/>
      <c r="E958" s="471"/>
      <c r="H958" s="471"/>
      <c r="K958" s="471"/>
      <c r="M958" s="454"/>
      <c r="N958" s="424"/>
      <c r="O958" s="424"/>
      <c r="P958" s="430"/>
      <c r="Q958" s="444"/>
      <c r="R958" s="424"/>
      <c r="S958" s="430"/>
      <c r="T958" s="444"/>
      <c r="U958" s="430"/>
      <c r="V958" s="430"/>
      <c r="W958" s="444"/>
      <c r="X958" s="444"/>
      <c r="Y958" s="430"/>
      <c r="Z958" s="430"/>
      <c r="AA958" s="430"/>
      <c r="AB958" s="444"/>
      <c r="AC958" s="444"/>
      <c r="AD958" s="430"/>
      <c r="AE958" s="430"/>
      <c r="AF958" s="430"/>
      <c r="AG958" s="444"/>
      <c r="AH958" s="444"/>
      <c r="AI958" s="430"/>
      <c r="AJ958" s="430"/>
      <c r="AK958" s="430"/>
      <c r="AL958" s="476"/>
      <c r="AM958" s="430"/>
      <c r="AN958" s="430"/>
      <c r="AO958" s="430"/>
      <c r="AP958" s="430"/>
      <c r="AQ958" s="430"/>
      <c r="AR958" s="430"/>
      <c r="AS958" s="430"/>
      <c r="AT958" s="430"/>
      <c r="AU958" s="430"/>
      <c r="AV958" s="430"/>
      <c r="AW958" s="430"/>
      <c r="AX958" s="430"/>
    </row>
    <row r="959">
      <c r="B959" s="471"/>
      <c r="E959" s="471"/>
      <c r="H959" s="471"/>
      <c r="K959" s="471"/>
      <c r="M959" s="454"/>
      <c r="N959" s="424"/>
      <c r="O959" s="424"/>
      <c r="P959" s="430"/>
      <c r="Q959" s="444"/>
      <c r="R959" s="424"/>
      <c r="S959" s="430"/>
      <c r="T959" s="444"/>
      <c r="U959" s="430"/>
      <c r="V959" s="430"/>
      <c r="W959" s="444"/>
      <c r="X959" s="444"/>
      <c r="Y959" s="430"/>
      <c r="Z959" s="430"/>
      <c r="AA959" s="430"/>
      <c r="AB959" s="444"/>
      <c r="AC959" s="444"/>
      <c r="AD959" s="430"/>
      <c r="AE959" s="430"/>
      <c r="AF959" s="430"/>
      <c r="AG959" s="444"/>
      <c r="AH959" s="444"/>
      <c r="AI959" s="430"/>
      <c r="AJ959" s="430"/>
      <c r="AK959" s="430"/>
      <c r="AL959" s="476"/>
      <c r="AM959" s="430"/>
      <c r="AN959" s="430"/>
      <c r="AO959" s="430"/>
      <c r="AP959" s="430"/>
      <c r="AQ959" s="430"/>
      <c r="AR959" s="430"/>
      <c r="AS959" s="430"/>
      <c r="AT959" s="430"/>
      <c r="AU959" s="430"/>
      <c r="AV959" s="430"/>
      <c r="AW959" s="430"/>
      <c r="AX959" s="430"/>
    </row>
    <row r="960">
      <c r="B960" s="471"/>
      <c r="E960" s="471"/>
      <c r="H960" s="471"/>
      <c r="K960" s="471"/>
      <c r="M960" s="454"/>
      <c r="N960" s="424"/>
      <c r="O960" s="424"/>
      <c r="P960" s="430"/>
      <c r="Q960" s="444"/>
      <c r="R960" s="424"/>
      <c r="S960" s="430"/>
      <c r="T960" s="444"/>
      <c r="U960" s="430"/>
      <c r="V960" s="430"/>
      <c r="W960" s="444"/>
      <c r="X960" s="444"/>
      <c r="Y960" s="430"/>
      <c r="Z960" s="430"/>
      <c r="AA960" s="430"/>
      <c r="AB960" s="444"/>
      <c r="AC960" s="444"/>
      <c r="AD960" s="430"/>
      <c r="AE960" s="430"/>
      <c r="AF960" s="430"/>
      <c r="AG960" s="444"/>
      <c r="AH960" s="444"/>
      <c r="AI960" s="430"/>
      <c r="AJ960" s="430"/>
      <c r="AK960" s="430"/>
      <c r="AL960" s="476"/>
      <c r="AM960" s="430"/>
      <c r="AN960" s="430"/>
      <c r="AO960" s="430"/>
      <c r="AP960" s="430"/>
      <c r="AQ960" s="430"/>
      <c r="AR960" s="430"/>
      <c r="AS960" s="430"/>
      <c r="AT960" s="430"/>
      <c r="AU960" s="430"/>
      <c r="AV960" s="430"/>
      <c r="AW960" s="430"/>
      <c r="AX960" s="430"/>
    </row>
    <row r="961">
      <c r="B961" s="471"/>
      <c r="E961" s="471"/>
      <c r="H961" s="471"/>
      <c r="K961" s="471"/>
      <c r="M961" s="454"/>
      <c r="N961" s="424"/>
      <c r="O961" s="424"/>
      <c r="P961" s="430"/>
      <c r="Q961" s="444"/>
      <c r="R961" s="424"/>
      <c r="S961" s="430"/>
      <c r="T961" s="444"/>
      <c r="U961" s="430"/>
      <c r="V961" s="430"/>
      <c r="W961" s="444"/>
      <c r="X961" s="444"/>
      <c r="Y961" s="430"/>
      <c r="Z961" s="430"/>
      <c r="AA961" s="430"/>
      <c r="AB961" s="444"/>
      <c r="AC961" s="444"/>
      <c r="AD961" s="430"/>
      <c r="AE961" s="430"/>
      <c r="AF961" s="430"/>
      <c r="AG961" s="444"/>
      <c r="AH961" s="444"/>
      <c r="AI961" s="430"/>
      <c r="AJ961" s="430"/>
      <c r="AK961" s="430"/>
      <c r="AL961" s="476"/>
      <c r="AM961" s="430"/>
      <c r="AN961" s="430"/>
      <c r="AO961" s="430"/>
      <c r="AP961" s="430"/>
      <c r="AQ961" s="430"/>
      <c r="AR961" s="430"/>
      <c r="AS961" s="430"/>
      <c r="AT961" s="430"/>
      <c r="AU961" s="430"/>
      <c r="AV961" s="430"/>
      <c r="AW961" s="430"/>
      <c r="AX961" s="430"/>
    </row>
    <row r="962">
      <c r="B962" s="471"/>
      <c r="E962" s="471"/>
      <c r="H962" s="471"/>
      <c r="K962" s="471"/>
      <c r="M962" s="454"/>
      <c r="N962" s="424"/>
      <c r="O962" s="424"/>
      <c r="P962" s="430"/>
      <c r="Q962" s="444"/>
      <c r="R962" s="424"/>
      <c r="S962" s="430"/>
      <c r="T962" s="444"/>
      <c r="U962" s="430"/>
      <c r="V962" s="430"/>
      <c r="W962" s="444"/>
      <c r="X962" s="444"/>
      <c r="Y962" s="430"/>
      <c r="Z962" s="430"/>
      <c r="AA962" s="430"/>
      <c r="AB962" s="444"/>
      <c r="AC962" s="444"/>
      <c r="AD962" s="430"/>
      <c r="AE962" s="430"/>
      <c r="AF962" s="430"/>
      <c r="AG962" s="444"/>
      <c r="AH962" s="444"/>
      <c r="AI962" s="430"/>
      <c r="AJ962" s="430"/>
      <c r="AK962" s="430"/>
      <c r="AL962" s="476"/>
      <c r="AM962" s="430"/>
      <c r="AN962" s="430"/>
      <c r="AO962" s="430"/>
      <c r="AP962" s="430"/>
      <c r="AQ962" s="430"/>
      <c r="AR962" s="430"/>
      <c r="AS962" s="430"/>
      <c r="AT962" s="430"/>
      <c r="AU962" s="430"/>
      <c r="AV962" s="430"/>
      <c r="AW962" s="430"/>
      <c r="AX962" s="430"/>
    </row>
    <row r="963">
      <c r="B963" s="471"/>
      <c r="E963" s="471"/>
      <c r="H963" s="471"/>
      <c r="K963" s="471"/>
      <c r="M963" s="454"/>
      <c r="N963" s="424"/>
      <c r="O963" s="424"/>
      <c r="P963" s="430"/>
      <c r="Q963" s="444"/>
      <c r="R963" s="424"/>
      <c r="S963" s="430"/>
      <c r="T963" s="444"/>
      <c r="U963" s="430"/>
      <c r="V963" s="430"/>
      <c r="W963" s="444"/>
      <c r="X963" s="444"/>
      <c r="Y963" s="430"/>
      <c r="Z963" s="430"/>
      <c r="AA963" s="430"/>
      <c r="AB963" s="444"/>
      <c r="AC963" s="444"/>
      <c r="AD963" s="430"/>
      <c r="AE963" s="430"/>
      <c r="AF963" s="430"/>
      <c r="AG963" s="444"/>
      <c r="AH963" s="444"/>
      <c r="AI963" s="430"/>
      <c r="AJ963" s="430"/>
      <c r="AK963" s="430"/>
      <c r="AL963" s="476"/>
      <c r="AM963" s="430"/>
      <c r="AN963" s="430"/>
      <c r="AO963" s="430"/>
      <c r="AP963" s="430"/>
      <c r="AQ963" s="430"/>
      <c r="AR963" s="430"/>
      <c r="AS963" s="430"/>
      <c r="AT963" s="430"/>
      <c r="AU963" s="430"/>
      <c r="AV963" s="430"/>
      <c r="AW963" s="430"/>
      <c r="AX963" s="430"/>
    </row>
    <row r="964">
      <c r="B964" s="471"/>
      <c r="E964" s="471"/>
      <c r="H964" s="471"/>
      <c r="K964" s="471"/>
      <c r="M964" s="454"/>
      <c r="N964" s="424"/>
      <c r="O964" s="424"/>
      <c r="P964" s="430"/>
      <c r="Q964" s="444"/>
      <c r="R964" s="424"/>
      <c r="S964" s="430"/>
      <c r="T964" s="444"/>
      <c r="U964" s="430"/>
      <c r="V964" s="430"/>
      <c r="W964" s="444"/>
      <c r="X964" s="444"/>
      <c r="Y964" s="430"/>
      <c r="Z964" s="430"/>
      <c r="AA964" s="430"/>
      <c r="AB964" s="444"/>
      <c r="AC964" s="444"/>
      <c r="AD964" s="430"/>
      <c r="AE964" s="430"/>
      <c r="AF964" s="430"/>
      <c r="AG964" s="444"/>
      <c r="AH964" s="444"/>
      <c r="AI964" s="430"/>
      <c r="AJ964" s="430"/>
      <c r="AK964" s="430"/>
      <c r="AL964" s="476"/>
      <c r="AM964" s="430"/>
      <c r="AN964" s="430"/>
      <c r="AO964" s="430"/>
      <c r="AP964" s="430"/>
      <c r="AQ964" s="430"/>
      <c r="AR964" s="430"/>
      <c r="AS964" s="430"/>
      <c r="AT964" s="430"/>
      <c r="AU964" s="430"/>
      <c r="AV964" s="430"/>
      <c r="AW964" s="430"/>
      <c r="AX964" s="430"/>
    </row>
    <row r="965">
      <c r="B965" s="471"/>
      <c r="E965" s="471"/>
      <c r="H965" s="471"/>
      <c r="K965" s="471"/>
      <c r="M965" s="454"/>
      <c r="N965" s="424"/>
      <c r="O965" s="424"/>
      <c r="P965" s="430"/>
      <c r="Q965" s="444"/>
      <c r="R965" s="424"/>
      <c r="S965" s="430"/>
      <c r="T965" s="444"/>
      <c r="U965" s="430"/>
      <c r="V965" s="430"/>
      <c r="W965" s="444"/>
      <c r="X965" s="444"/>
      <c r="Y965" s="430"/>
      <c r="Z965" s="430"/>
      <c r="AA965" s="430"/>
      <c r="AB965" s="444"/>
      <c r="AC965" s="444"/>
      <c r="AD965" s="430"/>
      <c r="AE965" s="430"/>
      <c r="AF965" s="430"/>
      <c r="AG965" s="444"/>
      <c r="AH965" s="444"/>
      <c r="AI965" s="430"/>
      <c r="AJ965" s="430"/>
      <c r="AK965" s="430"/>
      <c r="AL965" s="476"/>
      <c r="AM965" s="430"/>
      <c r="AN965" s="430"/>
      <c r="AO965" s="430"/>
      <c r="AP965" s="430"/>
      <c r="AQ965" s="430"/>
      <c r="AR965" s="430"/>
      <c r="AS965" s="430"/>
      <c r="AT965" s="430"/>
      <c r="AU965" s="430"/>
      <c r="AV965" s="430"/>
      <c r="AW965" s="430"/>
      <c r="AX965" s="430"/>
    </row>
    <row r="966">
      <c r="B966" s="471"/>
      <c r="E966" s="471"/>
      <c r="H966" s="471"/>
      <c r="K966" s="471"/>
      <c r="M966" s="454"/>
      <c r="N966" s="424"/>
      <c r="O966" s="424"/>
      <c r="P966" s="430"/>
      <c r="Q966" s="444"/>
      <c r="R966" s="424"/>
      <c r="S966" s="430"/>
      <c r="T966" s="444"/>
      <c r="U966" s="430"/>
      <c r="V966" s="430"/>
      <c r="W966" s="444"/>
      <c r="X966" s="444"/>
      <c r="Y966" s="430"/>
      <c r="Z966" s="430"/>
      <c r="AA966" s="430"/>
      <c r="AB966" s="444"/>
      <c r="AC966" s="444"/>
      <c r="AD966" s="430"/>
      <c r="AE966" s="430"/>
      <c r="AF966" s="430"/>
      <c r="AG966" s="444"/>
      <c r="AH966" s="444"/>
      <c r="AI966" s="430"/>
      <c r="AJ966" s="430"/>
      <c r="AK966" s="430"/>
      <c r="AL966" s="476"/>
      <c r="AM966" s="430"/>
      <c r="AN966" s="430"/>
      <c r="AO966" s="430"/>
      <c r="AP966" s="430"/>
      <c r="AQ966" s="430"/>
      <c r="AR966" s="430"/>
      <c r="AS966" s="430"/>
      <c r="AT966" s="430"/>
      <c r="AU966" s="430"/>
      <c r="AV966" s="430"/>
      <c r="AW966" s="430"/>
      <c r="AX966" s="430"/>
    </row>
    <row r="967">
      <c r="B967" s="471"/>
      <c r="E967" s="471"/>
      <c r="H967" s="471"/>
      <c r="K967" s="471"/>
      <c r="M967" s="454"/>
      <c r="N967" s="424"/>
      <c r="O967" s="424"/>
      <c r="P967" s="430"/>
      <c r="Q967" s="444"/>
      <c r="R967" s="424"/>
      <c r="S967" s="430"/>
      <c r="T967" s="444"/>
      <c r="U967" s="430"/>
      <c r="V967" s="430"/>
      <c r="W967" s="444"/>
      <c r="X967" s="444"/>
      <c r="Y967" s="430"/>
      <c r="Z967" s="430"/>
      <c r="AA967" s="430"/>
      <c r="AB967" s="444"/>
      <c r="AC967" s="444"/>
      <c r="AD967" s="430"/>
      <c r="AE967" s="430"/>
      <c r="AF967" s="430"/>
      <c r="AG967" s="444"/>
      <c r="AH967" s="444"/>
      <c r="AI967" s="430"/>
      <c r="AJ967" s="430"/>
      <c r="AK967" s="430"/>
      <c r="AL967" s="476"/>
      <c r="AM967" s="430"/>
      <c r="AN967" s="430"/>
      <c r="AO967" s="430"/>
      <c r="AP967" s="430"/>
      <c r="AQ967" s="430"/>
      <c r="AR967" s="430"/>
      <c r="AS967" s="430"/>
      <c r="AT967" s="430"/>
      <c r="AU967" s="430"/>
      <c r="AV967" s="430"/>
      <c r="AW967" s="430"/>
      <c r="AX967" s="430"/>
    </row>
    <row r="968">
      <c r="B968" s="471"/>
      <c r="E968" s="471"/>
      <c r="H968" s="471"/>
      <c r="K968" s="471"/>
      <c r="M968" s="454"/>
      <c r="N968" s="424"/>
      <c r="O968" s="424"/>
      <c r="P968" s="430"/>
      <c r="Q968" s="444"/>
      <c r="R968" s="424"/>
      <c r="S968" s="430"/>
      <c r="T968" s="444"/>
      <c r="U968" s="430"/>
      <c r="V968" s="430"/>
      <c r="W968" s="444"/>
      <c r="X968" s="444"/>
      <c r="Y968" s="430"/>
      <c r="Z968" s="430"/>
      <c r="AA968" s="430"/>
      <c r="AB968" s="444"/>
      <c r="AC968" s="444"/>
      <c r="AD968" s="430"/>
      <c r="AE968" s="430"/>
      <c r="AF968" s="430"/>
      <c r="AG968" s="444"/>
      <c r="AH968" s="444"/>
      <c r="AI968" s="430"/>
      <c r="AJ968" s="430"/>
      <c r="AK968" s="430"/>
      <c r="AL968" s="476"/>
      <c r="AM968" s="430"/>
      <c r="AN968" s="430"/>
      <c r="AO968" s="430"/>
      <c r="AP968" s="430"/>
      <c r="AQ968" s="430"/>
      <c r="AR968" s="430"/>
      <c r="AS968" s="430"/>
      <c r="AT968" s="430"/>
      <c r="AU968" s="430"/>
      <c r="AV968" s="430"/>
      <c r="AW968" s="430"/>
      <c r="AX968" s="430"/>
    </row>
    <row r="969">
      <c r="B969" s="471"/>
      <c r="E969" s="471"/>
      <c r="H969" s="471"/>
      <c r="K969" s="471"/>
      <c r="M969" s="454"/>
      <c r="N969" s="424"/>
      <c r="O969" s="424"/>
      <c r="P969" s="430"/>
      <c r="Q969" s="444"/>
      <c r="R969" s="424"/>
      <c r="S969" s="430"/>
      <c r="T969" s="444"/>
      <c r="U969" s="430"/>
      <c r="V969" s="430"/>
      <c r="W969" s="444"/>
      <c r="X969" s="444"/>
      <c r="Y969" s="430"/>
      <c r="Z969" s="430"/>
      <c r="AA969" s="430"/>
      <c r="AB969" s="444"/>
      <c r="AC969" s="444"/>
      <c r="AD969" s="430"/>
      <c r="AE969" s="430"/>
      <c r="AF969" s="430"/>
      <c r="AG969" s="444"/>
      <c r="AH969" s="444"/>
      <c r="AI969" s="430"/>
      <c r="AJ969" s="430"/>
      <c r="AK969" s="430"/>
      <c r="AL969" s="476"/>
      <c r="AM969" s="430"/>
      <c r="AN969" s="430"/>
      <c r="AO969" s="430"/>
      <c r="AP969" s="430"/>
      <c r="AQ969" s="430"/>
      <c r="AR969" s="430"/>
      <c r="AS969" s="430"/>
      <c r="AT969" s="430"/>
      <c r="AU969" s="430"/>
      <c r="AV969" s="430"/>
      <c r="AW969" s="430"/>
      <c r="AX969" s="430"/>
    </row>
    <row r="970">
      <c r="B970" s="471"/>
      <c r="E970" s="471"/>
      <c r="H970" s="471"/>
      <c r="K970" s="471"/>
      <c r="M970" s="454"/>
      <c r="N970" s="424"/>
      <c r="O970" s="424"/>
      <c r="P970" s="430"/>
      <c r="Q970" s="444"/>
      <c r="R970" s="424"/>
      <c r="S970" s="430"/>
      <c r="T970" s="444"/>
      <c r="U970" s="430"/>
      <c r="V970" s="430"/>
      <c r="W970" s="444"/>
      <c r="X970" s="444"/>
      <c r="Y970" s="430"/>
      <c r="Z970" s="430"/>
      <c r="AA970" s="430"/>
      <c r="AB970" s="444"/>
      <c r="AC970" s="444"/>
      <c r="AD970" s="430"/>
      <c r="AE970" s="430"/>
      <c r="AF970" s="430"/>
      <c r="AG970" s="444"/>
      <c r="AH970" s="444"/>
      <c r="AI970" s="430"/>
      <c r="AJ970" s="430"/>
      <c r="AK970" s="430"/>
      <c r="AL970" s="476"/>
      <c r="AM970" s="430"/>
      <c r="AN970" s="430"/>
      <c r="AO970" s="430"/>
      <c r="AP970" s="430"/>
      <c r="AQ970" s="430"/>
      <c r="AR970" s="430"/>
      <c r="AS970" s="430"/>
      <c r="AT970" s="430"/>
      <c r="AU970" s="430"/>
      <c r="AV970" s="430"/>
      <c r="AW970" s="430"/>
      <c r="AX970" s="430"/>
    </row>
    <row r="971">
      <c r="B971" s="471"/>
      <c r="E971" s="471"/>
      <c r="H971" s="471"/>
      <c r="K971" s="471"/>
      <c r="M971" s="454"/>
      <c r="N971" s="424"/>
      <c r="O971" s="424"/>
      <c r="P971" s="430"/>
      <c r="Q971" s="444"/>
      <c r="R971" s="424"/>
      <c r="S971" s="430"/>
      <c r="T971" s="444"/>
      <c r="U971" s="430"/>
      <c r="V971" s="430"/>
      <c r="W971" s="444"/>
      <c r="X971" s="444"/>
      <c r="Y971" s="430"/>
      <c r="Z971" s="430"/>
      <c r="AA971" s="430"/>
      <c r="AB971" s="444"/>
      <c r="AC971" s="444"/>
      <c r="AD971" s="430"/>
      <c r="AE971" s="430"/>
      <c r="AF971" s="430"/>
      <c r="AG971" s="444"/>
      <c r="AH971" s="444"/>
      <c r="AI971" s="430"/>
      <c r="AJ971" s="430"/>
      <c r="AK971" s="430"/>
      <c r="AL971" s="476"/>
      <c r="AM971" s="430"/>
      <c r="AN971" s="430"/>
      <c r="AO971" s="430"/>
      <c r="AP971" s="430"/>
      <c r="AQ971" s="430"/>
      <c r="AR971" s="430"/>
      <c r="AS971" s="430"/>
      <c r="AT971" s="430"/>
      <c r="AU971" s="430"/>
      <c r="AV971" s="430"/>
      <c r="AW971" s="430"/>
      <c r="AX971" s="430"/>
    </row>
    <row r="972">
      <c r="B972" s="471"/>
      <c r="E972" s="471"/>
      <c r="H972" s="471"/>
      <c r="K972" s="471"/>
      <c r="M972" s="454"/>
      <c r="N972" s="424"/>
      <c r="O972" s="424"/>
      <c r="P972" s="430"/>
      <c r="Q972" s="444"/>
      <c r="R972" s="424"/>
      <c r="S972" s="430"/>
      <c r="T972" s="444"/>
      <c r="U972" s="430"/>
      <c r="V972" s="430"/>
      <c r="W972" s="444"/>
      <c r="X972" s="444"/>
      <c r="Y972" s="430"/>
      <c r="Z972" s="430"/>
      <c r="AA972" s="430"/>
      <c r="AB972" s="444"/>
      <c r="AC972" s="444"/>
      <c r="AD972" s="430"/>
      <c r="AE972" s="430"/>
      <c r="AF972" s="430"/>
      <c r="AG972" s="444"/>
      <c r="AH972" s="444"/>
      <c r="AI972" s="430"/>
      <c r="AJ972" s="430"/>
      <c r="AK972" s="430"/>
      <c r="AL972" s="476"/>
      <c r="AM972" s="430"/>
      <c r="AN972" s="430"/>
      <c r="AO972" s="430"/>
      <c r="AP972" s="430"/>
      <c r="AQ972" s="430"/>
      <c r="AR972" s="430"/>
      <c r="AS972" s="430"/>
      <c r="AT972" s="430"/>
      <c r="AU972" s="430"/>
      <c r="AV972" s="430"/>
      <c r="AW972" s="430"/>
      <c r="AX972" s="430"/>
    </row>
    <row r="973">
      <c r="B973" s="471"/>
      <c r="E973" s="471"/>
      <c r="H973" s="471"/>
      <c r="K973" s="471"/>
      <c r="M973" s="454"/>
      <c r="N973" s="424"/>
      <c r="O973" s="424"/>
      <c r="P973" s="430"/>
      <c r="Q973" s="444"/>
      <c r="R973" s="424"/>
      <c r="S973" s="430"/>
      <c r="T973" s="444"/>
      <c r="U973" s="430"/>
      <c r="V973" s="430"/>
      <c r="W973" s="444"/>
      <c r="X973" s="444"/>
      <c r="Y973" s="430"/>
      <c r="Z973" s="430"/>
      <c r="AA973" s="430"/>
      <c r="AB973" s="444"/>
      <c r="AC973" s="444"/>
      <c r="AD973" s="430"/>
      <c r="AE973" s="430"/>
      <c r="AF973" s="430"/>
      <c r="AG973" s="444"/>
      <c r="AH973" s="444"/>
      <c r="AI973" s="430"/>
      <c r="AJ973" s="430"/>
      <c r="AK973" s="430"/>
      <c r="AL973" s="476"/>
      <c r="AM973" s="430"/>
      <c r="AN973" s="430"/>
      <c r="AO973" s="430"/>
      <c r="AP973" s="430"/>
      <c r="AQ973" s="430"/>
      <c r="AR973" s="430"/>
      <c r="AS973" s="430"/>
      <c r="AT973" s="430"/>
      <c r="AU973" s="430"/>
      <c r="AV973" s="430"/>
      <c r="AW973" s="430"/>
      <c r="AX973" s="430"/>
    </row>
    <row r="974">
      <c r="B974" s="471"/>
      <c r="E974" s="471"/>
      <c r="H974" s="471"/>
      <c r="K974" s="471"/>
      <c r="M974" s="454"/>
      <c r="N974" s="424"/>
      <c r="O974" s="424"/>
      <c r="P974" s="430"/>
      <c r="Q974" s="444"/>
      <c r="R974" s="424"/>
      <c r="S974" s="430"/>
      <c r="T974" s="444"/>
      <c r="U974" s="430"/>
      <c r="V974" s="430"/>
      <c r="W974" s="444"/>
      <c r="X974" s="444"/>
      <c r="Y974" s="430"/>
      <c r="Z974" s="430"/>
      <c r="AA974" s="430"/>
      <c r="AB974" s="444"/>
      <c r="AC974" s="444"/>
      <c r="AD974" s="430"/>
      <c r="AE974" s="430"/>
      <c r="AF974" s="430"/>
      <c r="AG974" s="444"/>
      <c r="AH974" s="444"/>
      <c r="AI974" s="430"/>
      <c r="AJ974" s="430"/>
      <c r="AK974" s="430"/>
      <c r="AL974" s="476"/>
      <c r="AM974" s="430"/>
      <c r="AN974" s="430"/>
      <c r="AO974" s="430"/>
      <c r="AP974" s="430"/>
      <c r="AQ974" s="430"/>
      <c r="AR974" s="430"/>
      <c r="AS974" s="430"/>
      <c r="AT974" s="430"/>
      <c r="AU974" s="430"/>
      <c r="AV974" s="430"/>
      <c r="AW974" s="430"/>
      <c r="AX974" s="430"/>
    </row>
    <row r="975">
      <c r="B975" s="471"/>
      <c r="E975" s="471"/>
      <c r="H975" s="471"/>
      <c r="K975" s="471"/>
      <c r="M975" s="454"/>
      <c r="N975" s="424"/>
      <c r="O975" s="424"/>
      <c r="P975" s="430"/>
      <c r="Q975" s="444"/>
      <c r="R975" s="424"/>
      <c r="S975" s="430"/>
      <c r="T975" s="444"/>
      <c r="U975" s="430"/>
      <c r="V975" s="430"/>
      <c r="W975" s="444"/>
      <c r="X975" s="444"/>
      <c r="Y975" s="430"/>
      <c r="Z975" s="430"/>
      <c r="AA975" s="430"/>
      <c r="AB975" s="444"/>
      <c r="AC975" s="444"/>
      <c r="AD975" s="430"/>
      <c r="AE975" s="430"/>
      <c r="AF975" s="430"/>
      <c r="AG975" s="444"/>
      <c r="AH975" s="444"/>
      <c r="AI975" s="430"/>
      <c r="AJ975" s="430"/>
      <c r="AK975" s="430"/>
      <c r="AL975" s="476"/>
      <c r="AM975" s="430"/>
      <c r="AN975" s="430"/>
      <c r="AO975" s="430"/>
      <c r="AP975" s="430"/>
      <c r="AQ975" s="430"/>
      <c r="AR975" s="430"/>
      <c r="AS975" s="430"/>
      <c r="AT975" s="430"/>
      <c r="AU975" s="430"/>
      <c r="AV975" s="430"/>
      <c r="AW975" s="430"/>
      <c r="AX975" s="430"/>
    </row>
    <row r="976">
      <c r="B976" s="471"/>
      <c r="E976" s="471"/>
      <c r="H976" s="471"/>
      <c r="K976" s="471"/>
      <c r="M976" s="454"/>
      <c r="N976" s="424"/>
      <c r="O976" s="424"/>
      <c r="P976" s="430"/>
      <c r="Q976" s="444"/>
      <c r="R976" s="424"/>
      <c r="S976" s="430"/>
      <c r="T976" s="444"/>
      <c r="U976" s="430"/>
      <c r="V976" s="430"/>
      <c r="W976" s="444"/>
      <c r="X976" s="444"/>
      <c r="Y976" s="430"/>
      <c r="Z976" s="430"/>
      <c r="AA976" s="430"/>
      <c r="AB976" s="444"/>
      <c r="AC976" s="444"/>
      <c r="AD976" s="430"/>
      <c r="AE976" s="430"/>
      <c r="AF976" s="430"/>
      <c r="AG976" s="444"/>
      <c r="AH976" s="444"/>
      <c r="AI976" s="430"/>
      <c r="AJ976" s="430"/>
      <c r="AK976" s="430"/>
      <c r="AL976" s="476"/>
      <c r="AM976" s="430"/>
      <c r="AN976" s="430"/>
      <c r="AO976" s="430"/>
      <c r="AP976" s="430"/>
      <c r="AQ976" s="430"/>
      <c r="AR976" s="430"/>
      <c r="AS976" s="430"/>
      <c r="AT976" s="430"/>
      <c r="AU976" s="430"/>
      <c r="AV976" s="430"/>
      <c r="AW976" s="430"/>
      <c r="AX976" s="430"/>
    </row>
    <row r="977">
      <c r="B977" s="471"/>
      <c r="E977" s="471"/>
      <c r="H977" s="471"/>
      <c r="K977" s="471"/>
      <c r="M977" s="454"/>
      <c r="N977" s="424"/>
      <c r="O977" s="424"/>
      <c r="P977" s="430"/>
      <c r="Q977" s="444"/>
      <c r="R977" s="424"/>
      <c r="S977" s="430"/>
      <c r="T977" s="444"/>
      <c r="U977" s="430"/>
      <c r="V977" s="430"/>
      <c r="W977" s="444"/>
      <c r="X977" s="444"/>
      <c r="Y977" s="430"/>
      <c r="Z977" s="430"/>
      <c r="AA977" s="430"/>
      <c r="AB977" s="444"/>
      <c r="AC977" s="444"/>
      <c r="AD977" s="430"/>
      <c r="AE977" s="430"/>
      <c r="AF977" s="430"/>
      <c r="AG977" s="444"/>
      <c r="AH977" s="444"/>
      <c r="AI977" s="430"/>
      <c r="AJ977" s="430"/>
      <c r="AK977" s="430"/>
      <c r="AL977" s="476"/>
      <c r="AM977" s="430"/>
      <c r="AN977" s="430"/>
      <c r="AO977" s="430"/>
      <c r="AP977" s="430"/>
      <c r="AQ977" s="430"/>
      <c r="AR977" s="430"/>
      <c r="AS977" s="430"/>
      <c r="AT977" s="430"/>
      <c r="AU977" s="430"/>
      <c r="AV977" s="430"/>
      <c r="AW977" s="430"/>
      <c r="AX977" s="430"/>
    </row>
    <row r="978">
      <c r="B978" s="471"/>
      <c r="E978" s="471"/>
      <c r="H978" s="471"/>
      <c r="K978" s="471"/>
      <c r="M978" s="454"/>
      <c r="N978" s="424"/>
      <c r="O978" s="424"/>
      <c r="P978" s="430"/>
      <c r="Q978" s="444"/>
      <c r="R978" s="424"/>
      <c r="S978" s="430"/>
      <c r="T978" s="444"/>
      <c r="U978" s="430"/>
      <c r="V978" s="430"/>
      <c r="W978" s="444"/>
      <c r="X978" s="444"/>
      <c r="Y978" s="430"/>
      <c r="Z978" s="430"/>
      <c r="AA978" s="430"/>
      <c r="AB978" s="444"/>
      <c r="AC978" s="444"/>
      <c r="AD978" s="430"/>
      <c r="AE978" s="430"/>
      <c r="AF978" s="430"/>
      <c r="AG978" s="444"/>
      <c r="AH978" s="444"/>
      <c r="AI978" s="430"/>
      <c r="AJ978" s="430"/>
      <c r="AK978" s="430"/>
      <c r="AL978" s="476"/>
      <c r="AM978" s="430"/>
      <c r="AN978" s="430"/>
      <c r="AO978" s="430"/>
      <c r="AP978" s="430"/>
      <c r="AQ978" s="430"/>
      <c r="AR978" s="430"/>
      <c r="AS978" s="430"/>
      <c r="AT978" s="430"/>
      <c r="AU978" s="430"/>
      <c r="AV978" s="430"/>
      <c r="AW978" s="430"/>
      <c r="AX978" s="430"/>
    </row>
    <row r="979">
      <c r="B979" s="471"/>
      <c r="E979" s="471"/>
      <c r="H979" s="471"/>
      <c r="K979" s="471"/>
      <c r="M979" s="454"/>
      <c r="N979" s="424"/>
      <c r="O979" s="424"/>
      <c r="P979" s="430"/>
      <c r="Q979" s="444"/>
      <c r="R979" s="424"/>
      <c r="S979" s="430"/>
      <c r="T979" s="444"/>
      <c r="U979" s="430"/>
      <c r="V979" s="430"/>
      <c r="W979" s="444"/>
      <c r="X979" s="444"/>
      <c r="Y979" s="430"/>
      <c r="Z979" s="430"/>
      <c r="AA979" s="430"/>
      <c r="AB979" s="444"/>
      <c r="AC979" s="444"/>
      <c r="AD979" s="430"/>
      <c r="AE979" s="430"/>
      <c r="AF979" s="430"/>
      <c r="AG979" s="444"/>
      <c r="AH979" s="444"/>
      <c r="AI979" s="430"/>
      <c r="AJ979" s="430"/>
      <c r="AK979" s="430"/>
      <c r="AL979" s="476"/>
      <c r="AM979" s="430"/>
      <c r="AN979" s="430"/>
      <c r="AO979" s="430"/>
      <c r="AP979" s="430"/>
      <c r="AQ979" s="430"/>
      <c r="AR979" s="430"/>
      <c r="AS979" s="430"/>
      <c r="AT979" s="430"/>
      <c r="AU979" s="430"/>
      <c r="AV979" s="430"/>
      <c r="AW979" s="430"/>
      <c r="AX979" s="430"/>
    </row>
    <row r="980">
      <c r="B980" s="471"/>
      <c r="E980" s="471"/>
      <c r="H980" s="471"/>
      <c r="K980" s="471"/>
      <c r="M980" s="454"/>
      <c r="N980" s="424"/>
      <c r="O980" s="424"/>
      <c r="P980" s="430"/>
      <c r="Q980" s="444"/>
      <c r="R980" s="424"/>
      <c r="S980" s="430"/>
      <c r="T980" s="444"/>
      <c r="U980" s="430"/>
      <c r="V980" s="430"/>
      <c r="W980" s="444"/>
      <c r="X980" s="444"/>
      <c r="Y980" s="430"/>
      <c r="Z980" s="430"/>
      <c r="AA980" s="430"/>
      <c r="AB980" s="444"/>
      <c r="AC980" s="444"/>
      <c r="AD980" s="430"/>
      <c r="AE980" s="430"/>
      <c r="AF980" s="430"/>
      <c r="AG980" s="444"/>
      <c r="AH980" s="444"/>
      <c r="AI980" s="430"/>
      <c r="AJ980" s="430"/>
      <c r="AK980" s="430"/>
      <c r="AL980" s="476"/>
      <c r="AM980" s="430"/>
      <c r="AN980" s="430"/>
      <c r="AO980" s="430"/>
      <c r="AP980" s="430"/>
      <c r="AQ980" s="430"/>
      <c r="AR980" s="430"/>
      <c r="AS980" s="430"/>
      <c r="AT980" s="430"/>
      <c r="AU980" s="430"/>
      <c r="AV980" s="430"/>
      <c r="AW980" s="430"/>
      <c r="AX980" s="430"/>
    </row>
    <row r="981">
      <c r="B981" s="471"/>
      <c r="E981" s="471"/>
      <c r="H981" s="471"/>
      <c r="K981" s="471"/>
      <c r="M981" s="454"/>
      <c r="N981" s="424"/>
      <c r="O981" s="424"/>
      <c r="P981" s="430"/>
      <c r="Q981" s="444"/>
      <c r="R981" s="424"/>
      <c r="S981" s="430"/>
      <c r="T981" s="444"/>
      <c r="U981" s="430"/>
      <c r="V981" s="430"/>
      <c r="W981" s="444"/>
      <c r="X981" s="444"/>
      <c r="Y981" s="430"/>
      <c r="Z981" s="430"/>
      <c r="AA981" s="430"/>
      <c r="AB981" s="444"/>
      <c r="AC981" s="444"/>
      <c r="AD981" s="430"/>
      <c r="AE981" s="430"/>
      <c r="AF981" s="430"/>
      <c r="AG981" s="444"/>
      <c r="AH981" s="444"/>
      <c r="AI981" s="430"/>
      <c r="AJ981" s="430"/>
      <c r="AK981" s="430"/>
      <c r="AL981" s="476"/>
      <c r="AM981" s="430"/>
      <c r="AN981" s="430"/>
      <c r="AO981" s="430"/>
      <c r="AP981" s="430"/>
      <c r="AQ981" s="430"/>
      <c r="AR981" s="430"/>
      <c r="AS981" s="430"/>
      <c r="AT981" s="430"/>
      <c r="AU981" s="430"/>
      <c r="AV981" s="430"/>
      <c r="AW981" s="430"/>
      <c r="AX981" s="430"/>
    </row>
    <row r="982">
      <c r="B982" s="471"/>
      <c r="E982" s="471"/>
      <c r="H982" s="471"/>
      <c r="K982" s="471"/>
      <c r="M982" s="454"/>
      <c r="N982" s="424"/>
      <c r="O982" s="424"/>
      <c r="P982" s="430"/>
      <c r="Q982" s="444"/>
      <c r="R982" s="424"/>
      <c r="S982" s="430"/>
      <c r="T982" s="444"/>
      <c r="U982" s="430"/>
      <c r="V982" s="430"/>
      <c r="W982" s="444"/>
      <c r="X982" s="444"/>
      <c r="Y982" s="430"/>
      <c r="Z982" s="430"/>
      <c r="AA982" s="430"/>
      <c r="AB982" s="444"/>
      <c r="AC982" s="444"/>
      <c r="AD982" s="430"/>
      <c r="AE982" s="430"/>
      <c r="AF982" s="430"/>
      <c r="AG982" s="444"/>
      <c r="AH982" s="444"/>
      <c r="AI982" s="430"/>
      <c r="AJ982" s="430"/>
      <c r="AK982" s="430"/>
      <c r="AL982" s="476"/>
      <c r="AM982" s="430"/>
      <c r="AN982" s="430"/>
      <c r="AO982" s="430"/>
      <c r="AP982" s="430"/>
      <c r="AQ982" s="430"/>
      <c r="AR982" s="430"/>
      <c r="AS982" s="430"/>
      <c r="AT982" s="430"/>
      <c r="AU982" s="430"/>
      <c r="AV982" s="430"/>
      <c r="AW982" s="430"/>
      <c r="AX982" s="430"/>
    </row>
    <row r="983">
      <c r="B983" s="471"/>
      <c r="E983" s="471"/>
      <c r="H983" s="471"/>
      <c r="K983" s="471"/>
      <c r="M983" s="454"/>
      <c r="N983" s="424"/>
      <c r="O983" s="424"/>
      <c r="P983" s="430"/>
      <c r="Q983" s="444"/>
      <c r="R983" s="424"/>
      <c r="S983" s="430"/>
      <c r="T983" s="444"/>
      <c r="U983" s="430"/>
      <c r="V983" s="430"/>
      <c r="W983" s="444"/>
      <c r="X983" s="444"/>
      <c r="Y983" s="430"/>
      <c r="Z983" s="430"/>
      <c r="AA983" s="430"/>
      <c r="AB983" s="444"/>
      <c r="AC983" s="444"/>
      <c r="AD983" s="430"/>
      <c r="AE983" s="430"/>
      <c r="AF983" s="430"/>
      <c r="AG983" s="444"/>
      <c r="AH983" s="444"/>
      <c r="AI983" s="430"/>
      <c r="AJ983" s="430"/>
      <c r="AK983" s="430"/>
      <c r="AL983" s="476"/>
      <c r="AM983" s="430"/>
      <c r="AN983" s="430"/>
      <c r="AO983" s="430"/>
      <c r="AP983" s="430"/>
      <c r="AQ983" s="430"/>
      <c r="AR983" s="430"/>
      <c r="AS983" s="430"/>
      <c r="AT983" s="430"/>
      <c r="AU983" s="430"/>
      <c r="AV983" s="430"/>
      <c r="AW983" s="430"/>
      <c r="AX983" s="430"/>
    </row>
    <row r="984">
      <c r="B984" s="471"/>
      <c r="E984" s="471"/>
      <c r="H984" s="471"/>
      <c r="K984" s="471"/>
      <c r="M984" s="454"/>
      <c r="N984" s="424"/>
      <c r="O984" s="424"/>
      <c r="P984" s="430"/>
      <c r="Q984" s="444"/>
      <c r="R984" s="424"/>
      <c r="S984" s="430"/>
      <c r="T984" s="444"/>
      <c r="U984" s="430"/>
      <c r="V984" s="430"/>
      <c r="W984" s="444"/>
      <c r="X984" s="444"/>
      <c r="Y984" s="430"/>
      <c r="Z984" s="430"/>
      <c r="AA984" s="430"/>
      <c r="AB984" s="444"/>
      <c r="AC984" s="444"/>
      <c r="AD984" s="430"/>
      <c r="AE984" s="430"/>
      <c r="AF984" s="430"/>
      <c r="AG984" s="444"/>
      <c r="AH984" s="444"/>
      <c r="AI984" s="430"/>
      <c r="AJ984" s="430"/>
      <c r="AK984" s="430"/>
      <c r="AL984" s="476"/>
      <c r="AM984" s="430"/>
      <c r="AN984" s="430"/>
      <c r="AO984" s="430"/>
      <c r="AP984" s="430"/>
      <c r="AQ984" s="430"/>
      <c r="AR984" s="430"/>
      <c r="AS984" s="430"/>
      <c r="AT984" s="430"/>
      <c r="AU984" s="430"/>
      <c r="AV984" s="430"/>
      <c r="AW984" s="430"/>
      <c r="AX984" s="430"/>
    </row>
    <row r="985">
      <c r="B985" s="471"/>
      <c r="E985" s="471"/>
      <c r="H985" s="471"/>
      <c r="K985" s="471"/>
      <c r="M985" s="454"/>
      <c r="N985" s="424"/>
      <c r="O985" s="424"/>
      <c r="P985" s="430"/>
      <c r="Q985" s="444"/>
      <c r="R985" s="424"/>
      <c r="S985" s="430"/>
      <c r="T985" s="444"/>
      <c r="U985" s="430"/>
      <c r="V985" s="430"/>
      <c r="W985" s="444"/>
      <c r="X985" s="444"/>
      <c r="Y985" s="430"/>
      <c r="Z985" s="430"/>
      <c r="AA985" s="430"/>
      <c r="AB985" s="444"/>
      <c r="AC985" s="444"/>
      <c r="AD985" s="430"/>
      <c r="AE985" s="430"/>
      <c r="AF985" s="430"/>
      <c r="AG985" s="444"/>
      <c r="AH985" s="444"/>
      <c r="AI985" s="430"/>
      <c r="AJ985" s="430"/>
      <c r="AK985" s="430"/>
      <c r="AL985" s="476"/>
      <c r="AM985" s="430"/>
      <c r="AN985" s="430"/>
      <c r="AO985" s="430"/>
      <c r="AP985" s="430"/>
      <c r="AQ985" s="430"/>
      <c r="AR985" s="430"/>
      <c r="AS985" s="430"/>
      <c r="AT985" s="430"/>
      <c r="AU985" s="430"/>
      <c r="AV985" s="430"/>
      <c r="AW985" s="430"/>
      <c r="AX985" s="430"/>
    </row>
    <row r="986">
      <c r="B986" s="471"/>
      <c r="E986" s="471"/>
      <c r="H986" s="471"/>
      <c r="K986" s="471"/>
      <c r="M986" s="454"/>
      <c r="N986" s="424"/>
      <c r="O986" s="424"/>
      <c r="P986" s="430"/>
      <c r="Q986" s="444"/>
      <c r="R986" s="424"/>
      <c r="S986" s="430"/>
      <c r="T986" s="444"/>
      <c r="U986" s="430"/>
      <c r="V986" s="430"/>
      <c r="W986" s="444"/>
      <c r="X986" s="444"/>
      <c r="Y986" s="430"/>
      <c r="Z986" s="430"/>
      <c r="AA986" s="430"/>
      <c r="AB986" s="444"/>
      <c r="AC986" s="444"/>
      <c r="AD986" s="430"/>
      <c r="AE986" s="430"/>
      <c r="AF986" s="430"/>
      <c r="AG986" s="444"/>
      <c r="AH986" s="444"/>
      <c r="AI986" s="430"/>
      <c r="AJ986" s="430"/>
      <c r="AK986" s="430"/>
      <c r="AL986" s="476"/>
      <c r="AM986" s="430"/>
      <c r="AN986" s="430"/>
      <c r="AO986" s="430"/>
      <c r="AP986" s="430"/>
      <c r="AQ986" s="430"/>
      <c r="AR986" s="430"/>
      <c r="AS986" s="430"/>
      <c r="AT986" s="430"/>
      <c r="AU986" s="430"/>
      <c r="AV986" s="430"/>
      <c r="AW986" s="430"/>
      <c r="AX986" s="430"/>
    </row>
    <row r="987">
      <c r="B987" s="471"/>
      <c r="E987" s="471"/>
      <c r="H987" s="471"/>
      <c r="K987" s="471"/>
      <c r="M987" s="454"/>
      <c r="N987" s="424"/>
      <c r="O987" s="424"/>
      <c r="P987" s="430"/>
      <c r="Q987" s="444"/>
      <c r="R987" s="424"/>
      <c r="S987" s="430"/>
      <c r="T987" s="444"/>
      <c r="U987" s="430"/>
      <c r="V987" s="430"/>
      <c r="W987" s="444"/>
      <c r="X987" s="444"/>
      <c r="Y987" s="430"/>
      <c r="Z987" s="430"/>
      <c r="AA987" s="430"/>
      <c r="AB987" s="444"/>
      <c r="AC987" s="444"/>
      <c r="AD987" s="430"/>
      <c r="AE987" s="430"/>
      <c r="AF987" s="430"/>
      <c r="AG987" s="444"/>
      <c r="AH987" s="444"/>
      <c r="AI987" s="430"/>
      <c r="AJ987" s="430"/>
      <c r="AK987" s="430"/>
      <c r="AL987" s="476"/>
      <c r="AM987" s="430"/>
      <c r="AN987" s="430"/>
      <c r="AO987" s="430"/>
      <c r="AP987" s="430"/>
      <c r="AQ987" s="430"/>
      <c r="AR987" s="430"/>
      <c r="AS987" s="430"/>
      <c r="AT987" s="430"/>
      <c r="AU987" s="430"/>
      <c r="AV987" s="430"/>
      <c r="AW987" s="430"/>
      <c r="AX987" s="430"/>
    </row>
    <row r="988">
      <c r="B988" s="471"/>
      <c r="E988" s="471"/>
      <c r="H988" s="471"/>
      <c r="K988" s="471"/>
      <c r="M988" s="454"/>
      <c r="N988" s="424"/>
      <c r="O988" s="424"/>
      <c r="P988" s="430"/>
      <c r="Q988" s="444"/>
      <c r="R988" s="424"/>
      <c r="S988" s="430"/>
      <c r="T988" s="444"/>
      <c r="U988" s="430"/>
      <c r="V988" s="430"/>
      <c r="W988" s="444"/>
      <c r="X988" s="444"/>
      <c r="Y988" s="430"/>
      <c r="Z988" s="430"/>
      <c r="AA988" s="430"/>
      <c r="AB988" s="444"/>
      <c r="AC988" s="444"/>
      <c r="AD988" s="430"/>
      <c r="AE988" s="430"/>
      <c r="AF988" s="430"/>
      <c r="AG988" s="444"/>
      <c r="AH988" s="444"/>
      <c r="AI988" s="430"/>
      <c r="AJ988" s="430"/>
      <c r="AK988" s="430"/>
      <c r="AL988" s="476"/>
      <c r="AM988" s="430"/>
      <c r="AN988" s="430"/>
      <c r="AO988" s="430"/>
      <c r="AP988" s="430"/>
      <c r="AQ988" s="430"/>
      <c r="AR988" s="430"/>
      <c r="AS988" s="430"/>
      <c r="AT988" s="430"/>
      <c r="AU988" s="430"/>
      <c r="AV988" s="430"/>
      <c r="AW988" s="430"/>
      <c r="AX988" s="430"/>
    </row>
    <row r="989">
      <c r="B989" s="471"/>
      <c r="E989" s="471"/>
      <c r="H989" s="471"/>
      <c r="K989" s="471"/>
      <c r="M989" s="454"/>
      <c r="N989" s="424"/>
      <c r="O989" s="424"/>
      <c r="P989" s="430"/>
      <c r="Q989" s="444"/>
      <c r="R989" s="424"/>
      <c r="S989" s="430"/>
      <c r="T989" s="444"/>
      <c r="U989" s="430"/>
      <c r="V989" s="430"/>
      <c r="W989" s="444"/>
      <c r="X989" s="444"/>
      <c r="Y989" s="430"/>
      <c r="Z989" s="430"/>
      <c r="AA989" s="430"/>
      <c r="AB989" s="444"/>
      <c r="AC989" s="444"/>
      <c r="AD989" s="430"/>
      <c r="AE989" s="430"/>
      <c r="AF989" s="430"/>
      <c r="AG989" s="444"/>
      <c r="AH989" s="444"/>
      <c r="AI989" s="430"/>
      <c r="AJ989" s="430"/>
      <c r="AK989" s="430"/>
      <c r="AL989" s="476"/>
      <c r="AM989" s="430"/>
      <c r="AN989" s="430"/>
      <c r="AO989" s="430"/>
      <c r="AP989" s="430"/>
      <c r="AQ989" s="430"/>
      <c r="AR989" s="430"/>
      <c r="AS989" s="430"/>
      <c r="AT989" s="430"/>
      <c r="AU989" s="430"/>
      <c r="AV989" s="430"/>
      <c r="AW989" s="430"/>
      <c r="AX989" s="430"/>
    </row>
    <row r="990">
      <c r="B990" s="471"/>
      <c r="E990" s="471"/>
      <c r="H990" s="471"/>
      <c r="K990" s="471"/>
      <c r="M990" s="454"/>
      <c r="N990" s="424"/>
      <c r="O990" s="424"/>
      <c r="P990" s="430"/>
      <c r="Q990" s="444"/>
      <c r="R990" s="424"/>
      <c r="S990" s="430"/>
      <c r="T990" s="444"/>
      <c r="U990" s="430"/>
      <c r="V990" s="430"/>
      <c r="W990" s="444"/>
      <c r="X990" s="444"/>
      <c r="Y990" s="430"/>
      <c r="Z990" s="430"/>
      <c r="AA990" s="430"/>
      <c r="AB990" s="444"/>
      <c r="AC990" s="444"/>
      <c r="AD990" s="430"/>
      <c r="AE990" s="430"/>
      <c r="AF990" s="430"/>
      <c r="AG990" s="444"/>
      <c r="AH990" s="444"/>
      <c r="AI990" s="430"/>
      <c r="AJ990" s="430"/>
      <c r="AK990" s="430"/>
      <c r="AL990" s="476"/>
      <c r="AM990" s="430"/>
      <c r="AN990" s="430"/>
      <c r="AO990" s="430"/>
      <c r="AP990" s="430"/>
      <c r="AQ990" s="430"/>
      <c r="AR990" s="430"/>
      <c r="AS990" s="430"/>
      <c r="AT990" s="430"/>
      <c r="AU990" s="430"/>
      <c r="AV990" s="430"/>
      <c r="AW990" s="430"/>
      <c r="AX990" s="430"/>
    </row>
    <row r="991">
      <c r="B991" s="471"/>
      <c r="E991" s="471"/>
      <c r="H991" s="471"/>
      <c r="K991" s="471"/>
      <c r="M991" s="454"/>
      <c r="N991" s="424"/>
      <c r="O991" s="424"/>
      <c r="P991" s="430"/>
      <c r="Q991" s="444"/>
      <c r="R991" s="424"/>
      <c r="S991" s="430"/>
      <c r="T991" s="444"/>
      <c r="U991" s="430"/>
      <c r="V991" s="430"/>
      <c r="W991" s="444"/>
      <c r="X991" s="444"/>
      <c r="Y991" s="430"/>
      <c r="Z991" s="430"/>
      <c r="AA991" s="430"/>
      <c r="AB991" s="444"/>
      <c r="AC991" s="444"/>
      <c r="AD991" s="430"/>
      <c r="AE991" s="430"/>
      <c r="AF991" s="430"/>
      <c r="AG991" s="444"/>
      <c r="AH991" s="444"/>
      <c r="AI991" s="430"/>
      <c r="AJ991" s="430"/>
      <c r="AK991" s="430"/>
      <c r="AL991" s="476"/>
      <c r="AM991" s="430"/>
      <c r="AN991" s="430"/>
      <c r="AO991" s="430"/>
      <c r="AP991" s="430"/>
      <c r="AQ991" s="430"/>
      <c r="AR991" s="430"/>
      <c r="AS991" s="430"/>
      <c r="AT991" s="430"/>
      <c r="AU991" s="430"/>
      <c r="AV991" s="430"/>
      <c r="AW991" s="430"/>
      <c r="AX991" s="430"/>
    </row>
    <row r="992">
      <c r="B992" s="471"/>
      <c r="E992" s="471"/>
      <c r="H992" s="471"/>
      <c r="K992" s="471"/>
      <c r="M992" s="454"/>
      <c r="N992" s="424"/>
      <c r="O992" s="424"/>
      <c r="P992" s="430"/>
      <c r="Q992" s="444"/>
      <c r="R992" s="424"/>
      <c r="S992" s="430"/>
      <c r="T992" s="444"/>
      <c r="U992" s="430"/>
      <c r="V992" s="430"/>
      <c r="W992" s="444"/>
      <c r="X992" s="444"/>
      <c r="Y992" s="430"/>
      <c r="Z992" s="430"/>
      <c r="AA992" s="430"/>
      <c r="AB992" s="444"/>
      <c r="AC992" s="444"/>
      <c r="AD992" s="430"/>
      <c r="AE992" s="430"/>
      <c r="AF992" s="430"/>
      <c r="AG992" s="444"/>
      <c r="AH992" s="444"/>
      <c r="AI992" s="430"/>
      <c r="AJ992" s="430"/>
      <c r="AK992" s="430"/>
      <c r="AL992" s="476"/>
      <c r="AM992" s="430"/>
      <c r="AN992" s="430"/>
      <c r="AO992" s="430"/>
      <c r="AP992" s="430"/>
      <c r="AQ992" s="430"/>
      <c r="AR992" s="430"/>
      <c r="AS992" s="430"/>
      <c r="AT992" s="430"/>
      <c r="AU992" s="430"/>
      <c r="AV992" s="430"/>
      <c r="AW992" s="430"/>
      <c r="AX992" s="430"/>
    </row>
    <row r="993">
      <c r="B993" s="471"/>
      <c r="E993" s="471"/>
      <c r="H993" s="471"/>
      <c r="K993" s="471"/>
      <c r="M993" s="454"/>
      <c r="N993" s="424"/>
      <c r="O993" s="424"/>
      <c r="P993" s="430"/>
      <c r="Q993" s="444"/>
      <c r="R993" s="424"/>
      <c r="S993" s="430"/>
      <c r="T993" s="444"/>
      <c r="U993" s="430"/>
      <c r="V993" s="430"/>
      <c r="W993" s="444"/>
      <c r="X993" s="444"/>
      <c r="Y993" s="430"/>
      <c r="Z993" s="430"/>
      <c r="AA993" s="430"/>
      <c r="AB993" s="444"/>
      <c r="AC993" s="444"/>
      <c r="AD993" s="430"/>
      <c r="AE993" s="430"/>
      <c r="AF993" s="430"/>
      <c r="AG993" s="444"/>
      <c r="AH993" s="444"/>
      <c r="AI993" s="430"/>
      <c r="AJ993" s="430"/>
      <c r="AK993" s="430"/>
      <c r="AL993" s="476"/>
      <c r="AM993" s="430"/>
      <c r="AN993" s="430"/>
      <c r="AO993" s="430"/>
      <c r="AP993" s="430"/>
      <c r="AQ993" s="430"/>
      <c r="AR993" s="430"/>
      <c r="AS993" s="430"/>
      <c r="AT993" s="430"/>
      <c r="AU993" s="430"/>
      <c r="AV993" s="430"/>
      <c r="AW993" s="430"/>
      <c r="AX993" s="430"/>
    </row>
    <row r="994">
      <c r="B994" s="471"/>
      <c r="E994" s="471"/>
      <c r="H994" s="471"/>
      <c r="K994" s="471"/>
      <c r="M994" s="454"/>
      <c r="N994" s="424"/>
      <c r="O994" s="424"/>
      <c r="P994" s="430"/>
      <c r="Q994" s="444"/>
      <c r="R994" s="424"/>
      <c r="S994" s="430"/>
      <c r="T994" s="444"/>
      <c r="U994" s="430"/>
      <c r="V994" s="430"/>
      <c r="W994" s="444"/>
      <c r="X994" s="444"/>
      <c r="Y994" s="430"/>
      <c r="Z994" s="430"/>
      <c r="AA994" s="430"/>
      <c r="AB994" s="444"/>
      <c r="AC994" s="444"/>
      <c r="AD994" s="430"/>
      <c r="AE994" s="430"/>
      <c r="AF994" s="430"/>
      <c r="AG994" s="444"/>
      <c r="AH994" s="444"/>
      <c r="AI994" s="430"/>
      <c r="AJ994" s="430"/>
      <c r="AK994" s="430"/>
      <c r="AL994" s="476"/>
      <c r="AM994" s="430"/>
      <c r="AN994" s="430"/>
      <c r="AO994" s="430"/>
      <c r="AP994" s="430"/>
      <c r="AQ994" s="430"/>
      <c r="AR994" s="430"/>
      <c r="AS994" s="430"/>
      <c r="AT994" s="430"/>
      <c r="AU994" s="430"/>
      <c r="AV994" s="430"/>
      <c r="AW994" s="430"/>
      <c r="AX994" s="430"/>
    </row>
    <row r="995">
      <c r="B995" s="471"/>
      <c r="E995" s="471"/>
      <c r="H995" s="471"/>
      <c r="K995" s="471"/>
      <c r="M995" s="454"/>
      <c r="N995" s="424"/>
      <c r="O995" s="424"/>
      <c r="P995" s="430"/>
      <c r="Q995" s="444"/>
      <c r="R995" s="424"/>
      <c r="S995" s="430"/>
      <c r="T995" s="444"/>
      <c r="U995" s="430"/>
      <c r="V995" s="430"/>
      <c r="W995" s="444"/>
      <c r="X995" s="444"/>
      <c r="Y995" s="430"/>
      <c r="Z995" s="430"/>
      <c r="AA995" s="430"/>
      <c r="AB995" s="444"/>
      <c r="AC995" s="444"/>
      <c r="AD995" s="430"/>
      <c r="AE995" s="430"/>
      <c r="AF995" s="430"/>
      <c r="AG995" s="444"/>
      <c r="AH995" s="444"/>
      <c r="AI995" s="430"/>
      <c r="AJ995" s="430"/>
      <c r="AK995" s="430"/>
      <c r="AL995" s="476"/>
      <c r="AM995" s="430"/>
      <c r="AN995" s="430"/>
      <c r="AO995" s="430"/>
      <c r="AP995" s="430"/>
      <c r="AQ995" s="430"/>
      <c r="AR995" s="430"/>
      <c r="AS995" s="430"/>
      <c r="AT995" s="430"/>
      <c r="AU995" s="430"/>
      <c r="AV995" s="430"/>
      <c r="AW995" s="430"/>
      <c r="AX995" s="430"/>
    </row>
    <row r="996">
      <c r="B996" s="471"/>
      <c r="E996" s="471"/>
      <c r="H996" s="471"/>
      <c r="K996" s="471"/>
      <c r="M996" s="454"/>
      <c r="N996" s="424"/>
      <c r="O996" s="424"/>
      <c r="P996" s="430"/>
      <c r="Q996" s="444"/>
      <c r="R996" s="424"/>
      <c r="S996" s="430"/>
      <c r="T996" s="444"/>
      <c r="U996" s="430"/>
      <c r="V996" s="430"/>
      <c r="W996" s="444"/>
      <c r="X996" s="444"/>
      <c r="Y996" s="430"/>
      <c r="Z996" s="430"/>
      <c r="AA996" s="430"/>
      <c r="AB996" s="444"/>
      <c r="AC996" s="444"/>
      <c r="AD996" s="430"/>
      <c r="AE996" s="430"/>
      <c r="AF996" s="430"/>
      <c r="AG996" s="444"/>
      <c r="AH996" s="444"/>
      <c r="AI996" s="430"/>
      <c r="AJ996" s="430"/>
      <c r="AK996" s="430"/>
      <c r="AL996" s="476"/>
      <c r="AM996" s="430"/>
      <c r="AN996" s="430"/>
      <c r="AO996" s="430"/>
      <c r="AP996" s="430"/>
      <c r="AQ996" s="430"/>
      <c r="AR996" s="430"/>
      <c r="AS996" s="430"/>
      <c r="AT996" s="430"/>
      <c r="AU996" s="430"/>
      <c r="AV996" s="430"/>
      <c r="AW996" s="430"/>
      <c r="AX996" s="430"/>
    </row>
    <row r="997">
      <c r="B997" s="471"/>
      <c r="E997" s="471"/>
      <c r="H997" s="471"/>
      <c r="K997" s="471"/>
      <c r="M997" s="454"/>
      <c r="N997" s="424"/>
      <c r="O997" s="424"/>
      <c r="P997" s="430"/>
      <c r="Q997" s="444"/>
      <c r="R997" s="424"/>
      <c r="S997" s="430"/>
      <c r="T997" s="444"/>
      <c r="U997" s="430"/>
      <c r="V997" s="430"/>
      <c r="W997" s="444"/>
      <c r="X997" s="444"/>
      <c r="Y997" s="430"/>
      <c r="Z997" s="430"/>
      <c r="AA997" s="430"/>
      <c r="AB997" s="444"/>
      <c r="AC997" s="444"/>
      <c r="AD997" s="430"/>
      <c r="AE997" s="430"/>
      <c r="AF997" s="430"/>
      <c r="AG997" s="444"/>
      <c r="AH997" s="444"/>
      <c r="AI997" s="430"/>
      <c r="AJ997" s="430"/>
      <c r="AK997" s="430"/>
      <c r="AL997" s="476"/>
      <c r="AM997" s="430"/>
      <c r="AN997" s="430"/>
      <c r="AO997" s="430"/>
      <c r="AP997" s="430"/>
      <c r="AQ997" s="430"/>
      <c r="AR997" s="430"/>
      <c r="AS997" s="430"/>
      <c r="AT997" s="430"/>
      <c r="AU997" s="430"/>
      <c r="AV997" s="430"/>
      <c r="AW997" s="430"/>
      <c r="AX997" s="430"/>
    </row>
    <row r="998">
      <c r="B998" s="471"/>
      <c r="E998" s="471"/>
      <c r="H998" s="471"/>
      <c r="K998" s="471"/>
      <c r="M998" s="454"/>
      <c r="N998" s="424"/>
      <c r="O998" s="424"/>
      <c r="P998" s="430"/>
      <c r="Q998" s="444"/>
      <c r="R998" s="424"/>
      <c r="S998" s="430"/>
      <c r="T998" s="444"/>
      <c r="U998" s="430"/>
      <c r="V998" s="430"/>
      <c r="W998" s="444"/>
      <c r="X998" s="444"/>
      <c r="Y998" s="430"/>
      <c r="Z998" s="430"/>
      <c r="AA998" s="430"/>
      <c r="AB998" s="444"/>
      <c r="AC998" s="444"/>
      <c r="AD998" s="430"/>
      <c r="AE998" s="430"/>
      <c r="AF998" s="430"/>
      <c r="AG998" s="444"/>
      <c r="AH998" s="444"/>
      <c r="AI998" s="430"/>
      <c r="AJ998" s="430"/>
      <c r="AK998" s="430"/>
      <c r="AL998" s="476"/>
      <c r="AM998" s="430"/>
      <c r="AN998" s="430"/>
      <c r="AO998" s="430"/>
      <c r="AP998" s="430"/>
      <c r="AQ998" s="430"/>
      <c r="AR998" s="430"/>
      <c r="AS998" s="430"/>
      <c r="AT998" s="430"/>
      <c r="AU998" s="430"/>
      <c r="AV998" s="430"/>
      <c r="AW998" s="430"/>
      <c r="AX998" s="430"/>
    </row>
    <row r="999">
      <c r="B999" s="471"/>
      <c r="E999" s="471"/>
      <c r="H999" s="471"/>
      <c r="K999" s="471"/>
      <c r="M999" s="454"/>
      <c r="N999" s="424"/>
      <c r="O999" s="424"/>
      <c r="P999" s="430"/>
      <c r="Q999" s="444"/>
      <c r="R999" s="424"/>
      <c r="S999" s="430"/>
      <c r="T999" s="444"/>
      <c r="U999" s="430"/>
      <c r="V999" s="430"/>
      <c r="W999" s="444"/>
      <c r="X999" s="444"/>
      <c r="Y999" s="430"/>
      <c r="Z999" s="430"/>
      <c r="AA999" s="430"/>
      <c r="AB999" s="444"/>
      <c r="AC999" s="444"/>
      <c r="AD999" s="430"/>
      <c r="AE999" s="430"/>
      <c r="AF999" s="430"/>
      <c r="AG999" s="444"/>
      <c r="AH999" s="444"/>
      <c r="AI999" s="430"/>
      <c r="AJ999" s="430"/>
      <c r="AK999" s="430"/>
      <c r="AL999" s="476"/>
      <c r="AM999" s="430"/>
      <c r="AN999" s="430"/>
      <c r="AO999" s="430"/>
      <c r="AP999" s="430"/>
      <c r="AQ999" s="430"/>
      <c r="AR999" s="430"/>
      <c r="AS999" s="430"/>
      <c r="AT999" s="430"/>
      <c r="AU999" s="430"/>
      <c r="AV999" s="430"/>
      <c r="AW999" s="430"/>
      <c r="AX999" s="430"/>
    </row>
  </sheetData>
  <mergeCells count="11">
    <mergeCell ref="V1:W1"/>
    <mergeCell ref="AA1:AB1"/>
    <mergeCell ref="AF1:AG1"/>
    <mergeCell ref="AK1:AL1"/>
    <mergeCell ref="A1:B1"/>
    <mergeCell ref="D1:E1"/>
    <mergeCell ref="G1:H1"/>
    <mergeCell ref="J1:K1"/>
    <mergeCell ref="M1:N1"/>
    <mergeCell ref="P1:Q1"/>
    <mergeCell ref="S1:T1"/>
  </mergeCells>
  <conditionalFormatting sqref="C1 E1:F1 H1">
    <cfRule type="notContainsBlanks" dxfId="1" priority="1">
      <formula>LEN(TRIM(C1))&gt;0</formula>
    </cfRule>
  </conditionalFormatting>
  <conditionalFormatting sqref="C1 E1:F1 H1">
    <cfRule type="notContainsBlanks" dxfId="1" priority="2">
      <formula>LEN(TRIM(C1))&gt;0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2" width="1.38"/>
    <col customWidth="1" min="3" max="3" width="30.75"/>
    <col customWidth="1" min="4" max="15" width="7.75"/>
    <col customWidth="1" min="16" max="16" width="10.25"/>
  </cols>
  <sheetData>
    <row r="1" ht="40.5" customHeight="1">
      <c r="C1" s="517" t="s">
        <v>2037</v>
      </c>
      <c r="H1" s="518"/>
    </row>
    <row r="2" ht="6.75" customHeight="1">
      <c r="D2" s="519"/>
      <c r="E2" s="519"/>
      <c r="F2" s="519"/>
      <c r="G2" s="519"/>
      <c r="H2" s="519"/>
      <c r="I2" s="519"/>
      <c r="J2" s="519"/>
      <c r="K2" s="519"/>
      <c r="L2" s="519"/>
      <c r="M2" s="519"/>
      <c r="N2" s="519"/>
      <c r="O2" s="519"/>
    </row>
    <row r="3" ht="16.5" customHeight="1">
      <c r="B3" s="520"/>
      <c r="C3" s="521" t="s">
        <v>2038</v>
      </c>
      <c r="D3" s="522">
        <v>-552500.0</v>
      </c>
      <c r="E3" s="523">
        <f t="shared" ref="E3:P3" si="1">+D3+D11</f>
        <v>-307000.06</v>
      </c>
      <c r="F3" s="523">
        <f t="shared" si="1"/>
        <v>-522750.23</v>
      </c>
      <c r="G3" s="523">
        <f t="shared" si="1"/>
        <v>-780999.5</v>
      </c>
      <c r="H3" s="523">
        <f t="shared" si="1"/>
        <v>-725000.01</v>
      </c>
      <c r="I3" s="524">
        <f t="shared" si="1"/>
        <v>-508790.04</v>
      </c>
      <c r="J3" s="524">
        <f t="shared" si="1"/>
        <v>-273486.94</v>
      </c>
      <c r="K3" s="525">
        <f t="shared" si="1"/>
        <v>40816.16</v>
      </c>
      <c r="L3" s="525">
        <f t="shared" si="1"/>
        <v>64324.26</v>
      </c>
      <c r="M3" s="525">
        <f t="shared" si="1"/>
        <v>139704.86</v>
      </c>
      <c r="N3" s="525">
        <f t="shared" si="1"/>
        <v>148589.035</v>
      </c>
      <c r="O3" s="525">
        <f t="shared" si="1"/>
        <v>159617.0353</v>
      </c>
      <c r="P3" s="525">
        <f t="shared" si="1"/>
        <v>159938.9285</v>
      </c>
    </row>
    <row r="4" ht="16.5" customHeight="1">
      <c r="B4" s="520"/>
      <c r="C4" s="526" t="s">
        <v>1886</v>
      </c>
      <c r="D4" s="527">
        <v>3570500.0</v>
      </c>
      <c r="E4" s="527">
        <v>3570500.0</v>
      </c>
      <c r="F4" s="527">
        <v>3570500.0</v>
      </c>
      <c r="G4" s="527">
        <v>3570500.0</v>
      </c>
      <c r="H4" s="527">
        <v>3570500.0</v>
      </c>
      <c r="I4" s="528">
        <f>H4*1.01</f>
        <v>3606205</v>
      </c>
      <c r="J4" s="528">
        <f t="shared" ref="J4:P4" si="2">I4+8000</f>
        <v>3614205</v>
      </c>
      <c r="K4" s="528">
        <f t="shared" si="2"/>
        <v>3622205</v>
      </c>
      <c r="L4" s="528">
        <f t="shared" si="2"/>
        <v>3630205</v>
      </c>
      <c r="M4" s="528">
        <f t="shared" si="2"/>
        <v>3638205</v>
      </c>
      <c r="N4" s="528">
        <f t="shared" si="2"/>
        <v>3646205</v>
      </c>
      <c r="O4" s="528">
        <f t="shared" si="2"/>
        <v>3654205</v>
      </c>
      <c r="P4" s="528">
        <f t="shared" si="2"/>
        <v>3662205</v>
      </c>
    </row>
    <row r="5" ht="16.5" customHeight="1">
      <c r="B5" s="520"/>
      <c r="C5" s="526" t="s">
        <v>1908</v>
      </c>
      <c r="D5" s="527">
        <v>340250.0</v>
      </c>
      <c r="E5" s="527">
        <v>340250.0</v>
      </c>
      <c r="F5" s="527">
        <v>340250.0</v>
      </c>
      <c r="G5" s="527">
        <v>340250.0</v>
      </c>
      <c r="H5" s="527">
        <v>340250.0</v>
      </c>
      <c r="I5" s="529">
        <v>340250.0</v>
      </c>
      <c r="J5" s="529">
        <v>340250.0</v>
      </c>
      <c r="K5" s="529">
        <v>340250.0</v>
      </c>
      <c r="L5" s="529">
        <v>340250.0</v>
      </c>
      <c r="M5" s="529">
        <v>340250.0</v>
      </c>
      <c r="N5" s="529">
        <v>340250.0</v>
      </c>
      <c r="O5" s="529">
        <v>340250.0</v>
      </c>
      <c r="P5" s="529">
        <v>340250.0</v>
      </c>
    </row>
    <row r="6" ht="16.5" customHeight="1">
      <c r="B6" s="520"/>
      <c r="C6" s="526" t="s">
        <v>19</v>
      </c>
      <c r="D6" s="527">
        <v>1159750.0</v>
      </c>
      <c r="E6" s="527">
        <v>1347500.0</v>
      </c>
      <c r="F6" s="527">
        <v>1496325.0</v>
      </c>
      <c r="G6" s="527">
        <v>1852250.0</v>
      </c>
      <c r="H6" s="527">
        <v>1666250.0</v>
      </c>
      <c r="I6" s="528">
        <f t="shared" ref="I6:P6" si="3">H6+8000</f>
        <v>1674250</v>
      </c>
      <c r="J6" s="528">
        <f t="shared" si="3"/>
        <v>1682250</v>
      </c>
      <c r="K6" s="528">
        <f t="shared" si="3"/>
        <v>1690250</v>
      </c>
      <c r="L6" s="528">
        <f t="shared" si="3"/>
        <v>1698250</v>
      </c>
      <c r="M6" s="528">
        <f t="shared" si="3"/>
        <v>1706250</v>
      </c>
      <c r="N6" s="528">
        <f t="shared" si="3"/>
        <v>1714250</v>
      </c>
      <c r="O6" s="528">
        <f t="shared" si="3"/>
        <v>1722250</v>
      </c>
      <c r="P6" s="528">
        <f t="shared" si="3"/>
        <v>1730250</v>
      </c>
    </row>
    <row r="7" ht="8.25" customHeight="1">
      <c r="D7" s="530"/>
      <c r="E7" s="530"/>
      <c r="F7" s="530"/>
      <c r="G7" s="530"/>
      <c r="H7" s="530"/>
      <c r="I7" s="530"/>
      <c r="J7" s="530"/>
      <c r="K7" s="530"/>
      <c r="L7" s="530"/>
      <c r="M7" s="530"/>
      <c r="N7" s="530"/>
      <c r="O7" s="530"/>
    </row>
    <row r="8" ht="15.75" customHeight="1">
      <c r="A8" s="531" t="s">
        <v>2039</v>
      </c>
      <c r="D8" s="532"/>
      <c r="E8" s="532"/>
      <c r="F8" s="532"/>
      <c r="G8" s="532"/>
      <c r="H8" s="532"/>
      <c r="I8" s="532"/>
      <c r="J8" s="532"/>
      <c r="K8" s="532"/>
      <c r="L8" s="532"/>
      <c r="M8" s="532"/>
      <c r="N8" s="532"/>
      <c r="O8" s="532"/>
      <c r="P8" s="533"/>
    </row>
    <row r="9" ht="15.0" customHeight="1">
      <c r="C9" s="534" t="s">
        <v>1935</v>
      </c>
      <c r="D9" s="535">
        <f t="shared" ref="D9:O9" si="4">sum(D20)</f>
        <v>666103.63</v>
      </c>
      <c r="E9" s="535">
        <f t="shared" si="4"/>
        <v>557930.44</v>
      </c>
      <c r="F9" s="535">
        <f t="shared" si="4"/>
        <v>507407.18</v>
      </c>
      <c r="G9" s="535">
        <f t="shared" si="4"/>
        <v>428071.33</v>
      </c>
      <c r="H9" s="535">
        <f t="shared" si="4"/>
        <v>458727</v>
      </c>
      <c r="I9" s="535">
        <f t="shared" si="4"/>
        <v>375000</v>
      </c>
      <c r="J9" s="535">
        <f t="shared" si="4"/>
        <v>220000</v>
      </c>
      <c r="K9" s="535">
        <f t="shared" si="4"/>
        <v>221750</v>
      </c>
      <c r="L9" s="535">
        <f t="shared" si="4"/>
        <v>223622.5</v>
      </c>
      <c r="M9" s="535">
        <f t="shared" si="4"/>
        <v>225626.075</v>
      </c>
      <c r="N9" s="535">
        <f t="shared" si="4"/>
        <v>227769.9003</v>
      </c>
      <c r="O9" s="535">
        <f t="shared" si="4"/>
        <v>217063.7933</v>
      </c>
      <c r="P9" s="536">
        <f t="shared" ref="P9:P11" si="6">SUM(D9:O9)</f>
        <v>4329071.849</v>
      </c>
    </row>
    <row r="10" ht="15.0" customHeight="1">
      <c r="C10" s="534" t="s">
        <v>2040</v>
      </c>
      <c r="D10" s="535">
        <f t="shared" ref="D10:O10" si="5">D70</f>
        <v>420603.69</v>
      </c>
      <c r="E10" s="535">
        <f t="shared" si="5"/>
        <v>773680.61</v>
      </c>
      <c r="F10" s="535">
        <f t="shared" si="5"/>
        <v>765656.45</v>
      </c>
      <c r="G10" s="535">
        <f t="shared" si="5"/>
        <v>372071.84</v>
      </c>
      <c r="H10" s="535">
        <f t="shared" si="5"/>
        <v>242517.03</v>
      </c>
      <c r="I10" s="535">
        <f t="shared" si="5"/>
        <v>139696.9</v>
      </c>
      <c r="J10" s="535">
        <f t="shared" si="5"/>
        <v>-94303.1</v>
      </c>
      <c r="K10" s="535">
        <f t="shared" si="5"/>
        <v>198241.9</v>
      </c>
      <c r="L10" s="535">
        <f t="shared" si="5"/>
        <v>148241.9</v>
      </c>
      <c r="M10" s="535">
        <f t="shared" si="5"/>
        <v>216741.9</v>
      </c>
      <c r="N10" s="535">
        <f t="shared" si="5"/>
        <v>216741.9</v>
      </c>
      <c r="O10" s="535">
        <f t="shared" si="5"/>
        <v>216741.9</v>
      </c>
      <c r="P10" s="536">
        <f t="shared" si="6"/>
        <v>3616632.92</v>
      </c>
    </row>
    <row r="11" ht="15.0" customHeight="1">
      <c r="C11" s="534" t="s">
        <v>2041</v>
      </c>
      <c r="D11" s="537">
        <f t="shared" ref="D11:O11" si="7">D9-D10</f>
        <v>245499.94</v>
      </c>
      <c r="E11" s="537">
        <f t="shared" si="7"/>
        <v>-215750.17</v>
      </c>
      <c r="F11" s="537">
        <f t="shared" si="7"/>
        <v>-258249.27</v>
      </c>
      <c r="G11" s="537">
        <f t="shared" si="7"/>
        <v>55999.49</v>
      </c>
      <c r="H11" s="537">
        <f t="shared" si="7"/>
        <v>216209.97</v>
      </c>
      <c r="I11" s="537">
        <f t="shared" si="7"/>
        <v>235303.1</v>
      </c>
      <c r="J11" s="537">
        <f t="shared" si="7"/>
        <v>314303.1</v>
      </c>
      <c r="K11" s="537">
        <f t="shared" si="7"/>
        <v>23508.1</v>
      </c>
      <c r="L11" s="537">
        <f t="shared" si="7"/>
        <v>75380.6</v>
      </c>
      <c r="M11" s="537">
        <f t="shared" si="7"/>
        <v>8884.175</v>
      </c>
      <c r="N11" s="537">
        <f t="shared" si="7"/>
        <v>11028.00025</v>
      </c>
      <c r="O11" s="537">
        <f t="shared" si="7"/>
        <v>321.8932675</v>
      </c>
      <c r="P11" s="536">
        <f t="shared" si="6"/>
        <v>712438.9285</v>
      </c>
    </row>
    <row r="12" ht="32.25" customHeight="1">
      <c r="D12" s="538" t="s">
        <v>2042</v>
      </c>
      <c r="E12" s="538" t="s">
        <v>2043</v>
      </c>
      <c r="F12" s="538" t="s">
        <v>2044</v>
      </c>
      <c r="G12" s="538" t="s">
        <v>2045</v>
      </c>
      <c r="H12" s="538" t="s">
        <v>2046</v>
      </c>
      <c r="I12" s="538" t="s">
        <v>2047</v>
      </c>
      <c r="J12" s="538" t="s">
        <v>2048</v>
      </c>
      <c r="K12" s="538" t="s">
        <v>2049</v>
      </c>
      <c r="L12" s="538" t="s">
        <v>2050</v>
      </c>
      <c r="M12" s="538" t="s">
        <v>2051</v>
      </c>
      <c r="N12" s="538" t="s">
        <v>2052</v>
      </c>
      <c r="O12" s="538" t="s">
        <v>1270</v>
      </c>
      <c r="P12" s="539" t="s">
        <v>2053</v>
      </c>
    </row>
    <row r="13" ht="15.75" customHeight="1">
      <c r="A13" s="540" t="s">
        <v>2054</v>
      </c>
      <c r="D13" s="541"/>
      <c r="E13" s="541"/>
      <c r="F13" s="541"/>
      <c r="G13" s="541"/>
      <c r="H13" s="541"/>
      <c r="I13" s="541"/>
      <c r="J13" s="541"/>
      <c r="K13" s="541"/>
      <c r="L13" s="541"/>
      <c r="M13" s="541"/>
      <c r="N13" s="541"/>
      <c r="O13" s="541"/>
      <c r="P13" s="542"/>
    </row>
    <row r="14" ht="14.25" customHeight="1">
      <c r="C14" s="543" t="s">
        <v>1964</v>
      </c>
      <c r="D14" s="544">
        <v>301597.08</v>
      </c>
      <c r="E14" s="544">
        <v>127784.58</v>
      </c>
      <c r="F14" s="544">
        <v>127544.58</v>
      </c>
      <c r="G14" s="544">
        <v>133727.21</v>
      </c>
      <c r="H14" s="545">
        <v>133727.0</v>
      </c>
      <c r="I14" s="545">
        <v>150000.0</v>
      </c>
      <c r="J14" s="545">
        <v>150000.0</v>
      </c>
      <c r="K14" s="545">
        <v>150000.0</v>
      </c>
      <c r="L14" s="545">
        <v>150000.0</v>
      </c>
      <c r="M14" s="545">
        <v>150000.0</v>
      </c>
      <c r="N14" s="545">
        <v>150000.0</v>
      </c>
      <c r="O14" s="545">
        <v>150000.0</v>
      </c>
      <c r="P14" s="546">
        <f t="shared" ref="P14:P19" si="8">SUM(D14:O14)</f>
        <v>1874380.45</v>
      </c>
    </row>
    <row r="15" ht="14.25" customHeight="1">
      <c r="A15" s="129"/>
      <c r="B15" s="129"/>
      <c r="C15" s="547" t="s">
        <v>24</v>
      </c>
      <c r="D15" s="548">
        <v>0.0</v>
      </c>
      <c r="E15" s="548">
        <v>0.0</v>
      </c>
      <c r="F15" s="548">
        <v>0.0</v>
      </c>
      <c r="G15" s="548">
        <v>0.0</v>
      </c>
      <c r="H15" s="549">
        <v>0.0</v>
      </c>
      <c r="I15" s="549">
        <v>0.0</v>
      </c>
      <c r="J15" s="549">
        <v>0.0</v>
      </c>
      <c r="K15" s="549">
        <v>20000.0</v>
      </c>
      <c r="L15" s="549">
        <v>20000.0</v>
      </c>
      <c r="M15" s="549">
        <v>20000.0</v>
      </c>
      <c r="N15" s="549">
        <v>20000.0</v>
      </c>
      <c r="O15" s="549">
        <v>20000.0</v>
      </c>
      <c r="P15" s="550">
        <f t="shared" si="8"/>
        <v>100000</v>
      </c>
    </row>
    <row r="16" ht="14.25" customHeight="1">
      <c r="A16" s="551"/>
      <c r="B16" s="551"/>
      <c r="C16" s="552" t="s">
        <v>2055</v>
      </c>
      <c r="D16" s="544">
        <v>12000.0</v>
      </c>
      <c r="E16" s="544">
        <v>12000.0</v>
      </c>
      <c r="F16" s="544">
        <v>12000.0</v>
      </c>
      <c r="G16" s="544">
        <v>12000.0</v>
      </c>
      <c r="H16" s="545">
        <v>12000.0</v>
      </c>
      <c r="I16" s="545">
        <v>12000.0</v>
      </c>
      <c r="J16" s="545">
        <v>12000.0</v>
      </c>
      <c r="K16" s="545">
        <v>12000.0</v>
      </c>
      <c r="L16" s="545">
        <v>12000.0</v>
      </c>
      <c r="M16" s="545">
        <v>12000.0</v>
      </c>
      <c r="N16" s="545">
        <v>12000.0</v>
      </c>
      <c r="O16" s="545">
        <v>12000.0</v>
      </c>
      <c r="P16" s="553">
        <f t="shared" si="8"/>
        <v>144000</v>
      </c>
    </row>
    <row r="17" ht="14.25" customHeight="1">
      <c r="A17" s="551"/>
      <c r="B17" s="551"/>
      <c r="C17" s="552" t="s">
        <v>2056</v>
      </c>
      <c r="D17" s="544">
        <v>65000.0</v>
      </c>
      <c r="E17" s="544">
        <v>0.0</v>
      </c>
      <c r="F17" s="544">
        <v>13000.0</v>
      </c>
      <c r="G17" s="544">
        <v>13000.0</v>
      </c>
      <c r="H17" s="545">
        <v>13000.0</v>
      </c>
      <c r="I17" s="545">
        <v>13000.0</v>
      </c>
      <c r="J17" s="545">
        <v>13000.0</v>
      </c>
      <c r="K17" s="545">
        <v>13000.0</v>
      </c>
      <c r="L17" s="545">
        <v>13000.0</v>
      </c>
      <c r="M17" s="545">
        <v>13000.0</v>
      </c>
      <c r="N17" s="545">
        <v>13000.0</v>
      </c>
      <c r="O17" s="545">
        <v>0.0</v>
      </c>
      <c r="P17" s="553">
        <f t="shared" si="8"/>
        <v>182000</v>
      </c>
    </row>
    <row r="18" ht="14.25" customHeight="1">
      <c r="A18" s="551"/>
      <c r="B18" s="551"/>
      <c r="C18" s="552" t="s">
        <v>26</v>
      </c>
      <c r="D18" s="544">
        <v>287426.0</v>
      </c>
      <c r="E18" s="544">
        <v>414341.0</v>
      </c>
      <c r="F18" s="544">
        <v>280012.0</v>
      </c>
      <c r="G18" s="544">
        <v>264890.0</v>
      </c>
      <c r="H18" s="545">
        <v>200000.0</v>
      </c>
      <c r="I18" s="545">
        <v>200000.0</v>
      </c>
      <c r="J18" s="545">
        <v>25000.0</v>
      </c>
      <c r="K18" s="554">
        <f t="shared" ref="K18:O18" si="9">J18*1.07</f>
        <v>26750</v>
      </c>
      <c r="L18" s="554">
        <f t="shared" si="9"/>
        <v>28622.5</v>
      </c>
      <c r="M18" s="554">
        <f t="shared" si="9"/>
        <v>30626.075</v>
      </c>
      <c r="N18" s="554">
        <f t="shared" si="9"/>
        <v>32769.90025</v>
      </c>
      <c r="O18" s="554">
        <f t="shared" si="9"/>
        <v>35063.79327</v>
      </c>
      <c r="P18" s="546">
        <f t="shared" si="8"/>
        <v>1825501.269</v>
      </c>
    </row>
    <row r="19" ht="13.5" customHeight="1">
      <c r="C19" s="543" t="s">
        <v>1908</v>
      </c>
      <c r="D19" s="544">
        <v>80.55</v>
      </c>
      <c r="E19" s="544">
        <f>676.09+1658.57+932+538.2</f>
        <v>3804.86</v>
      </c>
      <c r="F19" s="544">
        <f>2015.02+57600+1235.58+14000</f>
        <v>74850.6</v>
      </c>
      <c r="G19" s="544">
        <f>68.75+1216.39+18.98+150+3000</f>
        <v>4454.12</v>
      </c>
      <c r="H19" s="544">
        <v>100000.0</v>
      </c>
      <c r="I19" s="545">
        <v>0.0</v>
      </c>
      <c r="J19" s="545">
        <v>20000.0</v>
      </c>
      <c r="K19" s="545">
        <v>0.0</v>
      </c>
      <c r="L19" s="545">
        <v>0.0</v>
      </c>
      <c r="M19" s="545">
        <v>0.0</v>
      </c>
      <c r="N19" s="545">
        <v>0.0</v>
      </c>
      <c r="O19" s="545">
        <v>0.0</v>
      </c>
      <c r="P19" s="546">
        <f t="shared" si="8"/>
        <v>203190.13</v>
      </c>
    </row>
    <row r="20" ht="15.75" customHeight="1">
      <c r="A20" s="540" t="s">
        <v>2057</v>
      </c>
      <c r="D20" s="555">
        <f t="shared" ref="D20:P20" si="10">SUM(D14:D19)</f>
        <v>666103.63</v>
      </c>
      <c r="E20" s="555">
        <f t="shared" si="10"/>
        <v>557930.44</v>
      </c>
      <c r="F20" s="555">
        <f t="shared" si="10"/>
        <v>507407.18</v>
      </c>
      <c r="G20" s="555">
        <f t="shared" si="10"/>
        <v>428071.33</v>
      </c>
      <c r="H20" s="555">
        <f t="shared" si="10"/>
        <v>458727</v>
      </c>
      <c r="I20" s="555">
        <f t="shared" si="10"/>
        <v>375000</v>
      </c>
      <c r="J20" s="555">
        <f t="shared" si="10"/>
        <v>220000</v>
      </c>
      <c r="K20" s="555">
        <f t="shared" si="10"/>
        <v>221750</v>
      </c>
      <c r="L20" s="555">
        <f t="shared" si="10"/>
        <v>223622.5</v>
      </c>
      <c r="M20" s="555">
        <f t="shared" si="10"/>
        <v>225626.075</v>
      </c>
      <c r="N20" s="555">
        <f t="shared" si="10"/>
        <v>227769.9003</v>
      </c>
      <c r="O20" s="555">
        <f t="shared" si="10"/>
        <v>217063.7933</v>
      </c>
      <c r="P20" s="555">
        <f t="shared" si="10"/>
        <v>4329071.849</v>
      </c>
    </row>
    <row r="21" ht="14.25" customHeight="1"/>
    <row r="22" ht="15.75" customHeight="1">
      <c r="A22" s="556" t="s">
        <v>2058</v>
      </c>
      <c r="D22" s="557"/>
      <c r="E22" s="557"/>
      <c r="F22" s="557"/>
      <c r="G22" s="557"/>
      <c r="H22" s="557"/>
      <c r="I22" s="557"/>
      <c r="J22" s="557"/>
      <c r="K22" s="557"/>
      <c r="L22" s="557"/>
      <c r="M22" s="557"/>
      <c r="N22" s="557"/>
      <c r="O22" s="557"/>
      <c r="P22" s="558"/>
    </row>
    <row r="23" ht="14.25" customHeight="1">
      <c r="C23" s="543" t="s">
        <v>2059</v>
      </c>
      <c r="D23" s="544">
        <v>8258.62</v>
      </c>
      <c r="E23" s="544">
        <v>7989.28</v>
      </c>
      <c r="F23" s="544">
        <v>0.0</v>
      </c>
      <c r="G23" s="544">
        <v>12607.77</v>
      </c>
      <c r="H23" s="559">
        <v>0.0</v>
      </c>
      <c r="I23" s="559">
        <v>0.0</v>
      </c>
      <c r="J23" s="559">
        <v>0.0</v>
      </c>
      <c r="K23" s="559">
        <v>0.0</v>
      </c>
      <c r="L23" s="559">
        <v>0.0</v>
      </c>
      <c r="M23" s="559">
        <v>0.0</v>
      </c>
      <c r="N23" s="559">
        <v>0.0</v>
      </c>
      <c r="O23" s="559">
        <v>0.0</v>
      </c>
      <c r="P23" s="560">
        <f>SUM(D23:O23)</f>
        <v>28855.67</v>
      </c>
    </row>
    <row r="24" ht="14.25" customHeight="1">
      <c r="B24" s="561" t="s">
        <v>2060</v>
      </c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2"/>
    </row>
    <row r="25" ht="13.5" customHeight="1">
      <c r="A25" s="129"/>
      <c r="B25" s="129"/>
      <c r="C25" s="563" t="s">
        <v>1908</v>
      </c>
      <c r="D25" s="544">
        <v>-11370.0</v>
      </c>
      <c r="E25" s="544">
        <v>-12876.0</v>
      </c>
      <c r="F25" s="544">
        <v>37781.0</v>
      </c>
      <c r="G25" s="544">
        <v>2751.0</v>
      </c>
      <c r="H25" s="559">
        <v>0.0</v>
      </c>
      <c r="I25" s="559">
        <v>0.0</v>
      </c>
      <c r="J25" s="559">
        <v>50000.0</v>
      </c>
      <c r="K25" s="559">
        <v>50000.0</v>
      </c>
      <c r="L25" s="559">
        <v>0.0</v>
      </c>
      <c r="M25" s="559">
        <v>0.0</v>
      </c>
      <c r="N25" s="559">
        <v>0.0</v>
      </c>
      <c r="O25" s="559">
        <v>0.0</v>
      </c>
      <c r="P25" s="560">
        <f t="shared" ref="P25:P30" si="11">SUM(D25:O25)</f>
        <v>116286</v>
      </c>
    </row>
    <row r="26" ht="14.25" customHeight="1">
      <c r="C26" s="543" t="s">
        <v>2061</v>
      </c>
      <c r="D26" s="544">
        <f>13000+6732</f>
        <v>19732</v>
      </c>
      <c r="E26" s="544">
        <v>2129.8</v>
      </c>
      <c r="F26" s="544"/>
      <c r="G26" s="544">
        <v>19918.95</v>
      </c>
      <c r="H26" s="559">
        <v>0.0</v>
      </c>
      <c r="I26" s="559">
        <v>0.0</v>
      </c>
      <c r="J26" s="559">
        <v>20000.0</v>
      </c>
      <c r="K26" s="559">
        <v>0.0</v>
      </c>
      <c r="L26" s="559">
        <v>0.0</v>
      </c>
      <c r="M26" s="559">
        <v>0.0</v>
      </c>
      <c r="N26" s="559">
        <v>0.0</v>
      </c>
      <c r="O26" s="559">
        <v>0.0</v>
      </c>
      <c r="P26" s="560">
        <f t="shared" si="11"/>
        <v>61780.75</v>
      </c>
    </row>
    <row r="27" ht="14.25" customHeight="1">
      <c r="C27" s="543" t="s">
        <v>1931</v>
      </c>
      <c r="D27" s="544">
        <v>0.0</v>
      </c>
      <c r="E27" s="544">
        <v>21554.0</v>
      </c>
      <c r="F27" s="544">
        <v>0.0</v>
      </c>
      <c r="G27" s="544">
        <v>0.0</v>
      </c>
      <c r="H27" s="559">
        <v>0.0</v>
      </c>
      <c r="I27" s="559">
        <v>0.0</v>
      </c>
      <c r="J27" s="559">
        <v>0.0</v>
      </c>
      <c r="K27" s="559">
        <v>0.0</v>
      </c>
      <c r="L27" s="559">
        <v>0.0</v>
      </c>
      <c r="M27" s="559">
        <v>0.0</v>
      </c>
      <c r="N27" s="559">
        <v>0.0</v>
      </c>
      <c r="O27" s="559">
        <v>0.0</v>
      </c>
      <c r="P27" s="560">
        <f t="shared" si="11"/>
        <v>21554</v>
      </c>
    </row>
    <row r="28" ht="14.25" customHeight="1">
      <c r="C28" s="534" t="s">
        <v>2062</v>
      </c>
      <c r="D28" s="544">
        <v>0.0</v>
      </c>
      <c r="E28" s="544">
        <v>0.0</v>
      </c>
      <c r="F28" s="544">
        <v>0.0</v>
      </c>
      <c r="G28" s="544">
        <v>0.0</v>
      </c>
      <c r="H28" s="559">
        <v>0.0</v>
      </c>
      <c r="I28" s="559">
        <v>0.0</v>
      </c>
      <c r="J28" s="559">
        <v>0.0</v>
      </c>
      <c r="K28" s="559">
        <v>0.0</v>
      </c>
      <c r="L28" s="559">
        <v>0.0</v>
      </c>
      <c r="M28" s="559">
        <v>0.0</v>
      </c>
      <c r="N28" s="559">
        <v>0.0</v>
      </c>
      <c r="O28" s="559">
        <v>0.0</v>
      </c>
      <c r="P28" s="560">
        <f t="shared" si="11"/>
        <v>0</v>
      </c>
    </row>
    <row r="29" ht="13.5" customHeight="1">
      <c r="A29" s="129"/>
      <c r="B29" s="129"/>
      <c r="C29" s="563" t="s">
        <v>1994</v>
      </c>
      <c r="D29" s="544">
        <v>7371.73</v>
      </c>
      <c r="E29" s="544">
        <v>7371.73</v>
      </c>
      <c r="F29" s="544">
        <v>0.0</v>
      </c>
      <c r="G29" s="544">
        <v>0.0</v>
      </c>
      <c r="H29" s="544">
        <v>50959.0</v>
      </c>
      <c r="I29" s="559">
        <v>0.0</v>
      </c>
      <c r="J29" s="559">
        <v>0.0</v>
      </c>
      <c r="K29" s="559">
        <v>0.0</v>
      </c>
      <c r="L29" s="559">
        <v>0.0</v>
      </c>
      <c r="M29" s="559">
        <v>0.0</v>
      </c>
      <c r="N29" s="559">
        <v>0.0</v>
      </c>
      <c r="O29" s="559">
        <v>0.0</v>
      </c>
      <c r="P29" s="560">
        <f t="shared" si="11"/>
        <v>65702.46</v>
      </c>
    </row>
    <row r="30" ht="13.5" customHeight="1">
      <c r="A30" s="129"/>
      <c r="B30" s="129"/>
      <c r="C30" s="563" t="s">
        <v>2063</v>
      </c>
      <c r="D30" s="544">
        <v>0.0</v>
      </c>
      <c r="E30" s="544">
        <v>0.0</v>
      </c>
      <c r="F30" s="544">
        <v>0.0</v>
      </c>
      <c r="G30" s="544">
        <v>0.0</v>
      </c>
      <c r="H30" s="559">
        <v>0.0</v>
      </c>
      <c r="I30" s="559">
        <v>0.0</v>
      </c>
      <c r="J30" s="559">
        <v>0.0</v>
      </c>
      <c r="K30" s="559">
        <v>0.0</v>
      </c>
      <c r="L30" s="559">
        <v>0.0</v>
      </c>
      <c r="M30" s="559">
        <v>0.0</v>
      </c>
      <c r="N30" s="559">
        <v>0.0</v>
      </c>
      <c r="O30" s="559">
        <v>0.0</v>
      </c>
      <c r="P30" s="564">
        <f t="shared" si="11"/>
        <v>0</v>
      </c>
    </row>
    <row r="31" ht="14.25" customHeight="1">
      <c r="B31" s="565" t="s">
        <v>2064</v>
      </c>
      <c r="D31" s="562"/>
      <c r="E31" s="562"/>
      <c r="F31" s="562"/>
      <c r="G31" s="562"/>
      <c r="H31" s="562"/>
      <c r="I31" s="562"/>
      <c r="J31" s="562"/>
      <c r="K31" s="562"/>
      <c r="L31" s="562"/>
      <c r="M31" s="562"/>
      <c r="N31" s="562"/>
      <c r="O31" s="562"/>
    </row>
    <row r="32" ht="15.0" customHeight="1">
      <c r="C32" s="543" t="s">
        <v>2065</v>
      </c>
      <c r="D32" s="544">
        <v>20570.05</v>
      </c>
      <c r="E32" s="544">
        <v>17358.73</v>
      </c>
      <c r="F32" s="544">
        <v>16897.34</v>
      </c>
      <c r="G32" s="544">
        <v>17571.59</v>
      </c>
      <c r="H32" s="559">
        <v>17500.0</v>
      </c>
      <c r="I32" s="559">
        <v>17500.0</v>
      </c>
      <c r="J32" s="559">
        <v>17500.0</v>
      </c>
      <c r="K32" s="559">
        <v>17500.0</v>
      </c>
      <c r="L32" s="559">
        <v>17500.0</v>
      </c>
      <c r="M32" s="559">
        <v>17500.0</v>
      </c>
      <c r="N32" s="559">
        <v>17500.0</v>
      </c>
      <c r="O32" s="559">
        <v>17500.0</v>
      </c>
      <c r="P32" s="546">
        <f t="shared" ref="P32:P51" si="12">SUM(D32:O32)</f>
        <v>212397.71</v>
      </c>
    </row>
    <row r="33" ht="15.0" customHeight="1">
      <c r="C33" s="543" t="s">
        <v>2066</v>
      </c>
      <c r="D33" s="544">
        <v>14292.0</v>
      </c>
      <c r="E33" s="544">
        <v>12476.75</v>
      </c>
      <c r="F33" s="544">
        <v>12252.5</v>
      </c>
      <c r="G33" s="544">
        <v>5006.25</v>
      </c>
      <c r="H33" s="559">
        <v>7500.0</v>
      </c>
      <c r="I33" s="559">
        <v>7500.0</v>
      </c>
      <c r="J33" s="559">
        <v>7500.0</v>
      </c>
      <c r="K33" s="559">
        <v>7500.0</v>
      </c>
      <c r="L33" s="559">
        <v>7500.0</v>
      </c>
      <c r="M33" s="559">
        <v>7500.0</v>
      </c>
      <c r="N33" s="559">
        <v>7500.0</v>
      </c>
      <c r="O33" s="559">
        <v>7500.0</v>
      </c>
      <c r="P33" s="546">
        <f t="shared" si="12"/>
        <v>104027.5</v>
      </c>
    </row>
    <row r="34" ht="15.0" customHeight="1">
      <c r="C34" s="543" t="s">
        <v>2067</v>
      </c>
      <c r="D34" s="544">
        <v>11992.0</v>
      </c>
      <c r="E34" s="544">
        <v>15389.0</v>
      </c>
      <c r="F34" s="544">
        <v>12000.0</v>
      </c>
      <c r="G34" s="544">
        <v>15460.68</v>
      </c>
      <c r="H34" s="559">
        <v>10000.0</v>
      </c>
      <c r="I34" s="559">
        <v>10000.0</v>
      </c>
      <c r="J34" s="559">
        <v>10000.0</v>
      </c>
      <c r="K34" s="559">
        <v>10000.0</v>
      </c>
      <c r="L34" s="559">
        <v>10000.0</v>
      </c>
      <c r="M34" s="559">
        <v>10000.0</v>
      </c>
      <c r="N34" s="559">
        <v>10000.0</v>
      </c>
      <c r="O34" s="559">
        <v>10000.0</v>
      </c>
      <c r="P34" s="546">
        <f t="shared" si="12"/>
        <v>134841.68</v>
      </c>
    </row>
    <row r="35" ht="15.0" customHeight="1">
      <c r="A35" s="129"/>
      <c r="B35" s="129"/>
      <c r="C35" s="563" t="s">
        <v>2068</v>
      </c>
      <c r="D35" s="566">
        <v>0.0</v>
      </c>
      <c r="E35" s="566">
        <v>0.0</v>
      </c>
      <c r="F35" s="566">
        <v>0.0</v>
      </c>
      <c r="G35" s="566">
        <v>0.0</v>
      </c>
      <c r="H35" s="567">
        <v>0.0</v>
      </c>
      <c r="I35" s="567">
        <v>0.0</v>
      </c>
      <c r="J35" s="559">
        <v>10000.0</v>
      </c>
      <c r="K35" s="559">
        <v>10000.0</v>
      </c>
      <c r="L35" s="559">
        <v>10000.0</v>
      </c>
      <c r="M35" s="559">
        <v>10000.0</v>
      </c>
      <c r="N35" s="559">
        <v>10000.0</v>
      </c>
      <c r="O35" s="559">
        <v>10000.0</v>
      </c>
      <c r="P35" s="568">
        <f t="shared" si="12"/>
        <v>60000</v>
      </c>
    </row>
    <row r="36" ht="15.0" customHeight="1">
      <c r="C36" s="543" t="s">
        <v>1928</v>
      </c>
      <c r="D36" s="544">
        <v>0.0</v>
      </c>
      <c r="E36" s="544">
        <v>0.0</v>
      </c>
      <c r="F36" s="544">
        <v>0.0</v>
      </c>
      <c r="G36" s="544">
        <v>0.0</v>
      </c>
      <c r="H36" s="567">
        <v>0.0</v>
      </c>
      <c r="I36" s="567">
        <v>0.0</v>
      </c>
      <c r="J36" s="567">
        <v>0.0</v>
      </c>
      <c r="K36" s="567">
        <v>0.0</v>
      </c>
      <c r="L36" s="567">
        <v>0.0</v>
      </c>
      <c r="M36" s="559">
        <v>40000.0</v>
      </c>
      <c r="N36" s="559">
        <v>40000.0</v>
      </c>
      <c r="O36" s="559">
        <v>40000.0</v>
      </c>
      <c r="P36" s="546">
        <f t="shared" si="12"/>
        <v>120000</v>
      </c>
    </row>
    <row r="37" ht="15.0" customHeight="1">
      <c r="C37" s="543" t="s">
        <v>2069</v>
      </c>
      <c r="D37" s="544">
        <v>12279.85</v>
      </c>
      <c r="E37" s="544">
        <v>8218.75</v>
      </c>
      <c r="F37" s="544">
        <v>11536.09</v>
      </c>
      <c r="G37" s="544">
        <v>7580.54</v>
      </c>
      <c r="H37" s="559">
        <v>5000.0</v>
      </c>
      <c r="I37" s="559">
        <v>5000.0</v>
      </c>
      <c r="J37" s="559">
        <v>5000.0</v>
      </c>
      <c r="K37" s="559">
        <v>5000.0</v>
      </c>
      <c r="L37" s="559">
        <v>5000.0</v>
      </c>
      <c r="M37" s="559">
        <v>5000.0</v>
      </c>
      <c r="N37" s="559">
        <v>5000.0</v>
      </c>
      <c r="O37" s="559">
        <v>5000.0</v>
      </c>
      <c r="P37" s="546">
        <f t="shared" si="12"/>
        <v>79615.23</v>
      </c>
    </row>
    <row r="38" ht="14.25" customHeight="1">
      <c r="C38" s="543" t="s">
        <v>2070</v>
      </c>
      <c r="D38" s="544">
        <v>3000.0</v>
      </c>
      <c r="E38" s="544">
        <v>4000.0</v>
      </c>
      <c r="F38" s="544">
        <v>4830.5</v>
      </c>
      <c r="G38" s="544">
        <v>3000.0</v>
      </c>
      <c r="H38" s="559">
        <v>5000.0</v>
      </c>
      <c r="I38" s="559">
        <v>5000.0</v>
      </c>
      <c r="J38" s="559">
        <v>5000.0</v>
      </c>
      <c r="K38" s="559">
        <v>5000.0</v>
      </c>
      <c r="L38" s="559">
        <v>5000.0</v>
      </c>
      <c r="M38" s="559">
        <v>5000.0</v>
      </c>
      <c r="N38" s="559">
        <v>5000.0</v>
      </c>
      <c r="O38" s="559">
        <v>5000.0</v>
      </c>
      <c r="P38" s="546">
        <f t="shared" si="12"/>
        <v>54830.5</v>
      </c>
    </row>
    <row r="39" ht="14.25" customHeight="1">
      <c r="A39" s="129"/>
      <c r="B39" s="129"/>
      <c r="C39" s="563" t="s">
        <v>2071</v>
      </c>
      <c r="D39" s="548">
        <v>8954.79</v>
      </c>
      <c r="E39" s="548">
        <v>521.0</v>
      </c>
      <c r="F39" s="566">
        <v>0.0</v>
      </c>
      <c r="G39" s="548">
        <v>4807.15</v>
      </c>
      <c r="H39" s="567">
        <v>0.0</v>
      </c>
      <c r="I39" s="567">
        <v>0.0</v>
      </c>
      <c r="J39" s="567">
        <v>0.0</v>
      </c>
      <c r="K39" s="567">
        <v>0.0</v>
      </c>
      <c r="L39" s="567">
        <v>0.0</v>
      </c>
      <c r="M39" s="567">
        <v>0.0</v>
      </c>
      <c r="N39" s="567">
        <v>0.0</v>
      </c>
      <c r="O39" s="567">
        <v>0.0</v>
      </c>
      <c r="P39" s="568">
        <f t="shared" si="12"/>
        <v>14282.94</v>
      </c>
    </row>
    <row r="40" ht="14.25" customHeight="1">
      <c r="C40" s="543" t="s">
        <v>2072</v>
      </c>
      <c r="D40" s="544">
        <v>2400.0</v>
      </c>
      <c r="E40" s="544">
        <v>0.0</v>
      </c>
      <c r="F40" s="544">
        <v>1059.0</v>
      </c>
      <c r="G40" s="544">
        <v>0.0</v>
      </c>
      <c r="H40" s="559">
        <v>0.0</v>
      </c>
      <c r="I40" s="559">
        <v>0.0</v>
      </c>
      <c r="J40" s="559">
        <v>0.0</v>
      </c>
      <c r="K40" s="559">
        <v>0.0</v>
      </c>
      <c r="L40" s="559">
        <v>0.0</v>
      </c>
      <c r="M40" s="559">
        <v>0.0</v>
      </c>
      <c r="N40" s="559">
        <v>0.0</v>
      </c>
      <c r="O40" s="559">
        <v>0.0</v>
      </c>
      <c r="P40" s="546">
        <f t="shared" si="12"/>
        <v>3459</v>
      </c>
    </row>
    <row r="41" ht="15.0" customHeight="1">
      <c r="C41" s="543" t="s">
        <v>2073</v>
      </c>
      <c r="D41" s="544">
        <v>0.0</v>
      </c>
      <c r="E41" s="544">
        <v>0.0</v>
      </c>
      <c r="F41" s="544">
        <v>0.0</v>
      </c>
      <c r="G41" s="544">
        <v>0.0</v>
      </c>
      <c r="H41" s="559">
        <v>0.0</v>
      </c>
      <c r="I41" s="559">
        <v>0.0</v>
      </c>
      <c r="J41" s="559">
        <v>0.0</v>
      </c>
      <c r="K41" s="559">
        <v>0.0</v>
      </c>
      <c r="L41" s="559">
        <v>0.0</v>
      </c>
      <c r="M41" s="559">
        <v>0.0</v>
      </c>
      <c r="N41" s="559">
        <v>0.0</v>
      </c>
      <c r="O41" s="559">
        <v>0.0</v>
      </c>
      <c r="P41" s="546">
        <f t="shared" si="12"/>
        <v>0</v>
      </c>
    </row>
    <row r="42" ht="14.25" customHeight="1">
      <c r="C42" s="543" t="s">
        <v>2074</v>
      </c>
      <c r="D42" s="544">
        <v>528.0</v>
      </c>
      <c r="E42" s="544">
        <v>1088.0</v>
      </c>
      <c r="F42" s="544">
        <v>528.0</v>
      </c>
      <c r="G42" s="544">
        <v>528.0</v>
      </c>
      <c r="H42" s="559">
        <v>0.0</v>
      </c>
      <c r="I42" s="559">
        <v>0.0</v>
      </c>
      <c r="J42" s="559">
        <v>0.0</v>
      </c>
      <c r="K42" s="559">
        <v>0.0</v>
      </c>
      <c r="L42" s="559">
        <v>0.0</v>
      </c>
      <c r="M42" s="559">
        <v>0.0</v>
      </c>
      <c r="N42" s="559">
        <v>0.0</v>
      </c>
      <c r="O42" s="559">
        <v>0.0</v>
      </c>
      <c r="P42" s="546">
        <f t="shared" si="12"/>
        <v>2672</v>
      </c>
    </row>
    <row r="43" ht="15.0" customHeight="1">
      <c r="C43" s="543" t="s">
        <v>2075</v>
      </c>
      <c r="D43" s="544">
        <v>0.0</v>
      </c>
      <c r="E43" s="544">
        <v>0.0</v>
      </c>
      <c r="F43" s="544">
        <v>400.0</v>
      </c>
      <c r="G43" s="544">
        <v>2000.0</v>
      </c>
      <c r="H43" s="559">
        <v>0.0</v>
      </c>
      <c r="I43" s="559">
        <v>0.0</v>
      </c>
      <c r="J43" s="559">
        <v>0.0</v>
      </c>
      <c r="K43" s="559">
        <v>0.0</v>
      </c>
      <c r="L43" s="559">
        <v>0.0</v>
      </c>
      <c r="M43" s="559">
        <v>0.0</v>
      </c>
      <c r="N43" s="559">
        <v>0.0</v>
      </c>
      <c r="O43" s="559">
        <v>0.0</v>
      </c>
      <c r="P43" s="546">
        <f t="shared" si="12"/>
        <v>2400</v>
      </c>
    </row>
    <row r="44" ht="15.0" customHeight="1">
      <c r="C44" s="543" t="s">
        <v>2076</v>
      </c>
      <c r="D44" s="544">
        <v>377425.0</v>
      </c>
      <c r="E44" s="544">
        <v>499034.19</v>
      </c>
      <c r="F44" s="544">
        <v>385480.64</v>
      </c>
      <c r="G44" s="544">
        <v>43702.0</v>
      </c>
      <c r="H44" s="559">
        <v>0.0</v>
      </c>
      <c r="I44" s="559">
        <v>0.0</v>
      </c>
      <c r="J44" s="559">
        <v>0.0</v>
      </c>
      <c r="K44" s="559">
        <v>0.0</v>
      </c>
      <c r="L44" s="559">
        <v>0.0</v>
      </c>
      <c r="M44" s="559">
        <v>0.0</v>
      </c>
      <c r="N44" s="559">
        <v>0.0</v>
      </c>
      <c r="O44" s="559">
        <v>0.0</v>
      </c>
      <c r="P44" s="546">
        <f t="shared" si="12"/>
        <v>1305641.83</v>
      </c>
    </row>
    <row r="45" ht="15.0" customHeight="1">
      <c r="C45" s="543" t="s">
        <v>2077</v>
      </c>
      <c r="D45" s="544">
        <v>5780.0</v>
      </c>
      <c r="E45" s="544">
        <v>8050.0</v>
      </c>
      <c r="F45" s="544">
        <v>13103.73</v>
      </c>
      <c r="G45" s="544">
        <v>3934.0</v>
      </c>
      <c r="H45" s="559">
        <v>5000.0</v>
      </c>
      <c r="I45" s="559">
        <v>5000.0</v>
      </c>
      <c r="J45" s="559">
        <v>5000.0</v>
      </c>
      <c r="K45" s="559">
        <v>5000.0</v>
      </c>
      <c r="L45" s="559">
        <v>5000.0</v>
      </c>
      <c r="M45" s="559">
        <v>5000.0</v>
      </c>
      <c r="N45" s="559">
        <v>5000.0</v>
      </c>
      <c r="O45" s="559">
        <v>5000.0</v>
      </c>
      <c r="P45" s="546">
        <f t="shared" si="12"/>
        <v>70867.73</v>
      </c>
    </row>
    <row r="46" ht="15.0" customHeight="1">
      <c r="C46" s="543" t="s">
        <v>2078</v>
      </c>
      <c r="D46" s="544">
        <v>1367.75</v>
      </c>
      <c r="E46" s="544">
        <v>5396.0</v>
      </c>
      <c r="F46" s="544">
        <v>3496.0</v>
      </c>
      <c r="G46" s="544">
        <v>3000.0</v>
      </c>
      <c r="H46" s="559">
        <v>2500.0</v>
      </c>
      <c r="I46" s="559">
        <v>2500.0</v>
      </c>
      <c r="J46" s="559">
        <v>2500.0</v>
      </c>
      <c r="K46" s="559">
        <v>2500.0</v>
      </c>
      <c r="L46" s="559">
        <v>2500.0</v>
      </c>
      <c r="M46" s="559">
        <v>2500.0</v>
      </c>
      <c r="N46" s="559">
        <v>2500.0</v>
      </c>
      <c r="O46" s="559">
        <v>2500.0</v>
      </c>
      <c r="P46" s="546">
        <f t="shared" si="12"/>
        <v>33259.75</v>
      </c>
    </row>
    <row r="47" ht="15.0" customHeight="1">
      <c r="C47" s="543" t="s">
        <v>2079</v>
      </c>
      <c r="D47" s="544">
        <v>265.0</v>
      </c>
      <c r="E47" s="544">
        <v>30.0</v>
      </c>
      <c r="F47" s="544">
        <f>2400+309</f>
        <v>2709</v>
      </c>
      <c r="G47" s="544">
        <v>0.0</v>
      </c>
      <c r="H47" s="559">
        <v>0.0</v>
      </c>
      <c r="I47" s="559">
        <v>0.0</v>
      </c>
      <c r="J47" s="559">
        <v>0.0</v>
      </c>
      <c r="K47" s="559">
        <v>0.0</v>
      </c>
      <c r="L47" s="559">
        <v>0.0</v>
      </c>
      <c r="M47" s="559">
        <v>0.0</v>
      </c>
      <c r="N47" s="559">
        <v>0.0</v>
      </c>
      <c r="O47" s="559">
        <v>0.0</v>
      </c>
      <c r="P47" s="546">
        <f t="shared" si="12"/>
        <v>3004</v>
      </c>
    </row>
    <row r="48" ht="15.0" customHeight="1">
      <c r="C48" s="543" t="s">
        <v>2073</v>
      </c>
      <c r="D48" s="544">
        <v>250.0</v>
      </c>
      <c r="E48" s="544">
        <v>0.0</v>
      </c>
      <c r="F48" s="544">
        <v>250.0</v>
      </c>
      <c r="G48" s="544">
        <v>0.0</v>
      </c>
      <c r="H48" s="559">
        <v>0.0</v>
      </c>
      <c r="I48" s="559">
        <v>0.0</v>
      </c>
      <c r="J48" s="559">
        <v>0.0</v>
      </c>
      <c r="K48" s="559">
        <v>0.0</v>
      </c>
      <c r="L48" s="559">
        <v>0.0</v>
      </c>
      <c r="M48" s="559">
        <v>0.0</v>
      </c>
      <c r="N48" s="559">
        <v>0.0</v>
      </c>
      <c r="O48" s="559">
        <v>0.0</v>
      </c>
      <c r="P48" s="546">
        <f t="shared" si="12"/>
        <v>500</v>
      </c>
    </row>
    <row r="49" ht="15.0" customHeight="1">
      <c r="C49" s="543" t="s">
        <v>2080</v>
      </c>
      <c r="D49" s="544">
        <v>2900.0</v>
      </c>
      <c r="E49" s="544">
        <v>0.0</v>
      </c>
      <c r="F49" s="544">
        <v>38283.0</v>
      </c>
      <c r="G49" s="544">
        <v>0.0</v>
      </c>
      <c r="H49" s="559">
        <v>0.0</v>
      </c>
      <c r="I49" s="559">
        <v>0.0</v>
      </c>
      <c r="J49" s="559">
        <v>0.0</v>
      </c>
      <c r="K49" s="559">
        <v>0.0</v>
      </c>
      <c r="L49" s="559">
        <v>0.0</v>
      </c>
      <c r="M49" s="559">
        <v>0.0</v>
      </c>
      <c r="N49" s="559">
        <v>0.0</v>
      </c>
      <c r="O49" s="559">
        <v>0.0</v>
      </c>
      <c r="P49" s="546">
        <f t="shared" si="12"/>
        <v>41183</v>
      </c>
    </row>
    <row r="50" ht="15.0" customHeight="1">
      <c r="C50" s="543" t="s">
        <v>1908</v>
      </c>
      <c r="D50" s="544">
        <f>77204.88-(D26+D58+D29+D60+D59)</f>
        <v>12694.25</v>
      </c>
      <c r="E50" s="544">
        <f>39+1158+55+80+20+30+50+55+2079.62+37+2189.52+375+1000+108</f>
        <v>7276.14</v>
      </c>
      <c r="F50" s="544">
        <f>64+45+57600+14+12+74+40+1000+153+73+14000+723.41+48+200+37+750</f>
        <v>74833.41</v>
      </c>
      <c r="G50" s="544">
        <f>706.98+750+3000+300+45</f>
        <v>4801.98</v>
      </c>
      <c r="H50" s="559">
        <v>0.0</v>
      </c>
      <c r="I50" s="559">
        <v>0.0</v>
      </c>
      <c r="J50" s="559">
        <v>0.0</v>
      </c>
      <c r="K50" s="559">
        <v>0.0</v>
      </c>
      <c r="L50" s="559">
        <v>0.0</v>
      </c>
      <c r="M50" s="559">
        <v>0.0</v>
      </c>
      <c r="N50" s="559">
        <v>0.0</v>
      </c>
      <c r="O50" s="559">
        <v>0.0</v>
      </c>
      <c r="P50" s="546">
        <f t="shared" si="12"/>
        <v>99605.78</v>
      </c>
    </row>
    <row r="51" ht="15.0" customHeight="1">
      <c r="C51" s="543" t="s">
        <v>2081</v>
      </c>
      <c r="D51" s="544">
        <v>34697.79</v>
      </c>
      <c r="E51" s="544">
        <v>23437.71</v>
      </c>
      <c r="F51" s="544">
        <v>26425.71</v>
      </c>
      <c r="G51" s="544">
        <v>68611.4</v>
      </c>
      <c r="H51" s="559">
        <v>12500.0</v>
      </c>
      <c r="I51" s="559">
        <v>12500.0</v>
      </c>
      <c r="J51" s="559">
        <v>12500.0</v>
      </c>
      <c r="K51" s="559">
        <v>12500.0</v>
      </c>
      <c r="L51" s="559">
        <v>12500.0</v>
      </c>
      <c r="M51" s="559">
        <v>12500.0</v>
      </c>
      <c r="N51" s="559">
        <v>12500.0</v>
      </c>
      <c r="O51" s="559">
        <v>12500.0</v>
      </c>
      <c r="P51" s="546">
        <f t="shared" si="12"/>
        <v>253172.61</v>
      </c>
    </row>
    <row r="52" ht="14.25" customHeight="1">
      <c r="B52" s="565" t="s">
        <v>2082</v>
      </c>
      <c r="D52" s="562"/>
      <c r="E52" s="562"/>
      <c r="F52" s="562"/>
      <c r="G52" s="562"/>
      <c r="H52" s="562"/>
      <c r="I52" s="562"/>
      <c r="J52" s="562"/>
      <c r="K52" s="562"/>
      <c r="L52" s="562"/>
      <c r="M52" s="562"/>
      <c r="N52" s="562"/>
      <c r="O52" s="562"/>
    </row>
    <row r="53" ht="14.25" customHeight="1">
      <c r="C53" s="123" t="s">
        <v>1887</v>
      </c>
      <c r="D53" s="544">
        <v>11500.0</v>
      </c>
      <c r="E53" s="544">
        <v>11500.0</v>
      </c>
      <c r="F53" s="544">
        <v>11500.0</v>
      </c>
      <c r="G53" s="544">
        <v>11500.0</v>
      </c>
      <c r="H53" s="544">
        <v>11500.0</v>
      </c>
      <c r="I53" s="559">
        <v>11500.0</v>
      </c>
      <c r="J53" s="559">
        <v>11500.0</v>
      </c>
      <c r="K53" s="559">
        <v>11500.0</v>
      </c>
      <c r="L53" s="559">
        <v>11500.0</v>
      </c>
      <c r="M53" s="559">
        <v>40000.0</v>
      </c>
      <c r="N53" s="559">
        <v>40000.0</v>
      </c>
      <c r="O53" s="559">
        <v>40000.0</v>
      </c>
      <c r="P53" s="546">
        <f t="shared" ref="P53:P68" si="13">SUM(D53:O53)</f>
        <v>223500</v>
      </c>
    </row>
    <row r="54" ht="14.25" customHeight="1">
      <c r="C54" s="123" t="s">
        <v>1883</v>
      </c>
      <c r="D54" s="544">
        <v>10600.0</v>
      </c>
      <c r="E54" s="544">
        <v>10600.0</v>
      </c>
      <c r="F54" s="544">
        <v>10600.0</v>
      </c>
      <c r="G54" s="544">
        <v>10600.0</v>
      </c>
      <c r="H54" s="544">
        <v>10600.0</v>
      </c>
      <c r="I54" s="559">
        <v>10600.0</v>
      </c>
      <c r="J54" s="559">
        <v>10600.0</v>
      </c>
      <c r="K54" s="559">
        <v>10600.0</v>
      </c>
      <c r="L54" s="559">
        <v>10600.0</v>
      </c>
      <c r="M54" s="559">
        <v>10600.0</v>
      </c>
      <c r="N54" s="559">
        <v>10600.0</v>
      </c>
      <c r="O54" s="559">
        <v>10600.0</v>
      </c>
      <c r="P54" s="546">
        <f t="shared" si="13"/>
        <v>127200</v>
      </c>
    </row>
    <row r="55" ht="14.25" customHeight="1">
      <c r="C55" s="543" t="s">
        <v>23</v>
      </c>
      <c r="D55" s="544">
        <v>17300.0</v>
      </c>
      <c r="E55" s="544">
        <v>17300.0</v>
      </c>
      <c r="F55" s="544">
        <v>17300.0</v>
      </c>
      <c r="G55" s="544">
        <v>17300.0</v>
      </c>
      <c r="H55" s="559">
        <v>17300.0</v>
      </c>
      <c r="I55" s="559">
        <v>17300.0</v>
      </c>
      <c r="J55" s="559">
        <v>17300.0</v>
      </c>
      <c r="K55" s="559">
        <v>17300.0</v>
      </c>
      <c r="L55" s="559">
        <v>17300.0</v>
      </c>
      <c r="M55" s="559">
        <v>17300.0</v>
      </c>
      <c r="N55" s="559">
        <v>17300.0</v>
      </c>
      <c r="O55" s="559">
        <v>17300.0</v>
      </c>
      <c r="P55" s="546">
        <f t="shared" si="13"/>
        <v>207600</v>
      </c>
    </row>
    <row r="56" ht="13.5" customHeight="1">
      <c r="A56" s="129"/>
      <c r="B56" s="129"/>
      <c r="C56" s="563" t="s">
        <v>24</v>
      </c>
      <c r="D56" s="544">
        <v>0.0</v>
      </c>
      <c r="E56" s="544">
        <v>0.0</v>
      </c>
      <c r="F56" s="544">
        <v>0.0</v>
      </c>
      <c r="G56" s="544">
        <v>0.0</v>
      </c>
      <c r="H56" s="544">
        <v>0.0</v>
      </c>
      <c r="I56" s="559">
        <v>0.0</v>
      </c>
      <c r="J56" s="559">
        <v>-300000.0</v>
      </c>
      <c r="K56" s="559">
        <v>20600.0</v>
      </c>
      <c r="L56" s="559">
        <v>20600.0</v>
      </c>
      <c r="M56" s="559">
        <v>20600.0</v>
      </c>
      <c r="N56" s="559">
        <v>20600.0</v>
      </c>
      <c r="O56" s="559">
        <v>20600.0</v>
      </c>
      <c r="P56" s="564">
        <f t="shared" si="13"/>
        <v>-197000</v>
      </c>
    </row>
    <row r="57" ht="13.5" customHeight="1">
      <c r="A57" s="129"/>
      <c r="B57" s="129"/>
      <c r="C57" s="563" t="s">
        <v>2083</v>
      </c>
      <c r="D57" s="544">
        <v>14000.0</v>
      </c>
      <c r="E57" s="544">
        <v>14000.0</v>
      </c>
      <c r="F57" s="544">
        <v>14000.0</v>
      </c>
      <c r="G57" s="544">
        <v>14000.0</v>
      </c>
      <c r="H57" s="559">
        <v>14000.0</v>
      </c>
      <c r="I57" s="559">
        <v>14000.0</v>
      </c>
      <c r="J57" s="559">
        <v>0.0</v>
      </c>
      <c r="K57" s="559">
        <v>0.0</v>
      </c>
      <c r="L57" s="559">
        <v>0.0</v>
      </c>
      <c r="M57" s="559">
        <v>0.0</v>
      </c>
      <c r="N57" s="559">
        <v>0.0</v>
      </c>
      <c r="O57" s="559">
        <v>0.0</v>
      </c>
      <c r="P57" s="564">
        <f t="shared" si="13"/>
        <v>84000</v>
      </c>
    </row>
    <row r="58" ht="13.5" customHeight="1">
      <c r="A58" s="129"/>
      <c r="B58" s="129"/>
      <c r="C58" s="563" t="s">
        <v>1909</v>
      </c>
      <c r="D58" s="544">
        <v>13241.9</v>
      </c>
      <c r="E58" s="544">
        <v>13241.9</v>
      </c>
      <c r="F58" s="544">
        <v>13241.9</v>
      </c>
      <c r="G58" s="544">
        <v>13241.9</v>
      </c>
      <c r="H58" s="544">
        <v>13241.9</v>
      </c>
      <c r="I58" s="559">
        <v>13241.9</v>
      </c>
      <c r="J58" s="559">
        <v>13241.9</v>
      </c>
      <c r="K58" s="559">
        <v>13241.9</v>
      </c>
      <c r="L58" s="559">
        <v>13241.9</v>
      </c>
      <c r="M58" s="559">
        <v>13241.9</v>
      </c>
      <c r="N58" s="559">
        <v>13241.9</v>
      </c>
      <c r="O58" s="559">
        <v>13241.9</v>
      </c>
      <c r="P58" s="546">
        <f t="shared" si="13"/>
        <v>158902.8</v>
      </c>
    </row>
    <row r="59" ht="13.5" customHeight="1">
      <c r="A59" s="129"/>
      <c r="B59" s="129"/>
      <c r="C59" s="563" t="s">
        <v>1971</v>
      </c>
      <c r="D59" s="544">
        <v>8055.0</v>
      </c>
      <c r="E59" s="544">
        <v>8055.0</v>
      </c>
      <c r="F59" s="544">
        <v>8055.0</v>
      </c>
      <c r="G59" s="544">
        <v>8055.0</v>
      </c>
      <c r="H59" s="559">
        <v>8055.0</v>
      </c>
      <c r="I59" s="559">
        <v>8055.0</v>
      </c>
      <c r="J59" s="559">
        <v>8055.0</v>
      </c>
      <c r="K59" s="559">
        <v>0.0</v>
      </c>
      <c r="L59" s="559">
        <v>0.0</v>
      </c>
      <c r="M59" s="559">
        <v>0.0</v>
      </c>
      <c r="N59" s="559">
        <v>0.0</v>
      </c>
      <c r="O59" s="559">
        <v>0.0</v>
      </c>
      <c r="P59" s="546">
        <f t="shared" si="13"/>
        <v>56385</v>
      </c>
    </row>
    <row r="60" ht="13.5" customHeight="1">
      <c r="A60" s="129"/>
      <c r="B60" s="129"/>
      <c r="C60" s="563" t="s">
        <v>1975</v>
      </c>
      <c r="D60" s="544">
        <v>16110.0</v>
      </c>
      <c r="E60" s="544">
        <v>16110.0</v>
      </c>
      <c r="F60" s="544">
        <v>16110.0</v>
      </c>
      <c r="G60" s="544">
        <v>16110.0</v>
      </c>
      <c r="H60" s="544">
        <v>0.0</v>
      </c>
      <c r="I60" s="559">
        <v>0.0</v>
      </c>
      <c r="J60" s="559">
        <v>0.0</v>
      </c>
      <c r="K60" s="559">
        <v>0.0</v>
      </c>
      <c r="L60" s="559">
        <v>0.0</v>
      </c>
      <c r="M60" s="559">
        <v>0.0</v>
      </c>
      <c r="N60" s="559">
        <v>0.0</v>
      </c>
      <c r="O60" s="559">
        <v>0.0</v>
      </c>
      <c r="P60" s="546">
        <f t="shared" si="13"/>
        <v>64440</v>
      </c>
    </row>
    <row r="61" ht="13.5" customHeight="1">
      <c r="A61" s="129"/>
      <c r="B61" s="129"/>
      <c r="C61" s="563" t="s">
        <v>1976</v>
      </c>
      <c r="D61" s="544">
        <v>0.0</v>
      </c>
      <c r="E61" s="544">
        <v>0.0</v>
      </c>
      <c r="F61" s="544">
        <f>-33000+11555</f>
        <v>-21445</v>
      </c>
      <c r="G61" s="544">
        <v>11555.0</v>
      </c>
      <c r="H61" s="559">
        <v>11555.0</v>
      </c>
      <c r="I61" s="559">
        <v>0.0</v>
      </c>
      <c r="J61" s="559">
        <v>0.0</v>
      </c>
      <c r="K61" s="559">
        <v>0.0</v>
      </c>
      <c r="L61" s="559">
        <v>0.0</v>
      </c>
      <c r="M61" s="559">
        <v>0.0</v>
      </c>
      <c r="N61" s="559">
        <v>0.0</v>
      </c>
      <c r="O61" s="559">
        <v>0.0</v>
      </c>
      <c r="P61" s="546">
        <f t="shared" si="13"/>
        <v>1665</v>
      </c>
    </row>
    <row r="62" ht="13.5" customHeight="1">
      <c r="A62" s="129"/>
      <c r="B62" s="129"/>
      <c r="C62" s="563" t="s">
        <v>2084</v>
      </c>
      <c r="D62" s="544">
        <f>-34053+8513.25</f>
        <v>-25539.75</v>
      </c>
      <c r="E62" s="544">
        <v>8513.25</v>
      </c>
      <c r="F62" s="544">
        <v>8513.25</v>
      </c>
      <c r="G62" s="544">
        <v>8513.25</v>
      </c>
      <c r="H62" s="544">
        <v>0.0</v>
      </c>
      <c r="I62" s="559">
        <v>0.0</v>
      </c>
      <c r="J62" s="559">
        <v>0.0</v>
      </c>
      <c r="K62" s="559">
        <v>0.0</v>
      </c>
      <c r="L62" s="559">
        <v>0.0</v>
      </c>
      <c r="M62" s="559">
        <v>0.0</v>
      </c>
      <c r="N62" s="559">
        <v>0.0</v>
      </c>
      <c r="O62" s="559">
        <v>0.0</v>
      </c>
      <c r="P62" s="546">
        <f t="shared" si="13"/>
        <v>0</v>
      </c>
    </row>
    <row r="63" ht="13.5" customHeight="1">
      <c r="A63" s="129"/>
      <c r="B63" s="129"/>
      <c r="C63" s="563" t="s">
        <v>2084</v>
      </c>
      <c r="D63" s="544">
        <f>-22437+5609.25</f>
        <v>-16827.75</v>
      </c>
      <c r="E63" s="544">
        <v>5609.25</v>
      </c>
      <c r="F63" s="544">
        <v>5609.25</v>
      </c>
      <c r="G63" s="544">
        <v>5609.25</v>
      </c>
      <c r="H63" s="544">
        <v>0.0</v>
      </c>
      <c r="I63" s="559">
        <v>0.0</v>
      </c>
      <c r="J63" s="559">
        <v>0.0</v>
      </c>
      <c r="K63" s="559">
        <v>0.0</v>
      </c>
      <c r="L63" s="559">
        <v>0.0</v>
      </c>
      <c r="M63" s="559">
        <v>0.0</v>
      </c>
      <c r="N63" s="559">
        <v>0.0</v>
      </c>
      <c r="O63" s="559">
        <v>0.0</v>
      </c>
      <c r="P63" s="546">
        <f t="shared" si="13"/>
        <v>0</v>
      </c>
    </row>
    <row r="64" ht="13.5" customHeight="1">
      <c r="A64" s="129"/>
      <c r="B64" s="129"/>
      <c r="C64" s="563" t="s">
        <v>2084</v>
      </c>
      <c r="D64" s="548">
        <v>-27018.0</v>
      </c>
      <c r="E64" s="548">
        <v>6754.5</v>
      </c>
      <c r="F64" s="548">
        <v>6754.5</v>
      </c>
      <c r="G64" s="548">
        <v>6754.5</v>
      </c>
      <c r="H64" s="548">
        <v>6754.5</v>
      </c>
      <c r="I64" s="567">
        <v>0.0</v>
      </c>
      <c r="J64" s="567">
        <v>0.0</v>
      </c>
      <c r="K64" s="567">
        <v>0.0</v>
      </c>
      <c r="L64" s="567">
        <v>0.0</v>
      </c>
      <c r="M64" s="567">
        <v>0.0</v>
      </c>
      <c r="N64" s="567">
        <v>0.0</v>
      </c>
      <c r="O64" s="567">
        <v>0.0</v>
      </c>
      <c r="P64" s="568">
        <f t="shared" si="13"/>
        <v>0</v>
      </c>
    </row>
    <row r="65" ht="13.5" customHeight="1">
      <c r="A65" s="129"/>
      <c r="B65" s="129"/>
      <c r="C65" s="563" t="s">
        <v>2084</v>
      </c>
      <c r="D65" s="548">
        <v>-14142.0</v>
      </c>
      <c r="E65" s="548">
        <v>3535.5</v>
      </c>
      <c r="F65" s="548">
        <v>3535.5</v>
      </c>
      <c r="G65" s="548">
        <v>3535.5</v>
      </c>
      <c r="H65" s="548">
        <v>3535.5</v>
      </c>
      <c r="I65" s="567">
        <v>0.0</v>
      </c>
      <c r="J65" s="567">
        <v>0.0</v>
      </c>
      <c r="K65" s="567">
        <v>0.0</v>
      </c>
      <c r="L65" s="567">
        <v>0.0</v>
      </c>
      <c r="M65" s="567">
        <v>0.0</v>
      </c>
      <c r="N65" s="567">
        <v>0.0</v>
      </c>
      <c r="O65" s="567">
        <v>0.0</v>
      </c>
      <c r="P65" s="568">
        <f t="shared" si="13"/>
        <v>0</v>
      </c>
    </row>
    <row r="66" ht="13.5" customHeight="1">
      <c r="A66" s="129"/>
      <c r="B66" s="129"/>
      <c r="C66" s="563" t="s">
        <v>2084</v>
      </c>
      <c r="D66" s="548">
        <v>-39915.0</v>
      </c>
      <c r="E66" s="548">
        <v>9978.75</v>
      </c>
      <c r="F66" s="548">
        <v>9978.75</v>
      </c>
      <c r="G66" s="548">
        <v>9978.75</v>
      </c>
      <c r="H66" s="548">
        <v>9978.75</v>
      </c>
      <c r="I66" s="567">
        <v>0.0</v>
      </c>
      <c r="J66" s="567">
        <v>0.0</v>
      </c>
      <c r="K66" s="567">
        <v>0.0</v>
      </c>
      <c r="L66" s="567">
        <v>0.0</v>
      </c>
      <c r="M66" s="567">
        <v>0.0</v>
      </c>
      <c r="N66" s="567">
        <v>0.0</v>
      </c>
      <c r="O66" s="567">
        <v>0.0</v>
      </c>
      <c r="P66" s="568">
        <f t="shared" si="13"/>
        <v>0</v>
      </c>
    </row>
    <row r="67" ht="13.5" customHeight="1">
      <c r="A67" s="129"/>
      <c r="B67" s="129"/>
      <c r="C67" s="563" t="s">
        <v>2084</v>
      </c>
      <c r="D67" s="548">
        <v>-31578.0</v>
      </c>
      <c r="E67" s="548">
        <v>7894.5</v>
      </c>
      <c r="F67" s="548">
        <v>7894.5</v>
      </c>
      <c r="G67" s="548">
        <v>7894.5</v>
      </c>
      <c r="H67" s="548">
        <v>7894.5</v>
      </c>
      <c r="I67" s="567">
        <v>0.0</v>
      </c>
      <c r="J67" s="567">
        <v>0.0</v>
      </c>
      <c r="K67" s="567">
        <v>0.0</v>
      </c>
      <c r="L67" s="567">
        <v>0.0</v>
      </c>
      <c r="M67" s="567">
        <v>0.0</v>
      </c>
      <c r="N67" s="567">
        <v>0.0</v>
      </c>
      <c r="O67" s="567">
        <v>0.0</v>
      </c>
      <c r="P67" s="568">
        <f t="shared" si="13"/>
        <v>0</v>
      </c>
    </row>
    <row r="68" ht="13.5" customHeight="1">
      <c r="A68" s="129"/>
      <c r="B68" s="129"/>
      <c r="C68" s="563" t="s">
        <v>2084</v>
      </c>
      <c r="D68" s="548">
        <v>-48571.54</v>
      </c>
      <c r="E68" s="548">
        <v>12142.88</v>
      </c>
      <c r="F68" s="548">
        <v>12142.88</v>
      </c>
      <c r="G68" s="548">
        <v>12142.88</v>
      </c>
      <c r="H68" s="548">
        <v>12142.88</v>
      </c>
      <c r="I68" s="567">
        <v>0.0</v>
      </c>
      <c r="J68" s="567">
        <v>0.0</v>
      </c>
      <c r="K68" s="567">
        <v>0.0</v>
      </c>
      <c r="L68" s="567">
        <v>0.0</v>
      </c>
      <c r="M68" s="567">
        <v>0.0</v>
      </c>
      <c r="N68" s="567">
        <v>0.0</v>
      </c>
      <c r="O68" s="567">
        <v>0.0</v>
      </c>
      <c r="P68" s="568">
        <f t="shared" si="13"/>
        <v>-0.02000000001</v>
      </c>
    </row>
    <row r="69" ht="14.25" customHeight="1">
      <c r="C69" s="569"/>
      <c r="D69" s="570"/>
      <c r="E69" s="570"/>
      <c r="F69" s="570"/>
      <c r="G69" s="570"/>
      <c r="H69" s="570"/>
      <c r="I69" s="570"/>
      <c r="J69" s="570"/>
      <c r="K69" s="570"/>
      <c r="L69" s="570"/>
      <c r="M69" s="570"/>
      <c r="N69" s="570"/>
      <c r="O69" s="570"/>
      <c r="P69" s="560"/>
    </row>
    <row r="70" ht="15.75" customHeight="1">
      <c r="A70" s="556" t="s">
        <v>2085</v>
      </c>
      <c r="D70" s="571">
        <f t="shared" ref="D70:P70" si="14">SUM(D23:D68)</f>
        <v>420603.69</v>
      </c>
      <c r="E70" s="571">
        <f t="shared" si="14"/>
        <v>773680.61</v>
      </c>
      <c r="F70" s="571">
        <f t="shared" si="14"/>
        <v>765656.45</v>
      </c>
      <c r="G70" s="571">
        <f t="shared" si="14"/>
        <v>372071.84</v>
      </c>
      <c r="H70" s="571">
        <f t="shared" si="14"/>
        <v>242517.03</v>
      </c>
      <c r="I70" s="571">
        <f t="shared" si="14"/>
        <v>139696.9</v>
      </c>
      <c r="J70" s="571">
        <f t="shared" si="14"/>
        <v>-94303.1</v>
      </c>
      <c r="K70" s="571">
        <f t="shared" si="14"/>
        <v>198241.9</v>
      </c>
      <c r="L70" s="571">
        <f t="shared" si="14"/>
        <v>148241.9</v>
      </c>
      <c r="M70" s="571">
        <f t="shared" si="14"/>
        <v>216741.9</v>
      </c>
      <c r="N70" s="571">
        <f t="shared" si="14"/>
        <v>216741.9</v>
      </c>
      <c r="O70" s="571">
        <f t="shared" si="14"/>
        <v>216741.9</v>
      </c>
      <c r="P70" s="571">
        <f t="shared" si="14"/>
        <v>3616632.92</v>
      </c>
    </row>
    <row r="71" ht="14.25" customHeight="1">
      <c r="O71" s="123" t="s">
        <v>2086</v>
      </c>
    </row>
  </sheetData>
  <mergeCells count="10">
    <mergeCell ref="B31:C31"/>
    <mergeCell ref="B52:C52"/>
    <mergeCell ref="A70:C70"/>
    <mergeCell ref="C1:F1"/>
    <mergeCell ref="H1:L1"/>
    <mergeCell ref="A8:C8"/>
    <mergeCell ref="A13:C13"/>
    <mergeCell ref="A20:C20"/>
    <mergeCell ref="A22:C22"/>
    <mergeCell ref="B24:C2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2" width="1.38"/>
    <col customWidth="1" min="3" max="3" width="30.75"/>
    <col customWidth="1" min="4" max="15" width="7.75"/>
    <col customWidth="1" min="16" max="16" width="10.25"/>
  </cols>
  <sheetData>
    <row r="1" ht="40.5" customHeight="1">
      <c r="C1" s="517" t="s">
        <v>2037</v>
      </c>
      <c r="H1" s="518"/>
    </row>
    <row r="2" ht="6.75" customHeight="1">
      <c r="D2" s="519"/>
      <c r="E2" s="519"/>
      <c r="F2" s="519"/>
      <c r="G2" s="519"/>
      <c r="H2" s="519"/>
      <c r="I2" s="519"/>
      <c r="J2" s="519"/>
      <c r="K2" s="519"/>
      <c r="L2" s="519"/>
      <c r="M2" s="519"/>
      <c r="N2" s="519"/>
      <c r="O2" s="519"/>
    </row>
    <row r="3" ht="16.5" customHeight="1">
      <c r="B3" s="520"/>
      <c r="C3" s="521" t="s">
        <v>2038</v>
      </c>
      <c r="D3" s="572">
        <v>150000.0</v>
      </c>
      <c r="E3" s="524">
        <f t="shared" ref="E3:P3" si="1">+D3+D11</f>
        <v>165758.1</v>
      </c>
      <c r="F3" s="524">
        <f t="shared" si="1"/>
        <v>162412.2</v>
      </c>
      <c r="G3" s="524">
        <f t="shared" si="1"/>
        <v>173241.8</v>
      </c>
      <c r="H3" s="524">
        <f t="shared" si="1"/>
        <v>190118.305</v>
      </c>
      <c r="I3" s="524">
        <f t="shared" si="1"/>
        <v>209996.1654</v>
      </c>
      <c r="J3" s="524">
        <f t="shared" si="1"/>
        <v>253085.4759</v>
      </c>
      <c r="K3" s="524">
        <f t="shared" si="1"/>
        <v>299611.0382</v>
      </c>
      <c r="L3" s="524">
        <f t="shared" si="1"/>
        <v>349813.3899</v>
      </c>
      <c r="M3" s="524">
        <f t="shared" si="1"/>
        <v>403949.9062</v>
      </c>
      <c r="N3" s="524">
        <f t="shared" si="1"/>
        <v>462295.9786</v>
      </c>
      <c r="O3" s="524">
        <f t="shared" si="1"/>
        <v>525146.2761</v>
      </c>
      <c r="P3" s="524">
        <f t="shared" si="1"/>
        <v>592816.0945</v>
      </c>
    </row>
    <row r="4" ht="16.5" customHeight="1">
      <c r="B4" s="520"/>
      <c r="C4" s="526" t="s">
        <v>1886</v>
      </c>
      <c r="D4" s="529">
        <v>3662250.0</v>
      </c>
      <c r="E4" s="528">
        <f t="shared" ref="E4:P4" si="2">D4*1.01</f>
        <v>3698872.5</v>
      </c>
      <c r="F4" s="528">
        <f t="shared" si="2"/>
        <v>3735861.225</v>
      </c>
      <c r="G4" s="528">
        <f t="shared" si="2"/>
        <v>3773219.837</v>
      </c>
      <c r="H4" s="528">
        <f t="shared" si="2"/>
        <v>3810952.036</v>
      </c>
      <c r="I4" s="528">
        <f t="shared" si="2"/>
        <v>3849061.556</v>
      </c>
      <c r="J4" s="528">
        <f t="shared" si="2"/>
        <v>3887552.172</v>
      </c>
      <c r="K4" s="528">
        <f t="shared" si="2"/>
        <v>3926427.693</v>
      </c>
      <c r="L4" s="528">
        <f t="shared" si="2"/>
        <v>3965691.97</v>
      </c>
      <c r="M4" s="528">
        <f t="shared" si="2"/>
        <v>4005348.89</v>
      </c>
      <c r="N4" s="528">
        <f t="shared" si="2"/>
        <v>4045402.379</v>
      </c>
      <c r="O4" s="528">
        <f t="shared" si="2"/>
        <v>4085856.403</v>
      </c>
      <c r="P4" s="528">
        <f t="shared" si="2"/>
        <v>4126714.967</v>
      </c>
    </row>
    <row r="5" ht="16.5" customHeight="1">
      <c r="B5" s="520"/>
      <c r="C5" s="526" t="s">
        <v>1908</v>
      </c>
      <c r="D5" s="529">
        <v>340250.0</v>
      </c>
      <c r="E5" s="529">
        <v>340250.0</v>
      </c>
      <c r="F5" s="529">
        <v>340250.0</v>
      </c>
      <c r="G5" s="529">
        <v>340250.0</v>
      </c>
      <c r="H5" s="529">
        <v>340250.0</v>
      </c>
      <c r="I5" s="529">
        <v>340250.0</v>
      </c>
      <c r="J5" s="529">
        <v>340250.0</v>
      </c>
      <c r="K5" s="529">
        <v>340250.0</v>
      </c>
      <c r="L5" s="529">
        <v>340250.0</v>
      </c>
      <c r="M5" s="529">
        <v>340250.0</v>
      </c>
      <c r="N5" s="529">
        <v>340250.0</v>
      </c>
      <c r="O5" s="529">
        <v>340250.0</v>
      </c>
      <c r="P5" s="529">
        <v>340250.0</v>
      </c>
    </row>
    <row r="6" ht="16.5" customHeight="1">
      <c r="B6" s="520"/>
      <c r="C6" s="526" t="s">
        <v>19</v>
      </c>
      <c r="D6" s="529">
        <v>1730250.0</v>
      </c>
      <c r="E6" s="528">
        <f t="shared" ref="E6:P6" si="3">D6+8000</f>
        <v>1738250</v>
      </c>
      <c r="F6" s="528">
        <f t="shared" si="3"/>
        <v>1746250</v>
      </c>
      <c r="G6" s="528">
        <f t="shared" si="3"/>
        <v>1754250</v>
      </c>
      <c r="H6" s="528">
        <f t="shared" si="3"/>
        <v>1762250</v>
      </c>
      <c r="I6" s="528">
        <f t="shared" si="3"/>
        <v>1770250</v>
      </c>
      <c r="J6" s="528">
        <f t="shared" si="3"/>
        <v>1778250</v>
      </c>
      <c r="K6" s="528">
        <f t="shared" si="3"/>
        <v>1786250</v>
      </c>
      <c r="L6" s="528">
        <f t="shared" si="3"/>
        <v>1794250</v>
      </c>
      <c r="M6" s="528">
        <f t="shared" si="3"/>
        <v>1802250</v>
      </c>
      <c r="N6" s="528">
        <f t="shared" si="3"/>
        <v>1810250</v>
      </c>
      <c r="O6" s="528">
        <f t="shared" si="3"/>
        <v>1818250</v>
      </c>
      <c r="P6" s="528">
        <f t="shared" si="3"/>
        <v>1826250</v>
      </c>
    </row>
    <row r="7" ht="8.25" customHeight="1">
      <c r="D7" s="530"/>
      <c r="E7" s="530"/>
      <c r="F7" s="530"/>
      <c r="G7" s="530"/>
      <c r="H7" s="530"/>
      <c r="I7" s="530"/>
      <c r="J7" s="530"/>
      <c r="K7" s="530"/>
      <c r="L7" s="530"/>
      <c r="M7" s="530"/>
      <c r="N7" s="530"/>
      <c r="O7" s="530"/>
    </row>
    <row r="8" ht="15.75" customHeight="1">
      <c r="A8" s="531" t="s">
        <v>2039</v>
      </c>
      <c r="D8" s="532"/>
      <c r="E8" s="532"/>
      <c r="F8" s="532"/>
      <c r="G8" s="532"/>
      <c r="H8" s="532"/>
      <c r="I8" s="532"/>
      <c r="J8" s="532"/>
      <c r="K8" s="532"/>
      <c r="L8" s="532"/>
      <c r="M8" s="532"/>
      <c r="N8" s="532"/>
      <c r="O8" s="532"/>
      <c r="P8" s="533"/>
    </row>
    <row r="9" ht="15.0" customHeight="1">
      <c r="C9" s="534" t="s">
        <v>1935</v>
      </c>
      <c r="D9" s="535">
        <f t="shared" ref="D9:O9" si="4">sum(D20)</f>
        <v>230000</v>
      </c>
      <c r="E9" s="535">
        <f t="shared" si="4"/>
        <v>232450</v>
      </c>
      <c r="F9" s="535">
        <f t="shared" si="4"/>
        <v>235071.5</v>
      </c>
      <c r="G9" s="535">
        <f t="shared" si="4"/>
        <v>237876.505</v>
      </c>
      <c r="H9" s="535">
        <f t="shared" si="4"/>
        <v>240877.8604</v>
      </c>
      <c r="I9" s="535">
        <f t="shared" si="4"/>
        <v>244089.3106</v>
      </c>
      <c r="J9" s="535">
        <f t="shared" si="4"/>
        <v>247525.5623</v>
      </c>
      <c r="K9" s="535">
        <f t="shared" si="4"/>
        <v>251202.3517</v>
      </c>
      <c r="L9" s="535">
        <f t="shared" si="4"/>
        <v>255136.5163</v>
      </c>
      <c r="M9" s="535">
        <f t="shared" si="4"/>
        <v>259346.0724</v>
      </c>
      <c r="N9" s="535">
        <f t="shared" si="4"/>
        <v>263850.2975</v>
      </c>
      <c r="O9" s="535">
        <f t="shared" si="4"/>
        <v>268669.8183</v>
      </c>
      <c r="P9" s="536">
        <f t="shared" ref="P9:P11" si="6">SUM(D9:O9)</f>
        <v>2966095.794</v>
      </c>
    </row>
    <row r="10" ht="15.0" customHeight="1">
      <c r="C10" s="534" t="s">
        <v>2040</v>
      </c>
      <c r="D10" s="535">
        <f t="shared" ref="D10:O10" si="5">D59</f>
        <v>214241.9</v>
      </c>
      <c r="E10" s="535">
        <f t="shared" si="5"/>
        <v>235795.9</v>
      </c>
      <c r="F10" s="535">
        <f t="shared" si="5"/>
        <v>224241.9</v>
      </c>
      <c r="G10" s="535">
        <f t="shared" si="5"/>
        <v>221000</v>
      </c>
      <c r="H10" s="535">
        <f t="shared" si="5"/>
        <v>221000</v>
      </c>
      <c r="I10" s="535">
        <f t="shared" si="5"/>
        <v>201000</v>
      </c>
      <c r="J10" s="535">
        <f t="shared" si="5"/>
        <v>201000</v>
      </c>
      <c r="K10" s="535">
        <f t="shared" si="5"/>
        <v>201000</v>
      </c>
      <c r="L10" s="535">
        <f t="shared" si="5"/>
        <v>201000</v>
      </c>
      <c r="M10" s="535">
        <f t="shared" si="5"/>
        <v>201000</v>
      </c>
      <c r="N10" s="535">
        <f t="shared" si="5"/>
        <v>201000</v>
      </c>
      <c r="O10" s="535">
        <f t="shared" si="5"/>
        <v>201000</v>
      </c>
      <c r="P10" s="536">
        <f t="shared" si="6"/>
        <v>2523279.7</v>
      </c>
    </row>
    <row r="11" ht="15.0" customHeight="1">
      <c r="C11" s="534" t="s">
        <v>2041</v>
      </c>
      <c r="D11" s="537">
        <f t="shared" ref="D11:O11" si="7">D9-D10</f>
        <v>15758.1</v>
      </c>
      <c r="E11" s="537">
        <f t="shared" si="7"/>
        <v>-3345.9</v>
      </c>
      <c r="F11" s="537">
        <f t="shared" si="7"/>
        <v>10829.6</v>
      </c>
      <c r="G11" s="537">
        <f t="shared" si="7"/>
        <v>16876.505</v>
      </c>
      <c r="H11" s="537">
        <f t="shared" si="7"/>
        <v>19877.86035</v>
      </c>
      <c r="I11" s="537">
        <f t="shared" si="7"/>
        <v>43089.31057</v>
      </c>
      <c r="J11" s="537">
        <f t="shared" si="7"/>
        <v>46525.56231</v>
      </c>
      <c r="K11" s="537">
        <f t="shared" si="7"/>
        <v>50202.35168</v>
      </c>
      <c r="L11" s="537">
        <f t="shared" si="7"/>
        <v>54136.51629</v>
      </c>
      <c r="M11" s="537">
        <f t="shared" si="7"/>
        <v>58346.07243</v>
      </c>
      <c r="N11" s="537">
        <f t="shared" si="7"/>
        <v>62850.29751</v>
      </c>
      <c r="O11" s="537">
        <f t="shared" si="7"/>
        <v>67669.81833</v>
      </c>
      <c r="P11" s="536">
        <f t="shared" si="6"/>
        <v>442816.0945</v>
      </c>
    </row>
    <row r="12" ht="32.25" customHeight="1">
      <c r="D12" s="538" t="s">
        <v>2042</v>
      </c>
      <c r="E12" s="538" t="s">
        <v>2043</v>
      </c>
      <c r="F12" s="538" t="s">
        <v>2044</v>
      </c>
      <c r="G12" s="538" t="s">
        <v>2045</v>
      </c>
      <c r="H12" s="538" t="s">
        <v>2046</v>
      </c>
      <c r="I12" s="538" t="s">
        <v>2047</v>
      </c>
      <c r="J12" s="538" t="s">
        <v>2048</v>
      </c>
      <c r="K12" s="538" t="s">
        <v>2049</v>
      </c>
      <c r="L12" s="538" t="s">
        <v>2050</v>
      </c>
      <c r="M12" s="538" t="s">
        <v>2051</v>
      </c>
      <c r="N12" s="538" t="s">
        <v>2052</v>
      </c>
      <c r="O12" s="538" t="s">
        <v>1270</v>
      </c>
      <c r="P12" s="539" t="s">
        <v>2053</v>
      </c>
    </row>
    <row r="13" ht="15.75" customHeight="1">
      <c r="A13" s="540" t="s">
        <v>2054</v>
      </c>
      <c r="D13" s="541"/>
      <c r="E13" s="541"/>
      <c r="F13" s="541"/>
      <c r="G13" s="541"/>
      <c r="H13" s="541"/>
      <c r="I13" s="541"/>
      <c r="J13" s="541"/>
      <c r="K13" s="541"/>
      <c r="L13" s="541"/>
      <c r="M13" s="541"/>
      <c r="N13" s="541"/>
      <c r="O13" s="541"/>
      <c r="P13" s="542"/>
    </row>
    <row r="14" ht="14.25" customHeight="1">
      <c r="C14" s="543" t="s">
        <v>1964</v>
      </c>
      <c r="D14" s="573">
        <v>150000.0</v>
      </c>
      <c r="E14" s="573">
        <v>150000.0</v>
      </c>
      <c r="F14" s="573">
        <v>150000.0</v>
      </c>
      <c r="G14" s="573">
        <v>150000.0</v>
      </c>
      <c r="H14" s="573">
        <v>150000.0</v>
      </c>
      <c r="I14" s="573">
        <v>150000.0</v>
      </c>
      <c r="J14" s="573">
        <v>150000.0</v>
      </c>
      <c r="K14" s="545">
        <v>150000.0</v>
      </c>
      <c r="L14" s="545">
        <v>150000.0</v>
      </c>
      <c r="M14" s="545">
        <v>150000.0</v>
      </c>
      <c r="N14" s="545">
        <v>150000.0</v>
      </c>
      <c r="O14" s="545">
        <v>150000.0</v>
      </c>
      <c r="P14" s="546">
        <f t="shared" ref="P14:P19" si="8">SUM(D14:O14)</f>
        <v>1800000</v>
      </c>
    </row>
    <row r="15" ht="14.25" customHeight="1">
      <c r="A15" s="129"/>
      <c r="B15" s="129"/>
      <c r="C15" s="547" t="s">
        <v>24</v>
      </c>
      <c r="D15" s="573">
        <v>20000.0</v>
      </c>
      <c r="E15" s="573">
        <v>20000.0</v>
      </c>
      <c r="F15" s="573">
        <v>20000.0</v>
      </c>
      <c r="G15" s="573">
        <v>20000.0</v>
      </c>
      <c r="H15" s="573">
        <v>20000.0</v>
      </c>
      <c r="I15" s="573">
        <v>20000.0</v>
      </c>
      <c r="J15" s="573">
        <v>20000.0</v>
      </c>
      <c r="K15" s="549">
        <v>20000.0</v>
      </c>
      <c r="L15" s="549">
        <v>20000.0</v>
      </c>
      <c r="M15" s="549">
        <v>20000.0</v>
      </c>
      <c r="N15" s="549">
        <v>20000.0</v>
      </c>
      <c r="O15" s="549">
        <v>20000.0</v>
      </c>
      <c r="P15" s="550">
        <f t="shared" si="8"/>
        <v>240000</v>
      </c>
    </row>
    <row r="16" ht="14.25" customHeight="1">
      <c r="A16" s="551"/>
      <c r="B16" s="551"/>
      <c r="C16" s="552" t="s">
        <v>2055</v>
      </c>
      <c r="D16" s="573">
        <v>12000.0</v>
      </c>
      <c r="E16" s="573">
        <v>12000.0</v>
      </c>
      <c r="F16" s="573">
        <v>12000.0</v>
      </c>
      <c r="G16" s="573">
        <v>12000.0</v>
      </c>
      <c r="H16" s="573">
        <v>12000.0</v>
      </c>
      <c r="I16" s="573">
        <v>12000.0</v>
      </c>
      <c r="J16" s="573">
        <v>12000.0</v>
      </c>
      <c r="K16" s="545">
        <v>12000.0</v>
      </c>
      <c r="L16" s="545">
        <v>12000.0</v>
      </c>
      <c r="M16" s="545">
        <v>12000.0</v>
      </c>
      <c r="N16" s="545">
        <v>12000.0</v>
      </c>
      <c r="O16" s="545">
        <v>12000.0</v>
      </c>
      <c r="P16" s="553">
        <f t="shared" si="8"/>
        <v>144000</v>
      </c>
    </row>
    <row r="17" ht="14.25" customHeight="1">
      <c r="A17" s="551"/>
      <c r="B17" s="551"/>
      <c r="C17" s="552" t="s">
        <v>2056</v>
      </c>
      <c r="D17" s="545">
        <v>13000.0</v>
      </c>
      <c r="E17" s="545">
        <v>13000.0</v>
      </c>
      <c r="F17" s="545">
        <v>13000.0</v>
      </c>
      <c r="G17" s="545">
        <v>13000.0</v>
      </c>
      <c r="H17" s="545">
        <v>13000.0</v>
      </c>
      <c r="I17" s="545">
        <v>13000.0</v>
      </c>
      <c r="J17" s="545">
        <v>13000.0</v>
      </c>
      <c r="K17" s="545">
        <v>13000.0</v>
      </c>
      <c r="L17" s="545">
        <v>13000.0</v>
      </c>
      <c r="M17" s="545">
        <v>13000.0</v>
      </c>
      <c r="N17" s="545">
        <v>13000.0</v>
      </c>
      <c r="O17" s="545">
        <v>13000.0</v>
      </c>
      <c r="P17" s="553">
        <f t="shared" si="8"/>
        <v>156000</v>
      </c>
    </row>
    <row r="18" ht="14.25" customHeight="1">
      <c r="A18" s="551"/>
      <c r="B18" s="551"/>
      <c r="C18" s="552" t="s">
        <v>26</v>
      </c>
      <c r="D18" s="549">
        <v>35000.0</v>
      </c>
      <c r="E18" s="554">
        <f t="shared" ref="E18:O18" si="9">D18*1.07</f>
        <v>37450</v>
      </c>
      <c r="F18" s="554">
        <f t="shared" si="9"/>
        <v>40071.5</v>
      </c>
      <c r="G18" s="554">
        <f t="shared" si="9"/>
        <v>42876.505</v>
      </c>
      <c r="H18" s="554">
        <f t="shared" si="9"/>
        <v>45877.86035</v>
      </c>
      <c r="I18" s="554">
        <f t="shared" si="9"/>
        <v>49089.31057</v>
      </c>
      <c r="J18" s="554">
        <f t="shared" si="9"/>
        <v>52525.56231</v>
      </c>
      <c r="K18" s="554">
        <f t="shared" si="9"/>
        <v>56202.35168</v>
      </c>
      <c r="L18" s="554">
        <f t="shared" si="9"/>
        <v>60136.51629</v>
      </c>
      <c r="M18" s="554">
        <f t="shared" si="9"/>
        <v>64346.07243</v>
      </c>
      <c r="N18" s="554">
        <f t="shared" si="9"/>
        <v>68850.29751</v>
      </c>
      <c r="O18" s="554">
        <f t="shared" si="9"/>
        <v>73669.81833</v>
      </c>
      <c r="P18" s="546">
        <f t="shared" si="8"/>
        <v>626095.7945</v>
      </c>
    </row>
    <row r="19" ht="13.5" customHeight="1">
      <c r="C19" s="543" t="s">
        <v>1908</v>
      </c>
      <c r="D19" s="573">
        <v>0.0</v>
      </c>
      <c r="E19" s="573">
        <v>0.0</v>
      </c>
      <c r="F19" s="573">
        <v>0.0</v>
      </c>
      <c r="G19" s="573">
        <v>0.0</v>
      </c>
      <c r="H19" s="573">
        <v>0.0</v>
      </c>
      <c r="I19" s="573">
        <v>0.0</v>
      </c>
      <c r="J19" s="573">
        <v>0.0</v>
      </c>
      <c r="K19" s="545">
        <v>0.0</v>
      </c>
      <c r="L19" s="545">
        <v>0.0</v>
      </c>
      <c r="M19" s="545">
        <v>0.0</v>
      </c>
      <c r="N19" s="545">
        <v>0.0</v>
      </c>
      <c r="O19" s="545">
        <v>0.0</v>
      </c>
      <c r="P19" s="546">
        <f t="shared" si="8"/>
        <v>0</v>
      </c>
    </row>
    <row r="20" ht="15.75" customHeight="1">
      <c r="A20" s="540" t="s">
        <v>2057</v>
      </c>
      <c r="D20" s="555">
        <f t="shared" ref="D20:P20" si="10">SUM(D14:D19)</f>
        <v>230000</v>
      </c>
      <c r="E20" s="555">
        <f t="shared" si="10"/>
        <v>232450</v>
      </c>
      <c r="F20" s="555">
        <f t="shared" si="10"/>
        <v>235071.5</v>
      </c>
      <c r="G20" s="555">
        <f t="shared" si="10"/>
        <v>237876.505</v>
      </c>
      <c r="H20" s="555">
        <f t="shared" si="10"/>
        <v>240877.8604</v>
      </c>
      <c r="I20" s="555">
        <f t="shared" si="10"/>
        <v>244089.3106</v>
      </c>
      <c r="J20" s="555">
        <f t="shared" si="10"/>
        <v>247525.5623</v>
      </c>
      <c r="K20" s="555">
        <f t="shared" si="10"/>
        <v>251202.3517</v>
      </c>
      <c r="L20" s="555">
        <f t="shared" si="10"/>
        <v>255136.5163</v>
      </c>
      <c r="M20" s="555">
        <f t="shared" si="10"/>
        <v>259346.0724</v>
      </c>
      <c r="N20" s="555">
        <f t="shared" si="10"/>
        <v>263850.2975</v>
      </c>
      <c r="O20" s="555">
        <f t="shared" si="10"/>
        <v>268669.8183</v>
      </c>
      <c r="P20" s="555">
        <f t="shared" si="10"/>
        <v>2966095.794</v>
      </c>
    </row>
    <row r="21" ht="14.25" customHeight="1"/>
    <row r="22" ht="15.75" customHeight="1">
      <c r="A22" s="556" t="s">
        <v>2058</v>
      </c>
      <c r="D22" s="557"/>
      <c r="E22" s="557"/>
      <c r="F22" s="557"/>
      <c r="G22" s="557"/>
      <c r="H22" s="557"/>
      <c r="I22" s="557"/>
      <c r="J22" s="557"/>
      <c r="K22" s="557"/>
      <c r="L22" s="557"/>
      <c r="M22" s="557"/>
      <c r="N22" s="557"/>
      <c r="O22" s="557"/>
      <c r="P22" s="558"/>
    </row>
    <row r="23" ht="14.25" customHeight="1">
      <c r="C23" s="543" t="s">
        <v>2059</v>
      </c>
      <c r="D23" s="559">
        <v>0.0</v>
      </c>
      <c r="E23" s="559">
        <v>0.0</v>
      </c>
      <c r="F23" s="559">
        <v>0.0</v>
      </c>
      <c r="G23" s="559">
        <v>0.0</v>
      </c>
      <c r="H23" s="559">
        <v>0.0</v>
      </c>
      <c r="I23" s="559">
        <v>0.0</v>
      </c>
      <c r="J23" s="559">
        <v>0.0</v>
      </c>
      <c r="K23" s="559">
        <v>0.0</v>
      </c>
      <c r="L23" s="559">
        <v>0.0</v>
      </c>
      <c r="M23" s="559">
        <v>0.0</v>
      </c>
      <c r="N23" s="559">
        <v>0.0</v>
      </c>
      <c r="O23" s="559">
        <v>0.0</v>
      </c>
      <c r="P23" s="560">
        <f>SUM(D23:O23)</f>
        <v>0</v>
      </c>
    </row>
    <row r="24" ht="14.25" customHeight="1">
      <c r="B24" s="561" t="s">
        <v>2060</v>
      </c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2"/>
    </row>
    <row r="25" ht="13.5" customHeight="1">
      <c r="A25" s="129"/>
      <c r="B25" s="129"/>
      <c r="C25" s="563" t="s">
        <v>1908</v>
      </c>
      <c r="D25" s="559">
        <v>0.0</v>
      </c>
      <c r="E25" s="559">
        <v>0.0</v>
      </c>
      <c r="F25" s="559">
        <v>0.0</v>
      </c>
      <c r="G25" s="559">
        <v>0.0</v>
      </c>
      <c r="H25" s="559">
        <v>0.0</v>
      </c>
      <c r="I25" s="559">
        <v>0.0</v>
      </c>
      <c r="J25" s="559">
        <v>0.0</v>
      </c>
      <c r="K25" s="559">
        <v>0.0</v>
      </c>
      <c r="L25" s="559">
        <v>0.0</v>
      </c>
      <c r="M25" s="559">
        <v>0.0</v>
      </c>
      <c r="N25" s="559">
        <v>0.0</v>
      </c>
      <c r="O25" s="559">
        <v>0.0</v>
      </c>
      <c r="P25" s="560">
        <f t="shared" ref="P25:P30" si="11">SUM(D25:O25)</f>
        <v>0</v>
      </c>
    </row>
    <row r="26" ht="14.25" customHeight="1">
      <c r="C26" s="543" t="s">
        <v>2061</v>
      </c>
      <c r="D26" s="559">
        <v>0.0</v>
      </c>
      <c r="E26" s="559">
        <v>0.0</v>
      </c>
      <c r="F26" s="559">
        <v>0.0</v>
      </c>
      <c r="G26" s="559">
        <v>20000.0</v>
      </c>
      <c r="H26" s="559">
        <v>20000.0</v>
      </c>
      <c r="I26" s="559">
        <v>0.0</v>
      </c>
      <c r="J26" s="559">
        <v>0.0</v>
      </c>
      <c r="K26" s="559">
        <v>0.0</v>
      </c>
      <c r="L26" s="559">
        <v>0.0</v>
      </c>
      <c r="M26" s="559">
        <v>0.0</v>
      </c>
      <c r="N26" s="559">
        <v>0.0</v>
      </c>
      <c r="O26" s="559">
        <v>0.0</v>
      </c>
      <c r="P26" s="560">
        <f t="shared" si="11"/>
        <v>40000</v>
      </c>
    </row>
    <row r="27" ht="14.25" customHeight="1">
      <c r="C27" s="543" t="s">
        <v>1931</v>
      </c>
      <c r="D27" s="559">
        <v>0.0</v>
      </c>
      <c r="E27" s="559">
        <v>21554.0</v>
      </c>
      <c r="F27" s="559">
        <v>0.0</v>
      </c>
      <c r="G27" s="559">
        <v>0.0</v>
      </c>
      <c r="H27" s="559">
        <v>0.0</v>
      </c>
      <c r="I27" s="559">
        <v>0.0</v>
      </c>
      <c r="J27" s="559">
        <v>0.0</v>
      </c>
      <c r="K27" s="559">
        <v>0.0</v>
      </c>
      <c r="L27" s="559">
        <v>0.0</v>
      </c>
      <c r="M27" s="559">
        <v>0.0</v>
      </c>
      <c r="N27" s="559">
        <v>0.0</v>
      </c>
      <c r="O27" s="559">
        <v>0.0</v>
      </c>
      <c r="P27" s="560">
        <f t="shared" si="11"/>
        <v>21554</v>
      </c>
    </row>
    <row r="28" ht="14.25" customHeight="1">
      <c r="C28" s="534" t="s">
        <v>2062</v>
      </c>
      <c r="D28" s="559">
        <v>0.0</v>
      </c>
      <c r="E28" s="559">
        <v>0.0</v>
      </c>
      <c r="F28" s="559">
        <v>10000.0</v>
      </c>
      <c r="G28" s="559">
        <v>0.0</v>
      </c>
      <c r="H28" s="559">
        <v>0.0</v>
      </c>
      <c r="I28" s="559">
        <v>0.0</v>
      </c>
      <c r="J28" s="559">
        <v>0.0</v>
      </c>
      <c r="K28" s="559">
        <v>0.0</v>
      </c>
      <c r="L28" s="559">
        <v>0.0</v>
      </c>
      <c r="M28" s="559">
        <v>0.0</v>
      </c>
      <c r="N28" s="559">
        <v>0.0</v>
      </c>
      <c r="O28" s="559">
        <v>0.0</v>
      </c>
      <c r="P28" s="560">
        <f t="shared" si="11"/>
        <v>10000</v>
      </c>
    </row>
    <row r="29" ht="13.5" customHeight="1">
      <c r="A29" s="129"/>
      <c r="B29" s="129"/>
      <c r="C29" s="563" t="s">
        <v>1994</v>
      </c>
      <c r="D29" s="559">
        <v>0.0</v>
      </c>
      <c r="E29" s="559">
        <v>0.0</v>
      </c>
      <c r="F29" s="559">
        <v>0.0</v>
      </c>
      <c r="G29" s="559">
        <v>0.0</v>
      </c>
      <c r="H29" s="559">
        <v>0.0</v>
      </c>
      <c r="I29" s="559">
        <v>0.0</v>
      </c>
      <c r="J29" s="559">
        <v>0.0</v>
      </c>
      <c r="K29" s="559">
        <v>0.0</v>
      </c>
      <c r="L29" s="559">
        <v>0.0</v>
      </c>
      <c r="M29" s="559">
        <v>0.0</v>
      </c>
      <c r="N29" s="559">
        <v>0.0</v>
      </c>
      <c r="O29" s="559">
        <v>0.0</v>
      </c>
      <c r="P29" s="560">
        <f t="shared" si="11"/>
        <v>0</v>
      </c>
    </row>
    <row r="30" ht="13.5" customHeight="1">
      <c r="A30" s="129"/>
      <c r="B30" s="129"/>
      <c r="C30" s="563" t="s">
        <v>2063</v>
      </c>
      <c r="D30" s="559">
        <v>0.0</v>
      </c>
      <c r="E30" s="559">
        <v>0.0</v>
      </c>
      <c r="F30" s="559">
        <v>0.0</v>
      </c>
      <c r="G30" s="559">
        <v>0.0</v>
      </c>
      <c r="H30" s="559">
        <v>0.0</v>
      </c>
      <c r="I30" s="559">
        <v>0.0</v>
      </c>
      <c r="J30" s="559">
        <v>0.0</v>
      </c>
      <c r="K30" s="559">
        <v>0.0</v>
      </c>
      <c r="L30" s="559">
        <v>0.0</v>
      </c>
      <c r="M30" s="559">
        <v>0.0</v>
      </c>
      <c r="N30" s="559">
        <v>0.0</v>
      </c>
      <c r="O30" s="559">
        <v>0.0</v>
      </c>
      <c r="P30" s="564">
        <f t="shared" si="11"/>
        <v>0</v>
      </c>
    </row>
    <row r="31" ht="14.25" customHeight="1">
      <c r="B31" s="565" t="s">
        <v>2064</v>
      </c>
      <c r="D31" s="562"/>
      <c r="E31" s="562"/>
      <c r="F31" s="562"/>
      <c r="G31" s="562"/>
      <c r="H31" s="562"/>
      <c r="I31" s="562"/>
      <c r="J31" s="562"/>
      <c r="K31" s="562"/>
      <c r="L31" s="562"/>
      <c r="M31" s="562"/>
      <c r="N31" s="562"/>
      <c r="O31" s="562"/>
    </row>
    <row r="32" ht="15.0" customHeight="1">
      <c r="C32" s="543" t="s">
        <v>2065</v>
      </c>
      <c r="D32" s="559">
        <v>17500.0</v>
      </c>
      <c r="E32" s="559">
        <v>17500.0</v>
      </c>
      <c r="F32" s="559">
        <v>17500.0</v>
      </c>
      <c r="G32" s="559">
        <v>17500.0</v>
      </c>
      <c r="H32" s="559">
        <v>17500.0</v>
      </c>
      <c r="I32" s="559">
        <v>17500.0</v>
      </c>
      <c r="J32" s="559">
        <v>17500.0</v>
      </c>
      <c r="K32" s="559">
        <v>17500.0</v>
      </c>
      <c r="L32" s="559">
        <v>17500.0</v>
      </c>
      <c r="M32" s="559">
        <v>17500.0</v>
      </c>
      <c r="N32" s="559">
        <v>17500.0</v>
      </c>
      <c r="O32" s="559">
        <v>17500.0</v>
      </c>
      <c r="P32" s="546">
        <f t="shared" ref="P32:P51" si="12">SUM(D32:O32)</f>
        <v>210000</v>
      </c>
    </row>
    <row r="33" ht="15.0" customHeight="1">
      <c r="C33" s="543" t="s">
        <v>2066</v>
      </c>
      <c r="D33" s="559">
        <v>7500.0</v>
      </c>
      <c r="E33" s="559">
        <v>7500.0</v>
      </c>
      <c r="F33" s="559">
        <v>7500.0</v>
      </c>
      <c r="G33" s="559">
        <v>7500.0</v>
      </c>
      <c r="H33" s="559">
        <v>7500.0</v>
      </c>
      <c r="I33" s="559">
        <v>7500.0</v>
      </c>
      <c r="J33" s="559">
        <v>7500.0</v>
      </c>
      <c r="K33" s="559">
        <v>7500.0</v>
      </c>
      <c r="L33" s="559">
        <v>7500.0</v>
      </c>
      <c r="M33" s="559">
        <v>7500.0</v>
      </c>
      <c r="N33" s="559">
        <v>7500.0</v>
      </c>
      <c r="O33" s="559">
        <v>7500.0</v>
      </c>
      <c r="P33" s="546">
        <f t="shared" si="12"/>
        <v>90000</v>
      </c>
    </row>
    <row r="34" ht="15.0" customHeight="1">
      <c r="C34" s="543" t="s">
        <v>2067</v>
      </c>
      <c r="D34" s="559">
        <v>10000.0</v>
      </c>
      <c r="E34" s="559">
        <v>10000.0</v>
      </c>
      <c r="F34" s="559">
        <v>10000.0</v>
      </c>
      <c r="G34" s="559">
        <v>10000.0</v>
      </c>
      <c r="H34" s="559">
        <v>10000.0</v>
      </c>
      <c r="I34" s="559">
        <v>10000.0</v>
      </c>
      <c r="J34" s="559">
        <v>10000.0</v>
      </c>
      <c r="K34" s="559">
        <v>10000.0</v>
      </c>
      <c r="L34" s="559">
        <v>10000.0</v>
      </c>
      <c r="M34" s="559">
        <v>10000.0</v>
      </c>
      <c r="N34" s="559">
        <v>10000.0</v>
      </c>
      <c r="O34" s="559">
        <v>10000.0</v>
      </c>
      <c r="P34" s="546">
        <f t="shared" si="12"/>
        <v>120000</v>
      </c>
    </row>
    <row r="35" ht="15.0" customHeight="1">
      <c r="A35" s="129"/>
      <c r="B35" s="129"/>
      <c r="C35" s="563" t="s">
        <v>2068</v>
      </c>
      <c r="D35" s="559">
        <v>7500.0</v>
      </c>
      <c r="E35" s="559">
        <v>7500.0</v>
      </c>
      <c r="F35" s="559">
        <v>7500.0</v>
      </c>
      <c r="G35" s="559">
        <v>7500.0</v>
      </c>
      <c r="H35" s="559">
        <v>7500.0</v>
      </c>
      <c r="I35" s="559">
        <v>7500.0</v>
      </c>
      <c r="J35" s="559">
        <v>7500.0</v>
      </c>
      <c r="K35" s="559">
        <v>7500.0</v>
      </c>
      <c r="L35" s="559">
        <v>7500.0</v>
      </c>
      <c r="M35" s="559">
        <v>7500.0</v>
      </c>
      <c r="N35" s="559">
        <v>7500.0</v>
      </c>
      <c r="O35" s="559">
        <v>7500.0</v>
      </c>
      <c r="P35" s="568">
        <f t="shared" si="12"/>
        <v>90000</v>
      </c>
    </row>
    <row r="36" ht="15.0" customHeight="1">
      <c r="C36" s="543" t="s">
        <v>1928</v>
      </c>
      <c r="D36" s="559">
        <v>40000.0</v>
      </c>
      <c r="E36" s="559">
        <v>40000.0</v>
      </c>
      <c r="F36" s="559">
        <v>40000.0</v>
      </c>
      <c r="G36" s="559">
        <v>40000.0</v>
      </c>
      <c r="H36" s="559">
        <v>40000.0</v>
      </c>
      <c r="I36" s="559">
        <v>40000.0</v>
      </c>
      <c r="J36" s="559">
        <v>40000.0</v>
      </c>
      <c r="K36" s="559">
        <v>40000.0</v>
      </c>
      <c r="L36" s="559">
        <v>40000.0</v>
      </c>
      <c r="M36" s="559">
        <v>40000.0</v>
      </c>
      <c r="N36" s="559">
        <v>40000.0</v>
      </c>
      <c r="O36" s="559">
        <v>40000.0</v>
      </c>
      <c r="P36" s="546">
        <f t="shared" si="12"/>
        <v>480000</v>
      </c>
    </row>
    <row r="37" ht="15.0" customHeight="1">
      <c r="C37" s="543" t="s">
        <v>2069</v>
      </c>
      <c r="D37" s="559">
        <v>5000.0</v>
      </c>
      <c r="E37" s="559">
        <v>5000.0</v>
      </c>
      <c r="F37" s="559">
        <v>5000.0</v>
      </c>
      <c r="G37" s="559">
        <v>5000.0</v>
      </c>
      <c r="H37" s="559">
        <v>5000.0</v>
      </c>
      <c r="I37" s="559">
        <v>5000.0</v>
      </c>
      <c r="J37" s="559">
        <v>5000.0</v>
      </c>
      <c r="K37" s="559">
        <v>5000.0</v>
      </c>
      <c r="L37" s="559">
        <v>5000.0</v>
      </c>
      <c r="M37" s="559">
        <v>5000.0</v>
      </c>
      <c r="N37" s="559">
        <v>5000.0</v>
      </c>
      <c r="O37" s="559">
        <v>5000.0</v>
      </c>
      <c r="P37" s="546">
        <f t="shared" si="12"/>
        <v>60000</v>
      </c>
    </row>
    <row r="38" ht="14.25" customHeight="1">
      <c r="C38" s="543" t="s">
        <v>2070</v>
      </c>
      <c r="D38" s="559">
        <v>5000.0</v>
      </c>
      <c r="E38" s="559">
        <v>5000.0</v>
      </c>
      <c r="F38" s="559">
        <v>5000.0</v>
      </c>
      <c r="G38" s="559">
        <v>5000.0</v>
      </c>
      <c r="H38" s="559">
        <v>5000.0</v>
      </c>
      <c r="I38" s="559">
        <v>5000.0</v>
      </c>
      <c r="J38" s="559">
        <v>5000.0</v>
      </c>
      <c r="K38" s="559">
        <v>5000.0</v>
      </c>
      <c r="L38" s="559">
        <v>5000.0</v>
      </c>
      <c r="M38" s="559">
        <v>5000.0</v>
      </c>
      <c r="N38" s="559">
        <v>5000.0</v>
      </c>
      <c r="O38" s="559">
        <v>5000.0</v>
      </c>
      <c r="P38" s="546">
        <f t="shared" si="12"/>
        <v>60000</v>
      </c>
    </row>
    <row r="39" ht="14.25" customHeight="1">
      <c r="A39" s="129"/>
      <c r="B39" s="129"/>
      <c r="C39" s="563" t="s">
        <v>2071</v>
      </c>
      <c r="D39" s="567">
        <v>0.0</v>
      </c>
      <c r="E39" s="567">
        <v>0.0</v>
      </c>
      <c r="F39" s="567">
        <v>0.0</v>
      </c>
      <c r="G39" s="567">
        <v>0.0</v>
      </c>
      <c r="H39" s="567">
        <v>0.0</v>
      </c>
      <c r="I39" s="567">
        <v>0.0</v>
      </c>
      <c r="J39" s="567">
        <v>0.0</v>
      </c>
      <c r="K39" s="567">
        <v>0.0</v>
      </c>
      <c r="L39" s="567">
        <v>0.0</v>
      </c>
      <c r="M39" s="567">
        <v>0.0</v>
      </c>
      <c r="N39" s="567">
        <v>0.0</v>
      </c>
      <c r="O39" s="567">
        <v>0.0</v>
      </c>
      <c r="P39" s="568">
        <f t="shared" si="12"/>
        <v>0</v>
      </c>
    </row>
    <row r="40" ht="14.25" customHeight="1">
      <c r="C40" s="543" t="s">
        <v>2072</v>
      </c>
      <c r="D40" s="559">
        <v>0.0</v>
      </c>
      <c r="E40" s="559">
        <v>0.0</v>
      </c>
      <c r="F40" s="559">
        <v>0.0</v>
      </c>
      <c r="G40" s="559">
        <v>0.0</v>
      </c>
      <c r="H40" s="559">
        <v>0.0</v>
      </c>
      <c r="I40" s="559">
        <v>0.0</v>
      </c>
      <c r="J40" s="559">
        <v>0.0</v>
      </c>
      <c r="K40" s="559">
        <v>0.0</v>
      </c>
      <c r="L40" s="559">
        <v>0.0</v>
      </c>
      <c r="M40" s="559">
        <v>0.0</v>
      </c>
      <c r="N40" s="559">
        <v>0.0</v>
      </c>
      <c r="O40" s="559">
        <v>0.0</v>
      </c>
      <c r="P40" s="546">
        <f t="shared" si="12"/>
        <v>0</v>
      </c>
    </row>
    <row r="41" ht="15.0" customHeight="1">
      <c r="C41" s="543" t="s">
        <v>2073</v>
      </c>
      <c r="D41" s="559">
        <v>0.0</v>
      </c>
      <c r="E41" s="559">
        <v>0.0</v>
      </c>
      <c r="F41" s="559">
        <v>0.0</v>
      </c>
      <c r="G41" s="559">
        <v>0.0</v>
      </c>
      <c r="H41" s="559">
        <v>0.0</v>
      </c>
      <c r="I41" s="559">
        <v>0.0</v>
      </c>
      <c r="J41" s="559">
        <v>0.0</v>
      </c>
      <c r="K41" s="559">
        <v>0.0</v>
      </c>
      <c r="L41" s="559">
        <v>0.0</v>
      </c>
      <c r="M41" s="559">
        <v>0.0</v>
      </c>
      <c r="N41" s="559">
        <v>0.0</v>
      </c>
      <c r="O41" s="559">
        <v>0.0</v>
      </c>
      <c r="P41" s="546">
        <f t="shared" si="12"/>
        <v>0</v>
      </c>
    </row>
    <row r="42" ht="14.25" customHeight="1">
      <c r="C42" s="543" t="s">
        <v>2074</v>
      </c>
      <c r="D42" s="559">
        <v>0.0</v>
      </c>
      <c r="E42" s="559">
        <v>0.0</v>
      </c>
      <c r="F42" s="559">
        <v>0.0</v>
      </c>
      <c r="G42" s="559">
        <v>0.0</v>
      </c>
      <c r="H42" s="559">
        <v>0.0</v>
      </c>
      <c r="I42" s="559">
        <v>0.0</v>
      </c>
      <c r="J42" s="559">
        <v>0.0</v>
      </c>
      <c r="K42" s="559">
        <v>0.0</v>
      </c>
      <c r="L42" s="559">
        <v>0.0</v>
      </c>
      <c r="M42" s="559">
        <v>0.0</v>
      </c>
      <c r="N42" s="559">
        <v>0.0</v>
      </c>
      <c r="O42" s="559">
        <v>0.0</v>
      </c>
      <c r="P42" s="546">
        <f t="shared" si="12"/>
        <v>0</v>
      </c>
    </row>
    <row r="43" ht="15.0" customHeight="1">
      <c r="C43" s="543" t="s">
        <v>2075</v>
      </c>
      <c r="D43" s="559">
        <v>0.0</v>
      </c>
      <c r="E43" s="559">
        <v>0.0</v>
      </c>
      <c r="F43" s="559">
        <v>0.0</v>
      </c>
      <c r="G43" s="559">
        <v>0.0</v>
      </c>
      <c r="H43" s="559">
        <v>0.0</v>
      </c>
      <c r="I43" s="559">
        <v>0.0</v>
      </c>
      <c r="J43" s="559">
        <v>0.0</v>
      </c>
      <c r="K43" s="559">
        <v>0.0</v>
      </c>
      <c r="L43" s="559">
        <v>0.0</v>
      </c>
      <c r="M43" s="559">
        <v>0.0</v>
      </c>
      <c r="N43" s="559">
        <v>0.0</v>
      </c>
      <c r="O43" s="559">
        <v>0.0</v>
      </c>
      <c r="P43" s="546">
        <f t="shared" si="12"/>
        <v>0</v>
      </c>
    </row>
    <row r="44" ht="15.0" customHeight="1">
      <c r="C44" s="543" t="s">
        <v>2076</v>
      </c>
      <c r="D44" s="559">
        <v>0.0</v>
      </c>
      <c r="E44" s="559">
        <v>0.0</v>
      </c>
      <c r="F44" s="559">
        <v>0.0</v>
      </c>
      <c r="G44" s="559">
        <v>0.0</v>
      </c>
      <c r="H44" s="559">
        <v>0.0</v>
      </c>
      <c r="I44" s="559">
        <v>0.0</v>
      </c>
      <c r="J44" s="559">
        <v>0.0</v>
      </c>
      <c r="K44" s="559">
        <v>0.0</v>
      </c>
      <c r="L44" s="559">
        <v>0.0</v>
      </c>
      <c r="M44" s="559">
        <v>0.0</v>
      </c>
      <c r="N44" s="559">
        <v>0.0</v>
      </c>
      <c r="O44" s="559">
        <v>0.0</v>
      </c>
      <c r="P44" s="546">
        <f t="shared" si="12"/>
        <v>0</v>
      </c>
    </row>
    <row r="45" ht="15.0" customHeight="1">
      <c r="C45" s="543" t="s">
        <v>2077</v>
      </c>
      <c r="D45" s="559">
        <v>5000.0</v>
      </c>
      <c r="E45" s="559">
        <v>5000.0</v>
      </c>
      <c r="F45" s="559">
        <v>5000.0</v>
      </c>
      <c r="G45" s="559">
        <v>5000.0</v>
      </c>
      <c r="H45" s="559">
        <v>5000.0</v>
      </c>
      <c r="I45" s="559">
        <v>5000.0</v>
      </c>
      <c r="J45" s="559">
        <v>5000.0</v>
      </c>
      <c r="K45" s="559">
        <v>5000.0</v>
      </c>
      <c r="L45" s="559">
        <v>5000.0</v>
      </c>
      <c r="M45" s="559">
        <v>5000.0</v>
      </c>
      <c r="N45" s="559">
        <v>5000.0</v>
      </c>
      <c r="O45" s="559">
        <v>5000.0</v>
      </c>
      <c r="P45" s="546">
        <f t="shared" si="12"/>
        <v>60000</v>
      </c>
    </row>
    <row r="46" ht="15.0" customHeight="1">
      <c r="C46" s="543" t="s">
        <v>2078</v>
      </c>
      <c r="D46" s="559">
        <v>2500.0</v>
      </c>
      <c r="E46" s="559">
        <v>2500.0</v>
      </c>
      <c r="F46" s="559">
        <v>2500.0</v>
      </c>
      <c r="G46" s="559">
        <v>2500.0</v>
      </c>
      <c r="H46" s="559">
        <v>2500.0</v>
      </c>
      <c r="I46" s="559">
        <v>2500.0</v>
      </c>
      <c r="J46" s="559">
        <v>2500.0</v>
      </c>
      <c r="K46" s="559">
        <v>2500.0</v>
      </c>
      <c r="L46" s="559">
        <v>2500.0</v>
      </c>
      <c r="M46" s="559">
        <v>2500.0</v>
      </c>
      <c r="N46" s="559">
        <v>2500.0</v>
      </c>
      <c r="O46" s="559">
        <v>2500.0</v>
      </c>
      <c r="P46" s="546">
        <f t="shared" si="12"/>
        <v>30000</v>
      </c>
    </row>
    <row r="47" ht="15.0" customHeight="1">
      <c r="C47" s="543" t="s">
        <v>2079</v>
      </c>
      <c r="D47" s="559">
        <v>0.0</v>
      </c>
      <c r="E47" s="559">
        <v>0.0</v>
      </c>
      <c r="F47" s="559">
        <v>0.0</v>
      </c>
      <c r="G47" s="559">
        <v>0.0</v>
      </c>
      <c r="H47" s="559">
        <v>0.0</v>
      </c>
      <c r="I47" s="559">
        <v>0.0</v>
      </c>
      <c r="J47" s="559">
        <v>0.0</v>
      </c>
      <c r="K47" s="559">
        <v>0.0</v>
      </c>
      <c r="L47" s="559">
        <v>0.0</v>
      </c>
      <c r="M47" s="559">
        <v>0.0</v>
      </c>
      <c r="N47" s="559">
        <v>0.0</v>
      </c>
      <c r="O47" s="559">
        <v>0.0</v>
      </c>
      <c r="P47" s="546">
        <f t="shared" si="12"/>
        <v>0</v>
      </c>
    </row>
    <row r="48" ht="15.0" customHeight="1">
      <c r="C48" s="543" t="s">
        <v>2073</v>
      </c>
      <c r="D48" s="559">
        <v>0.0</v>
      </c>
      <c r="E48" s="559">
        <v>0.0</v>
      </c>
      <c r="F48" s="559">
        <v>0.0</v>
      </c>
      <c r="G48" s="559">
        <v>0.0</v>
      </c>
      <c r="H48" s="559">
        <v>0.0</v>
      </c>
      <c r="I48" s="559">
        <v>0.0</v>
      </c>
      <c r="J48" s="559">
        <v>0.0</v>
      </c>
      <c r="K48" s="559">
        <v>0.0</v>
      </c>
      <c r="L48" s="559">
        <v>0.0</v>
      </c>
      <c r="M48" s="559">
        <v>0.0</v>
      </c>
      <c r="N48" s="559">
        <v>0.0</v>
      </c>
      <c r="O48" s="559">
        <v>0.0</v>
      </c>
      <c r="P48" s="546">
        <f t="shared" si="12"/>
        <v>0</v>
      </c>
    </row>
    <row r="49" ht="15.0" customHeight="1">
      <c r="C49" s="543" t="s">
        <v>2080</v>
      </c>
      <c r="D49" s="559">
        <v>0.0</v>
      </c>
      <c r="E49" s="559">
        <v>0.0</v>
      </c>
      <c r="F49" s="559">
        <v>0.0</v>
      </c>
      <c r="G49" s="559">
        <v>0.0</v>
      </c>
      <c r="H49" s="559">
        <v>0.0</v>
      </c>
      <c r="I49" s="559">
        <v>0.0</v>
      </c>
      <c r="J49" s="559">
        <v>0.0</v>
      </c>
      <c r="K49" s="559">
        <v>0.0</v>
      </c>
      <c r="L49" s="559">
        <v>0.0</v>
      </c>
      <c r="M49" s="559">
        <v>0.0</v>
      </c>
      <c r="N49" s="559">
        <v>0.0</v>
      </c>
      <c r="O49" s="559">
        <v>0.0</v>
      </c>
      <c r="P49" s="546">
        <f t="shared" si="12"/>
        <v>0</v>
      </c>
    </row>
    <row r="50" ht="15.0" customHeight="1">
      <c r="C50" s="543" t="s">
        <v>1908</v>
      </c>
      <c r="D50" s="559">
        <v>0.0</v>
      </c>
      <c r="E50" s="559">
        <v>0.0</v>
      </c>
      <c r="F50" s="559">
        <v>0.0</v>
      </c>
      <c r="G50" s="559">
        <v>0.0</v>
      </c>
      <c r="H50" s="559">
        <v>0.0</v>
      </c>
      <c r="I50" s="559">
        <v>0.0</v>
      </c>
      <c r="J50" s="559">
        <v>0.0</v>
      </c>
      <c r="K50" s="559">
        <v>0.0</v>
      </c>
      <c r="L50" s="559">
        <v>0.0</v>
      </c>
      <c r="M50" s="559">
        <v>0.0</v>
      </c>
      <c r="N50" s="559">
        <v>0.0</v>
      </c>
      <c r="O50" s="559">
        <v>0.0</v>
      </c>
      <c r="P50" s="546">
        <f t="shared" si="12"/>
        <v>0</v>
      </c>
    </row>
    <row r="51" ht="15.0" customHeight="1">
      <c r="C51" s="543" t="s">
        <v>2081</v>
      </c>
      <c r="D51" s="559">
        <v>12500.0</v>
      </c>
      <c r="E51" s="559">
        <v>12500.0</v>
      </c>
      <c r="F51" s="559">
        <v>12500.0</v>
      </c>
      <c r="G51" s="559">
        <v>12500.0</v>
      </c>
      <c r="H51" s="559">
        <v>12500.0</v>
      </c>
      <c r="I51" s="559">
        <v>12500.0</v>
      </c>
      <c r="J51" s="559">
        <v>12500.0</v>
      </c>
      <c r="K51" s="559">
        <v>12500.0</v>
      </c>
      <c r="L51" s="559">
        <v>12500.0</v>
      </c>
      <c r="M51" s="559">
        <v>12500.0</v>
      </c>
      <c r="N51" s="559">
        <v>12500.0</v>
      </c>
      <c r="O51" s="559">
        <v>12500.0</v>
      </c>
      <c r="P51" s="546">
        <f t="shared" si="12"/>
        <v>150000</v>
      </c>
    </row>
    <row r="52" ht="14.25" customHeight="1">
      <c r="B52" s="565" t="s">
        <v>2082</v>
      </c>
      <c r="D52" s="562"/>
      <c r="E52" s="562"/>
      <c r="F52" s="562"/>
      <c r="G52" s="562"/>
      <c r="H52" s="562"/>
      <c r="I52" s="562"/>
      <c r="J52" s="562"/>
      <c r="K52" s="562"/>
      <c r="L52" s="562"/>
      <c r="M52" s="562"/>
      <c r="N52" s="562"/>
      <c r="O52" s="562"/>
    </row>
    <row r="53" ht="14.25" customHeight="1">
      <c r="C53" s="123" t="s">
        <v>1887</v>
      </c>
      <c r="D53" s="559">
        <v>40000.0</v>
      </c>
      <c r="E53" s="559">
        <v>40000.0</v>
      </c>
      <c r="F53" s="559">
        <v>40000.0</v>
      </c>
      <c r="G53" s="559">
        <v>40000.0</v>
      </c>
      <c r="H53" s="559">
        <v>40000.0</v>
      </c>
      <c r="I53" s="559">
        <v>40000.0</v>
      </c>
      <c r="J53" s="559">
        <v>40000.0</v>
      </c>
      <c r="K53" s="559">
        <v>40000.0</v>
      </c>
      <c r="L53" s="559">
        <v>40000.0</v>
      </c>
      <c r="M53" s="559">
        <v>40000.0</v>
      </c>
      <c r="N53" s="559">
        <v>40000.0</v>
      </c>
      <c r="O53" s="559">
        <v>40000.0</v>
      </c>
      <c r="P53" s="546">
        <f t="shared" ref="P53:P57" si="13">SUM(D53:O53)</f>
        <v>480000</v>
      </c>
    </row>
    <row r="54" ht="14.25" customHeight="1">
      <c r="C54" s="123" t="s">
        <v>1883</v>
      </c>
      <c r="D54" s="559">
        <v>10600.0</v>
      </c>
      <c r="E54" s="559">
        <v>10600.0</v>
      </c>
      <c r="F54" s="559">
        <v>10600.0</v>
      </c>
      <c r="G54" s="559">
        <v>10600.0</v>
      </c>
      <c r="H54" s="559">
        <v>10600.0</v>
      </c>
      <c r="I54" s="559">
        <v>10600.0</v>
      </c>
      <c r="J54" s="559">
        <v>10600.0</v>
      </c>
      <c r="K54" s="559">
        <v>10600.0</v>
      </c>
      <c r="L54" s="559">
        <v>10600.0</v>
      </c>
      <c r="M54" s="559">
        <v>10600.0</v>
      </c>
      <c r="N54" s="559">
        <v>10600.0</v>
      </c>
      <c r="O54" s="559">
        <v>10600.0</v>
      </c>
      <c r="P54" s="546">
        <f t="shared" si="13"/>
        <v>127200</v>
      </c>
    </row>
    <row r="55" ht="14.25" customHeight="1">
      <c r="C55" s="543" t="s">
        <v>23</v>
      </c>
      <c r="D55" s="559">
        <v>17300.0</v>
      </c>
      <c r="E55" s="559">
        <v>17300.0</v>
      </c>
      <c r="F55" s="559">
        <v>17300.0</v>
      </c>
      <c r="G55" s="559">
        <v>17300.0</v>
      </c>
      <c r="H55" s="559">
        <v>17300.0</v>
      </c>
      <c r="I55" s="559">
        <v>17300.0</v>
      </c>
      <c r="J55" s="559">
        <v>17300.0</v>
      </c>
      <c r="K55" s="559">
        <v>17300.0</v>
      </c>
      <c r="L55" s="559">
        <v>17300.0</v>
      </c>
      <c r="M55" s="559">
        <v>17300.0</v>
      </c>
      <c r="N55" s="559">
        <v>17300.0</v>
      </c>
      <c r="O55" s="559">
        <v>17300.0</v>
      </c>
      <c r="P55" s="546">
        <f t="shared" si="13"/>
        <v>207600</v>
      </c>
    </row>
    <row r="56" ht="13.5" customHeight="1">
      <c r="A56" s="129"/>
      <c r="B56" s="129"/>
      <c r="C56" s="563" t="s">
        <v>24</v>
      </c>
      <c r="D56" s="559">
        <v>20600.0</v>
      </c>
      <c r="E56" s="559">
        <v>20600.0</v>
      </c>
      <c r="F56" s="559">
        <v>20600.0</v>
      </c>
      <c r="G56" s="559">
        <v>20600.0</v>
      </c>
      <c r="H56" s="559">
        <v>20600.0</v>
      </c>
      <c r="I56" s="559">
        <v>20600.0</v>
      </c>
      <c r="J56" s="559">
        <v>20600.0</v>
      </c>
      <c r="K56" s="559">
        <v>20600.0</v>
      </c>
      <c r="L56" s="559">
        <v>20600.0</v>
      </c>
      <c r="M56" s="559">
        <v>20600.0</v>
      </c>
      <c r="N56" s="559">
        <v>20600.0</v>
      </c>
      <c r="O56" s="559">
        <v>20600.0</v>
      </c>
      <c r="P56" s="564">
        <f t="shared" si="13"/>
        <v>247200</v>
      </c>
    </row>
    <row r="57" ht="13.5" customHeight="1">
      <c r="A57" s="129"/>
      <c r="B57" s="129"/>
      <c r="C57" s="563" t="s">
        <v>1909</v>
      </c>
      <c r="D57" s="559">
        <v>13241.9</v>
      </c>
      <c r="E57" s="559">
        <v>13241.9</v>
      </c>
      <c r="F57" s="559">
        <v>13241.9</v>
      </c>
      <c r="G57" s="559">
        <v>0.0</v>
      </c>
      <c r="H57" s="559">
        <v>0.0</v>
      </c>
      <c r="I57" s="559">
        <v>0.0</v>
      </c>
      <c r="J57" s="559">
        <v>0.0</v>
      </c>
      <c r="K57" s="559">
        <v>0.0</v>
      </c>
      <c r="L57" s="559">
        <v>0.0</v>
      </c>
      <c r="M57" s="559">
        <v>0.0</v>
      </c>
      <c r="N57" s="559">
        <v>0.0</v>
      </c>
      <c r="O57" s="559">
        <v>0.0</v>
      </c>
      <c r="P57" s="546">
        <f t="shared" si="13"/>
        <v>39725.7</v>
      </c>
    </row>
    <row r="58" ht="14.25" customHeight="1">
      <c r="C58" s="569"/>
      <c r="D58" s="570"/>
      <c r="E58" s="570"/>
      <c r="F58" s="570"/>
      <c r="G58" s="570"/>
      <c r="H58" s="570"/>
      <c r="I58" s="570"/>
      <c r="J58" s="570"/>
      <c r="K58" s="570"/>
      <c r="L58" s="570"/>
      <c r="M58" s="570"/>
      <c r="N58" s="570"/>
      <c r="O58" s="570"/>
      <c r="P58" s="560"/>
    </row>
    <row r="59" ht="15.75" customHeight="1">
      <c r="A59" s="556" t="s">
        <v>2085</v>
      </c>
      <c r="D59" s="571">
        <f t="shared" ref="D59:P59" si="14">SUM(D23:D57)</f>
        <v>214241.9</v>
      </c>
      <c r="E59" s="571">
        <f t="shared" si="14"/>
        <v>235795.9</v>
      </c>
      <c r="F59" s="571">
        <f t="shared" si="14"/>
        <v>224241.9</v>
      </c>
      <c r="G59" s="571">
        <f t="shared" si="14"/>
        <v>221000</v>
      </c>
      <c r="H59" s="571">
        <f t="shared" si="14"/>
        <v>221000</v>
      </c>
      <c r="I59" s="571">
        <f t="shared" si="14"/>
        <v>201000</v>
      </c>
      <c r="J59" s="571">
        <f t="shared" si="14"/>
        <v>201000</v>
      </c>
      <c r="K59" s="571">
        <f t="shared" si="14"/>
        <v>201000</v>
      </c>
      <c r="L59" s="571">
        <f t="shared" si="14"/>
        <v>201000</v>
      </c>
      <c r="M59" s="571">
        <f t="shared" si="14"/>
        <v>201000</v>
      </c>
      <c r="N59" s="571">
        <f t="shared" si="14"/>
        <v>201000</v>
      </c>
      <c r="O59" s="571">
        <f t="shared" si="14"/>
        <v>201000</v>
      </c>
      <c r="P59" s="571">
        <f t="shared" si="14"/>
        <v>2523279.7</v>
      </c>
    </row>
    <row r="60" ht="14.25" customHeight="1">
      <c r="O60" s="123" t="s">
        <v>2086</v>
      </c>
    </row>
  </sheetData>
  <mergeCells count="10">
    <mergeCell ref="A20:C20"/>
    <mergeCell ref="A22:C22"/>
    <mergeCell ref="B31:C31"/>
    <mergeCell ref="B52:C52"/>
    <mergeCell ref="A59:C59"/>
    <mergeCell ref="C1:F1"/>
    <mergeCell ref="H1:L1"/>
    <mergeCell ref="A8:C8"/>
    <mergeCell ref="A13:C13"/>
    <mergeCell ref="B24:C2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2" width="1.38"/>
    <col customWidth="1" min="3" max="3" width="30.75"/>
    <col customWidth="1" min="4" max="15" width="7.75"/>
    <col customWidth="1" min="16" max="16" width="10.25"/>
  </cols>
  <sheetData>
    <row r="1" ht="40.5" customHeight="1">
      <c r="C1" s="517" t="s">
        <v>2037</v>
      </c>
      <c r="H1" s="518"/>
    </row>
    <row r="2" ht="6.75" customHeight="1">
      <c r="D2" s="519"/>
      <c r="E2" s="519"/>
      <c r="F2" s="519"/>
      <c r="G2" s="519"/>
      <c r="H2" s="519"/>
      <c r="I2" s="519"/>
      <c r="J2" s="519"/>
      <c r="K2" s="519"/>
      <c r="L2" s="519"/>
      <c r="M2" s="519"/>
      <c r="N2" s="519"/>
      <c r="O2" s="519"/>
    </row>
    <row r="3" ht="16.5" customHeight="1">
      <c r="B3" s="520"/>
      <c r="C3" s="521" t="s">
        <v>2038</v>
      </c>
      <c r="D3" s="522">
        <v>-91500.0</v>
      </c>
      <c r="E3" s="523">
        <f t="shared" ref="E3:P3" si="1">+D3+D10</f>
        <v>-89499.84</v>
      </c>
      <c r="F3" s="523">
        <f t="shared" si="1"/>
        <v>-99001.42</v>
      </c>
      <c r="G3" s="523">
        <f t="shared" si="1"/>
        <v>-172325.72</v>
      </c>
      <c r="H3" s="523">
        <f t="shared" si="1"/>
        <v>-254999.62</v>
      </c>
      <c r="I3" s="523">
        <f t="shared" si="1"/>
        <v>-312848.9</v>
      </c>
      <c r="J3" s="523">
        <f t="shared" si="1"/>
        <v>-364499.6</v>
      </c>
      <c r="K3" s="523">
        <f t="shared" si="1"/>
        <v>-255000.01</v>
      </c>
      <c r="L3" s="523">
        <f t="shared" si="1"/>
        <v>-332171.88</v>
      </c>
      <c r="M3" s="523">
        <f t="shared" si="1"/>
        <v>-223364.22</v>
      </c>
      <c r="N3" s="523">
        <f t="shared" si="1"/>
        <v>-274999.93</v>
      </c>
      <c r="O3" s="523">
        <f t="shared" si="1"/>
        <v>-399999.98</v>
      </c>
      <c r="P3" s="523">
        <f t="shared" si="1"/>
        <v>-552499.7</v>
      </c>
    </row>
    <row r="4" ht="16.5" customHeight="1">
      <c r="B4" s="520"/>
      <c r="C4" s="526" t="s">
        <v>1908</v>
      </c>
      <c r="D4" s="527">
        <v>615000.0</v>
      </c>
      <c r="E4" s="527">
        <v>612500.0</v>
      </c>
      <c r="F4" s="527">
        <v>612500.0</v>
      </c>
      <c r="G4" s="527">
        <v>612500.0</v>
      </c>
      <c r="H4" s="527">
        <v>612500.0</v>
      </c>
      <c r="I4" s="527">
        <v>596750.0</v>
      </c>
      <c r="J4" s="527">
        <v>602250.0</v>
      </c>
      <c r="K4" s="527">
        <v>588250.0</v>
      </c>
      <c r="L4" s="527">
        <v>588250.0</v>
      </c>
      <c r="M4" s="527">
        <v>588250.0</v>
      </c>
      <c r="N4" s="527">
        <v>588250.0</v>
      </c>
      <c r="O4" s="527">
        <v>588250.0</v>
      </c>
      <c r="P4" s="527">
        <v>340250.0</v>
      </c>
    </row>
    <row r="5" ht="16.5" customHeight="1">
      <c r="B5" s="520"/>
      <c r="C5" s="526" t="s">
        <v>19</v>
      </c>
      <c r="D5" s="527">
        <v>784500.0</v>
      </c>
      <c r="E5" s="527">
        <v>795000.0</v>
      </c>
      <c r="F5" s="527">
        <v>796000.0</v>
      </c>
      <c r="G5" s="527">
        <v>800500.0</v>
      </c>
      <c r="H5" s="527">
        <v>800500.0</v>
      </c>
      <c r="I5" s="527">
        <v>799250.0</v>
      </c>
      <c r="J5" s="527">
        <v>787000.0</v>
      </c>
      <c r="K5" s="527">
        <v>758250.0</v>
      </c>
      <c r="L5" s="527">
        <v>766000.0</v>
      </c>
      <c r="M5" s="527">
        <v>826750.0</v>
      </c>
      <c r="N5" s="527">
        <v>836750.0</v>
      </c>
      <c r="O5" s="527">
        <v>925750.0</v>
      </c>
      <c r="P5" s="527">
        <v>1159750.0</v>
      </c>
    </row>
    <row r="6" ht="8.25" customHeight="1">
      <c r="D6" s="530"/>
      <c r="E6" s="530"/>
      <c r="F6" s="530"/>
      <c r="G6" s="530"/>
      <c r="H6" s="530"/>
      <c r="I6" s="530"/>
      <c r="J6" s="530"/>
      <c r="K6" s="530"/>
      <c r="L6" s="530"/>
      <c r="M6" s="530"/>
      <c r="N6" s="530"/>
      <c r="O6" s="530"/>
    </row>
    <row r="7" ht="15.75" customHeight="1">
      <c r="A7" s="531" t="s">
        <v>2039</v>
      </c>
      <c r="D7" s="532"/>
      <c r="E7" s="532"/>
      <c r="F7" s="532"/>
      <c r="G7" s="532"/>
      <c r="H7" s="532"/>
      <c r="I7" s="532"/>
      <c r="J7" s="532"/>
      <c r="K7" s="532"/>
      <c r="L7" s="532"/>
      <c r="M7" s="532"/>
      <c r="N7" s="532"/>
      <c r="O7" s="532"/>
      <c r="P7" s="533"/>
    </row>
    <row r="8" ht="15.0" customHeight="1">
      <c r="C8" s="534" t="s">
        <v>1935</v>
      </c>
      <c r="D8" s="535">
        <f t="shared" ref="D8:O8" si="2">sum(D18)</f>
        <v>255909.58</v>
      </c>
      <c r="E8" s="535">
        <f t="shared" si="2"/>
        <v>170003.84</v>
      </c>
      <c r="F8" s="535">
        <f t="shared" si="2"/>
        <v>154685.83</v>
      </c>
      <c r="G8" s="535">
        <f t="shared" si="2"/>
        <v>170375.42</v>
      </c>
      <c r="H8" s="535">
        <f t="shared" si="2"/>
        <v>222275.42</v>
      </c>
      <c r="I8" s="535">
        <f t="shared" si="2"/>
        <v>181709.42</v>
      </c>
      <c r="J8" s="535">
        <f t="shared" si="2"/>
        <v>202537.42</v>
      </c>
      <c r="K8" s="535">
        <f t="shared" si="2"/>
        <v>168228.19</v>
      </c>
      <c r="L8" s="535">
        <f t="shared" si="2"/>
        <v>166009.64</v>
      </c>
      <c r="M8" s="535">
        <f t="shared" si="2"/>
        <v>186605.81</v>
      </c>
      <c r="N8" s="535">
        <f t="shared" si="2"/>
        <v>227325.42</v>
      </c>
      <c r="O8" s="535">
        <f t="shared" si="2"/>
        <v>294648.23</v>
      </c>
      <c r="P8" s="536">
        <f t="shared" ref="P8:P10" si="4">SUM(D8:O8)</f>
        <v>2400314.22</v>
      </c>
    </row>
    <row r="9" ht="15.0" customHeight="1">
      <c r="C9" s="534" t="s">
        <v>2040</v>
      </c>
      <c r="D9" s="535">
        <f t="shared" ref="D9:O9" si="3">D59</f>
        <v>253909.42</v>
      </c>
      <c r="E9" s="535">
        <f t="shared" si="3"/>
        <v>179505.42</v>
      </c>
      <c r="F9" s="535">
        <f t="shared" si="3"/>
        <v>228010.13</v>
      </c>
      <c r="G9" s="535">
        <f t="shared" si="3"/>
        <v>253049.32</v>
      </c>
      <c r="H9" s="535">
        <f t="shared" si="3"/>
        <v>280124.7</v>
      </c>
      <c r="I9" s="535">
        <f t="shared" si="3"/>
        <v>233360.12</v>
      </c>
      <c r="J9" s="535">
        <f t="shared" si="3"/>
        <v>93037.83</v>
      </c>
      <c r="K9" s="535">
        <f t="shared" si="3"/>
        <v>245400.06</v>
      </c>
      <c r="L9" s="535">
        <f t="shared" si="3"/>
        <v>57201.98</v>
      </c>
      <c r="M9" s="535">
        <f t="shared" si="3"/>
        <v>238241.52</v>
      </c>
      <c r="N9" s="535">
        <f t="shared" si="3"/>
        <v>352325.47</v>
      </c>
      <c r="O9" s="535">
        <f t="shared" si="3"/>
        <v>447147.95</v>
      </c>
      <c r="P9" s="536">
        <f t="shared" si="4"/>
        <v>2861313.92</v>
      </c>
    </row>
    <row r="10" ht="15.0" customHeight="1">
      <c r="C10" s="534" t="s">
        <v>2041</v>
      </c>
      <c r="D10" s="537">
        <f t="shared" ref="D10:O10" si="5">D8-D9</f>
        <v>2000.16</v>
      </c>
      <c r="E10" s="537">
        <f t="shared" si="5"/>
        <v>-9501.58</v>
      </c>
      <c r="F10" s="537">
        <f t="shared" si="5"/>
        <v>-73324.3</v>
      </c>
      <c r="G10" s="537">
        <f t="shared" si="5"/>
        <v>-82673.9</v>
      </c>
      <c r="H10" s="537">
        <f t="shared" si="5"/>
        <v>-57849.28</v>
      </c>
      <c r="I10" s="537">
        <f t="shared" si="5"/>
        <v>-51650.7</v>
      </c>
      <c r="J10" s="537">
        <f t="shared" si="5"/>
        <v>109499.59</v>
      </c>
      <c r="K10" s="537">
        <f t="shared" si="5"/>
        <v>-77171.87</v>
      </c>
      <c r="L10" s="537">
        <f t="shared" si="5"/>
        <v>108807.66</v>
      </c>
      <c r="M10" s="537">
        <f t="shared" si="5"/>
        <v>-51635.71</v>
      </c>
      <c r="N10" s="537">
        <f t="shared" si="5"/>
        <v>-125000.05</v>
      </c>
      <c r="O10" s="537">
        <f t="shared" si="5"/>
        <v>-152499.72</v>
      </c>
      <c r="P10" s="536">
        <f t="shared" si="4"/>
        <v>-460999.7</v>
      </c>
    </row>
    <row r="11" ht="32.25" customHeight="1">
      <c r="D11" s="538" t="s">
        <v>2042</v>
      </c>
      <c r="E11" s="538" t="s">
        <v>2043</v>
      </c>
      <c r="F11" s="538" t="s">
        <v>2044</v>
      </c>
      <c r="G11" s="538" t="s">
        <v>2045</v>
      </c>
      <c r="H11" s="538" t="s">
        <v>2046</v>
      </c>
      <c r="I11" s="538" t="s">
        <v>2047</v>
      </c>
      <c r="J11" s="538" t="s">
        <v>2048</v>
      </c>
      <c r="K11" s="538" t="s">
        <v>2049</v>
      </c>
      <c r="L11" s="538" t="s">
        <v>2050</v>
      </c>
      <c r="M11" s="538" t="s">
        <v>2051</v>
      </c>
      <c r="N11" s="538" t="s">
        <v>2052</v>
      </c>
      <c r="O11" s="538" t="s">
        <v>1270</v>
      </c>
      <c r="P11" s="539" t="s">
        <v>2053</v>
      </c>
    </row>
    <row r="12" ht="15.75" customHeight="1">
      <c r="A12" s="540" t="s">
        <v>2054</v>
      </c>
      <c r="D12" s="541"/>
      <c r="E12" s="541"/>
      <c r="F12" s="541"/>
      <c r="G12" s="541"/>
      <c r="H12" s="541"/>
      <c r="I12" s="541"/>
      <c r="J12" s="541"/>
      <c r="K12" s="541"/>
      <c r="L12" s="541"/>
      <c r="M12" s="541"/>
      <c r="N12" s="541"/>
      <c r="O12" s="541"/>
      <c r="P12" s="542"/>
    </row>
    <row r="13" ht="14.25" customHeight="1">
      <c r="C13" s="543" t="s">
        <v>1964</v>
      </c>
      <c r="D13" s="544">
        <v>221647.58</v>
      </c>
      <c r="E13" s="544">
        <v>123188.33</v>
      </c>
      <c r="F13" s="544">
        <v>124095.83</v>
      </c>
      <c r="G13" s="544">
        <v>127925.42</v>
      </c>
      <c r="H13" s="544">
        <v>128045.42</v>
      </c>
      <c r="I13" s="544">
        <v>128045.42</v>
      </c>
      <c r="J13" s="544">
        <v>127715.42</v>
      </c>
      <c r="K13" s="544">
        <v>128155.42</v>
      </c>
      <c r="L13" s="544">
        <v>146912.12</v>
      </c>
      <c r="M13" s="544">
        <v>128235.42</v>
      </c>
      <c r="N13" s="544">
        <v>127835.42</v>
      </c>
      <c r="O13" s="544">
        <v>126241.24</v>
      </c>
      <c r="P13" s="546">
        <f t="shared" ref="P13:P17" si="6">SUM(D13:O13)</f>
        <v>1638043.04</v>
      </c>
    </row>
    <row r="14" ht="14.25" customHeight="1">
      <c r="A14" s="551"/>
      <c r="B14" s="551"/>
      <c r="C14" s="552" t="s">
        <v>2087</v>
      </c>
      <c r="D14" s="544">
        <v>14000.0</v>
      </c>
      <c r="E14" s="544">
        <v>14000.0</v>
      </c>
      <c r="F14" s="544">
        <v>14000.0</v>
      </c>
      <c r="G14" s="544">
        <v>14000.0</v>
      </c>
      <c r="H14" s="544">
        <f>14000+28000+640</f>
        <v>42640</v>
      </c>
      <c r="I14" s="544">
        <v>14640.0</v>
      </c>
      <c r="J14" s="544">
        <v>16867.0</v>
      </c>
      <c r="K14" s="544">
        <v>16580.0</v>
      </c>
      <c r="L14" s="544">
        <v>0.0</v>
      </c>
      <c r="M14" s="544">
        <v>-23765.0</v>
      </c>
      <c r="N14" s="544">
        <v>12000.0</v>
      </c>
      <c r="O14" s="544">
        <f>24000-12000</f>
        <v>12000</v>
      </c>
      <c r="P14" s="553">
        <f t="shared" si="6"/>
        <v>146962</v>
      </c>
    </row>
    <row r="15" ht="14.25" customHeight="1">
      <c r="A15" s="551"/>
      <c r="B15" s="551"/>
      <c r="C15" s="552" t="s">
        <v>2088</v>
      </c>
      <c r="D15" s="544">
        <v>13000.0</v>
      </c>
      <c r="E15" s="544">
        <v>13000.0</v>
      </c>
      <c r="F15" s="544">
        <v>13000.0</v>
      </c>
      <c r="G15" s="544">
        <v>13000.0</v>
      </c>
      <c r="H15" s="544">
        <v>13000.0</v>
      </c>
      <c r="I15" s="544">
        <v>13000.0</v>
      </c>
      <c r="J15" s="544">
        <v>13000.0</v>
      </c>
      <c r="K15" s="544">
        <v>13000.0</v>
      </c>
      <c r="L15" s="544">
        <v>0.0</v>
      </c>
      <c r="M15" s="544">
        <v>0.0</v>
      </c>
      <c r="N15" s="544">
        <v>0.0</v>
      </c>
      <c r="O15" s="544">
        <v>0.0</v>
      </c>
      <c r="P15" s="553">
        <f t="shared" si="6"/>
        <v>104000</v>
      </c>
    </row>
    <row r="16" ht="14.25" customHeight="1">
      <c r="A16" s="551"/>
      <c r="B16" s="551"/>
      <c r="C16" s="552" t="s">
        <v>26</v>
      </c>
      <c r="D16" s="544">
        <v>3190.0</v>
      </c>
      <c r="E16" s="544">
        <v>6000.0</v>
      </c>
      <c r="F16" s="544">
        <v>2590.0</v>
      </c>
      <c r="G16" s="544">
        <v>1690.0</v>
      </c>
      <c r="H16" s="544">
        <v>2190.0</v>
      </c>
      <c r="I16" s="544">
        <v>9104.0</v>
      </c>
      <c r="J16" s="544">
        <v>24955.0</v>
      </c>
      <c r="K16" s="544">
        <v>10492.77</v>
      </c>
      <c r="L16" s="544">
        <v>13402.76</v>
      </c>
      <c r="M16" s="544">
        <v>81632.0</v>
      </c>
      <c r="N16" s="544">
        <v>76148.0</v>
      </c>
      <c r="O16" s="544">
        <v>141412.17</v>
      </c>
      <c r="P16" s="546">
        <f t="shared" si="6"/>
        <v>372806.7</v>
      </c>
    </row>
    <row r="17" ht="13.5" customHeight="1">
      <c r="C17" s="543" t="s">
        <v>1908</v>
      </c>
      <c r="D17" s="544">
        <f>1460+860+860+200+692</f>
        <v>4072</v>
      </c>
      <c r="E17" s="544">
        <f>1000+12815.51</f>
        <v>13815.51</v>
      </c>
      <c r="F17" s="544">
        <v>1000.0</v>
      </c>
      <c r="G17" s="544">
        <f>1000+12760</f>
        <v>13760</v>
      </c>
      <c r="H17" s="544">
        <v>36400.0</v>
      </c>
      <c r="I17" s="544">
        <f>11200+5720</f>
        <v>16920</v>
      </c>
      <c r="J17" s="544">
        <v>20000.0</v>
      </c>
      <c r="K17" s="544">
        <v>0.0</v>
      </c>
      <c r="L17" s="544">
        <f>3694.16+1311.68+688.92</f>
        <v>5694.76</v>
      </c>
      <c r="M17" s="544">
        <f>379.82+105+18.57</f>
        <v>503.39</v>
      </c>
      <c r="N17" s="544">
        <v>11342.0</v>
      </c>
      <c r="O17" s="544">
        <f>2550+2163.76+349.07+5000+4854.35+77.64</f>
        <v>14994.82</v>
      </c>
      <c r="P17" s="546">
        <f t="shared" si="6"/>
        <v>138502.48</v>
      </c>
    </row>
    <row r="18" ht="15.75" customHeight="1">
      <c r="A18" s="540" t="s">
        <v>2057</v>
      </c>
      <c r="D18" s="555">
        <f t="shared" ref="D18:P18" si="7">SUM(D13:D17)</f>
        <v>255909.58</v>
      </c>
      <c r="E18" s="555">
        <f t="shared" si="7"/>
        <v>170003.84</v>
      </c>
      <c r="F18" s="555">
        <f t="shared" si="7"/>
        <v>154685.83</v>
      </c>
      <c r="G18" s="555">
        <f t="shared" si="7"/>
        <v>170375.42</v>
      </c>
      <c r="H18" s="555">
        <f t="shared" si="7"/>
        <v>222275.42</v>
      </c>
      <c r="I18" s="555">
        <f t="shared" si="7"/>
        <v>181709.42</v>
      </c>
      <c r="J18" s="555">
        <f t="shared" si="7"/>
        <v>202537.42</v>
      </c>
      <c r="K18" s="555">
        <f t="shared" si="7"/>
        <v>168228.19</v>
      </c>
      <c r="L18" s="555">
        <f t="shared" si="7"/>
        <v>166009.64</v>
      </c>
      <c r="M18" s="555">
        <f t="shared" si="7"/>
        <v>186605.81</v>
      </c>
      <c r="N18" s="555">
        <f t="shared" si="7"/>
        <v>227325.42</v>
      </c>
      <c r="O18" s="555">
        <f t="shared" si="7"/>
        <v>294648.23</v>
      </c>
      <c r="P18" s="555">
        <f t="shared" si="7"/>
        <v>2400314.22</v>
      </c>
    </row>
    <row r="19" ht="14.25" customHeight="1"/>
    <row r="20" ht="15.75" customHeight="1">
      <c r="A20" s="556" t="s">
        <v>2058</v>
      </c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8"/>
    </row>
    <row r="21" ht="14.25" customHeight="1">
      <c r="C21" s="543" t="s">
        <v>2059</v>
      </c>
      <c r="D21" s="544">
        <v>4685.3</v>
      </c>
      <c r="E21" s="544">
        <v>1743.74</v>
      </c>
      <c r="F21" s="544">
        <v>2395.76</v>
      </c>
      <c r="G21" s="544">
        <v>3247.75</v>
      </c>
      <c r="H21" s="544">
        <v>4776.83</v>
      </c>
      <c r="I21" s="544">
        <v>7008.92</v>
      </c>
      <c r="J21" s="544">
        <v>7120.84</v>
      </c>
      <c r="K21" s="544">
        <v>7081.01</v>
      </c>
      <c r="L21" s="544">
        <v>7666.24</v>
      </c>
      <c r="M21" s="544">
        <v>2679.16</v>
      </c>
      <c r="N21" s="544">
        <v>5484.52</v>
      </c>
      <c r="O21" s="544">
        <v>6762.72</v>
      </c>
      <c r="P21" s="560">
        <f>SUM(D21:O21)</f>
        <v>60652.79</v>
      </c>
    </row>
    <row r="22" ht="14.25" customHeight="1">
      <c r="B22" s="561" t="s">
        <v>2060</v>
      </c>
      <c r="D22" s="562"/>
      <c r="E22" s="562"/>
      <c r="F22" s="562"/>
      <c r="G22" s="562"/>
      <c r="H22" s="562"/>
      <c r="I22" s="562"/>
      <c r="J22" s="562"/>
      <c r="K22" s="562"/>
      <c r="L22" s="562"/>
      <c r="M22" s="562"/>
      <c r="N22" s="562"/>
      <c r="O22" s="562"/>
    </row>
    <row r="23" ht="13.5" customHeight="1">
      <c r="A23" s="129"/>
      <c r="B23" s="129"/>
      <c r="C23" s="563" t="s">
        <v>1908</v>
      </c>
      <c r="D23" s="544">
        <v>-368.0</v>
      </c>
      <c r="E23" s="544">
        <v>-8402.0</v>
      </c>
      <c r="F23" s="544">
        <v>532.0</v>
      </c>
      <c r="G23" s="544">
        <v>-2443.0</v>
      </c>
      <c r="H23" s="544">
        <v>1527.0</v>
      </c>
      <c r="I23" s="544">
        <v>-13799.0</v>
      </c>
      <c r="J23" s="544">
        <v>-322.0</v>
      </c>
      <c r="K23" s="544">
        <v>4393.0</v>
      </c>
      <c r="L23" s="544">
        <v>-4882.0</v>
      </c>
      <c r="M23" s="544">
        <v>1047.0</v>
      </c>
      <c r="N23" s="544">
        <v>3410.0</v>
      </c>
      <c r="O23" s="544">
        <v>13553.0</v>
      </c>
      <c r="P23" s="560">
        <f t="shared" ref="P23:P28" si="8">SUM(D23:O23)</f>
        <v>-5754</v>
      </c>
    </row>
    <row r="24" ht="14.25" customHeight="1">
      <c r="C24" s="543" t="s">
        <v>2061</v>
      </c>
      <c r="D24" s="544">
        <v>18160.2</v>
      </c>
      <c r="E24" s="544">
        <v>11800.0</v>
      </c>
      <c r="F24" s="544">
        <v>0.0</v>
      </c>
      <c r="G24" s="544">
        <v>19436.99</v>
      </c>
      <c r="H24" s="544">
        <f>28000+13360</f>
        <v>41360</v>
      </c>
      <c r="I24" s="544">
        <v>0.0</v>
      </c>
      <c r="J24" s="544">
        <v>0.0</v>
      </c>
      <c r="K24" s="544">
        <v>0.0</v>
      </c>
      <c r="L24" s="544">
        <v>0.0</v>
      </c>
      <c r="M24" s="544">
        <v>0.0</v>
      </c>
      <c r="N24" s="544">
        <v>0.0</v>
      </c>
      <c r="O24" s="544">
        <f>2656+960.86</f>
        <v>3616.86</v>
      </c>
      <c r="P24" s="560">
        <f t="shared" si="8"/>
        <v>94374.05</v>
      </c>
    </row>
    <row r="25" ht="14.25" customHeight="1">
      <c r="C25" s="543" t="s">
        <v>1931</v>
      </c>
      <c r="D25" s="544">
        <v>0.0</v>
      </c>
      <c r="E25" s="544">
        <v>0.0</v>
      </c>
      <c r="F25" s="544">
        <v>2240.0</v>
      </c>
      <c r="G25" s="544">
        <v>2240.0</v>
      </c>
      <c r="H25" s="544">
        <v>2240.0</v>
      </c>
      <c r="I25" s="544">
        <v>2240.0</v>
      </c>
      <c r="J25" s="544">
        <v>2240.0</v>
      </c>
      <c r="K25" s="544">
        <v>2240.0</v>
      </c>
      <c r="L25" s="544">
        <v>2240.0</v>
      </c>
      <c r="M25" s="544">
        <v>2240.0</v>
      </c>
      <c r="N25" s="544">
        <v>2240.0</v>
      </c>
      <c r="O25" s="544">
        <v>2240.0</v>
      </c>
      <c r="P25" s="560">
        <f t="shared" si="8"/>
        <v>22400</v>
      </c>
    </row>
    <row r="26" ht="14.25" customHeight="1">
      <c r="C26" s="534" t="s">
        <v>2062</v>
      </c>
      <c r="D26" s="544">
        <v>0.0</v>
      </c>
      <c r="E26" s="544">
        <v>0.0</v>
      </c>
      <c r="F26" s="544">
        <v>5484.38</v>
      </c>
      <c r="G26" s="544">
        <v>3679.0</v>
      </c>
      <c r="H26" s="544">
        <v>0.0</v>
      </c>
      <c r="I26" s="544">
        <v>0.0</v>
      </c>
      <c r="J26" s="544">
        <v>0.0</v>
      </c>
      <c r="K26" s="544">
        <v>0.0</v>
      </c>
      <c r="L26" s="544">
        <v>0.0</v>
      </c>
      <c r="M26" s="544">
        <v>0.0</v>
      </c>
      <c r="N26" s="544">
        <v>0.0</v>
      </c>
      <c r="O26" s="544">
        <v>20560.0</v>
      </c>
      <c r="P26" s="560">
        <f t="shared" si="8"/>
        <v>29723.38</v>
      </c>
    </row>
    <row r="27" ht="13.5" customHeight="1">
      <c r="A27" s="129"/>
      <c r="B27" s="129"/>
      <c r="C27" s="563" t="s">
        <v>1994</v>
      </c>
      <c r="D27" s="544">
        <v>0.0</v>
      </c>
      <c r="E27" s="544">
        <v>0.0</v>
      </c>
      <c r="F27" s="544">
        <v>0.0</v>
      </c>
      <c r="G27" s="544">
        <v>0.0</v>
      </c>
      <c r="H27" s="544">
        <v>7371.73</v>
      </c>
      <c r="I27" s="544">
        <v>7371.73</v>
      </c>
      <c r="J27" s="544">
        <v>7371.73</v>
      </c>
      <c r="K27" s="544">
        <v>7371.73</v>
      </c>
      <c r="L27" s="544">
        <v>7371.73</v>
      </c>
      <c r="M27" s="544">
        <v>7371.73</v>
      </c>
      <c r="N27" s="544">
        <v>7371.73</v>
      </c>
      <c r="O27" s="544">
        <v>7371.73</v>
      </c>
      <c r="P27" s="560">
        <f t="shared" si="8"/>
        <v>58973.84</v>
      </c>
    </row>
    <row r="28" ht="13.5" customHeight="1">
      <c r="A28" s="129"/>
      <c r="B28" s="129"/>
      <c r="C28" s="563" t="s">
        <v>2089</v>
      </c>
      <c r="D28" s="544">
        <v>8982.67</v>
      </c>
      <c r="E28" s="544">
        <v>7969.67</v>
      </c>
      <c r="F28" s="544">
        <v>7428.66</v>
      </c>
      <c r="G28" s="544">
        <v>3260.0</v>
      </c>
      <c r="H28" s="544">
        <v>0.0</v>
      </c>
      <c r="I28" s="544">
        <v>0.0</v>
      </c>
      <c r="J28" s="544">
        <v>0.0</v>
      </c>
      <c r="K28" s="544">
        <v>0.0</v>
      </c>
      <c r="L28" s="544">
        <v>0.0</v>
      </c>
      <c r="M28" s="544">
        <v>0.0</v>
      </c>
      <c r="N28" s="544">
        <v>0.0</v>
      </c>
      <c r="O28" s="544">
        <v>10000.0</v>
      </c>
      <c r="P28" s="564">
        <f t="shared" si="8"/>
        <v>37641</v>
      </c>
    </row>
    <row r="29" ht="14.25" customHeight="1">
      <c r="B29" s="565" t="s">
        <v>2064</v>
      </c>
      <c r="D29" s="562"/>
      <c r="E29" s="562"/>
      <c r="F29" s="562"/>
      <c r="G29" s="562"/>
      <c r="H29" s="562"/>
      <c r="I29" s="562"/>
      <c r="J29" s="562"/>
      <c r="K29" s="562"/>
      <c r="L29" s="562"/>
      <c r="M29" s="562"/>
      <c r="N29" s="562"/>
      <c r="O29" s="562"/>
    </row>
    <row r="30" ht="15.0" customHeight="1">
      <c r="C30" s="543" t="s">
        <v>2065</v>
      </c>
      <c r="D30" s="544">
        <f>23766.46+1887.48+212.93+3318.61</f>
        <v>29185.48</v>
      </c>
      <c r="E30" s="544">
        <f>23533.72+2886.86+783.38</f>
        <v>27203.96</v>
      </c>
      <c r="F30" s="544">
        <f>23766.46+2149.63+12000+2033+747.93</f>
        <v>40697.02</v>
      </c>
      <c r="G30" s="544">
        <f>9199.92+1707.72+24000-21955+1291.86+2033+758.63+850+1000</f>
        <v>18886.13</v>
      </c>
      <c r="H30" s="544">
        <f>12000+212.93+838.61+761.35</f>
        <v>13812.89</v>
      </c>
      <c r="I30" s="544">
        <f>12000+2863.89+2245.93+2333.67</f>
        <v>19443.49</v>
      </c>
      <c r="J30" s="544">
        <f>26585.74+26000+1090.56+650.93+315</f>
        <v>54642.23</v>
      </c>
      <c r="K30" s="544">
        <v>16091.88</v>
      </c>
      <c r="L30" s="544">
        <v>16000.0</v>
      </c>
      <c r="M30" s="544">
        <v>20889.56</v>
      </c>
      <c r="N30" s="544">
        <v>17433.32</v>
      </c>
      <c r="O30" s="544">
        <f>13000+1585.74+2620+976.52</f>
        <v>18182.26</v>
      </c>
      <c r="P30" s="546">
        <f t="shared" ref="P30:P47" si="9">SUM(D30:O30)</f>
        <v>292468.22</v>
      </c>
    </row>
    <row r="31" ht="15.0" customHeight="1">
      <c r="C31" s="543" t="s">
        <v>2066</v>
      </c>
      <c r="D31" s="544">
        <v>0.0</v>
      </c>
      <c r="E31" s="544">
        <v>0.0</v>
      </c>
      <c r="F31" s="544">
        <v>0.0</v>
      </c>
      <c r="G31" s="544">
        <v>0.0</v>
      </c>
      <c r="H31" s="544">
        <v>18578.25</v>
      </c>
      <c r="I31" s="544">
        <f>125+9102.75+2406.69+8823.09+33679.14+645+4350</f>
        <v>59131.67</v>
      </c>
      <c r="J31" s="544">
        <v>27582.33</v>
      </c>
      <c r="K31" s="544">
        <v>23253.05</v>
      </c>
      <c r="L31" s="544">
        <v>13991.0</v>
      </c>
      <c r="M31" s="544">
        <v>13745.5</v>
      </c>
      <c r="N31" s="544">
        <v>43331.35</v>
      </c>
      <c r="O31" s="544">
        <v>11663.25</v>
      </c>
      <c r="P31" s="546">
        <f t="shared" si="9"/>
        <v>211276.4</v>
      </c>
    </row>
    <row r="32" ht="15.0" customHeight="1">
      <c r="C32" s="543" t="s">
        <v>2067</v>
      </c>
      <c r="D32" s="544">
        <f>5490+3850</f>
        <v>9340</v>
      </c>
      <c r="E32" s="544">
        <v>0.0</v>
      </c>
      <c r="F32" s="544">
        <f>5781.7+1290</f>
        <v>7071.7</v>
      </c>
      <c r="G32" s="544">
        <f>5781.7+10000+425+690+1992</f>
        <v>18888.7</v>
      </c>
      <c r="H32" s="544">
        <f>5781.7+10000+1000+4000+199</f>
        <v>20980.7</v>
      </c>
      <c r="I32" s="544">
        <f>10000+5781.7+8888.25</f>
        <v>24669.95</v>
      </c>
      <c r="J32" s="544">
        <v>5781.7</v>
      </c>
      <c r="K32" s="544">
        <f>5781.66+680</f>
        <v>6461.66</v>
      </c>
      <c r="L32" s="544">
        <v>16000.0</v>
      </c>
      <c r="M32" s="544">
        <v>10000.0</v>
      </c>
      <c r="N32" s="544">
        <v>13709.25</v>
      </c>
      <c r="O32" s="544">
        <f>10000+1228+2990+53500</f>
        <v>67718</v>
      </c>
      <c r="P32" s="546">
        <f t="shared" si="9"/>
        <v>200621.66</v>
      </c>
    </row>
    <row r="33" ht="15.0" customHeight="1">
      <c r="C33" s="543" t="s">
        <v>2069</v>
      </c>
      <c r="D33" s="544">
        <v>16084.96</v>
      </c>
      <c r="E33" s="544">
        <v>14519.5</v>
      </c>
      <c r="F33" s="544">
        <v>17197.58</v>
      </c>
      <c r="G33" s="544">
        <v>23454.43</v>
      </c>
      <c r="H33" s="544">
        <v>16015.2</v>
      </c>
      <c r="I33" s="544">
        <f>650+610+6021.69+317</f>
        <v>7598.69</v>
      </c>
      <c r="J33" s="544">
        <v>6690.64</v>
      </c>
      <c r="K33" s="544">
        <v>6568.35</v>
      </c>
      <c r="L33" s="544">
        <v>7842.43</v>
      </c>
      <c r="M33" s="544">
        <v>5265.5</v>
      </c>
      <c r="N33" s="544">
        <v>9757.55</v>
      </c>
      <c r="O33" s="544">
        <v>6005.0</v>
      </c>
      <c r="P33" s="546">
        <f t="shared" si="9"/>
        <v>136999.83</v>
      </c>
    </row>
    <row r="34" ht="14.25" customHeight="1">
      <c r="C34" s="543" t="s">
        <v>2070</v>
      </c>
      <c r="D34" s="544">
        <v>4000.0</v>
      </c>
      <c r="E34" s="544">
        <v>4600.0</v>
      </c>
      <c r="F34" s="544">
        <v>3000.0</v>
      </c>
      <c r="G34" s="544">
        <v>4477.56</v>
      </c>
      <c r="H34" s="544">
        <v>4000.0</v>
      </c>
      <c r="I34" s="544">
        <v>1984.87</v>
      </c>
      <c r="J34" s="544">
        <v>4000.0</v>
      </c>
      <c r="K34" s="544">
        <v>2000.0</v>
      </c>
      <c r="L34" s="544">
        <v>3500.0</v>
      </c>
      <c r="M34" s="544">
        <v>2000.0</v>
      </c>
      <c r="N34" s="544">
        <v>1500.0</v>
      </c>
      <c r="O34" s="544">
        <v>3000.0</v>
      </c>
      <c r="P34" s="546">
        <f t="shared" si="9"/>
        <v>38062.43</v>
      </c>
    </row>
    <row r="35" ht="14.25" customHeight="1">
      <c r="C35" s="543" t="s">
        <v>2072</v>
      </c>
      <c r="D35" s="544">
        <v>3472.0</v>
      </c>
      <c r="E35" s="544">
        <v>0.0</v>
      </c>
      <c r="F35" s="544">
        <v>0.0</v>
      </c>
      <c r="G35" s="544">
        <v>7853.0</v>
      </c>
      <c r="H35" s="544">
        <v>0.0</v>
      </c>
      <c r="I35" s="544">
        <v>10007.8</v>
      </c>
      <c r="J35" s="544">
        <v>2396.0</v>
      </c>
      <c r="K35" s="544">
        <v>0.0</v>
      </c>
      <c r="L35" s="544">
        <v>2382.0</v>
      </c>
      <c r="M35" s="544">
        <v>0.0</v>
      </c>
      <c r="N35" s="544">
        <v>0.0</v>
      </c>
      <c r="O35" s="544">
        <v>5449.0</v>
      </c>
      <c r="P35" s="546">
        <f t="shared" si="9"/>
        <v>31559.8</v>
      </c>
    </row>
    <row r="36" ht="15.0" customHeight="1">
      <c r="C36" s="543" t="s">
        <v>2071</v>
      </c>
      <c r="D36" s="544">
        <v>0.0</v>
      </c>
      <c r="E36" s="544">
        <v>0.0</v>
      </c>
      <c r="F36" s="544">
        <v>0.0</v>
      </c>
      <c r="G36" s="544">
        <v>0.0</v>
      </c>
      <c r="H36" s="544">
        <v>0.0</v>
      </c>
      <c r="I36" s="544">
        <v>0.0</v>
      </c>
      <c r="J36" s="544">
        <v>1048.6</v>
      </c>
      <c r="K36" s="544">
        <v>6907.27</v>
      </c>
      <c r="L36" s="544">
        <v>0.0</v>
      </c>
      <c r="M36" s="544">
        <v>49.32</v>
      </c>
      <c r="N36" s="544">
        <v>0.0</v>
      </c>
      <c r="O36" s="544">
        <f>9990+6300+1478.1</f>
        <v>17768.1</v>
      </c>
      <c r="P36" s="546">
        <f t="shared" si="9"/>
        <v>25773.29</v>
      </c>
    </row>
    <row r="37" ht="15.0" customHeight="1">
      <c r="C37" s="543" t="s">
        <v>2076</v>
      </c>
      <c r="D37" s="544">
        <v>0.0</v>
      </c>
      <c r="E37" s="544">
        <v>731.0</v>
      </c>
      <c r="F37" s="544">
        <v>0.0</v>
      </c>
      <c r="G37" s="544">
        <v>5485.0</v>
      </c>
      <c r="H37" s="544">
        <v>1162.0</v>
      </c>
      <c r="I37" s="544">
        <v>129.0</v>
      </c>
      <c r="J37" s="544">
        <v>396.0</v>
      </c>
      <c r="K37" s="544">
        <v>7673.0</v>
      </c>
      <c r="L37" s="544">
        <v>62599.49</v>
      </c>
      <c r="M37" s="544">
        <v>110915.0</v>
      </c>
      <c r="N37" s="544">
        <v>111146.0</v>
      </c>
      <c r="O37" s="544">
        <v>131228.0</v>
      </c>
      <c r="P37" s="546">
        <f t="shared" si="9"/>
        <v>431464.49</v>
      </c>
    </row>
    <row r="38" ht="15.0" customHeight="1">
      <c r="C38" s="543" t="s">
        <v>2090</v>
      </c>
      <c r="D38" s="544">
        <v>0.0</v>
      </c>
      <c r="E38" s="544">
        <v>0.0</v>
      </c>
      <c r="F38" s="544">
        <v>0.0</v>
      </c>
      <c r="G38" s="544">
        <v>0.0</v>
      </c>
      <c r="H38" s="544">
        <v>0.0</v>
      </c>
      <c r="I38" s="544">
        <v>0.0</v>
      </c>
      <c r="J38" s="544">
        <v>395.0</v>
      </c>
      <c r="K38" s="544">
        <v>0.0</v>
      </c>
      <c r="L38" s="544">
        <v>0.0</v>
      </c>
      <c r="M38" s="544">
        <v>0.0</v>
      </c>
      <c r="N38" s="544">
        <v>0.0</v>
      </c>
      <c r="O38" s="544">
        <v>0.0</v>
      </c>
      <c r="P38" s="546">
        <f t="shared" si="9"/>
        <v>395</v>
      </c>
    </row>
    <row r="39" ht="14.25" customHeight="1">
      <c r="C39" s="543" t="s">
        <v>2074</v>
      </c>
      <c r="D39" s="544">
        <v>930.0</v>
      </c>
      <c r="E39" s="544">
        <v>444.0</v>
      </c>
      <c r="F39" s="544">
        <v>0.0</v>
      </c>
      <c r="G39" s="544">
        <v>419.0</v>
      </c>
      <c r="H39" s="544">
        <v>925.05</v>
      </c>
      <c r="I39" s="544">
        <f>169+279</f>
        <v>448</v>
      </c>
      <c r="J39" s="544">
        <v>336.4</v>
      </c>
      <c r="K39" s="544">
        <v>169.0</v>
      </c>
      <c r="L39" s="544">
        <v>169.0</v>
      </c>
      <c r="M39" s="544">
        <v>169.0</v>
      </c>
      <c r="N39" s="544">
        <v>528.0</v>
      </c>
      <c r="O39" s="544">
        <v>528.0</v>
      </c>
      <c r="P39" s="546">
        <f t="shared" si="9"/>
        <v>5065.45</v>
      </c>
    </row>
    <row r="40" ht="15.0" customHeight="1">
      <c r="C40" s="543" t="s">
        <v>2079</v>
      </c>
      <c r="D40" s="544">
        <f>194+300</f>
        <v>494</v>
      </c>
      <c r="E40" s="544">
        <v>588.0</v>
      </c>
      <c r="F40" s="544">
        <v>1245.0</v>
      </c>
      <c r="G40" s="544">
        <v>70.0</v>
      </c>
      <c r="H40" s="544">
        <v>450.0</v>
      </c>
      <c r="I40" s="544">
        <v>0.0</v>
      </c>
      <c r="J40" s="544">
        <v>331.0</v>
      </c>
      <c r="K40" s="544">
        <v>0.0</v>
      </c>
      <c r="L40" s="544">
        <f>414+205</f>
        <v>619</v>
      </c>
      <c r="M40" s="544">
        <v>0.0</v>
      </c>
      <c r="N40" s="544">
        <v>1993.25</v>
      </c>
      <c r="O40" s="544">
        <v>191.0</v>
      </c>
      <c r="P40" s="546">
        <f t="shared" si="9"/>
        <v>5981.25</v>
      </c>
    </row>
    <row r="41" ht="15.0" customHeight="1">
      <c r="C41" s="543" t="s">
        <v>2075</v>
      </c>
      <c r="D41" s="544">
        <v>260.0</v>
      </c>
      <c r="E41" s="544">
        <v>0.0</v>
      </c>
      <c r="F41" s="544">
        <v>0.0</v>
      </c>
      <c r="G41" s="544">
        <v>650.0</v>
      </c>
      <c r="H41" s="544">
        <v>0.0</v>
      </c>
      <c r="I41" s="544">
        <v>400.0</v>
      </c>
      <c r="J41" s="544">
        <v>160.0</v>
      </c>
      <c r="K41" s="544">
        <v>60.0</v>
      </c>
      <c r="L41" s="544">
        <v>480.0</v>
      </c>
      <c r="M41" s="544">
        <v>0.0</v>
      </c>
      <c r="N41" s="544">
        <v>580.0</v>
      </c>
      <c r="O41" s="544">
        <v>0.0</v>
      </c>
      <c r="P41" s="546">
        <f t="shared" si="9"/>
        <v>2590</v>
      </c>
    </row>
    <row r="42" ht="15.0" customHeight="1">
      <c r="C42" s="543" t="s">
        <v>2073</v>
      </c>
      <c r="D42" s="544">
        <v>0.0</v>
      </c>
      <c r="E42" s="544">
        <v>1500.0</v>
      </c>
      <c r="F42" s="544">
        <v>0.0</v>
      </c>
      <c r="G42" s="544">
        <v>350.0</v>
      </c>
      <c r="H42" s="544">
        <v>0.0</v>
      </c>
      <c r="I42" s="544">
        <v>500.0</v>
      </c>
      <c r="J42" s="544">
        <v>0.0</v>
      </c>
      <c r="K42" s="544">
        <v>0.0</v>
      </c>
      <c r="L42" s="544">
        <v>250.0</v>
      </c>
      <c r="M42" s="544">
        <v>0.0</v>
      </c>
      <c r="N42" s="544">
        <v>250.0</v>
      </c>
      <c r="O42" s="544">
        <v>0.0</v>
      </c>
      <c r="P42" s="546">
        <f t="shared" si="9"/>
        <v>2850</v>
      </c>
    </row>
    <row r="43" ht="15.0" customHeight="1">
      <c r="C43" s="543" t="s">
        <v>2091</v>
      </c>
      <c r="D43" s="544">
        <v>0.0</v>
      </c>
      <c r="E43" s="544">
        <v>2250.0</v>
      </c>
      <c r="F43" s="544">
        <v>280.0</v>
      </c>
      <c r="G43" s="544">
        <v>0.0</v>
      </c>
      <c r="H43" s="544">
        <v>0.0</v>
      </c>
      <c r="I43" s="544">
        <v>0.0</v>
      </c>
      <c r="J43" s="544">
        <v>0.0</v>
      </c>
      <c r="K43" s="544">
        <v>0.0</v>
      </c>
      <c r="L43" s="544">
        <v>0.0</v>
      </c>
      <c r="M43" s="544">
        <v>1190.0</v>
      </c>
      <c r="N43" s="544">
        <v>345.95</v>
      </c>
      <c r="O43" s="544">
        <v>0.0</v>
      </c>
      <c r="P43" s="546">
        <f t="shared" si="9"/>
        <v>4065.95</v>
      </c>
    </row>
    <row r="44" ht="15.0" customHeight="1">
      <c r="C44" s="543" t="s">
        <v>2078</v>
      </c>
      <c r="D44" s="544">
        <v>11511.6</v>
      </c>
      <c r="E44" s="544">
        <v>4351.0</v>
      </c>
      <c r="F44" s="544">
        <v>1659.3</v>
      </c>
      <c r="G44" s="544">
        <v>2710.0</v>
      </c>
      <c r="H44" s="544">
        <v>0.0</v>
      </c>
      <c r="I44" s="544">
        <v>0.0</v>
      </c>
      <c r="J44" s="544">
        <v>0.0</v>
      </c>
      <c r="K44" s="544">
        <v>6334.95</v>
      </c>
      <c r="L44" s="544">
        <v>0.0</v>
      </c>
      <c r="M44" s="544">
        <v>6600.0</v>
      </c>
      <c r="N44" s="544">
        <v>4338.5</v>
      </c>
      <c r="O44" s="544">
        <v>6548.9</v>
      </c>
      <c r="P44" s="546">
        <f t="shared" si="9"/>
        <v>44054.25</v>
      </c>
    </row>
    <row r="45" ht="15.0" customHeight="1">
      <c r="C45" s="543" t="s">
        <v>2077</v>
      </c>
      <c r="D45" s="544">
        <v>9030.0</v>
      </c>
      <c r="E45" s="544">
        <v>17650.85</v>
      </c>
      <c r="F45" s="544">
        <v>16722.55</v>
      </c>
      <c r="G45" s="544">
        <v>13024.25</v>
      </c>
      <c r="H45" s="544">
        <v>1537.36</v>
      </c>
      <c r="I45" s="544">
        <v>0.0</v>
      </c>
      <c r="J45" s="544">
        <v>3583.0</v>
      </c>
      <c r="K45" s="544">
        <v>0.0</v>
      </c>
      <c r="L45" s="544">
        <v>2433.0</v>
      </c>
      <c r="M45" s="544">
        <v>0.0</v>
      </c>
      <c r="N45" s="544">
        <f>10498.1</f>
        <v>10498.1</v>
      </c>
      <c r="O45" s="544">
        <v>9360.14</v>
      </c>
      <c r="P45" s="546">
        <f t="shared" si="9"/>
        <v>83839.25</v>
      </c>
    </row>
    <row r="46" ht="15.0" customHeight="1">
      <c r="C46" s="543" t="s">
        <v>1908</v>
      </c>
      <c r="D46" s="544">
        <f>500+200+625.36+759.49</f>
        <v>2084.85</v>
      </c>
      <c r="E46" s="544">
        <f>741.62</f>
        <v>741.62</v>
      </c>
      <c r="F46" s="544">
        <f>504+990+1000+740.09</f>
        <v>3234.09</v>
      </c>
      <c r="G46" s="544">
        <f>1380.3+7760+1358+4500+5000+3260+505+1240+735.04+503</f>
        <v>26241.34</v>
      </c>
      <c r="H46" s="544">
        <f>5285+1224+730.65+416+964.6+36450+190+535</f>
        <v>45795.25</v>
      </c>
      <c r="I46" s="544">
        <f>504+9876.1+2500+723+623.9+1385.56+5020</f>
        <v>20632.56</v>
      </c>
      <c r="J46" s="544">
        <f>5770.51+7000+416+713.98+534</f>
        <v>14434.49</v>
      </c>
      <c r="K46" s="544">
        <f>7+3000+1234+1215.74+850+1500+959.57</f>
        <v>8766.31</v>
      </c>
      <c r="L46" s="544">
        <f>15+13+80.25+5+448.5+702.03+950.1+5425+3988.21</f>
        <v>11627.09</v>
      </c>
      <c r="M46" s="544">
        <f>213+14+105+25+500+25+5+11+722.32+26+32+5+15+966.97+28+28+702.1</f>
        <v>3423.39</v>
      </c>
      <c r="N46" s="544">
        <f>190.49+2704.66+434.13+107.3+39+118.82+920+2577.34+2278.8+1590+1024+17</f>
        <v>12001.54</v>
      </c>
      <c r="O46" s="544">
        <f>1201+1200+60+1000+77+801.17+(26775.92-24165)+372</f>
        <v>7322.09</v>
      </c>
      <c r="P46" s="546">
        <f t="shared" si="9"/>
        <v>156304.62</v>
      </c>
    </row>
    <row r="47" ht="15.0" customHeight="1">
      <c r="C47" s="543" t="s">
        <v>2081</v>
      </c>
      <c r="D47" s="544">
        <f>3345.57+3200+3667.52+13663.27</f>
        <v>23876.36</v>
      </c>
      <c r="E47" s="544">
        <f>6879.44+761.35+1993.29</f>
        <v>9634.08</v>
      </c>
      <c r="F47" s="544">
        <f>6879.44+2164.41+6325.24</f>
        <v>15369.09</v>
      </c>
      <c r="G47" s="544">
        <f>1526.73+6879.44</f>
        <v>8406.17</v>
      </c>
      <c r="H47" s="544">
        <f t="shared" ref="H47:I47" si="10">6879.44</f>
        <v>6879.44</v>
      </c>
      <c r="I47" s="544">
        <f t="shared" si="10"/>
        <v>6879.44</v>
      </c>
      <c r="J47" s="544">
        <f>6586.87</f>
        <v>6586.87</v>
      </c>
      <c r="K47" s="544">
        <v>41765.85</v>
      </c>
      <c r="L47" s="544">
        <v>8650.0</v>
      </c>
      <c r="M47" s="544">
        <v>6096.46</v>
      </c>
      <c r="N47" s="544">
        <v>8326.51</v>
      </c>
      <c r="O47" s="544">
        <v>0.0</v>
      </c>
      <c r="P47" s="546">
        <f t="shared" si="9"/>
        <v>142470.27</v>
      </c>
    </row>
    <row r="48" ht="14.25" customHeight="1">
      <c r="B48" s="565" t="s">
        <v>2082</v>
      </c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62"/>
    </row>
    <row r="49" ht="14.25" customHeight="1">
      <c r="C49" s="123" t="s">
        <v>1883</v>
      </c>
      <c r="D49" s="544">
        <v>10600.0</v>
      </c>
      <c r="E49" s="544">
        <v>10600.0</v>
      </c>
      <c r="F49" s="544">
        <v>10600.0</v>
      </c>
      <c r="G49" s="544">
        <v>10600.0</v>
      </c>
      <c r="H49" s="544">
        <v>10600.0</v>
      </c>
      <c r="I49" s="544">
        <v>10600.0</v>
      </c>
      <c r="J49" s="544">
        <v>10600.0</v>
      </c>
      <c r="K49" s="544">
        <v>10600.0</v>
      </c>
      <c r="L49" s="544">
        <v>10600.0</v>
      </c>
      <c r="M49" s="544">
        <v>10600.0</v>
      </c>
      <c r="N49" s="544">
        <v>10600.0</v>
      </c>
      <c r="O49" s="544">
        <v>10600.0</v>
      </c>
      <c r="P49" s="546">
        <f t="shared" ref="P49:P57" si="11">SUM(D49:O49)</f>
        <v>127200</v>
      </c>
    </row>
    <row r="50" ht="14.25" customHeight="1">
      <c r="C50" s="123" t="s">
        <v>1887</v>
      </c>
      <c r="D50" s="544">
        <v>11500.0</v>
      </c>
      <c r="E50" s="544">
        <v>11500.0</v>
      </c>
      <c r="F50" s="544">
        <v>11500.0</v>
      </c>
      <c r="G50" s="544">
        <v>11500.0</v>
      </c>
      <c r="H50" s="544">
        <v>11500.0</v>
      </c>
      <c r="I50" s="544">
        <v>11500.0</v>
      </c>
      <c r="J50" s="544">
        <v>11500.0</v>
      </c>
      <c r="K50" s="544">
        <v>11500.0</v>
      </c>
      <c r="L50" s="544">
        <v>11500.0</v>
      </c>
      <c r="M50" s="544">
        <v>11500.0</v>
      </c>
      <c r="N50" s="544">
        <v>11500.0</v>
      </c>
      <c r="O50" s="544">
        <v>11500.0</v>
      </c>
      <c r="P50" s="546">
        <f t="shared" si="11"/>
        <v>138000</v>
      </c>
    </row>
    <row r="51" ht="14.25" customHeight="1">
      <c r="C51" s="543" t="s">
        <v>23</v>
      </c>
      <c r="D51" s="544">
        <v>17300.0</v>
      </c>
      <c r="E51" s="544">
        <v>17300.0</v>
      </c>
      <c r="F51" s="544">
        <v>17300.0</v>
      </c>
      <c r="G51" s="544">
        <v>17300.0</v>
      </c>
      <c r="H51" s="544">
        <v>17300.0</v>
      </c>
      <c r="I51" s="544">
        <v>17300.0</v>
      </c>
      <c r="J51" s="544">
        <v>17300.0</v>
      </c>
      <c r="K51" s="544">
        <v>17300.0</v>
      </c>
      <c r="L51" s="544">
        <v>17300.0</v>
      </c>
      <c r="M51" s="544">
        <v>17300.0</v>
      </c>
      <c r="N51" s="544">
        <v>17300.0</v>
      </c>
      <c r="O51" s="544">
        <v>17300.0</v>
      </c>
      <c r="P51" s="546">
        <f t="shared" si="11"/>
        <v>207600</v>
      </c>
    </row>
    <row r="52" ht="13.5" customHeight="1">
      <c r="A52" s="129"/>
      <c r="B52" s="129"/>
      <c r="C52" s="563" t="s">
        <v>2092</v>
      </c>
      <c r="D52" s="544">
        <v>30000.0</v>
      </c>
      <c r="E52" s="544">
        <v>0.0</v>
      </c>
      <c r="F52" s="544">
        <v>7273.0</v>
      </c>
      <c r="G52" s="544">
        <v>7273.0</v>
      </c>
      <c r="H52" s="544">
        <v>7273.0</v>
      </c>
      <c r="I52" s="544">
        <v>7273.0</v>
      </c>
      <c r="J52" s="544">
        <v>7273.0</v>
      </c>
      <c r="K52" s="544">
        <v>7273.0</v>
      </c>
      <c r="L52" s="544">
        <v>7273.0</v>
      </c>
      <c r="M52" s="544">
        <v>7273.0</v>
      </c>
      <c r="N52" s="544">
        <v>7273.0</v>
      </c>
      <c r="O52" s="544">
        <v>7273.0</v>
      </c>
      <c r="P52" s="564">
        <f t="shared" si="11"/>
        <v>102730</v>
      </c>
    </row>
    <row r="53" ht="13.5" customHeight="1">
      <c r="A53" s="129"/>
      <c r="B53" s="129"/>
      <c r="C53" s="563" t="s">
        <v>2083</v>
      </c>
      <c r="D53" s="544">
        <v>0.0</v>
      </c>
      <c r="E53" s="544">
        <v>0.0</v>
      </c>
      <c r="F53" s="544">
        <v>14000.0</v>
      </c>
      <c r="G53" s="544">
        <v>14000.0</v>
      </c>
      <c r="H53" s="544">
        <v>14000.0</v>
      </c>
      <c r="I53" s="544">
        <v>0.0</v>
      </c>
      <c r="J53" s="544">
        <v>14000.0</v>
      </c>
      <c r="K53" s="544">
        <v>14000.0</v>
      </c>
      <c r="L53" s="544">
        <v>14000.0</v>
      </c>
      <c r="M53" s="544">
        <v>14000.0</v>
      </c>
      <c r="N53" s="544">
        <v>14000.0</v>
      </c>
      <c r="O53" s="544">
        <v>14000.0</v>
      </c>
      <c r="P53" s="564">
        <f t="shared" si="11"/>
        <v>126000</v>
      </c>
    </row>
    <row r="54" ht="13.5" customHeight="1">
      <c r="A54" s="129"/>
      <c r="B54" s="129"/>
      <c r="C54" s="563" t="s">
        <v>1909</v>
      </c>
      <c r="D54" s="574">
        <v>10740.0</v>
      </c>
      <c r="E54" s="574">
        <v>10740.0</v>
      </c>
      <c r="F54" s="574">
        <v>10740.0</v>
      </c>
      <c r="G54" s="544">
        <v>0.0</v>
      </c>
      <c r="H54" s="544">
        <v>0.0</v>
      </c>
      <c r="I54" s="544">
        <v>0.0</v>
      </c>
      <c r="J54" s="544">
        <v>0.0</v>
      </c>
      <c r="K54" s="544">
        <v>0.0</v>
      </c>
      <c r="L54" s="544">
        <v>-200000.0</v>
      </c>
      <c r="M54" s="544">
        <v>13241.9</v>
      </c>
      <c r="N54" s="544">
        <v>13241.9</v>
      </c>
      <c r="O54" s="544">
        <v>13241.9</v>
      </c>
      <c r="P54" s="546">
        <f t="shared" si="11"/>
        <v>-128054.3</v>
      </c>
    </row>
    <row r="55" ht="13.5" customHeight="1">
      <c r="A55" s="129"/>
      <c r="B55" s="129"/>
      <c r="C55" s="563" t="s">
        <v>1971</v>
      </c>
      <c r="D55" s="544">
        <v>10560.0</v>
      </c>
      <c r="E55" s="544">
        <v>10560.0</v>
      </c>
      <c r="F55" s="544">
        <v>10560.0</v>
      </c>
      <c r="G55" s="544">
        <v>10560.0</v>
      </c>
      <c r="H55" s="544">
        <v>10560.0</v>
      </c>
      <c r="I55" s="544">
        <v>10560.0</v>
      </c>
      <c r="J55" s="544">
        <v>0.0</v>
      </c>
      <c r="K55" s="544">
        <v>0.0</v>
      </c>
      <c r="L55" s="544">
        <v>0.0</v>
      </c>
      <c r="M55" s="544">
        <f>(-75000)+8055</f>
        <v>-66945</v>
      </c>
      <c r="N55" s="544">
        <v>8055.0</v>
      </c>
      <c r="O55" s="544">
        <v>8055.0</v>
      </c>
      <c r="P55" s="546">
        <f t="shared" si="11"/>
        <v>12525</v>
      </c>
    </row>
    <row r="56" ht="13.5" customHeight="1">
      <c r="A56" s="129"/>
      <c r="B56" s="129"/>
      <c r="C56" s="563" t="s">
        <v>1900</v>
      </c>
      <c r="D56" s="544">
        <v>21480.0</v>
      </c>
      <c r="E56" s="544">
        <v>21480.0</v>
      </c>
      <c r="F56" s="544">
        <v>21480.0</v>
      </c>
      <c r="G56" s="544">
        <v>21480.0</v>
      </c>
      <c r="H56" s="544">
        <v>21480.0</v>
      </c>
      <c r="I56" s="544">
        <v>21480.0</v>
      </c>
      <c r="J56" s="544">
        <v>21480.0</v>
      </c>
      <c r="K56" s="544">
        <v>21480.0</v>
      </c>
      <c r="L56" s="544">
        <v>21480.0</v>
      </c>
      <c r="M56" s="544">
        <v>21480.0</v>
      </c>
      <c r="N56" s="544">
        <v>0.0</v>
      </c>
      <c r="O56" s="544">
        <v>0.0</v>
      </c>
      <c r="P56" s="546">
        <f t="shared" si="11"/>
        <v>214800</v>
      </c>
    </row>
    <row r="57" ht="13.5" customHeight="1">
      <c r="A57" s="129"/>
      <c r="B57" s="129"/>
      <c r="C57" s="563" t="s">
        <v>1975</v>
      </c>
      <c r="D57" s="544">
        <v>0.0</v>
      </c>
      <c r="E57" s="544">
        <v>0.0</v>
      </c>
      <c r="F57" s="544">
        <v>0.0</v>
      </c>
      <c r="G57" s="544">
        <v>0.0</v>
      </c>
      <c r="H57" s="544">
        <v>0.0</v>
      </c>
      <c r="I57" s="544">
        <v>0.0</v>
      </c>
      <c r="J57" s="544">
        <f>(-150000)+16110</f>
        <v>-133890</v>
      </c>
      <c r="K57" s="544">
        <v>16110.0</v>
      </c>
      <c r="L57" s="544">
        <v>16110.0</v>
      </c>
      <c r="M57" s="544">
        <v>16110.0</v>
      </c>
      <c r="N57" s="544">
        <v>16110.0</v>
      </c>
      <c r="O57" s="544">
        <v>16110.0</v>
      </c>
      <c r="P57" s="546">
        <f t="shared" si="11"/>
        <v>-53340</v>
      </c>
    </row>
    <row r="58" ht="14.25" customHeight="1">
      <c r="C58" s="569"/>
      <c r="D58" s="570"/>
      <c r="E58" s="570"/>
      <c r="F58" s="570"/>
      <c r="G58" s="570"/>
      <c r="H58" s="570"/>
      <c r="I58" s="570"/>
      <c r="J58" s="570"/>
      <c r="K58" s="570"/>
      <c r="L58" s="570"/>
      <c r="M58" s="570"/>
      <c r="N58" s="570"/>
      <c r="O58" s="570"/>
      <c r="P58" s="560"/>
    </row>
    <row r="59" ht="15.75" customHeight="1">
      <c r="A59" s="556" t="s">
        <v>2085</v>
      </c>
      <c r="D59" s="571">
        <f t="shared" ref="D59:P59" si="12">SUM(D21:D57)</f>
        <v>253909.42</v>
      </c>
      <c r="E59" s="571">
        <f t="shared" si="12"/>
        <v>179505.42</v>
      </c>
      <c r="F59" s="571">
        <f t="shared" si="12"/>
        <v>228010.13</v>
      </c>
      <c r="G59" s="571">
        <f t="shared" si="12"/>
        <v>253049.32</v>
      </c>
      <c r="H59" s="571">
        <f t="shared" si="12"/>
        <v>280124.7</v>
      </c>
      <c r="I59" s="571">
        <f t="shared" si="12"/>
        <v>233360.12</v>
      </c>
      <c r="J59" s="571">
        <f t="shared" si="12"/>
        <v>93037.83</v>
      </c>
      <c r="K59" s="571">
        <f t="shared" si="12"/>
        <v>245400.06</v>
      </c>
      <c r="L59" s="571">
        <f t="shared" si="12"/>
        <v>57201.98</v>
      </c>
      <c r="M59" s="571">
        <f t="shared" si="12"/>
        <v>238241.52</v>
      </c>
      <c r="N59" s="571">
        <f t="shared" si="12"/>
        <v>352325.47</v>
      </c>
      <c r="O59" s="571">
        <f t="shared" si="12"/>
        <v>447147.95</v>
      </c>
      <c r="P59" s="571">
        <f t="shared" si="12"/>
        <v>2861313.92</v>
      </c>
    </row>
    <row r="60" ht="14.25" customHeight="1">
      <c r="O60" s="123" t="s">
        <v>2086</v>
      </c>
    </row>
  </sheetData>
  <mergeCells count="10">
    <mergeCell ref="B29:C29"/>
    <mergeCell ref="B48:C48"/>
    <mergeCell ref="A59:C59"/>
    <mergeCell ref="C1:F1"/>
    <mergeCell ref="H1:L1"/>
    <mergeCell ref="A7:C7"/>
    <mergeCell ref="A12:C12"/>
    <mergeCell ref="A18:C18"/>
    <mergeCell ref="A20:C20"/>
    <mergeCell ref="B22:C2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</cols>
  <sheetData>
    <row r="1">
      <c r="A1" s="575">
        <v>45114.0</v>
      </c>
      <c r="B1" s="422" t="s">
        <v>2093</v>
      </c>
      <c r="C1" s="422" t="s">
        <v>2094</v>
      </c>
      <c r="D1" s="422" t="s">
        <v>2095</v>
      </c>
      <c r="E1" s="422" t="s">
        <v>2096</v>
      </c>
      <c r="F1" s="422" t="s">
        <v>2097</v>
      </c>
    </row>
    <row r="2">
      <c r="A2" s="123" t="s">
        <v>2098</v>
      </c>
      <c r="B2" s="370">
        <v>200.0</v>
      </c>
      <c r="C2" s="576">
        <f>B2/4</f>
        <v>50</v>
      </c>
      <c r="D2" s="576">
        <f>B2/4</f>
        <v>50</v>
      </c>
      <c r="E2" s="576">
        <f>B2/4</f>
        <v>50</v>
      </c>
      <c r="F2" s="576">
        <f>B2/4</f>
        <v>50</v>
      </c>
    </row>
    <row r="3">
      <c r="A3" s="123" t="s">
        <v>2099</v>
      </c>
      <c r="B3" s="370">
        <v>4680.0</v>
      </c>
      <c r="C3" s="576"/>
      <c r="D3" s="576"/>
      <c r="E3" s="576">
        <f>B3</f>
        <v>4680</v>
      </c>
      <c r="F3" s="576"/>
    </row>
    <row r="4">
      <c r="A4" s="123" t="s">
        <v>2100</v>
      </c>
      <c r="B4" s="370">
        <v>1200.0</v>
      </c>
      <c r="C4" s="576">
        <f>(B4/3)</f>
        <v>400</v>
      </c>
      <c r="D4" s="576">
        <f>(B4/3)</f>
        <v>400</v>
      </c>
      <c r="E4" s="576"/>
      <c r="F4" s="576">
        <f>(B4/3)</f>
        <v>400</v>
      </c>
    </row>
    <row r="5">
      <c r="A5" s="123" t="s">
        <v>2101</v>
      </c>
      <c r="B5" s="370">
        <v>3510.0</v>
      </c>
      <c r="C5" s="576"/>
      <c r="D5" s="576"/>
      <c r="E5" s="576"/>
      <c r="F5" s="576">
        <f t="shared" ref="F5:F6" si="1">B5</f>
        <v>3510</v>
      </c>
    </row>
    <row r="6">
      <c r="A6" s="123" t="s">
        <v>2102</v>
      </c>
      <c r="B6" s="370">
        <v>900.0</v>
      </c>
      <c r="C6" s="576"/>
      <c r="D6" s="576"/>
      <c r="E6" s="576"/>
      <c r="F6" s="576">
        <f t="shared" si="1"/>
        <v>900</v>
      </c>
    </row>
    <row r="7">
      <c r="A7" s="123" t="s">
        <v>2103</v>
      </c>
      <c r="B7" s="370">
        <v>3900.0</v>
      </c>
      <c r="C7" s="576"/>
      <c r="D7" s="576">
        <f>B7</f>
        <v>3900</v>
      </c>
      <c r="E7" s="576"/>
      <c r="F7" s="576"/>
    </row>
    <row r="8">
      <c r="A8" s="123" t="s">
        <v>2104</v>
      </c>
      <c r="B8" s="370">
        <v>1170.0</v>
      </c>
      <c r="C8" s="576">
        <f>B8/4</f>
        <v>292.5</v>
      </c>
      <c r="D8" s="576">
        <f>B8/4</f>
        <v>292.5</v>
      </c>
      <c r="E8" s="576">
        <f>B8/4</f>
        <v>292.5</v>
      </c>
      <c r="F8" s="576">
        <f>B8/4</f>
        <v>292.5</v>
      </c>
    </row>
    <row r="9">
      <c r="A9" s="123" t="s">
        <v>2105</v>
      </c>
      <c r="B9" s="370">
        <v>2730.0</v>
      </c>
      <c r="C9" s="576"/>
      <c r="D9" s="576"/>
      <c r="E9" s="576">
        <f>B9</f>
        <v>2730</v>
      </c>
      <c r="F9" s="576"/>
    </row>
    <row r="10">
      <c r="A10" s="123" t="s">
        <v>2106</v>
      </c>
      <c r="B10" s="370">
        <v>5250.0</v>
      </c>
      <c r="C10" s="576">
        <f t="shared" ref="C10:C11" si="2">B10/4</f>
        <v>1312.5</v>
      </c>
      <c r="D10" s="576">
        <f t="shared" ref="D10:D11" si="3">B10/4</f>
        <v>1312.5</v>
      </c>
      <c r="E10" s="576">
        <f t="shared" ref="E10:E11" si="4">B10/4</f>
        <v>1312.5</v>
      </c>
      <c r="F10" s="576">
        <f t="shared" ref="F10:F11" si="5">B10/4</f>
        <v>1312.5</v>
      </c>
    </row>
    <row r="11">
      <c r="A11" s="123" t="s">
        <v>2107</v>
      </c>
      <c r="B11" s="370">
        <v>2248.0</v>
      </c>
      <c r="C11" s="576">
        <f t="shared" si="2"/>
        <v>562</v>
      </c>
      <c r="D11" s="576">
        <f t="shared" si="3"/>
        <v>562</v>
      </c>
      <c r="E11" s="576">
        <f t="shared" si="4"/>
        <v>562</v>
      </c>
      <c r="F11" s="576">
        <f t="shared" si="5"/>
        <v>562</v>
      </c>
    </row>
    <row r="12">
      <c r="A12" s="255" t="s">
        <v>57</v>
      </c>
      <c r="B12" s="577">
        <f t="shared" ref="B12:F12" si="6">SUM(B2:B11)</f>
        <v>25788</v>
      </c>
      <c r="C12" s="577">
        <f t="shared" si="6"/>
        <v>2617</v>
      </c>
      <c r="D12" s="577">
        <f t="shared" si="6"/>
        <v>6517</v>
      </c>
      <c r="E12" s="577">
        <f t="shared" si="6"/>
        <v>9627</v>
      </c>
      <c r="F12" s="577">
        <f t="shared" si="6"/>
        <v>7027</v>
      </c>
    </row>
    <row r="13">
      <c r="A13" s="123" t="s">
        <v>2108</v>
      </c>
      <c r="B13" s="576">
        <f>SUM(C13:H13)</f>
        <v>-25788</v>
      </c>
      <c r="C13" s="370">
        <f>(-5250)-2248</f>
        <v>-7498</v>
      </c>
      <c r="D13" s="370">
        <v>-18290.0</v>
      </c>
      <c r="E13" s="370">
        <v>0.0</v>
      </c>
      <c r="F13" s="370">
        <v>0.0</v>
      </c>
      <c r="G13" s="370"/>
      <c r="H13" s="370"/>
    </row>
    <row r="14">
      <c r="A14" s="284" t="s">
        <v>2109</v>
      </c>
      <c r="B14" s="578">
        <f t="shared" ref="B14:F14" si="7">SUM(B12:B13)</f>
        <v>0</v>
      </c>
      <c r="C14" s="578">
        <f t="shared" si="7"/>
        <v>-4881</v>
      </c>
      <c r="D14" s="578">
        <f t="shared" si="7"/>
        <v>-11773</v>
      </c>
      <c r="E14" s="578">
        <f t="shared" si="7"/>
        <v>9627</v>
      </c>
      <c r="F14" s="578">
        <f t="shared" si="7"/>
        <v>7027</v>
      </c>
    </row>
    <row r="15">
      <c r="A15" s="123" t="s">
        <v>2110</v>
      </c>
      <c r="C15" s="123">
        <v>1874.5</v>
      </c>
    </row>
    <row r="16">
      <c r="A16" s="123" t="s">
        <v>2111</v>
      </c>
      <c r="C16" s="579">
        <f>SUM(C14:C15)</f>
        <v>-3006.5</v>
      </c>
    </row>
    <row r="18">
      <c r="A18" s="580">
        <v>45121.0</v>
      </c>
      <c r="B18" s="422" t="s">
        <v>2093</v>
      </c>
      <c r="C18" s="422" t="s">
        <v>2094</v>
      </c>
      <c r="D18" s="422" t="s">
        <v>2095</v>
      </c>
      <c r="E18" s="422" t="s">
        <v>2097</v>
      </c>
      <c r="F18" s="422" t="s">
        <v>2112</v>
      </c>
    </row>
    <row r="19">
      <c r="A19" s="123" t="s">
        <v>2098</v>
      </c>
      <c r="B19" s="370">
        <v>200.0</v>
      </c>
      <c r="C19" s="576">
        <f>B19/4</f>
        <v>50</v>
      </c>
      <c r="D19" s="576">
        <f>B19/4</f>
        <v>50</v>
      </c>
      <c r="E19" s="576">
        <f>B19/4</f>
        <v>50</v>
      </c>
      <c r="F19" s="576">
        <f>B19/4</f>
        <v>50</v>
      </c>
    </row>
    <row r="20">
      <c r="A20" s="123" t="s">
        <v>2113</v>
      </c>
      <c r="B20" s="370">
        <f>390*10</f>
        <v>3900</v>
      </c>
      <c r="C20" s="576"/>
      <c r="D20" s="576"/>
      <c r="E20" s="576">
        <f t="shared" ref="E20:E21" si="8">B20</f>
        <v>3900</v>
      </c>
      <c r="F20" s="576"/>
    </row>
    <row r="21">
      <c r="A21" s="123" t="s">
        <v>2102</v>
      </c>
      <c r="B21" s="370">
        <f>100*10</f>
        <v>1000</v>
      </c>
      <c r="C21" s="576"/>
      <c r="D21" s="576"/>
      <c r="E21" s="576">
        <f t="shared" si="8"/>
        <v>1000</v>
      </c>
      <c r="F21" s="576"/>
    </row>
    <row r="22">
      <c r="A22" s="123" t="s">
        <v>2114</v>
      </c>
      <c r="B22" s="370">
        <f>390*11</f>
        <v>4290</v>
      </c>
      <c r="C22" s="576"/>
      <c r="D22" s="576">
        <f>B22</f>
        <v>4290</v>
      </c>
      <c r="E22" s="576"/>
      <c r="F22" s="576"/>
    </row>
    <row r="23">
      <c r="A23" s="123" t="s">
        <v>2115</v>
      </c>
      <c r="B23" s="370">
        <f>390*3</f>
        <v>1170</v>
      </c>
      <c r="C23" s="576">
        <f t="shared" ref="C23:C24" si="9">B23/4</f>
        <v>292.5</v>
      </c>
      <c r="D23" s="576">
        <f t="shared" ref="D23:D24" si="10">B23/4</f>
        <v>292.5</v>
      </c>
      <c r="E23" s="576">
        <f t="shared" ref="E23:E24" si="11">B23/4</f>
        <v>292.5</v>
      </c>
      <c r="F23" s="576">
        <f t="shared" ref="F23:F24" si="12">B23/4</f>
        <v>292.5</v>
      </c>
    </row>
    <row r="24">
      <c r="A24" s="123" t="s">
        <v>2116</v>
      </c>
      <c r="B24" s="370">
        <f>3500*2</f>
        <v>7000</v>
      </c>
      <c r="C24" s="576">
        <f t="shared" si="9"/>
        <v>1750</v>
      </c>
      <c r="D24" s="576">
        <f t="shared" si="10"/>
        <v>1750</v>
      </c>
      <c r="E24" s="576">
        <f t="shared" si="11"/>
        <v>1750</v>
      </c>
      <c r="F24" s="576">
        <f t="shared" si="12"/>
        <v>1750</v>
      </c>
    </row>
    <row r="25">
      <c r="A25" s="123" t="s">
        <v>2107</v>
      </c>
      <c r="B25" s="370">
        <v>2360.0</v>
      </c>
      <c r="C25" s="576">
        <f>B25/3</f>
        <v>786.6666667</v>
      </c>
      <c r="D25" s="576">
        <f>B25/3</f>
        <v>786.6666667</v>
      </c>
      <c r="E25" s="576">
        <f>B25/3</f>
        <v>786.6666667</v>
      </c>
      <c r="F25" s="576"/>
    </row>
    <row r="26">
      <c r="A26" s="284" t="s">
        <v>57</v>
      </c>
      <c r="B26" s="578">
        <f t="shared" ref="B26:F26" si="13">SUM(B19:B25)</f>
        <v>19920</v>
      </c>
      <c r="C26" s="578">
        <f t="shared" si="13"/>
        <v>2879.166667</v>
      </c>
      <c r="D26" s="578">
        <f t="shared" si="13"/>
        <v>7169.166667</v>
      </c>
      <c r="E26" s="578">
        <f t="shared" si="13"/>
        <v>7779.166667</v>
      </c>
      <c r="F26" s="578">
        <f t="shared" si="13"/>
        <v>2092.5</v>
      </c>
    </row>
    <row r="28">
      <c r="A28" s="580">
        <v>45149.0</v>
      </c>
      <c r="B28" s="422" t="s">
        <v>2093</v>
      </c>
      <c r="C28" s="422" t="s">
        <v>2094</v>
      </c>
      <c r="D28" s="422" t="s">
        <v>2117</v>
      </c>
      <c r="E28" s="422" t="s">
        <v>2118</v>
      </c>
      <c r="F28" s="422" t="s">
        <v>2112</v>
      </c>
      <c r="G28" s="422" t="s">
        <v>2095</v>
      </c>
      <c r="H28" s="422" t="s">
        <v>2097</v>
      </c>
      <c r="J28" s="118"/>
      <c r="K28" s="118"/>
      <c r="L28" s="118"/>
      <c r="M28" s="118"/>
    </row>
    <row r="29">
      <c r="A29" s="123" t="s">
        <v>2098</v>
      </c>
      <c r="B29" s="370">
        <v>500.0</v>
      </c>
      <c r="C29" s="576">
        <f>B29/6</f>
        <v>83.33333333</v>
      </c>
      <c r="D29" s="576">
        <f>B29/6</f>
        <v>83.33333333</v>
      </c>
      <c r="E29" s="576">
        <f>B29/6</f>
        <v>83.33333333</v>
      </c>
      <c r="F29" s="576">
        <f>B29/6</f>
        <v>83.33333333</v>
      </c>
      <c r="G29" s="576">
        <f>B29/6</f>
        <v>83.33333333</v>
      </c>
      <c r="H29" s="576">
        <f>B29/6</f>
        <v>83.33333333</v>
      </c>
    </row>
    <row r="30">
      <c r="A30" s="123" t="s">
        <v>2119</v>
      </c>
      <c r="B30" s="370">
        <v>4680.0</v>
      </c>
      <c r="C30" s="576"/>
      <c r="D30" s="576">
        <f>B30</f>
        <v>4680</v>
      </c>
      <c r="E30" s="576"/>
      <c r="F30" s="576"/>
      <c r="G30" s="576"/>
      <c r="H30" s="576"/>
    </row>
    <row r="31">
      <c r="A31" s="123" t="s">
        <v>2120</v>
      </c>
      <c r="B31" s="370">
        <v>1000.0</v>
      </c>
      <c r="C31" s="576">
        <f>B31/3</f>
        <v>333.3333333</v>
      </c>
      <c r="D31" s="576">
        <f>B31/3</f>
        <v>333.3333333</v>
      </c>
      <c r="E31" s="576"/>
      <c r="F31" s="576">
        <f>B31/3</f>
        <v>333.3333333</v>
      </c>
      <c r="G31" s="576"/>
      <c r="H31" s="576"/>
    </row>
    <row r="32">
      <c r="A32" s="123" t="s">
        <v>2121</v>
      </c>
      <c r="B32" s="370">
        <v>390.0</v>
      </c>
      <c r="C32" s="576">
        <f>B32/6</f>
        <v>65</v>
      </c>
      <c r="D32" s="576">
        <f>B32/6</f>
        <v>65</v>
      </c>
      <c r="E32" s="576">
        <f>B32/6</f>
        <v>65</v>
      </c>
      <c r="F32" s="576">
        <f>B32/6</f>
        <v>65</v>
      </c>
      <c r="G32" s="576">
        <f>B32/6</f>
        <v>65</v>
      </c>
      <c r="H32" s="576">
        <f>B32/6</f>
        <v>65</v>
      </c>
    </row>
    <row r="33">
      <c r="A33" s="123" t="s">
        <v>2122</v>
      </c>
      <c r="B33" s="370">
        <v>1950.0</v>
      </c>
      <c r="C33" s="576"/>
      <c r="D33" s="576">
        <f>B33</f>
        <v>1950</v>
      </c>
      <c r="E33" s="576"/>
      <c r="F33" s="576"/>
      <c r="G33" s="576"/>
      <c r="H33" s="576"/>
    </row>
    <row r="34">
      <c r="A34" s="123" t="s">
        <v>2123</v>
      </c>
      <c r="B34" s="370">
        <v>3120.0</v>
      </c>
      <c r="C34" s="576"/>
      <c r="D34" s="576"/>
      <c r="E34" s="576"/>
      <c r="F34" s="576"/>
      <c r="G34" s="576"/>
      <c r="H34" s="576">
        <f t="shared" ref="H34:H35" si="14">B34</f>
        <v>3120</v>
      </c>
    </row>
    <row r="35">
      <c r="A35" s="123" t="s">
        <v>2102</v>
      </c>
      <c r="B35" s="370">
        <f>100*8</f>
        <v>800</v>
      </c>
      <c r="C35" s="576"/>
      <c r="D35" s="576"/>
      <c r="E35" s="576"/>
      <c r="F35" s="576"/>
      <c r="G35" s="576"/>
      <c r="H35" s="576">
        <f t="shared" si="14"/>
        <v>800</v>
      </c>
    </row>
    <row r="36">
      <c r="A36" s="123" t="s">
        <v>2115</v>
      </c>
      <c r="B36" s="370">
        <f>390*3</f>
        <v>1170</v>
      </c>
      <c r="C36" s="576">
        <f>B36/6</f>
        <v>195</v>
      </c>
      <c r="D36" s="576">
        <f>B36/6</f>
        <v>195</v>
      </c>
      <c r="E36" s="576">
        <f>B36/6</f>
        <v>195</v>
      </c>
      <c r="F36" s="576">
        <f>B36/6</f>
        <v>195</v>
      </c>
      <c r="G36" s="576">
        <f>B36/6</f>
        <v>195</v>
      </c>
      <c r="H36" s="576">
        <f>B36/6</f>
        <v>195</v>
      </c>
    </row>
    <row r="37">
      <c r="A37" s="123" t="s">
        <v>2124</v>
      </c>
      <c r="B37" s="370">
        <f>(3500*0.5)+(3000*1.5)</f>
        <v>6250</v>
      </c>
      <c r="C37" s="576">
        <f t="shared" ref="C37:F37" si="15">(1750/4)+(4500/6)</f>
        <v>1187.5</v>
      </c>
      <c r="D37" s="576">
        <f t="shared" si="15"/>
        <v>1187.5</v>
      </c>
      <c r="E37" s="576">
        <f t="shared" si="15"/>
        <v>1187.5</v>
      </c>
      <c r="F37" s="576">
        <f t="shared" si="15"/>
        <v>1187.5</v>
      </c>
      <c r="G37" s="576">
        <f t="shared" ref="G37:H37" si="16">4500/6</f>
        <v>750</v>
      </c>
      <c r="H37" s="576">
        <f t="shared" si="16"/>
        <v>750</v>
      </c>
    </row>
    <row r="38">
      <c r="A38" s="123" t="s">
        <v>2107</v>
      </c>
      <c r="B38" s="370">
        <v>2647.0</v>
      </c>
      <c r="C38" s="576">
        <f>B38/4</f>
        <v>661.75</v>
      </c>
      <c r="D38" s="576">
        <f>B38/4</f>
        <v>661.75</v>
      </c>
      <c r="E38" s="576">
        <f>B38/4</f>
        <v>661.75</v>
      </c>
      <c r="F38" s="576"/>
      <c r="G38" s="576">
        <f>B38/4</f>
        <v>661.75</v>
      </c>
      <c r="H38" s="576"/>
    </row>
    <row r="39">
      <c r="A39" s="255" t="s">
        <v>57</v>
      </c>
      <c r="B39" s="577">
        <f t="shared" ref="B39:H39" si="17">SUM(B29:B38)</f>
        <v>22507</v>
      </c>
      <c r="C39" s="577">
        <f t="shared" si="17"/>
        <v>2525.916667</v>
      </c>
      <c r="D39" s="577">
        <f t="shared" si="17"/>
        <v>9155.916667</v>
      </c>
      <c r="E39" s="577">
        <f t="shared" si="17"/>
        <v>2192.583333</v>
      </c>
      <c r="F39" s="577">
        <f t="shared" si="17"/>
        <v>1864.166667</v>
      </c>
      <c r="G39" s="577">
        <f t="shared" si="17"/>
        <v>1755.083333</v>
      </c>
      <c r="H39" s="577">
        <f t="shared" si="17"/>
        <v>5013.333333</v>
      </c>
    </row>
    <row r="41">
      <c r="A41" s="580">
        <v>45156.0</v>
      </c>
      <c r="B41" s="422" t="s">
        <v>2093</v>
      </c>
      <c r="C41" s="422" t="s">
        <v>2094</v>
      </c>
      <c r="D41" s="422" t="s">
        <v>2117</v>
      </c>
      <c r="E41" s="422" t="s">
        <v>2118</v>
      </c>
      <c r="F41" s="422" t="s">
        <v>2112</v>
      </c>
      <c r="G41" s="422" t="s">
        <v>2095</v>
      </c>
      <c r="H41" s="422" t="s">
        <v>2097</v>
      </c>
    </row>
    <row r="42">
      <c r="A42" s="123" t="s">
        <v>2098</v>
      </c>
      <c r="B42" s="370">
        <v>500.0</v>
      </c>
      <c r="C42" s="576">
        <f>B42/5</f>
        <v>100</v>
      </c>
      <c r="D42" s="576">
        <f>B42/5</f>
        <v>100</v>
      </c>
      <c r="F42" s="576">
        <f>B42/5</f>
        <v>100</v>
      </c>
      <c r="G42" s="576">
        <f>B42/5</f>
        <v>100</v>
      </c>
      <c r="H42" s="576">
        <f>B42/5</f>
        <v>100</v>
      </c>
    </row>
    <row r="43">
      <c r="A43" s="123" t="s">
        <v>2125</v>
      </c>
      <c r="B43" s="370">
        <v>5070.0</v>
      </c>
      <c r="C43" s="576"/>
      <c r="D43" s="576">
        <f>B43</f>
        <v>5070</v>
      </c>
      <c r="F43" s="576"/>
      <c r="G43" s="576"/>
      <c r="H43" s="576"/>
    </row>
    <row r="44">
      <c r="A44" s="123" t="s">
        <v>2126</v>
      </c>
      <c r="B44" s="370">
        <v>3900.0</v>
      </c>
      <c r="C44" s="576"/>
      <c r="F44" s="576"/>
      <c r="G44" s="576">
        <f t="shared" ref="G44:G45" si="18">B44</f>
        <v>3900</v>
      </c>
      <c r="H44" s="576"/>
    </row>
    <row r="45">
      <c r="A45" s="123" t="s">
        <v>2127</v>
      </c>
      <c r="B45" s="370">
        <v>500.0</v>
      </c>
      <c r="C45" s="576"/>
      <c r="D45" s="576"/>
      <c r="F45" s="576"/>
      <c r="G45" s="576">
        <f t="shared" si="18"/>
        <v>500</v>
      </c>
      <c r="H45" s="576"/>
    </row>
    <row r="46">
      <c r="A46" s="123" t="s">
        <v>2128</v>
      </c>
      <c r="B46" s="370">
        <v>250.0</v>
      </c>
      <c r="C46" s="576"/>
      <c r="D46" s="576"/>
      <c r="F46" s="576"/>
      <c r="G46" s="370">
        <v>250.0</v>
      </c>
      <c r="H46" s="576"/>
    </row>
    <row r="47">
      <c r="A47" s="123" t="s">
        <v>2129</v>
      </c>
      <c r="B47" s="370">
        <v>1950.0</v>
      </c>
      <c r="C47" s="576">
        <f>B47/2</f>
        <v>975</v>
      </c>
      <c r="D47" s="576"/>
      <c r="F47" s="576"/>
      <c r="G47" s="576"/>
      <c r="H47">
        <f>B47/2</f>
        <v>975</v>
      </c>
    </row>
    <row r="48">
      <c r="A48" s="123" t="s">
        <v>2130</v>
      </c>
      <c r="B48" s="370">
        <v>1170.0</v>
      </c>
      <c r="C48" s="576"/>
      <c r="D48" s="576">
        <f>B48</f>
        <v>1170</v>
      </c>
      <c r="F48" s="576"/>
      <c r="G48" s="576"/>
      <c r="H48" s="576"/>
    </row>
    <row r="49">
      <c r="A49" s="123" t="s">
        <v>2115</v>
      </c>
      <c r="B49" s="370">
        <f>390*3</f>
        <v>1170</v>
      </c>
      <c r="C49" s="576">
        <f>B36/5</f>
        <v>234</v>
      </c>
      <c r="D49" s="576">
        <f>B36/5</f>
        <v>234</v>
      </c>
      <c r="F49" s="576">
        <f>B36/5</f>
        <v>234</v>
      </c>
      <c r="G49" s="576">
        <f>B36/5</f>
        <v>234</v>
      </c>
      <c r="H49" s="576">
        <f>B36/5</f>
        <v>234</v>
      </c>
    </row>
    <row r="50">
      <c r="A50" s="123" t="s">
        <v>2131</v>
      </c>
      <c r="B50" s="370">
        <f>(3000*2)</f>
        <v>6000</v>
      </c>
      <c r="C50" s="576">
        <f t="shared" ref="C50:D50" si="19">(6000/5)</f>
        <v>1200</v>
      </c>
      <c r="D50" s="576">
        <f t="shared" si="19"/>
        <v>1200</v>
      </c>
      <c r="F50" s="576">
        <f t="shared" ref="F50:H50" si="20">(6000/5)</f>
        <v>1200</v>
      </c>
      <c r="G50" s="576">
        <f t="shared" si="20"/>
        <v>1200</v>
      </c>
      <c r="H50" s="576">
        <f t="shared" si="20"/>
        <v>1200</v>
      </c>
    </row>
    <row r="51">
      <c r="A51" s="123" t="s">
        <v>2107</v>
      </c>
      <c r="B51" s="370">
        <v>3663.0</v>
      </c>
      <c r="C51" s="576">
        <f>B51/5</f>
        <v>732.6</v>
      </c>
      <c r="D51" s="576">
        <f>B51/5</f>
        <v>732.6</v>
      </c>
      <c r="E51" s="576">
        <f>B51/5</f>
        <v>732.6</v>
      </c>
      <c r="F51" s="576"/>
      <c r="G51" s="576">
        <f>B51/5</f>
        <v>732.6</v>
      </c>
      <c r="H51" s="576">
        <f>B51/5</f>
        <v>732.6</v>
      </c>
    </row>
    <row r="52">
      <c r="A52" s="255" t="s">
        <v>57</v>
      </c>
      <c r="B52" s="577">
        <f t="shared" ref="B52:H52" si="21">SUM(B42:B51)</f>
        <v>24173</v>
      </c>
      <c r="C52" s="577">
        <f t="shared" si="21"/>
        <v>3241.6</v>
      </c>
      <c r="D52" s="577">
        <f t="shared" si="21"/>
        <v>8506.6</v>
      </c>
      <c r="E52" s="577">
        <f t="shared" si="21"/>
        <v>732.6</v>
      </c>
      <c r="F52" s="577">
        <f t="shared" si="21"/>
        <v>1534</v>
      </c>
      <c r="G52" s="577">
        <f t="shared" si="21"/>
        <v>6916.6</v>
      </c>
      <c r="H52" s="577">
        <f t="shared" si="21"/>
        <v>3241.6</v>
      </c>
    </row>
    <row r="54">
      <c r="A54" s="255" t="s">
        <v>2132</v>
      </c>
      <c r="B54" s="577">
        <f t="shared" ref="B54:H54" si="22">SUM(B39,B52)</f>
        <v>46680</v>
      </c>
      <c r="C54" s="577">
        <f t="shared" si="22"/>
        <v>5767.516667</v>
      </c>
      <c r="D54" s="577">
        <f t="shared" si="22"/>
        <v>17662.51667</v>
      </c>
      <c r="E54" s="577">
        <f t="shared" si="22"/>
        <v>2925.183333</v>
      </c>
      <c r="F54" s="577">
        <f t="shared" si="22"/>
        <v>3398.166667</v>
      </c>
      <c r="G54" s="577">
        <f t="shared" si="22"/>
        <v>8671.683333</v>
      </c>
      <c r="H54" s="577">
        <f t="shared" si="22"/>
        <v>8254.933333</v>
      </c>
    </row>
    <row r="55">
      <c r="A55" s="123" t="s">
        <v>2108</v>
      </c>
      <c r="B55" s="370">
        <v>-46680.0</v>
      </c>
      <c r="C55" s="370">
        <v>-12250.0</v>
      </c>
      <c r="D55" s="370">
        <v>-2647.0</v>
      </c>
      <c r="E55" s="370">
        <v>-3663.0</v>
      </c>
      <c r="F55" s="370">
        <v>0.0</v>
      </c>
      <c r="G55" s="370">
        <v>-28120.0</v>
      </c>
      <c r="H55" s="370">
        <v>0.0</v>
      </c>
    </row>
    <row r="56">
      <c r="A56" s="284" t="s">
        <v>2133</v>
      </c>
      <c r="B56" s="578">
        <f t="shared" ref="B56:H56" si="23">SUM(B54:B55)</f>
        <v>0</v>
      </c>
      <c r="C56" s="579">
        <f t="shared" si="23"/>
        <v>-6482.483333</v>
      </c>
      <c r="D56" s="578">
        <f t="shared" si="23"/>
        <v>15015.51667</v>
      </c>
      <c r="E56" s="578">
        <f t="shared" si="23"/>
        <v>-737.8166667</v>
      </c>
      <c r="F56" s="578">
        <f t="shared" si="23"/>
        <v>3398.166667</v>
      </c>
      <c r="G56" s="578">
        <f t="shared" si="23"/>
        <v>-19448.31667</v>
      </c>
      <c r="H56" s="578">
        <f t="shared" si="23"/>
        <v>8254.933333</v>
      </c>
    </row>
    <row r="57">
      <c r="A57" s="581"/>
      <c r="B57" s="581"/>
      <c r="C57" s="130" t="s">
        <v>2134</v>
      </c>
      <c r="D57" s="130" t="s">
        <v>2135</v>
      </c>
      <c r="E57" s="130" t="s">
        <v>2135</v>
      </c>
      <c r="F57" s="130" t="s">
        <v>2135</v>
      </c>
      <c r="G57" s="130" t="s">
        <v>2135</v>
      </c>
      <c r="H57" s="130" t="s">
        <v>2135</v>
      </c>
    </row>
    <row r="59">
      <c r="A59" s="580">
        <v>45184.0</v>
      </c>
      <c r="B59" s="422" t="s">
        <v>2093</v>
      </c>
      <c r="C59" s="422" t="s">
        <v>2094</v>
      </c>
      <c r="D59" s="422" t="s">
        <v>2095</v>
      </c>
      <c r="E59" s="422" t="s">
        <v>2097</v>
      </c>
      <c r="F59" s="422" t="s">
        <v>2136</v>
      </c>
      <c r="G59" s="118"/>
      <c r="H59" s="118"/>
    </row>
    <row r="60">
      <c r="A60" s="123" t="s">
        <v>2098</v>
      </c>
      <c r="B60" s="370">
        <v>500.0</v>
      </c>
      <c r="C60" s="576">
        <f>B60/4</f>
        <v>125</v>
      </c>
      <c r="D60" s="576">
        <f>B60/4</f>
        <v>125</v>
      </c>
      <c r="E60" s="576">
        <f>B60/4</f>
        <v>125</v>
      </c>
      <c r="F60" s="576">
        <f>B60/4</f>
        <v>125</v>
      </c>
      <c r="G60" s="576"/>
      <c r="H60" s="576"/>
    </row>
    <row r="61">
      <c r="A61" s="123" t="s">
        <v>2137</v>
      </c>
      <c r="B61" s="370">
        <v>4290.0</v>
      </c>
      <c r="C61" s="576"/>
      <c r="D61" s="576"/>
      <c r="E61" s="576">
        <f t="shared" ref="E61:E62" si="24">B61</f>
        <v>4290</v>
      </c>
      <c r="F61" s="576"/>
      <c r="G61" s="576"/>
      <c r="H61" s="576"/>
    </row>
    <row r="62">
      <c r="A62" s="123" t="s">
        <v>2102</v>
      </c>
      <c r="B62" s="370">
        <v>1100.0</v>
      </c>
      <c r="C62" s="576"/>
      <c r="D62" s="576"/>
      <c r="E62" s="576">
        <f t="shared" si="24"/>
        <v>1100</v>
      </c>
      <c r="F62" s="576"/>
      <c r="G62" s="576"/>
      <c r="H62" s="576"/>
    </row>
    <row r="63">
      <c r="A63" s="123" t="s">
        <v>2115</v>
      </c>
      <c r="B63" s="370">
        <f>390*3</f>
        <v>1170</v>
      </c>
      <c r="C63" s="576">
        <f>B63/4</f>
        <v>292.5</v>
      </c>
      <c r="D63" s="576">
        <f>B63/4</f>
        <v>292.5</v>
      </c>
      <c r="E63" s="576">
        <f>B63/4</f>
        <v>292.5</v>
      </c>
      <c r="F63" s="576">
        <f>B63/4</f>
        <v>292.5</v>
      </c>
      <c r="G63" s="576"/>
      <c r="H63" s="576"/>
    </row>
    <row r="64">
      <c r="A64" s="123" t="s">
        <v>2138</v>
      </c>
      <c r="B64" s="370">
        <v>3120.0</v>
      </c>
      <c r="C64" s="576">
        <f>(B64/8)*3</f>
        <v>1170</v>
      </c>
      <c r="D64" s="576">
        <f>((B64/8)*5)/2</f>
        <v>975</v>
      </c>
      <c r="E64" s="576"/>
      <c r="F64" s="576">
        <f>((B64/8)*5)/2</f>
        <v>975</v>
      </c>
      <c r="G64" s="576"/>
      <c r="H64" s="576"/>
    </row>
    <row r="65">
      <c r="A65" s="123" t="s">
        <v>2128</v>
      </c>
      <c r="B65" s="370">
        <v>250.0</v>
      </c>
      <c r="C65" s="576"/>
      <c r="D65" s="576">
        <f>B65</f>
        <v>250</v>
      </c>
      <c r="E65" s="576"/>
      <c r="F65" s="576"/>
      <c r="G65" s="370"/>
      <c r="H65" s="576"/>
    </row>
    <row r="66">
      <c r="A66" s="123" t="s">
        <v>2139</v>
      </c>
      <c r="B66" s="370">
        <v>2500.0</v>
      </c>
      <c r="C66" s="576">
        <f t="shared" ref="C66:C67" si="25">B66/4</f>
        <v>625</v>
      </c>
      <c r="D66" s="576">
        <f t="shared" ref="D66:D67" si="26">B66/4</f>
        <v>625</v>
      </c>
      <c r="E66" s="576">
        <f t="shared" ref="E66:E67" si="27">B66/4</f>
        <v>625</v>
      </c>
      <c r="F66" s="576">
        <f t="shared" ref="F66:F67" si="28">B66/4</f>
        <v>625</v>
      </c>
      <c r="G66" s="576"/>
      <c r="H66" s="576"/>
    </row>
    <row r="67">
      <c r="A67" s="123" t="s">
        <v>2140</v>
      </c>
      <c r="B67" s="370">
        <v>5276.0</v>
      </c>
      <c r="C67" s="576">
        <f t="shared" si="25"/>
        <v>1319</v>
      </c>
      <c r="D67" s="576">
        <f t="shared" si="26"/>
        <v>1319</v>
      </c>
      <c r="E67" s="576">
        <f t="shared" si="27"/>
        <v>1319</v>
      </c>
      <c r="F67" s="576">
        <f t="shared" si="28"/>
        <v>1319</v>
      </c>
      <c r="G67" s="576"/>
      <c r="H67" s="576"/>
    </row>
    <row r="68">
      <c r="A68" s="255" t="s">
        <v>57</v>
      </c>
      <c r="B68" s="577">
        <f t="shared" ref="B68:F68" si="29">SUM(B60:B67)</f>
        <v>18206</v>
      </c>
      <c r="C68" s="577">
        <f t="shared" si="29"/>
        <v>3531.5</v>
      </c>
      <c r="D68" s="577">
        <f t="shared" si="29"/>
        <v>3586.5</v>
      </c>
      <c r="E68" s="577">
        <f t="shared" si="29"/>
        <v>7751.5</v>
      </c>
      <c r="F68" s="577">
        <f t="shared" si="29"/>
        <v>3336.5</v>
      </c>
      <c r="G68" s="576"/>
      <c r="H68" s="576"/>
    </row>
    <row r="69">
      <c r="A69" s="123" t="s">
        <v>2108</v>
      </c>
      <c r="B69" s="370">
        <v>-18206.0</v>
      </c>
      <c r="C69" s="370">
        <v>-2500.0</v>
      </c>
      <c r="D69" s="370">
        <v>0.0</v>
      </c>
      <c r="E69" s="370">
        <v>-5276.0</v>
      </c>
      <c r="F69" s="370">
        <v>0.0</v>
      </c>
      <c r="G69" s="370"/>
      <c r="H69" s="370"/>
    </row>
    <row r="70">
      <c r="A70" s="284" t="s">
        <v>2109</v>
      </c>
      <c r="B70" s="578">
        <f t="shared" ref="B70:F70" si="30">SUM(B68:B69)</f>
        <v>0</v>
      </c>
      <c r="C70" s="579">
        <f t="shared" si="30"/>
        <v>1031.5</v>
      </c>
      <c r="D70" s="578">
        <f t="shared" si="30"/>
        <v>3586.5</v>
      </c>
      <c r="E70" s="578">
        <f t="shared" si="30"/>
        <v>2475.5</v>
      </c>
      <c r="F70" s="578">
        <f t="shared" si="30"/>
        <v>3336.5</v>
      </c>
    </row>
    <row r="71">
      <c r="C71" s="130" t="s">
        <v>2141</v>
      </c>
      <c r="D71" s="130" t="s">
        <v>2135</v>
      </c>
      <c r="E71" s="130" t="s">
        <v>2135</v>
      </c>
      <c r="F71" s="130" t="s">
        <v>2135</v>
      </c>
    </row>
    <row r="73">
      <c r="A73" s="582">
        <v>45198.0</v>
      </c>
      <c r="B73" s="583" t="s">
        <v>2093</v>
      </c>
      <c r="C73" s="584" t="s">
        <v>2142</v>
      </c>
      <c r="D73" s="584" t="s">
        <v>2143</v>
      </c>
      <c r="E73" s="584" t="s">
        <v>2144</v>
      </c>
      <c r="F73" s="584" t="s">
        <v>2094</v>
      </c>
      <c r="G73" s="583" t="s">
        <v>2095</v>
      </c>
      <c r="H73" s="583" t="s">
        <v>2097</v>
      </c>
    </row>
    <row r="74">
      <c r="A74" s="129" t="s">
        <v>2098</v>
      </c>
      <c r="B74" s="585">
        <v>500.0</v>
      </c>
      <c r="C74" s="585">
        <f>B74/6</f>
        <v>83.33333333</v>
      </c>
      <c r="D74" s="585">
        <f>B74/6</f>
        <v>83.33333333</v>
      </c>
      <c r="E74" s="585">
        <f>B74/6</f>
        <v>83.33333333</v>
      </c>
      <c r="F74" s="585">
        <f>B74/6</f>
        <v>83.33333333</v>
      </c>
      <c r="G74" s="585">
        <f>B74/6</f>
        <v>83.33333333</v>
      </c>
      <c r="H74" s="585">
        <f>B74/6</f>
        <v>83.33333333</v>
      </c>
    </row>
    <row r="75">
      <c r="A75" s="128" t="s">
        <v>2145</v>
      </c>
      <c r="B75" s="372">
        <v>300.0</v>
      </c>
      <c r="C75" s="586">
        <f>B75/3</f>
        <v>100</v>
      </c>
      <c r="D75" s="586">
        <f>B75/3</f>
        <v>100</v>
      </c>
      <c r="E75" s="586">
        <f>B75/3</f>
        <v>100</v>
      </c>
      <c r="F75" s="586"/>
      <c r="G75" s="586"/>
      <c r="H75" s="586"/>
    </row>
    <row r="76">
      <c r="A76" s="128" t="s">
        <v>2146</v>
      </c>
      <c r="B76" s="372">
        <v>4290.0</v>
      </c>
      <c r="C76" s="586">
        <f>B76</f>
        <v>4290</v>
      </c>
      <c r="D76" s="585"/>
      <c r="E76" s="129"/>
      <c r="F76" s="586"/>
      <c r="G76" s="586"/>
      <c r="H76" s="586"/>
    </row>
    <row r="77">
      <c r="A77" s="128" t="s">
        <v>2147</v>
      </c>
      <c r="B77" s="585">
        <f t="shared" ref="B77:B78" si="31">390*3</f>
        <v>1170</v>
      </c>
      <c r="C77" s="585">
        <f t="shared" ref="C77:C78" si="32">B77/6</f>
        <v>195</v>
      </c>
      <c r="D77" s="585">
        <f t="shared" ref="D77:D78" si="33">B77/6</f>
        <v>195</v>
      </c>
      <c r="E77" s="585">
        <f t="shared" ref="E77:E78" si="34">B77/6</f>
        <v>195</v>
      </c>
      <c r="F77" s="585">
        <f t="shared" ref="F77:F78" si="35">B77/6</f>
        <v>195</v>
      </c>
      <c r="G77" s="585">
        <f t="shared" ref="G77:G78" si="36">B77/6</f>
        <v>195</v>
      </c>
      <c r="H77" s="585">
        <f t="shared" ref="H77:H78" si="37">B77/6</f>
        <v>195</v>
      </c>
    </row>
    <row r="78">
      <c r="A78" s="129" t="s">
        <v>2115</v>
      </c>
      <c r="B78" s="585">
        <f t="shared" si="31"/>
        <v>1170</v>
      </c>
      <c r="C78" s="585">
        <f t="shared" si="32"/>
        <v>195</v>
      </c>
      <c r="D78" s="585">
        <f t="shared" si="33"/>
        <v>195</v>
      </c>
      <c r="E78" s="585">
        <f t="shared" si="34"/>
        <v>195</v>
      </c>
      <c r="F78" s="585">
        <f t="shared" si="35"/>
        <v>195</v>
      </c>
      <c r="G78" s="585">
        <f t="shared" si="36"/>
        <v>195</v>
      </c>
      <c r="H78" s="585">
        <f t="shared" si="37"/>
        <v>195</v>
      </c>
    </row>
    <row r="79">
      <c r="A79" s="128" t="s">
        <v>2148</v>
      </c>
      <c r="B79" s="372">
        <v>3510.0</v>
      </c>
      <c r="D79" s="586">
        <f>B79</f>
        <v>3510</v>
      </c>
      <c r="E79" s="129"/>
      <c r="F79" s="586"/>
      <c r="G79" s="585"/>
      <c r="H79" s="586"/>
    </row>
    <row r="80">
      <c r="A80" s="128" t="s">
        <v>2149</v>
      </c>
      <c r="B80" s="372">
        <v>1170.0</v>
      </c>
      <c r="C80" s="585"/>
      <c r="D80" s="586"/>
      <c r="E80" s="129"/>
      <c r="F80" s="586"/>
      <c r="G80" s="586"/>
      <c r="H80" s="585">
        <f>B80</f>
        <v>1170</v>
      </c>
    </row>
    <row r="81">
      <c r="A81" s="128" t="s">
        <v>2150</v>
      </c>
      <c r="B81" s="372">
        <v>350.0</v>
      </c>
      <c r="C81" s="586">
        <f>B81/3</f>
        <v>116.6666667</v>
      </c>
      <c r="D81" s="586">
        <f>B81/3</f>
        <v>116.6666667</v>
      </c>
      <c r="E81" s="586">
        <f>B81/3</f>
        <v>116.6666667</v>
      </c>
      <c r="F81" s="586"/>
      <c r="G81" s="586"/>
      <c r="H81" s="586"/>
    </row>
    <row r="82">
      <c r="A82" s="128" t="s">
        <v>2151</v>
      </c>
      <c r="B82" s="585">
        <v>1170.0</v>
      </c>
      <c r="C82" s="586"/>
      <c r="D82" s="585"/>
      <c r="E82" s="129"/>
      <c r="F82" s="585">
        <f>B82</f>
        <v>1170</v>
      </c>
      <c r="G82" s="586"/>
      <c r="H82" s="149"/>
    </row>
    <row r="83">
      <c r="A83" s="128" t="s">
        <v>2152</v>
      </c>
      <c r="B83" s="372">
        <v>9000.0</v>
      </c>
      <c r="C83" s="585">
        <f>B83/6</f>
        <v>1500</v>
      </c>
      <c r="D83" s="585">
        <f>B83/6</f>
        <v>1500</v>
      </c>
      <c r="E83" s="585">
        <f>B83/6</f>
        <v>1500</v>
      </c>
      <c r="F83" s="585">
        <f>B83/6</f>
        <v>1500</v>
      </c>
      <c r="G83" s="585">
        <f>B83/6</f>
        <v>1500</v>
      </c>
      <c r="H83" s="585">
        <f>B83/6</f>
        <v>1500</v>
      </c>
    </row>
    <row r="84">
      <c r="A84" s="264" t="s">
        <v>57</v>
      </c>
      <c r="B84" s="577">
        <f t="shared" ref="B84:B86" si="39">SUM(C84:H84)</f>
        <v>22630</v>
      </c>
      <c r="C84" s="587">
        <f t="shared" ref="C84:H84" si="38">SUM(C74:C83)</f>
        <v>6480</v>
      </c>
      <c r="D84" s="587">
        <f t="shared" si="38"/>
        <v>5700</v>
      </c>
      <c r="E84" s="587">
        <f t="shared" si="38"/>
        <v>2190</v>
      </c>
      <c r="F84" s="587">
        <f t="shared" si="38"/>
        <v>3143.333333</v>
      </c>
      <c r="G84" s="587">
        <f t="shared" si="38"/>
        <v>1973.333333</v>
      </c>
      <c r="H84" s="587">
        <f t="shared" si="38"/>
        <v>3143.333333</v>
      </c>
    </row>
    <row r="85">
      <c r="A85" s="123" t="s">
        <v>2108</v>
      </c>
      <c r="B85" s="576">
        <f t="shared" si="39"/>
        <v>-22630</v>
      </c>
      <c r="C85" s="370"/>
      <c r="D85" s="370">
        <v>0.0</v>
      </c>
      <c r="E85" s="370">
        <v>0.0</v>
      </c>
      <c r="F85" s="370">
        <v>-9000.0</v>
      </c>
      <c r="G85" s="370">
        <v>-13630.0</v>
      </c>
      <c r="H85" s="370">
        <v>0.0</v>
      </c>
    </row>
    <row r="86">
      <c r="A86" s="284" t="s">
        <v>2109</v>
      </c>
      <c r="B86" s="578">
        <f t="shared" si="39"/>
        <v>0</v>
      </c>
      <c r="C86" s="578">
        <f t="shared" ref="C86:H86" si="40">SUM(C84:C85)</f>
        <v>6480</v>
      </c>
      <c r="D86" s="578">
        <f t="shared" si="40"/>
        <v>5700</v>
      </c>
      <c r="E86" s="578">
        <f t="shared" si="40"/>
        <v>2190</v>
      </c>
      <c r="F86" s="579">
        <f t="shared" si="40"/>
        <v>-5856.666667</v>
      </c>
      <c r="G86" s="578">
        <f t="shared" si="40"/>
        <v>-11656.66667</v>
      </c>
      <c r="H86" s="578">
        <f t="shared" si="40"/>
        <v>3143.333333</v>
      </c>
    </row>
    <row r="87">
      <c r="A87" s="129"/>
      <c r="B87" s="129"/>
      <c r="C87" s="130" t="s">
        <v>2135</v>
      </c>
      <c r="D87" s="130" t="s">
        <v>2135</v>
      </c>
      <c r="E87" s="130" t="s">
        <v>2135</v>
      </c>
      <c r="F87" s="130" t="s">
        <v>2134</v>
      </c>
      <c r="G87" s="130" t="s">
        <v>2135</v>
      </c>
      <c r="H87" s="130" t="s">
        <v>2135</v>
      </c>
    </row>
    <row r="89">
      <c r="A89" s="582">
        <v>45226.0</v>
      </c>
      <c r="B89" s="583" t="s">
        <v>2093</v>
      </c>
      <c r="C89" s="584" t="s">
        <v>2095</v>
      </c>
      <c r="D89" s="584" t="s">
        <v>2094</v>
      </c>
      <c r="E89" s="584" t="s">
        <v>2153</v>
      </c>
    </row>
    <row r="90">
      <c r="A90" s="129" t="s">
        <v>2098</v>
      </c>
      <c r="B90" s="585">
        <v>500.0</v>
      </c>
      <c r="C90" s="585">
        <f>B90/3</f>
        <v>166.6666667</v>
      </c>
      <c r="D90" s="585">
        <f>B90/3</f>
        <v>166.6666667</v>
      </c>
      <c r="E90" s="585">
        <f>B90/3</f>
        <v>166.6666667</v>
      </c>
    </row>
    <row r="91">
      <c r="A91" s="128" t="s">
        <v>2154</v>
      </c>
      <c r="B91" s="372">
        <v>1950.0</v>
      </c>
      <c r="C91" s="585">
        <f>B91</f>
        <v>1950</v>
      </c>
      <c r="D91" s="586"/>
      <c r="E91" s="129"/>
    </row>
    <row r="92">
      <c r="A92" s="128" t="s">
        <v>2155</v>
      </c>
      <c r="B92" s="372">
        <v>780.0</v>
      </c>
      <c r="C92" s="586"/>
      <c r="D92" s="585"/>
      <c r="E92" s="586">
        <f>B92</f>
        <v>780</v>
      </c>
    </row>
    <row r="93">
      <c r="A93" s="128" t="s">
        <v>2128</v>
      </c>
      <c r="B93" s="372">
        <v>250.0</v>
      </c>
      <c r="C93" s="585">
        <f>B93</f>
        <v>250</v>
      </c>
      <c r="D93" s="585"/>
      <c r="E93" s="585"/>
    </row>
    <row r="94">
      <c r="A94" s="128" t="s">
        <v>2156</v>
      </c>
      <c r="B94" s="372">
        <v>5000.0</v>
      </c>
      <c r="C94" s="585">
        <f>B94/3</f>
        <v>1666.666667</v>
      </c>
      <c r="D94" s="585">
        <f>B94/3</f>
        <v>1666.666667</v>
      </c>
      <c r="E94" s="585">
        <f>B94/3</f>
        <v>1666.666667</v>
      </c>
    </row>
    <row r="95">
      <c r="A95" s="264" t="s">
        <v>57</v>
      </c>
      <c r="B95" s="577">
        <f t="shared" ref="B95:B97" si="42">SUM(C95:H95)</f>
        <v>8480</v>
      </c>
      <c r="C95" s="587">
        <f t="shared" ref="C95:E95" si="41">SUM(C90:C94)</f>
        <v>4033.333333</v>
      </c>
      <c r="D95" s="587">
        <f t="shared" si="41"/>
        <v>1833.333333</v>
      </c>
      <c r="E95" s="587">
        <f t="shared" si="41"/>
        <v>2613.333333</v>
      </c>
    </row>
    <row r="96">
      <c r="A96" s="123" t="s">
        <v>2108</v>
      </c>
      <c r="B96" s="576">
        <f t="shared" si="42"/>
        <v>-8480</v>
      </c>
      <c r="C96" s="370">
        <v>-3480.0</v>
      </c>
      <c r="D96" s="370">
        <v>-5000.0</v>
      </c>
      <c r="E96" s="370">
        <v>0.0</v>
      </c>
    </row>
    <row r="97">
      <c r="A97" s="284" t="s">
        <v>2109</v>
      </c>
      <c r="B97" s="578">
        <f t="shared" si="42"/>
        <v>0</v>
      </c>
      <c r="C97" s="578">
        <f t="shared" ref="C97:E97" si="43">SUM(C95:C96)</f>
        <v>553.3333333</v>
      </c>
      <c r="D97" s="579">
        <f t="shared" si="43"/>
        <v>-3166.666667</v>
      </c>
      <c r="E97" s="588">
        <f t="shared" si="43"/>
        <v>2613.333333</v>
      </c>
    </row>
    <row r="98">
      <c r="A98" s="129"/>
      <c r="B98" s="129"/>
      <c r="C98" s="130" t="s">
        <v>2135</v>
      </c>
      <c r="D98" s="130" t="s">
        <v>2134</v>
      </c>
      <c r="E98" s="130"/>
    </row>
    <row r="100">
      <c r="A100" s="582">
        <v>45202.0</v>
      </c>
      <c r="B100" s="583" t="s">
        <v>2093</v>
      </c>
      <c r="C100" s="584" t="s">
        <v>2095</v>
      </c>
      <c r="D100" s="584" t="s">
        <v>2097</v>
      </c>
      <c r="E100" s="584" t="s">
        <v>2157</v>
      </c>
      <c r="F100" s="584" t="s">
        <v>2158</v>
      </c>
      <c r="G100" s="584" t="s">
        <v>2159</v>
      </c>
      <c r="H100" s="584" t="s">
        <v>2160</v>
      </c>
      <c r="I100" s="584" t="s">
        <v>2161</v>
      </c>
      <c r="J100" s="584" t="s">
        <v>2162</v>
      </c>
      <c r="K100" s="584" t="s">
        <v>2136</v>
      </c>
    </row>
    <row r="101">
      <c r="A101" s="128" t="s">
        <v>2163</v>
      </c>
      <c r="B101" s="372">
        <v>4995.0</v>
      </c>
      <c r="C101" s="585">
        <f>B101</f>
        <v>4995</v>
      </c>
      <c r="D101" s="585"/>
      <c r="E101" s="585"/>
      <c r="F101" s="585"/>
      <c r="G101" s="585"/>
      <c r="H101" s="585"/>
      <c r="I101" s="585"/>
      <c r="J101" s="585"/>
      <c r="K101" s="585"/>
    </row>
    <row r="102">
      <c r="A102" s="128" t="s">
        <v>2164</v>
      </c>
      <c r="B102" s="372">
        <v>2450.0</v>
      </c>
      <c r="C102" s="586"/>
      <c r="D102" s="586"/>
      <c r="E102" s="586">
        <f>B102/2</f>
        <v>1225</v>
      </c>
      <c r="F102" s="586">
        <f>B102/2</f>
        <v>1225</v>
      </c>
      <c r="G102" s="586"/>
      <c r="H102" s="586"/>
      <c r="I102" s="586"/>
      <c r="J102" s="586"/>
      <c r="K102" s="586"/>
    </row>
    <row r="103">
      <c r="A103" s="128" t="s">
        <v>2165</v>
      </c>
      <c r="B103" s="372">
        <v>360.0</v>
      </c>
      <c r="C103" s="586"/>
      <c r="D103" s="585"/>
      <c r="E103" s="586">
        <f>B103</f>
        <v>360</v>
      </c>
      <c r="F103" s="586"/>
      <c r="G103" s="586"/>
      <c r="H103" s="586"/>
      <c r="I103" s="129"/>
      <c r="J103" s="586"/>
      <c r="K103" s="586"/>
    </row>
    <row r="104">
      <c r="A104" s="128" t="s">
        <v>2166</v>
      </c>
      <c r="B104" s="372">
        <v>3203.0</v>
      </c>
      <c r="C104" s="585">
        <f t="shared" ref="C104:C106" si="44">B104/9</f>
        <v>355.8888889</v>
      </c>
      <c r="D104" s="585">
        <f t="shared" ref="D104:D106" si="45">B104/9</f>
        <v>355.8888889</v>
      </c>
      <c r="E104" s="585">
        <f t="shared" ref="E104:E106" si="46">B104/9</f>
        <v>355.8888889</v>
      </c>
      <c r="F104" s="585">
        <f t="shared" ref="F104:F106" si="47">B104/9</f>
        <v>355.8888889</v>
      </c>
      <c r="G104" s="585">
        <f t="shared" ref="G104:G106" si="48">B104/9</f>
        <v>355.8888889</v>
      </c>
      <c r="H104" s="585">
        <f t="shared" ref="H104:H106" si="49">B104/9</f>
        <v>355.8888889</v>
      </c>
      <c r="I104" s="585">
        <f t="shared" ref="I104:I106" si="50">B104/9</f>
        <v>355.8888889</v>
      </c>
      <c r="J104" s="585">
        <f t="shared" ref="J104:J106" si="51">B104/9</f>
        <v>355.8888889</v>
      </c>
      <c r="K104" s="585">
        <f t="shared" ref="K104:K106" si="52">B104/9</f>
        <v>355.8888889</v>
      </c>
    </row>
    <row r="105">
      <c r="A105" s="128" t="s">
        <v>2167</v>
      </c>
      <c r="B105" s="372">
        <v>1100.7</v>
      </c>
      <c r="C105" s="585">
        <f t="shared" si="44"/>
        <v>122.3</v>
      </c>
      <c r="D105" s="585">
        <f t="shared" si="45"/>
        <v>122.3</v>
      </c>
      <c r="E105" s="585">
        <f t="shared" si="46"/>
        <v>122.3</v>
      </c>
      <c r="F105" s="585">
        <f t="shared" si="47"/>
        <v>122.3</v>
      </c>
      <c r="G105" s="585">
        <f t="shared" si="48"/>
        <v>122.3</v>
      </c>
      <c r="H105" s="585">
        <f t="shared" si="49"/>
        <v>122.3</v>
      </c>
      <c r="I105" s="585">
        <f t="shared" si="50"/>
        <v>122.3</v>
      </c>
      <c r="J105" s="585">
        <f t="shared" si="51"/>
        <v>122.3</v>
      </c>
      <c r="K105" s="585">
        <f t="shared" si="52"/>
        <v>122.3</v>
      </c>
    </row>
    <row r="106">
      <c r="A106" s="128" t="s">
        <v>2168</v>
      </c>
      <c r="B106" s="372">
        <v>847.3</v>
      </c>
      <c r="C106" s="585">
        <f t="shared" si="44"/>
        <v>94.14444444</v>
      </c>
      <c r="D106" s="585">
        <f t="shared" si="45"/>
        <v>94.14444444</v>
      </c>
      <c r="E106" s="585">
        <f t="shared" si="46"/>
        <v>94.14444444</v>
      </c>
      <c r="F106" s="585">
        <f t="shared" si="47"/>
        <v>94.14444444</v>
      </c>
      <c r="G106" s="585">
        <f t="shared" si="48"/>
        <v>94.14444444</v>
      </c>
      <c r="H106" s="585">
        <f t="shared" si="49"/>
        <v>94.14444444</v>
      </c>
      <c r="I106" s="585">
        <f t="shared" si="50"/>
        <v>94.14444444</v>
      </c>
      <c r="J106" s="585">
        <f t="shared" si="51"/>
        <v>94.14444444</v>
      </c>
      <c r="K106" s="585">
        <f t="shared" si="52"/>
        <v>94.14444444</v>
      </c>
    </row>
    <row r="107">
      <c r="A107" s="264" t="s">
        <v>57</v>
      </c>
      <c r="B107" s="577">
        <f t="shared" ref="B107:K107" si="53">SUM(B101:B106)</f>
        <v>12956</v>
      </c>
      <c r="C107" s="587">
        <f t="shared" si="53"/>
        <v>5567.333333</v>
      </c>
      <c r="D107" s="587">
        <f t="shared" si="53"/>
        <v>572.3333333</v>
      </c>
      <c r="E107" s="587">
        <f t="shared" si="53"/>
        <v>2157.333333</v>
      </c>
      <c r="F107" s="587">
        <f t="shared" si="53"/>
        <v>1797.333333</v>
      </c>
      <c r="G107" s="587">
        <f t="shared" si="53"/>
        <v>572.3333333</v>
      </c>
      <c r="H107" s="587">
        <f t="shared" si="53"/>
        <v>572.3333333</v>
      </c>
      <c r="I107" s="587">
        <f t="shared" si="53"/>
        <v>572.3333333</v>
      </c>
      <c r="J107" s="587">
        <f t="shared" si="53"/>
        <v>572.3333333</v>
      </c>
      <c r="K107" s="587">
        <f t="shared" si="53"/>
        <v>572.3333333</v>
      </c>
    </row>
    <row r="108">
      <c r="A108" s="123" t="s">
        <v>2108</v>
      </c>
      <c r="B108" s="576">
        <f>SUM(C108:H108)</f>
        <v>-12956</v>
      </c>
      <c r="C108" s="370">
        <v>-12956.0</v>
      </c>
      <c r="D108" s="370">
        <v>0.0</v>
      </c>
      <c r="E108" s="370">
        <v>0.0</v>
      </c>
      <c r="F108" s="370">
        <v>0.0</v>
      </c>
      <c r="G108" s="370">
        <v>0.0</v>
      </c>
      <c r="H108" s="370">
        <v>0.0</v>
      </c>
      <c r="I108" s="370">
        <v>0.0</v>
      </c>
      <c r="J108" s="370">
        <v>0.0</v>
      </c>
      <c r="K108" s="370">
        <v>0.0</v>
      </c>
    </row>
    <row r="109">
      <c r="A109" s="284" t="s">
        <v>2109</v>
      </c>
      <c r="B109" s="578">
        <f>SUM(C109:K109)</f>
        <v>0</v>
      </c>
      <c r="C109" s="578">
        <f t="shared" ref="C109:K109" si="54">SUM(C107:C108)</f>
        <v>-7388.666667</v>
      </c>
      <c r="D109" s="578">
        <f t="shared" si="54"/>
        <v>572.3333333</v>
      </c>
      <c r="E109" s="578">
        <f t="shared" si="54"/>
        <v>2157.333333</v>
      </c>
      <c r="F109" s="578">
        <f t="shared" si="54"/>
        <v>1797.333333</v>
      </c>
      <c r="G109" s="578">
        <f t="shared" si="54"/>
        <v>572.3333333</v>
      </c>
      <c r="H109" s="578">
        <f t="shared" si="54"/>
        <v>572.3333333</v>
      </c>
      <c r="I109" s="578">
        <f t="shared" si="54"/>
        <v>572.3333333</v>
      </c>
      <c r="J109" s="578">
        <f t="shared" si="54"/>
        <v>572.3333333</v>
      </c>
      <c r="K109" s="578">
        <f t="shared" si="54"/>
        <v>572.3333333</v>
      </c>
    </row>
    <row r="110">
      <c r="A110" s="129"/>
      <c r="B110" s="129"/>
      <c r="C110" s="130"/>
      <c r="D110" s="130" t="s">
        <v>2135</v>
      </c>
      <c r="E110" s="130" t="s">
        <v>2135</v>
      </c>
      <c r="F110" s="130" t="s">
        <v>2135</v>
      </c>
      <c r="G110" s="130" t="s">
        <v>2135</v>
      </c>
      <c r="H110" s="130" t="s">
        <v>2135</v>
      </c>
      <c r="I110" s="130" t="s">
        <v>2135</v>
      </c>
      <c r="J110" s="130" t="s">
        <v>2135</v>
      </c>
      <c r="K110" s="130" t="s">
        <v>2135</v>
      </c>
    </row>
    <row r="111">
      <c r="A111" s="129"/>
      <c r="B111" s="129"/>
      <c r="C111" s="130"/>
      <c r="D111" s="130"/>
      <c r="E111" s="130"/>
      <c r="F111" s="130"/>
      <c r="G111" s="130"/>
      <c r="H111" s="130"/>
    </row>
    <row r="112">
      <c r="A112" s="582">
        <v>45226.0</v>
      </c>
      <c r="B112" s="583" t="s">
        <v>2093</v>
      </c>
      <c r="C112" s="584" t="s">
        <v>2094</v>
      </c>
      <c r="D112" s="584" t="s">
        <v>2153</v>
      </c>
      <c r="E112" s="584" t="s">
        <v>2095</v>
      </c>
      <c r="F112" s="584" t="s">
        <v>2097</v>
      </c>
      <c r="G112" s="584" t="s">
        <v>2136</v>
      </c>
    </row>
    <row r="113">
      <c r="A113" s="129" t="s">
        <v>2098</v>
      </c>
      <c r="B113" s="585">
        <v>500.0</v>
      </c>
      <c r="C113" s="585">
        <f>B113/5</f>
        <v>100</v>
      </c>
      <c r="D113" s="585">
        <f>B113/5</f>
        <v>100</v>
      </c>
      <c r="E113" s="585">
        <f>B113/5</f>
        <v>100</v>
      </c>
      <c r="F113" s="585">
        <f>B113/5</f>
        <v>100</v>
      </c>
      <c r="G113" s="585">
        <f>B113/5</f>
        <v>100</v>
      </c>
    </row>
    <row r="114">
      <c r="A114" s="128" t="s">
        <v>2169</v>
      </c>
      <c r="B114" s="372">
        <v>4290.0</v>
      </c>
      <c r="C114" s="585"/>
      <c r="D114" s="586"/>
      <c r="E114" s="586"/>
      <c r="F114" s="586">
        <f t="shared" ref="F114:F115" si="55">B114</f>
        <v>4290</v>
      </c>
      <c r="G114" s="129"/>
    </row>
    <row r="115">
      <c r="A115" s="123" t="s">
        <v>2170</v>
      </c>
      <c r="B115" s="372">
        <v>1100.0</v>
      </c>
      <c r="C115" s="586"/>
      <c r="D115" s="585"/>
      <c r="E115" s="585"/>
      <c r="F115" s="586">
        <f t="shared" si="55"/>
        <v>1100</v>
      </c>
      <c r="G115" s="586" t="str">
        <f>D115</f>
        <v/>
      </c>
    </row>
    <row r="116">
      <c r="A116" s="128" t="s">
        <v>2171</v>
      </c>
      <c r="B116" s="372">
        <v>3900.0</v>
      </c>
      <c r="C116" s="585"/>
      <c r="D116" s="586"/>
      <c r="E116" s="586">
        <f>B116</f>
        <v>3900</v>
      </c>
      <c r="F116" s="129"/>
      <c r="G116" s="129"/>
    </row>
    <row r="117">
      <c r="A117" s="129" t="s">
        <v>2115</v>
      </c>
      <c r="B117" s="585">
        <f>390*3</f>
        <v>1170</v>
      </c>
      <c r="C117" s="585">
        <f>B117/5</f>
        <v>234</v>
      </c>
      <c r="D117" s="585">
        <f>B117/5</f>
        <v>234</v>
      </c>
      <c r="E117" s="585">
        <f>B117/5</f>
        <v>234</v>
      </c>
      <c r="F117" s="585">
        <f>B117/5</f>
        <v>234</v>
      </c>
      <c r="G117" s="585">
        <f>B117/5</f>
        <v>234</v>
      </c>
    </row>
    <row r="118">
      <c r="A118" s="128" t="s">
        <v>2172</v>
      </c>
      <c r="B118" s="372">
        <v>780.0</v>
      </c>
      <c r="C118" s="585"/>
      <c r="D118" s="585">
        <f t="shared" ref="D118:D119" si="56">B118</f>
        <v>780</v>
      </c>
      <c r="E118" s="585"/>
      <c r="F118" s="585"/>
      <c r="G118" s="585"/>
    </row>
    <row r="119">
      <c r="A119" s="128" t="s">
        <v>2173</v>
      </c>
      <c r="B119" s="372">
        <v>1950.0</v>
      </c>
      <c r="C119" s="585"/>
      <c r="D119" s="585">
        <f t="shared" si="56"/>
        <v>1950</v>
      </c>
      <c r="E119" s="585"/>
      <c r="F119" s="585"/>
      <c r="G119" s="585"/>
    </row>
    <row r="120">
      <c r="A120" s="128" t="s">
        <v>2174</v>
      </c>
      <c r="B120" s="372">
        <v>4000.0</v>
      </c>
      <c r="C120" s="585">
        <f>B120/5</f>
        <v>800</v>
      </c>
      <c r="D120" s="585">
        <f>B120/5</f>
        <v>800</v>
      </c>
      <c r="E120" s="585">
        <f>B120/5</f>
        <v>800</v>
      </c>
      <c r="F120" s="585">
        <f>B120/5</f>
        <v>800</v>
      </c>
      <c r="G120" s="585">
        <f>B120/5</f>
        <v>800</v>
      </c>
    </row>
    <row r="121">
      <c r="A121" s="264" t="s">
        <v>57</v>
      </c>
      <c r="B121" s="577">
        <f t="shared" ref="B121:B123" si="58">SUM(C121:H121)</f>
        <v>17690</v>
      </c>
      <c r="C121" s="587">
        <f t="shared" ref="C121:G121" si="57">SUM(C113:C120)</f>
        <v>1134</v>
      </c>
      <c r="D121" s="587">
        <f t="shared" si="57"/>
        <v>3864</v>
      </c>
      <c r="E121" s="587">
        <f t="shared" si="57"/>
        <v>5034</v>
      </c>
      <c r="F121" s="587">
        <f t="shared" si="57"/>
        <v>6524</v>
      </c>
      <c r="G121" s="587">
        <f t="shared" si="57"/>
        <v>1134</v>
      </c>
    </row>
    <row r="122">
      <c r="A122" s="123" t="s">
        <v>2108</v>
      </c>
      <c r="B122" s="576">
        <f t="shared" si="58"/>
        <v>-17690</v>
      </c>
      <c r="C122" s="370">
        <v>-4000.0</v>
      </c>
      <c r="D122" s="370">
        <v>0.0</v>
      </c>
      <c r="E122" s="370">
        <v>-13690.0</v>
      </c>
      <c r="F122" s="370">
        <v>0.0</v>
      </c>
      <c r="G122" s="370">
        <v>0.0</v>
      </c>
    </row>
    <row r="123">
      <c r="A123" s="284" t="s">
        <v>2109</v>
      </c>
      <c r="B123" s="578">
        <f t="shared" si="58"/>
        <v>0</v>
      </c>
      <c r="C123" s="579">
        <f t="shared" ref="C123:G123" si="59">SUM(C121:C122)</f>
        <v>-2866</v>
      </c>
      <c r="D123" s="588">
        <f t="shared" si="59"/>
        <v>3864</v>
      </c>
      <c r="E123" s="578">
        <f t="shared" si="59"/>
        <v>-8656</v>
      </c>
      <c r="F123" s="578">
        <f t="shared" si="59"/>
        <v>6524</v>
      </c>
      <c r="G123" s="578">
        <f t="shared" si="59"/>
        <v>1134</v>
      </c>
    </row>
    <row r="124">
      <c r="E124" s="130" t="s">
        <v>2135</v>
      </c>
      <c r="F124" s="130" t="s">
        <v>2135</v>
      </c>
      <c r="G124" s="130" t="s">
        <v>2135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2.75"/>
  <cols>
    <col customWidth="1" min="1" max="1" width="22.0"/>
    <col customWidth="1" min="2" max="2" width="4.88"/>
    <col customWidth="1" min="3" max="4" width="11.38"/>
    <col customWidth="1" min="5" max="5" width="10.75"/>
    <col customWidth="1" min="6" max="6" width="13.13"/>
    <col customWidth="1" min="7" max="7" width="12.75"/>
    <col customWidth="1" min="8" max="8" width="12.5"/>
    <col customWidth="1" min="9" max="9" width="13.38"/>
    <col customWidth="1" min="10" max="10" width="10.25"/>
    <col customWidth="1" min="11" max="11" width="8.0"/>
    <col customWidth="1" min="12" max="12" width="3.13"/>
    <col customWidth="1" min="13" max="15" width="12.63"/>
    <col customWidth="1" min="16" max="18" width="8.0"/>
    <col customWidth="1" min="19" max="19" width="14.75"/>
    <col customWidth="1" min="20" max="24" width="7.0"/>
  </cols>
  <sheetData>
    <row r="1" ht="13.5" customHeight="1">
      <c r="A1" s="7"/>
      <c r="B1" s="5"/>
      <c r="C1" s="6"/>
      <c r="D1" s="6"/>
      <c r="E1" s="589" t="s">
        <v>2175</v>
      </c>
      <c r="F1" s="590"/>
      <c r="G1" s="6"/>
      <c r="H1" s="6"/>
      <c r="I1" s="6"/>
      <c r="J1" s="11"/>
      <c r="K1" s="591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ht="12.0" customHeight="1">
      <c r="A2" s="7"/>
      <c r="B2" s="5"/>
      <c r="C2" s="6"/>
      <c r="D2" s="6"/>
      <c r="E2" s="6"/>
      <c r="F2" s="6"/>
      <c r="G2" s="6"/>
      <c r="H2" s="6"/>
      <c r="I2" s="6"/>
      <c r="J2" s="11"/>
      <c r="K2" s="591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ht="12.0" customHeight="1">
      <c r="A3" s="7"/>
      <c r="B3" s="5"/>
      <c r="C3" s="6"/>
      <c r="D3" s="592" t="s">
        <v>2176</v>
      </c>
      <c r="E3" s="593">
        <v>2600000.0</v>
      </c>
      <c r="F3" s="594"/>
      <c r="G3" s="595" t="s">
        <v>2177</v>
      </c>
      <c r="H3" s="596">
        <f>-PMT(6.875%/12,12*J3,E3)</f>
        <v>19523.11245</v>
      </c>
      <c r="I3" s="597" t="s">
        <v>2178</v>
      </c>
      <c r="J3" s="598">
        <v>21.0</v>
      </c>
      <c r="K3" s="591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ht="12.0" customHeight="1">
      <c r="A4" s="7"/>
      <c r="B4" s="5"/>
      <c r="C4" s="6"/>
      <c r="D4" s="6"/>
      <c r="E4" s="6"/>
      <c r="F4" s="6"/>
      <c r="G4" s="6"/>
      <c r="H4" s="6"/>
      <c r="I4" s="6"/>
      <c r="J4" s="11"/>
      <c r="K4" s="591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ht="12.0" customHeight="1">
      <c r="A5" s="12" t="s">
        <v>16</v>
      </c>
      <c r="B5" s="599" t="s">
        <v>17</v>
      </c>
      <c r="C5" s="600" t="s">
        <v>2179</v>
      </c>
      <c r="D5" s="601" t="s">
        <v>2180</v>
      </c>
      <c r="E5" s="602" t="s">
        <v>2181</v>
      </c>
      <c r="F5" s="602" t="s">
        <v>21</v>
      </c>
      <c r="G5" s="602" t="s">
        <v>2182</v>
      </c>
      <c r="H5" s="602" t="s">
        <v>2183</v>
      </c>
      <c r="I5" s="603" t="s">
        <v>2184</v>
      </c>
      <c r="J5" s="604" t="s">
        <v>2185</v>
      </c>
      <c r="K5" s="591"/>
      <c r="L5" s="6"/>
      <c r="M5" s="605" t="s">
        <v>2186</v>
      </c>
      <c r="N5" s="605" t="s">
        <v>2187</v>
      </c>
      <c r="O5" s="605" t="s">
        <v>2003</v>
      </c>
      <c r="P5" s="6"/>
      <c r="Q5" s="9" t="s">
        <v>31</v>
      </c>
      <c r="R5" s="9" t="s">
        <v>32</v>
      </c>
      <c r="S5" s="19" t="s">
        <v>33</v>
      </c>
      <c r="T5" s="6"/>
      <c r="U5" s="6"/>
      <c r="V5" s="6"/>
      <c r="W5" s="6"/>
      <c r="X5" s="6"/>
    </row>
    <row r="6" ht="11.25" customHeight="1">
      <c r="A6" s="606">
        <v>1.0</v>
      </c>
      <c r="B6" s="24">
        <v>1.0</v>
      </c>
      <c r="C6" s="607">
        <v>20000.0</v>
      </c>
      <c r="D6" s="608">
        <f>(E3*J6%)/12</f>
        <v>5785</v>
      </c>
      <c r="E6" s="608">
        <f t="shared" ref="E6:E365" si="1">C6-D6</f>
        <v>14215</v>
      </c>
      <c r="F6" s="608">
        <f>E6</f>
        <v>14215</v>
      </c>
      <c r="G6" s="608">
        <f>D6</f>
        <v>5785</v>
      </c>
      <c r="H6" s="608">
        <f>C6</f>
        <v>20000</v>
      </c>
      <c r="I6" s="609">
        <f>E3-E6</f>
        <v>2585785</v>
      </c>
      <c r="J6" s="610">
        <v>2.67</v>
      </c>
      <c r="K6" s="591"/>
      <c r="L6" s="6"/>
      <c r="M6" s="9">
        <v>20000.0</v>
      </c>
      <c r="N6" s="608">
        <f>M6</f>
        <v>20000</v>
      </c>
      <c r="O6" s="6">
        <f t="shared" ref="O6:O365" si="2">N6-G6-(1960*B6)-(1960*B6)</f>
        <v>10295</v>
      </c>
      <c r="P6" s="6"/>
      <c r="Q6" s="6">
        <f>O6</f>
        <v>10295</v>
      </c>
      <c r="R6" s="6">
        <f>Q6</f>
        <v>10295</v>
      </c>
      <c r="S6" s="81">
        <f t="shared" ref="S6:S365" si="3">R6/(G6/100)</f>
        <v>177.960242</v>
      </c>
      <c r="T6" s="6"/>
      <c r="U6" s="6"/>
      <c r="V6" s="6"/>
      <c r="W6" s="6"/>
      <c r="X6" s="6"/>
    </row>
    <row r="7" ht="11.25" customHeight="1">
      <c r="A7" s="38"/>
      <c r="B7" s="39">
        <f t="shared" ref="B7:B53" si="4">B6+1</f>
        <v>2</v>
      </c>
      <c r="C7" s="607">
        <v>20000.0</v>
      </c>
      <c r="D7" s="79">
        <f t="shared" ref="D7:D53" si="5">(I6*J7%)/12</f>
        <v>5753.371625</v>
      </c>
      <c r="E7" s="79">
        <f t="shared" si="1"/>
        <v>14246.62838</v>
      </c>
      <c r="F7" s="79">
        <f t="shared" ref="F7:F365" si="6">F6+E7</f>
        <v>28461.62838</v>
      </c>
      <c r="G7" s="79">
        <f t="shared" ref="G7:G365" si="7">G6+D7</f>
        <v>11538.37163</v>
      </c>
      <c r="H7" s="79">
        <f t="shared" ref="H7:H365" si="8">H6+C7</f>
        <v>40000</v>
      </c>
      <c r="I7" s="611">
        <f t="shared" ref="I7:I365" si="9">I6-E7</f>
        <v>2571538.372</v>
      </c>
      <c r="J7" s="610">
        <v>2.67</v>
      </c>
      <c r="K7" s="591"/>
      <c r="L7" s="6"/>
      <c r="M7" s="9">
        <v>20000.0</v>
      </c>
      <c r="N7" s="79">
        <f t="shared" ref="N7:N365" si="10">N6+M7</f>
        <v>40000</v>
      </c>
      <c r="O7" s="6">
        <f t="shared" si="2"/>
        <v>20621.62838</v>
      </c>
      <c r="P7" s="6"/>
      <c r="Q7" s="6">
        <f t="shared" ref="Q7:Q365" si="11">SUM(O7-O6)</f>
        <v>10326.62838</v>
      </c>
      <c r="R7" s="6">
        <f t="shared" ref="R7:R365" si="12">R6+Q7</f>
        <v>20621.62838</v>
      </c>
      <c r="S7" s="81">
        <f t="shared" si="3"/>
        <v>178.7221719</v>
      </c>
      <c r="T7" s="6"/>
      <c r="U7" s="6"/>
      <c r="V7" s="6"/>
      <c r="W7" s="6"/>
      <c r="X7" s="6"/>
    </row>
    <row r="8" ht="11.25" customHeight="1">
      <c r="A8" s="38"/>
      <c r="B8" s="39">
        <f t="shared" si="4"/>
        <v>3</v>
      </c>
      <c r="C8" s="607">
        <v>20000.0</v>
      </c>
      <c r="D8" s="79">
        <f t="shared" si="5"/>
        <v>5721.672877</v>
      </c>
      <c r="E8" s="79">
        <f t="shared" si="1"/>
        <v>14278.32712</v>
      </c>
      <c r="F8" s="79">
        <f t="shared" si="6"/>
        <v>42739.9555</v>
      </c>
      <c r="G8" s="79">
        <f t="shared" si="7"/>
        <v>17260.0445</v>
      </c>
      <c r="H8" s="79">
        <f t="shared" si="8"/>
        <v>60000</v>
      </c>
      <c r="I8" s="611">
        <f t="shared" si="9"/>
        <v>2557260.045</v>
      </c>
      <c r="J8" s="610">
        <v>2.67</v>
      </c>
      <c r="K8" s="591"/>
      <c r="L8" s="6"/>
      <c r="M8" s="9">
        <v>20000.0</v>
      </c>
      <c r="N8" s="79">
        <f t="shared" si="10"/>
        <v>60000</v>
      </c>
      <c r="O8" s="6">
        <f t="shared" si="2"/>
        <v>30979.9555</v>
      </c>
      <c r="P8" s="6"/>
      <c r="Q8" s="6">
        <f t="shared" si="11"/>
        <v>10358.32712</v>
      </c>
      <c r="R8" s="6">
        <f t="shared" si="12"/>
        <v>30979.9555</v>
      </c>
      <c r="S8" s="81">
        <f t="shared" si="3"/>
        <v>179.48943</v>
      </c>
      <c r="T8" s="6"/>
      <c r="U8" s="6"/>
      <c r="V8" s="6"/>
      <c r="W8" s="6"/>
      <c r="X8" s="6"/>
    </row>
    <row r="9" ht="11.25" customHeight="1">
      <c r="A9" s="38"/>
      <c r="B9" s="39">
        <f t="shared" si="4"/>
        <v>4</v>
      </c>
      <c r="C9" s="607">
        <v>20000.0</v>
      </c>
      <c r="D9" s="79">
        <f t="shared" si="5"/>
        <v>5689.903599</v>
      </c>
      <c r="E9" s="79">
        <f t="shared" si="1"/>
        <v>14310.0964</v>
      </c>
      <c r="F9" s="79">
        <f t="shared" si="6"/>
        <v>57050.0519</v>
      </c>
      <c r="G9" s="79">
        <f t="shared" si="7"/>
        <v>22949.9481</v>
      </c>
      <c r="H9" s="79">
        <f t="shared" si="8"/>
        <v>80000</v>
      </c>
      <c r="I9" s="611">
        <f t="shared" si="9"/>
        <v>2542949.948</v>
      </c>
      <c r="J9" s="610">
        <v>2.67</v>
      </c>
      <c r="K9" s="591"/>
      <c r="L9" s="6"/>
      <c r="M9" s="9">
        <v>20000.0</v>
      </c>
      <c r="N9" s="79">
        <f t="shared" si="10"/>
        <v>80000</v>
      </c>
      <c r="O9" s="6">
        <f t="shared" si="2"/>
        <v>41370.0519</v>
      </c>
      <c r="P9" s="6"/>
      <c r="Q9" s="6">
        <f t="shared" si="11"/>
        <v>10390.0964</v>
      </c>
      <c r="R9" s="6">
        <f t="shared" si="12"/>
        <v>41370.0519</v>
      </c>
      <c r="S9" s="81">
        <f t="shared" si="3"/>
        <v>180.2620717</v>
      </c>
      <c r="T9" s="6"/>
      <c r="U9" s="6"/>
      <c r="V9" s="6"/>
      <c r="W9" s="6"/>
      <c r="X9" s="6"/>
    </row>
    <row r="10" ht="11.25" customHeight="1">
      <c r="A10" s="38"/>
      <c r="B10" s="39">
        <f t="shared" si="4"/>
        <v>5</v>
      </c>
      <c r="C10" s="607">
        <v>20000.0</v>
      </c>
      <c r="D10" s="79">
        <f t="shared" si="5"/>
        <v>5658.063635</v>
      </c>
      <c r="E10" s="79">
        <f t="shared" si="1"/>
        <v>14341.93637</v>
      </c>
      <c r="F10" s="79">
        <f t="shared" si="6"/>
        <v>71391.98826</v>
      </c>
      <c r="G10" s="79">
        <f t="shared" si="7"/>
        <v>28608.01174</v>
      </c>
      <c r="H10" s="79">
        <f t="shared" si="8"/>
        <v>100000</v>
      </c>
      <c r="I10" s="611">
        <f t="shared" si="9"/>
        <v>2528608.012</v>
      </c>
      <c r="J10" s="610">
        <v>2.67</v>
      </c>
      <c r="K10" s="591"/>
      <c r="L10" s="6"/>
      <c r="M10" s="9">
        <v>20000.0</v>
      </c>
      <c r="N10" s="79">
        <f t="shared" si="10"/>
        <v>100000</v>
      </c>
      <c r="O10" s="6">
        <f t="shared" si="2"/>
        <v>51791.98826</v>
      </c>
      <c r="P10" s="6"/>
      <c r="Q10" s="6">
        <f t="shared" si="11"/>
        <v>10421.93637</v>
      </c>
      <c r="R10" s="6">
        <f t="shared" si="12"/>
        <v>51791.98826</v>
      </c>
      <c r="S10" s="81">
        <f t="shared" si="3"/>
        <v>181.0401532</v>
      </c>
      <c r="T10" s="6"/>
      <c r="U10" s="6"/>
      <c r="V10" s="6"/>
      <c r="W10" s="6"/>
      <c r="X10" s="6"/>
    </row>
    <row r="11" ht="11.25" customHeight="1">
      <c r="A11" s="38"/>
      <c r="B11" s="39">
        <f t="shared" si="4"/>
        <v>6</v>
      </c>
      <c r="C11" s="607">
        <v>20000.0</v>
      </c>
      <c r="D11" s="79">
        <f t="shared" si="5"/>
        <v>5626.152826</v>
      </c>
      <c r="E11" s="79">
        <f t="shared" si="1"/>
        <v>14373.84717</v>
      </c>
      <c r="F11" s="79">
        <f t="shared" si="6"/>
        <v>85765.83544</v>
      </c>
      <c r="G11" s="79">
        <f t="shared" si="7"/>
        <v>34234.16456</v>
      </c>
      <c r="H11" s="79">
        <f t="shared" si="8"/>
        <v>120000</v>
      </c>
      <c r="I11" s="611">
        <f t="shared" si="9"/>
        <v>2514234.165</v>
      </c>
      <c r="J11" s="610">
        <v>2.67</v>
      </c>
      <c r="K11" s="591"/>
      <c r="L11" s="6"/>
      <c r="M11" s="9">
        <v>20000.0</v>
      </c>
      <c r="N11" s="79">
        <f t="shared" si="10"/>
        <v>120000</v>
      </c>
      <c r="O11" s="6">
        <f t="shared" si="2"/>
        <v>62245.83544</v>
      </c>
      <c r="P11" s="6"/>
      <c r="Q11" s="6">
        <f t="shared" si="11"/>
        <v>10453.84717</v>
      </c>
      <c r="R11" s="6">
        <f t="shared" si="12"/>
        <v>62245.83544</v>
      </c>
      <c r="S11" s="81">
        <f t="shared" si="3"/>
        <v>181.8237315</v>
      </c>
      <c r="T11" s="6"/>
      <c r="U11" s="6"/>
      <c r="V11" s="6"/>
      <c r="W11" s="6"/>
      <c r="X11" s="6"/>
    </row>
    <row r="12" ht="11.25" customHeight="1">
      <c r="A12" s="38"/>
      <c r="B12" s="39">
        <f t="shared" si="4"/>
        <v>7</v>
      </c>
      <c r="C12" s="607">
        <v>20000.0</v>
      </c>
      <c r="D12" s="79">
        <f t="shared" si="5"/>
        <v>5594.171016</v>
      </c>
      <c r="E12" s="79">
        <f t="shared" si="1"/>
        <v>14405.82898</v>
      </c>
      <c r="F12" s="79">
        <f t="shared" si="6"/>
        <v>100171.6644</v>
      </c>
      <c r="G12" s="79">
        <f t="shared" si="7"/>
        <v>39828.33558</v>
      </c>
      <c r="H12" s="79">
        <f t="shared" si="8"/>
        <v>140000</v>
      </c>
      <c r="I12" s="611">
        <f t="shared" si="9"/>
        <v>2499828.336</v>
      </c>
      <c r="J12" s="610">
        <v>2.67</v>
      </c>
      <c r="K12" s="591"/>
      <c r="L12" s="6"/>
      <c r="M12" s="9">
        <v>20000.0</v>
      </c>
      <c r="N12" s="79">
        <f t="shared" si="10"/>
        <v>140000</v>
      </c>
      <c r="O12" s="6">
        <f t="shared" si="2"/>
        <v>72731.66442</v>
      </c>
      <c r="P12" s="6"/>
      <c r="Q12" s="6">
        <f t="shared" si="11"/>
        <v>10485.82898</v>
      </c>
      <c r="R12" s="6">
        <f t="shared" si="12"/>
        <v>72731.66442</v>
      </c>
      <c r="S12" s="81">
        <f t="shared" si="3"/>
        <v>182.6128644</v>
      </c>
      <c r="T12" s="6"/>
      <c r="U12" s="6"/>
      <c r="V12" s="6"/>
      <c r="W12" s="6"/>
      <c r="X12" s="6"/>
    </row>
    <row r="13" ht="11.25" customHeight="1">
      <c r="A13" s="38"/>
      <c r="B13" s="39">
        <f t="shared" si="4"/>
        <v>8</v>
      </c>
      <c r="C13" s="607">
        <v>20000.0</v>
      </c>
      <c r="D13" s="79">
        <f t="shared" si="5"/>
        <v>5562.118047</v>
      </c>
      <c r="E13" s="79">
        <f t="shared" si="1"/>
        <v>14437.88195</v>
      </c>
      <c r="F13" s="79">
        <f t="shared" si="6"/>
        <v>114609.5464</v>
      </c>
      <c r="G13" s="79">
        <f t="shared" si="7"/>
        <v>45390.45362</v>
      </c>
      <c r="H13" s="79">
        <f t="shared" si="8"/>
        <v>160000</v>
      </c>
      <c r="I13" s="611">
        <f t="shared" si="9"/>
        <v>2485390.454</v>
      </c>
      <c r="J13" s="610">
        <v>2.67</v>
      </c>
      <c r="K13" s="612"/>
      <c r="L13" s="6"/>
      <c r="M13" s="9">
        <v>20000.0</v>
      </c>
      <c r="N13" s="79">
        <f t="shared" si="10"/>
        <v>160000</v>
      </c>
      <c r="O13" s="6">
        <f t="shared" si="2"/>
        <v>83249.54638</v>
      </c>
      <c r="P13" s="6"/>
      <c r="Q13" s="6">
        <f t="shared" si="11"/>
        <v>10517.88195</v>
      </c>
      <c r="R13" s="6">
        <f t="shared" si="12"/>
        <v>83249.54638</v>
      </c>
      <c r="S13" s="81">
        <f t="shared" si="3"/>
        <v>183.4076105</v>
      </c>
      <c r="T13" s="6"/>
      <c r="U13" s="6"/>
      <c r="V13" s="6"/>
      <c r="W13" s="6"/>
      <c r="X13" s="6"/>
    </row>
    <row r="14" ht="11.25" customHeight="1">
      <c r="A14" s="38"/>
      <c r="B14" s="39">
        <f t="shared" si="4"/>
        <v>9</v>
      </c>
      <c r="C14" s="607">
        <v>20000.0</v>
      </c>
      <c r="D14" s="79">
        <f t="shared" si="5"/>
        <v>5529.993759</v>
      </c>
      <c r="E14" s="79">
        <f t="shared" si="1"/>
        <v>14470.00624</v>
      </c>
      <c r="F14" s="79">
        <f t="shared" si="6"/>
        <v>129079.5526</v>
      </c>
      <c r="G14" s="79">
        <f t="shared" si="7"/>
        <v>50920.44738</v>
      </c>
      <c r="H14" s="79">
        <f t="shared" si="8"/>
        <v>180000</v>
      </c>
      <c r="I14" s="611">
        <f t="shared" si="9"/>
        <v>2470920.447</v>
      </c>
      <c r="J14" s="610">
        <v>2.67</v>
      </c>
      <c r="K14" s="591"/>
      <c r="L14" s="6"/>
      <c r="M14" s="9">
        <v>20000.0</v>
      </c>
      <c r="N14" s="79">
        <f t="shared" si="10"/>
        <v>180000</v>
      </c>
      <c r="O14" s="6">
        <f t="shared" si="2"/>
        <v>93799.55262</v>
      </c>
      <c r="P14" s="6"/>
      <c r="Q14" s="6">
        <f t="shared" si="11"/>
        <v>10550.00624</v>
      </c>
      <c r="R14" s="6">
        <f t="shared" si="12"/>
        <v>93799.55262</v>
      </c>
      <c r="S14" s="81">
        <f t="shared" si="3"/>
        <v>184.2080293</v>
      </c>
      <c r="T14" s="6"/>
      <c r="U14" s="6"/>
      <c r="V14" s="6"/>
      <c r="W14" s="6"/>
      <c r="X14" s="6"/>
    </row>
    <row r="15" ht="11.25" customHeight="1">
      <c r="A15" s="38"/>
      <c r="B15" s="39">
        <f t="shared" si="4"/>
        <v>10</v>
      </c>
      <c r="C15" s="607">
        <v>20000.0</v>
      </c>
      <c r="D15" s="79">
        <f t="shared" si="5"/>
        <v>5497.797995</v>
      </c>
      <c r="E15" s="79">
        <f t="shared" si="1"/>
        <v>14502.202</v>
      </c>
      <c r="F15" s="79">
        <f t="shared" si="6"/>
        <v>143581.7546</v>
      </c>
      <c r="G15" s="79">
        <f t="shared" si="7"/>
        <v>56418.24538</v>
      </c>
      <c r="H15" s="79">
        <f t="shared" si="8"/>
        <v>200000</v>
      </c>
      <c r="I15" s="611">
        <f t="shared" si="9"/>
        <v>2456418.245</v>
      </c>
      <c r="J15" s="610">
        <v>2.67</v>
      </c>
      <c r="K15" s="591"/>
      <c r="L15" s="6"/>
      <c r="M15" s="9">
        <v>20000.0</v>
      </c>
      <c r="N15" s="79">
        <f t="shared" si="10"/>
        <v>200000</v>
      </c>
      <c r="O15" s="6">
        <f t="shared" si="2"/>
        <v>104381.7546</v>
      </c>
      <c r="P15" s="6"/>
      <c r="Q15" s="6">
        <f t="shared" si="11"/>
        <v>10582.202</v>
      </c>
      <c r="R15" s="6">
        <f t="shared" si="12"/>
        <v>104381.7546</v>
      </c>
      <c r="S15" s="81">
        <f t="shared" si="3"/>
        <v>185.014181</v>
      </c>
      <c r="T15" s="6"/>
      <c r="U15" s="6"/>
      <c r="V15" s="6"/>
      <c r="W15" s="6"/>
      <c r="X15" s="6"/>
    </row>
    <row r="16" ht="11.25" customHeight="1">
      <c r="A16" s="38"/>
      <c r="B16" s="39">
        <f t="shared" si="4"/>
        <v>11</v>
      </c>
      <c r="C16" s="607">
        <v>20000.0</v>
      </c>
      <c r="D16" s="79">
        <f t="shared" si="5"/>
        <v>5465.530596</v>
      </c>
      <c r="E16" s="79">
        <f t="shared" si="1"/>
        <v>14534.4694</v>
      </c>
      <c r="F16" s="79">
        <f t="shared" si="6"/>
        <v>158116.224</v>
      </c>
      <c r="G16" s="79">
        <f t="shared" si="7"/>
        <v>61883.77598</v>
      </c>
      <c r="H16" s="79">
        <f t="shared" si="8"/>
        <v>220000</v>
      </c>
      <c r="I16" s="611">
        <f t="shared" si="9"/>
        <v>2441883.776</v>
      </c>
      <c r="J16" s="610">
        <v>2.67</v>
      </c>
      <c r="K16" s="591"/>
      <c r="L16" s="6"/>
      <c r="M16" s="9">
        <v>20000.0</v>
      </c>
      <c r="N16" s="79">
        <f t="shared" si="10"/>
        <v>220000</v>
      </c>
      <c r="O16" s="6">
        <f t="shared" si="2"/>
        <v>114996.224</v>
      </c>
      <c r="P16" s="6"/>
      <c r="Q16" s="6">
        <f t="shared" si="11"/>
        <v>10614.4694</v>
      </c>
      <c r="R16" s="6">
        <f t="shared" si="12"/>
        <v>114996.224</v>
      </c>
      <c r="S16" s="81">
        <f t="shared" si="3"/>
        <v>185.8261268</v>
      </c>
      <c r="T16" s="6"/>
      <c r="U16" s="6"/>
      <c r="V16" s="6"/>
      <c r="W16" s="6"/>
      <c r="X16" s="6"/>
    </row>
    <row r="17" ht="11.25" customHeight="1">
      <c r="A17" s="47"/>
      <c r="B17" s="48">
        <f t="shared" si="4"/>
        <v>12</v>
      </c>
      <c r="C17" s="607">
        <v>20000.0</v>
      </c>
      <c r="D17" s="90">
        <f t="shared" si="5"/>
        <v>5433.191402</v>
      </c>
      <c r="E17" s="90">
        <f t="shared" si="1"/>
        <v>14566.8086</v>
      </c>
      <c r="F17" s="90">
        <f t="shared" si="6"/>
        <v>172683.0326</v>
      </c>
      <c r="G17" s="90">
        <f t="shared" si="7"/>
        <v>67316.96738</v>
      </c>
      <c r="H17" s="90">
        <f t="shared" si="8"/>
        <v>240000</v>
      </c>
      <c r="I17" s="613">
        <f t="shared" si="9"/>
        <v>2427316.967</v>
      </c>
      <c r="J17" s="610">
        <v>2.67</v>
      </c>
      <c r="K17" s="591"/>
      <c r="L17" s="6"/>
      <c r="M17" s="9">
        <v>20000.0</v>
      </c>
      <c r="N17" s="79">
        <f t="shared" si="10"/>
        <v>240000</v>
      </c>
      <c r="O17" s="6">
        <f t="shared" si="2"/>
        <v>125643.0326</v>
      </c>
      <c r="P17" s="6"/>
      <c r="Q17" s="6">
        <f t="shared" si="11"/>
        <v>10646.8086</v>
      </c>
      <c r="R17" s="6">
        <f t="shared" si="12"/>
        <v>125643.0326</v>
      </c>
      <c r="S17" s="81">
        <f t="shared" si="3"/>
        <v>186.6439287</v>
      </c>
      <c r="T17" s="6"/>
      <c r="U17" s="6"/>
      <c r="V17" s="6"/>
      <c r="W17" s="6"/>
      <c r="X17" s="6"/>
    </row>
    <row r="18" ht="11.25" customHeight="1">
      <c r="A18" s="606">
        <v>2.0</v>
      </c>
      <c r="B18" s="39">
        <f t="shared" si="4"/>
        <v>13</v>
      </c>
      <c r="C18" s="607">
        <v>20000.0</v>
      </c>
      <c r="D18" s="79">
        <f t="shared" si="5"/>
        <v>6907.739536</v>
      </c>
      <c r="E18" s="79">
        <f t="shared" si="1"/>
        <v>13092.26046</v>
      </c>
      <c r="F18" s="79">
        <f t="shared" si="6"/>
        <v>185775.2931</v>
      </c>
      <c r="G18" s="79">
        <f t="shared" si="7"/>
        <v>74224.70691</v>
      </c>
      <c r="H18" s="79">
        <f t="shared" si="8"/>
        <v>260000</v>
      </c>
      <c r="I18" s="611">
        <f t="shared" si="9"/>
        <v>2414224.707</v>
      </c>
      <c r="J18" s="610">
        <v>3.415</v>
      </c>
      <c r="K18" s="591"/>
      <c r="L18" s="6"/>
      <c r="M18" s="9">
        <v>20000.0</v>
      </c>
      <c r="N18" s="79">
        <f t="shared" si="10"/>
        <v>260000</v>
      </c>
      <c r="O18" s="6">
        <f t="shared" si="2"/>
        <v>134815.2931</v>
      </c>
      <c r="P18" s="6"/>
      <c r="Q18" s="6">
        <f t="shared" si="11"/>
        <v>9172.260464</v>
      </c>
      <c r="R18" s="6">
        <f t="shared" si="12"/>
        <v>134815.2931</v>
      </c>
      <c r="S18" s="81">
        <f t="shared" si="3"/>
        <v>181.6312906</v>
      </c>
      <c r="T18" s="6"/>
      <c r="U18" s="6"/>
      <c r="V18" s="6"/>
      <c r="W18" s="6"/>
      <c r="X18" s="6"/>
    </row>
    <row r="19" ht="11.25" customHeight="1">
      <c r="A19" s="54"/>
      <c r="B19" s="39">
        <f t="shared" si="4"/>
        <v>14</v>
      </c>
      <c r="C19" s="607">
        <v>20000.0</v>
      </c>
      <c r="D19" s="79">
        <f t="shared" si="5"/>
        <v>6870.481145</v>
      </c>
      <c r="E19" s="79">
        <f t="shared" si="1"/>
        <v>13129.51885</v>
      </c>
      <c r="F19" s="79">
        <f t="shared" si="6"/>
        <v>198904.8119</v>
      </c>
      <c r="G19" s="79">
        <f t="shared" si="7"/>
        <v>81095.18806</v>
      </c>
      <c r="H19" s="79">
        <f t="shared" si="8"/>
        <v>280000</v>
      </c>
      <c r="I19" s="611">
        <f t="shared" si="9"/>
        <v>2401095.188</v>
      </c>
      <c r="J19" s="610">
        <v>3.415</v>
      </c>
      <c r="K19" s="591"/>
      <c r="L19" s="6"/>
      <c r="M19" s="9">
        <v>20000.0</v>
      </c>
      <c r="N19" s="79">
        <f t="shared" si="10"/>
        <v>280000</v>
      </c>
      <c r="O19" s="6">
        <f t="shared" si="2"/>
        <v>144024.8119</v>
      </c>
      <c r="P19" s="6"/>
      <c r="Q19" s="6">
        <f t="shared" si="11"/>
        <v>9209.518855</v>
      </c>
      <c r="R19" s="6">
        <f t="shared" si="12"/>
        <v>144024.8119</v>
      </c>
      <c r="S19" s="81">
        <f t="shared" si="3"/>
        <v>177.5997015</v>
      </c>
      <c r="T19" s="6"/>
      <c r="U19" s="6"/>
      <c r="V19" s="6"/>
      <c r="W19" s="6"/>
      <c r="X19" s="6"/>
    </row>
    <row r="20" ht="11.25" customHeight="1">
      <c r="A20" s="38"/>
      <c r="B20" s="39">
        <f t="shared" si="4"/>
        <v>15</v>
      </c>
      <c r="C20" s="607">
        <v>20000.0</v>
      </c>
      <c r="D20" s="79">
        <f t="shared" si="5"/>
        <v>6833.116723</v>
      </c>
      <c r="E20" s="79">
        <f t="shared" si="1"/>
        <v>13166.88328</v>
      </c>
      <c r="F20" s="79">
        <f t="shared" si="6"/>
        <v>212071.6952</v>
      </c>
      <c r="G20" s="79">
        <f t="shared" si="7"/>
        <v>87928.30478</v>
      </c>
      <c r="H20" s="79">
        <f t="shared" si="8"/>
        <v>300000</v>
      </c>
      <c r="I20" s="611">
        <f t="shared" si="9"/>
        <v>2387928.305</v>
      </c>
      <c r="J20" s="610">
        <v>3.415</v>
      </c>
      <c r="K20" s="591"/>
      <c r="L20" s="6"/>
      <c r="M20" s="9">
        <v>20000.0</v>
      </c>
      <c r="N20" s="79">
        <f t="shared" si="10"/>
        <v>300000</v>
      </c>
      <c r="O20" s="6">
        <f t="shared" si="2"/>
        <v>153271.6952</v>
      </c>
      <c r="P20" s="6"/>
      <c r="Q20" s="6">
        <f t="shared" si="11"/>
        <v>9246.883277</v>
      </c>
      <c r="R20" s="6">
        <f t="shared" si="12"/>
        <v>153271.6952</v>
      </c>
      <c r="S20" s="81">
        <f t="shared" si="3"/>
        <v>174.3143981</v>
      </c>
      <c r="T20" s="6"/>
      <c r="U20" s="6"/>
      <c r="V20" s="6"/>
      <c r="W20" s="6"/>
      <c r="X20" s="6"/>
    </row>
    <row r="21" ht="11.25" customHeight="1">
      <c r="A21" s="38"/>
      <c r="B21" s="39">
        <f t="shared" si="4"/>
        <v>16</v>
      </c>
      <c r="C21" s="607">
        <v>20000.0</v>
      </c>
      <c r="D21" s="79">
        <f t="shared" si="5"/>
        <v>6795.645967</v>
      </c>
      <c r="E21" s="79">
        <f t="shared" si="1"/>
        <v>13204.35403</v>
      </c>
      <c r="F21" s="79">
        <f t="shared" si="6"/>
        <v>225276.0493</v>
      </c>
      <c r="G21" s="79">
        <f t="shared" si="7"/>
        <v>94723.95075</v>
      </c>
      <c r="H21" s="79">
        <f t="shared" si="8"/>
        <v>320000</v>
      </c>
      <c r="I21" s="611">
        <f t="shared" si="9"/>
        <v>2374723.951</v>
      </c>
      <c r="J21" s="610">
        <v>3.415</v>
      </c>
      <c r="K21" s="591"/>
      <c r="L21" s="6"/>
      <c r="M21" s="9">
        <v>20000.0</v>
      </c>
      <c r="N21" s="79">
        <f t="shared" si="10"/>
        <v>320000</v>
      </c>
      <c r="O21" s="6">
        <f t="shared" si="2"/>
        <v>162556.0493</v>
      </c>
      <c r="P21" s="6"/>
      <c r="Q21" s="6">
        <f t="shared" si="11"/>
        <v>9284.354033</v>
      </c>
      <c r="R21" s="6">
        <f t="shared" si="12"/>
        <v>162556.0493</v>
      </c>
      <c r="S21" s="81">
        <f t="shared" si="3"/>
        <v>171.6102928</v>
      </c>
      <c r="T21" s="6"/>
      <c r="U21" s="6"/>
      <c r="V21" s="6"/>
      <c r="W21" s="6"/>
      <c r="X21" s="6"/>
    </row>
    <row r="22" ht="11.25" customHeight="1">
      <c r="A22" s="38"/>
      <c r="B22" s="39">
        <f t="shared" si="4"/>
        <v>17</v>
      </c>
      <c r="C22" s="607">
        <v>20000.0</v>
      </c>
      <c r="D22" s="79">
        <f t="shared" si="5"/>
        <v>6758.068577</v>
      </c>
      <c r="E22" s="79">
        <f t="shared" si="1"/>
        <v>13241.93142</v>
      </c>
      <c r="F22" s="79">
        <f t="shared" si="6"/>
        <v>238517.9807</v>
      </c>
      <c r="G22" s="79">
        <f t="shared" si="7"/>
        <v>101482.0193</v>
      </c>
      <c r="H22" s="79">
        <f t="shared" si="8"/>
        <v>340000</v>
      </c>
      <c r="I22" s="611">
        <f t="shared" si="9"/>
        <v>2361482.019</v>
      </c>
      <c r="J22" s="610">
        <v>3.415</v>
      </c>
      <c r="K22" s="591"/>
      <c r="L22" s="6"/>
      <c r="M22" s="9">
        <v>20000.0</v>
      </c>
      <c r="N22" s="79">
        <f t="shared" si="10"/>
        <v>340000</v>
      </c>
      <c r="O22" s="6">
        <f t="shared" si="2"/>
        <v>171877.9807</v>
      </c>
      <c r="P22" s="6"/>
      <c r="Q22" s="6">
        <f t="shared" si="11"/>
        <v>9321.931423</v>
      </c>
      <c r="R22" s="6">
        <f t="shared" si="12"/>
        <v>171877.9807</v>
      </c>
      <c r="S22" s="81">
        <f t="shared" si="3"/>
        <v>169.3679154</v>
      </c>
      <c r="T22" s="6"/>
      <c r="U22" s="6"/>
      <c r="V22" s="6"/>
      <c r="W22" s="6"/>
      <c r="X22" s="6"/>
    </row>
    <row r="23" ht="11.25" customHeight="1">
      <c r="A23" s="38"/>
      <c r="B23" s="39">
        <f t="shared" si="4"/>
        <v>18</v>
      </c>
      <c r="C23" s="607">
        <v>20000.0</v>
      </c>
      <c r="D23" s="79">
        <f t="shared" si="5"/>
        <v>6720.384247</v>
      </c>
      <c r="E23" s="79">
        <f t="shared" si="1"/>
        <v>13279.61575</v>
      </c>
      <c r="F23" s="79">
        <f t="shared" si="6"/>
        <v>251797.5964</v>
      </c>
      <c r="G23" s="79">
        <f t="shared" si="7"/>
        <v>108202.4036</v>
      </c>
      <c r="H23" s="79">
        <f t="shared" si="8"/>
        <v>360000</v>
      </c>
      <c r="I23" s="611">
        <f t="shared" si="9"/>
        <v>2348202.404</v>
      </c>
      <c r="J23" s="610">
        <v>3.415</v>
      </c>
      <c r="K23" s="591"/>
      <c r="L23" s="6"/>
      <c r="M23" s="9">
        <v>20000.0</v>
      </c>
      <c r="N23" s="79">
        <f t="shared" si="10"/>
        <v>360000</v>
      </c>
      <c r="O23" s="6">
        <f t="shared" si="2"/>
        <v>181237.5964</v>
      </c>
      <c r="P23" s="6"/>
      <c r="Q23" s="6">
        <f t="shared" si="11"/>
        <v>9359.615753</v>
      </c>
      <c r="R23" s="6">
        <f t="shared" si="12"/>
        <v>181237.5964</v>
      </c>
      <c r="S23" s="81">
        <f t="shared" si="3"/>
        <v>167.4986788</v>
      </c>
      <c r="T23" s="6"/>
      <c r="U23" s="6"/>
      <c r="V23" s="6"/>
      <c r="W23" s="6"/>
      <c r="X23" s="6"/>
    </row>
    <row r="24" ht="11.25" customHeight="1">
      <c r="A24" s="38"/>
      <c r="B24" s="39">
        <f t="shared" si="4"/>
        <v>19</v>
      </c>
      <c r="C24" s="607">
        <v>20000.0</v>
      </c>
      <c r="D24" s="79">
        <f t="shared" si="5"/>
        <v>6682.592673</v>
      </c>
      <c r="E24" s="79">
        <f t="shared" si="1"/>
        <v>13317.40733</v>
      </c>
      <c r="F24" s="79">
        <f t="shared" si="6"/>
        <v>265115.0038</v>
      </c>
      <c r="G24" s="79">
        <f t="shared" si="7"/>
        <v>114884.9962</v>
      </c>
      <c r="H24" s="79">
        <f t="shared" si="8"/>
        <v>380000</v>
      </c>
      <c r="I24" s="611">
        <f t="shared" si="9"/>
        <v>2334884.996</v>
      </c>
      <c r="J24" s="610">
        <v>3.415</v>
      </c>
      <c r="K24" s="591"/>
      <c r="L24" s="6"/>
      <c r="M24" s="9">
        <v>20000.0</v>
      </c>
      <c r="N24" s="79">
        <f t="shared" si="10"/>
        <v>380000</v>
      </c>
      <c r="O24" s="6">
        <f t="shared" si="2"/>
        <v>190635.0038</v>
      </c>
      <c r="P24" s="6"/>
      <c r="Q24" s="6">
        <f t="shared" si="11"/>
        <v>9397.407327</v>
      </c>
      <c r="R24" s="6">
        <f t="shared" si="12"/>
        <v>190635.0038</v>
      </c>
      <c r="S24" s="81">
        <f t="shared" si="3"/>
        <v>165.9355094</v>
      </c>
      <c r="T24" s="6"/>
      <c r="U24" s="6"/>
      <c r="V24" s="6"/>
      <c r="W24" s="6"/>
      <c r="X24" s="6"/>
    </row>
    <row r="25" ht="11.25" customHeight="1">
      <c r="A25" s="38"/>
      <c r="B25" s="39">
        <f t="shared" si="4"/>
        <v>20</v>
      </c>
      <c r="C25" s="607">
        <v>20000.0</v>
      </c>
      <c r="D25" s="79">
        <f t="shared" si="5"/>
        <v>6644.693552</v>
      </c>
      <c r="E25" s="79">
        <f t="shared" si="1"/>
        <v>13355.30645</v>
      </c>
      <c r="F25" s="79">
        <f t="shared" si="6"/>
        <v>278470.3102</v>
      </c>
      <c r="G25" s="79">
        <f t="shared" si="7"/>
        <v>121529.6898</v>
      </c>
      <c r="H25" s="79">
        <f t="shared" si="8"/>
        <v>400000</v>
      </c>
      <c r="I25" s="611">
        <f t="shared" si="9"/>
        <v>2321529.69</v>
      </c>
      <c r="J25" s="610">
        <v>3.415</v>
      </c>
      <c r="K25" s="591"/>
      <c r="L25" s="6"/>
      <c r="M25" s="9">
        <v>20000.0</v>
      </c>
      <c r="N25" s="79">
        <f t="shared" si="10"/>
        <v>400000</v>
      </c>
      <c r="O25" s="6">
        <f t="shared" si="2"/>
        <v>200070.3102</v>
      </c>
      <c r="P25" s="6"/>
      <c r="Q25" s="6">
        <f t="shared" si="11"/>
        <v>9435.306448</v>
      </c>
      <c r="R25" s="6">
        <f t="shared" si="12"/>
        <v>200070.3102</v>
      </c>
      <c r="S25" s="81">
        <f t="shared" si="3"/>
        <v>164.6266937</v>
      </c>
      <c r="T25" s="6"/>
      <c r="U25" s="6"/>
      <c r="V25" s="6"/>
      <c r="W25" s="6"/>
      <c r="X25" s="6"/>
    </row>
    <row r="26" ht="11.25" customHeight="1">
      <c r="A26" s="38"/>
      <c r="B26" s="39">
        <f t="shared" si="4"/>
        <v>21</v>
      </c>
      <c r="C26" s="607">
        <v>20000.0</v>
      </c>
      <c r="D26" s="79">
        <f t="shared" si="5"/>
        <v>6606.686576</v>
      </c>
      <c r="E26" s="79">
        <f t="shared" si="1"/>
        <v>13393.31342</v>
      </c>
      <c r="F26" s="79">
        <f t="shared" si="6"/>
        <v>291863.6236</v>
      </c>
      <c r="G26" s="79">
        <f t="shared" si="7"/>
        <v>128136.3764</v>
      </c>
      <c r="H26" s="79">
        <f t="shared" si="8"/>
        <v>420000</v>
      </c>
      <c r="I26" s="611">
        <f t="shared" si="9"/>
        <v>2308136.376</v>
      </c>
      <c r="J26" s="610">
        <v>3.415</v>
      </c>
      <c r="K26" s="591"/>
      <c r="L26" s="6"/>
      <c r="M26" s="9">
        <v>20000.0</v>
      </c>
      <c r="N26" s="79">
        <f t="shared" si="10"/>
        <v>420000</v>
      </c>
      <c r="O26" s="6">
        <f t="shared" si="2"/>
        <v>209543.6236</v>
      </c>
      <c r="P26" s="6"/>
      <c r="Q26" s="6">
        <f t="shared" si="11"/>
        <v>9473.313424</v>
      </c>
      <c r="R26" s="6">
        <f t="shared" si="12"/>
        <v>209543.6236</v>
      </c>
      <c r="S26" s="81">
        <f t="shared" si="3"/>
        <v>163.5317227</v>
      </c>
      <c r="T26" s="6"/>
      <c r="U26" s="6"/>
      <c r="V26" s="6"/>
      <c r="W26" s="6"/>
      <c r="X26" s="6"/>
    </row>
    <row r="27" ht="11.25" customHeight="1">
      <c r="A27" s="38"/>
      <c r="B27" s="39">
        <f t="shared" si="4"/>
        <v>22</v>
      </c>
      <c r="C27" s="607">
        <v>20000.0</v>
      </c>
      <c r="D27" s="79">
        <f t="shared" si="5"/>
        <v>6568.571438</v>
      </c>
      <c r="E27" s="79">
        <f t="shared" si="1"/>
        <v>13431.42856</v>
      </c>
      <c r="F27" s="79">
        <f t="shared" si="6"/>
        <v>305295.0522</v>
      </c>
      <c r="G27" s="79">
        <f t="shared" si="7"/>
        <v>134704.9478</v>
      </c>
      <c r="H27" s="79">
        <f t="shared" si="8"/>
        <v>440000</v>
      </c>
      <c r="I27" s="611">
        <f t="shared" si="9"/>
        <v>2294704.948</v>
      </c>
      <c r="J27" s="610">
        <v>3.415</v>
      </c>
      <c r="K27" s="591"/>
      <c r="L27" s="6"/>
      <c r="M27" s="9">
        <v>20000.0</v>
      </c>
      <c r="N27" s="79">
        <f t="shared" si="10"/>
        <v>440000</v>
      </c>
      <c r="O27" s="6">
        <f t="shared" si="2"/>
        <v>219055.0522</v>
      </c>
      <c r="P27" s="6"/>
      <c r="Q27" s="6">
        <f t="shared" si="11"/>
        <v>9511.428562</v>
      </c>
      <c r="R27" s="6">
        <f t="shared" si="12"/>
        <v>219055.0522</v>
      </c>
      <c r="S27" s="81">
        <f t="shared" si="3"/>
        <v>162.6184158</v>
      </c>
      <c r="T27" s="6"/>
      <c r="U27" s="6"/>
      <c r="V27" s="6"/>
      <c r="W27" s="6"/>
      <c r="X27" s="6"/>
    </row>
    <row r="28" ht="11.25" customHeight="1">
      <c r="A28" s="56"/>
      <c r="B28" s="39">
        <f t="shared" si="4"/>
        <v>23</v>
      </c>
      <c r="C28" s="607">
        <v>20000.0</v>
      </c>
      <c r="D28" s="79">
        <f t="shared" si="5"/>
        <v>6530.347831</v>
      </c>
      <c r="E28" s="79">
        <f t="shared" si="1"/>
        <v>13469.65217</v>
      </c>
      <c r="F28" s="79">
        <f t="shared" si="6"/>
        <v>318764.7044</v>
      </c>
      <c r="G28" s="79">
        <f t="shared" si="7"/>
        <v>141235.2956</v>
      </c>
      <c r="H28" s="79">
        <f t="shared" si="8"/>
        <v>460000</v>
      </c>
      <c r="I28" s="611">
        <f t="shared" si="9"/>
        <v>2281235.296</v>
      </c>
      <c r="J28" s="610">
        <v>3.415</v>
      </c>
      <c r="K28" s="591"/>
      <c r="L28" s="6"/>
      <c r="M28" s="9">
        <v>20000.0</v>
      </c>
      <c r="N28" s="79">
        <f t="shared" si="10"/>
        <v>460000</v>
      </c>
      <c r="O28" s="6">
        <f t="shared" si="2"/>
        <v>228604.7044</v>
      </c>
      <c r="P28" s="6"/>
      <c r="Q28" s="6">
        <f t="shared" si="11"/>
        <v>9549.652169</v>
      </c>
      <c r="R28" s="6">
        <f t="shared" si="12"/>
        <v>228604.7044</v>
      </c>
      <c r="S28" s="81">
        <f t="shared" si="3"/>
        <v>161.8608885</v>
      </c>
      <c r="T28" s="6"/>
      <c r="U28" s="6"/>
      <c r="V28" s="6"/>
      <c r="W28" s="6"/>
      <c r="X28" s="6"/>
    </row>
    <row r="29" ht="11.25" customHeight="1">
      <c r="A29" s="57"/>
      <c r="B29" s="48">
        <f t="shared" si="4"/>
        <v>24</v>
      </c>
      <c r="C29" s="607">
        <v>20000.0</v>
      </c>
      <c r="D29" s="90">
        <f t="shared" si="5"/>
        <v>6492.015446</v>
      </c>
      <c r="E29" s="90">
        <f t="shared" si="1"/>
        <v>13507.98455</v>
      </c>
      <c r="F29" s="90">
        <f t="shared" si="6"/>
        <v>332272.6889</v>
      </c>
      <c r="G29" s="90">
        <f t="shared" si="7"/>
        <v>147727.3111</v>
      </c>
      <c r="H29" s="90">
        <f t="shared" si="8"/>
        <v>480000</v>
      </c>
      <c r="I29" s="613">
        <f t="shared" si="9"/>
        <v>2267727.311</v>
      </c>
      <c r="J29" s="610">
        <v>3.415</v>
      </c>
      <c r="K29" s="591"/>
      <c r="L29" s="6"/>
      <c r="M29" s="9">
        <v>20000.0</v>
      </c>
      <c r="N29" s="79">
        <f t="shared" si="10"/>
        <v>480000</v>
      </c>
      <c r="O29" s="6">
        <f t="shared" si="2"/>
        <v>238192.6889</v>
      </c>
      <c r="P29" s="6"/>
      <c r="Q29" s="6">
        <f t="shared" si="11"/>
        <v>9587.984554</v>
      </c>
      <c r="R29" s="6">
        <f t="shared" si="12"/>
        <v>238192.6889</v>
      </c>
      <c r="S29" s="81">
        <f t="shared" si="3"/>
        <v>161.238086</v>
      </c>
      <c r="T29" s="6"/>
      <c r="U29" s="6"/>
      <c r="V29" s="6"/>
      <c r="W29" s="6"/>
      <c r="X29" s="6"/>
    </row>
    <row r="30" ht="11.25" customHeight="1">
      <c r="A30" s="606">
        <v>3.0</v>
      </c>
      <c r="B30" s="39">
        <f t="shared" si="4"/>
        <v>25</v>
      </c>
      <c r="C30" s="607">
        <v>20000.0</v>
      </c>
      <c r="D30" s="79">
        <f t="shared" si="5"/>
        <v>6453.573973</v>
      </c>
      <c r="E30" s="79">
        <f t="shared" si="1"/>
        <v>13546.42603</v>
      </c>
      <c r="F30" s="79">
        <f t="shared" si="6"/>
        <v>345819.1149</v>
      </c>
      <c r="G30" s="79">
        <f t="shared" si="7"/>
        <v>154180.8851</v>
      </c>
      <c r="H30" s="79">
        <f t="shared" si="8"/>
        <v>500000</v>
      </c>
      <c r="I30" s="611">
        <f t="shared" si="9"/>
        <v>2254180.885</v>
      </c>
      <c r="J30" s="610">
        <v>3.415</v>
      </c>
      <c r="K30" s="591"/>
      <c r="L30" s="6"/>
      <c r="M30" s="9">
        <v>20000.0</v>
      </c>
      <c r="N30" s="79">
        <f t="shared" si="10"/>
        <v>500000</v>
      </c>
      <c r="O30" s="6">
        <f t="shared" si="2"/>
        <v>247819.1149</v>
      </c>
      <c r="P30" s="6"/>
      <c r="Q30" s="6">
        <f t="shared" si="11"/>
        <v>9626.426027</v>
      </c>
      <c r="R30" s="6">
        <f t="shared" si="12"/>
        <v>247819.1149</v>
      </c>
      <c r="S30" s="81">
        <f t="shared" si="3"/>
        <v>160.7327101</v>
      </c>
      <c r="T30" s="6"/>
      <c r="U30" s="6"/>
      <c r="V30" s="6"/>
      <c r="W30" s="6"/>
      <c r="X30" s="6"/>
    </row>
    <row r="31" ht="11.25" customHeight="1">
      <c r="A31" s="54"/>
      <c r="B31" s="39">
        <f t="shared" si="4"/>
        <v>26</v>
      </c>
      <c r="C31" s="607">
        <v>20000.0</v>
      </c>
      <c r="D31" s="79">
        <f t="shared" si="5"/>
        <v>6415.023102</v>
      </c>
      <c r="E31" s="79">
        <f t="shared" si="1"/>
        <v>13584.9769</v>
      </c>
      <c r="F31" s="79">
        <f t="shared" si="6"/>
        <v>359404.0918</v>
      </c>
      <c r="G31" s="79">
        <f t="shared" si="7"/>
        <v>160595.9082</v>
      </c>
      <c r="H31" s="79">
        <f t="shared" si="8"/>
        <v>520000</v>
      </c>
      <c r="I31" s="611">
        <f t="shared" si="9"/>
        <v>2240595.908</v>
      </c>
      <c r="J31" s="610">
        <v>3.415</v>
      </c>
      <c r="K31" s="591"/>
      <c r="L31" s="6"/>
      <c r="M31" s="9">
        <v>20000.0</v>
      </c>
      <c r="N31" s="79">
        <f t="shared" si="10"/>
        <v>520000</v>
      </c>
      <c r="O31" s="6">
        <f t="shared" si="2"/>
        <v>257484.0918</v>
      </c>
      <c r="P31" s="6"/>
      <c r="Q31" s="6">
        <f t="shared" si="11"/>
        <v>9664.976898</v>
      </c>
      <c r="R31" s="6">
        <f t="shared" si="12"/>
        <v>257484.0918</v>
      </c>
      <c r="S31" s="81">
        <f t="shared" si="3"/>
        <v>160.3304186</v>
      </c>
      <c r="T31" s="6"/>
      <c r="U31" s="6"/>
      <c r="V31" s="6"/>
      <c r="W31" s="6"/>
      <c r="X31" s="6"/>
    </row>
    <row r="32" ht="11.25" customHeight="1">
      <c r="B32" s="63">
        <f t="shared" si="4"/>
        <v>27</v>
      </c>
      <c r="C32" s="607">
        <v>20000.0</v>
      </c>
      <c r="D32" s="79">
        <f t="shared" si="5"/>
        <v>6376.362522</v>
      </c>
      <c r="E32" s="79">
        <f t="shared" si="1"/>
        <v>13623.63748</v>
      </c>
      <c r="F32" s="79">
        <f t="shared" si="6"/>
        <v>373027.7293</v>
      </c>
      <c r="G32" s="79">
        <f t="shared" si="7"/>
        <v>166972.2707</v>
      </c>
      <c r="H32" s="79">
        <f t="shared" si="8"/>
        <v>540000</v>
      </c>
      <c r="I32" s="611">
        <f t="shared" si="9"/>
        <v>2226972.271</v>
      </c>
      <c r="J32" s="610">
        <v>3.415</v>
      </c>
      <c r="K32" s="591"/>
      <c r="L32" s="6"/>
      <c r="M32" s="9">
        <v>20000.0</v>
      </c>
      <c r="N32" s="79">
        <f t="shared" si="10"/>
        <v>540000</v>
      </c>
      <c r="O32" s="6">
        <f t="shared" si="2"/>
        <v>267187.7293</v>
      </c>
      <c r="P32" s="6"/>
      <c r="Q32" s="6">
        <f t="shared" si="11"/>
        <v>9703.637478</v>
      </c>
      <c r="R32" s="6">
        <f t="shared" si="12"/>
        <v>267187.7293</v>
      </c>
      <c r="S32" s="81">
        <f t="shared" si="3"/>
        <v>160.0192225</v>
      </c>
      <c r="T32" s="6"/>
      <c r="U32" s="6"/>
      <c r="V32" s="6"/>
      <c r="W32" s="6"/>
      <c r="X32" s="6"/>
    </row>
    <row r="33" ht="11.25" customHeight="1">
      <c r="A33" s="38"/>
      <c r="B33" s="39">
        <f t="shared" si="4"/>
        <v>28</v>
      </c>
      <c r="C33" s="607">
        <v>20000.0</v>
      </c>
      <c r="D33" s="79">
        <f t="shared" si="5"/>
        <v>6337.59192</v>
      </c>
      <c r="E33" s="79">
        <f t="shared" si="1"/>
        <v>13662.40808</v>
      </c>
      <c r="F33" s="79">
        <f t="shared" si="6"/>
        <v>386690.1374</v>
      </c>
      <c r="G33" s="79">
        <f t="shared" si="7"/>
        <v>173309.8626</v>
      </c>
      <c r="H33" s="79">
        <f t="shared" si="8"/>
        <v>560000</v>
      </c>
      <c r="I33" s="611">
        <f t="shared" si="9"/>
        <v>2213309.863</v>
      </c>
      <c r="J33" s="610">
        <v>3.415</v>
      </c>
      <c r="K33" s="591"/>
      <c r="L33" s="6"/>
      <c r="M33" s="9">
        <v>20000.0</v>
      </c>
      <c r="N33" s="79">
        <f t="shared" si="10"/>
        <v>560000</v>
      </c>
      <c r="O33" s="6">
        <f t="shared" si="2"/>
        <v>276930.1374</v>
      </c>
      <c r="P33" s="6"/>
      <c r="Q33" s="6">
        <f t="shared" si="11"/>
        <v>9742.40808</v>
      </c>
      <c r="R33" s="6">
        <f t="shared" si="12"/>
        <v>276930.1374</v>
      </c>
      <c r="S33" s="81">
        <f t="shared" si="3"/>
        <v>159.7890237</v>
      </c>
      <c r="T33" s="6"/>
      <c r="U33" s="6"/>
      <c r="V33" s="6"/>
      <c r="W33" s="6"/>
      <c r="X33" s="6"/>
    </row>
    <row r="34" ht="11.25" customHeight="1">
      <c r="A34" s="38"/>
      <c r="B34" s="39">
        <f t="shared" si="4"/>
        <v>29</v>
      </c>
      <c r="C34" s="607">
        <v>20000.0</v>
      </c>
      <c r="D34" s="79">
        <f t="shared" si="5"/>
        <v>6298.710984</v>
      </c>
      <c r="E34" s="79">
        <f t="shared" si="1"/>
        <v>13701.28902</v>
      </c>
      <c r="F34" s="79">
        <f t="shared" si="6"/>
        <v>400391.4264</v>
      </c>
      <c r="G34" s="79">
        <f t="shared" si="7"/>
        <v>179608.5736</v>
      </c>
      <c r="H34" s="79">
        <f t="shared" si="8"/>
        <v>580000</v>
      </c>
      <c r="I34" s="611">
        <f t="shared" si="9"/>
        <v>2199608.574</v>
      </c>
      <c r="J34" s="610">
        <v>3.415</v>
      </c>
      <c r="K34" s="591"/>
      <c r="L34" s="6"/>
      <c r="M34" s="9">
        <v>20000.0</v>
      </c>
      <c r="N34" s="79">
        <f t="shared" si="10"/>
        <v>580000</v>
      </c>
      <c r="O34" s="6">
        <f t="shared" si="2"/>
        <v>286711.4264</v>
      </c>
      <c r="P34" s="6"/>
      <c r="Q34" s="6">
        <f t="shared" si="11"/>
        <v>9781.289016</v>
      </c>
      <c r="R34" s="6">
        <f t="shared" si="12"/>
        <v>286711.4264</v>
      </c>
      <c r="S34" s="81">
        <f t="shared" si="3"/>
        <v>159.6312585</v>
      </c>
      <c r="T34" s="6"/>
      <c r="U34" s="6"/>
      <c r="V34" s="6"/>
      <c r="W34" s="6"/>
      <c r="X34" s="6"/>
    </row>
    <row r="35" ht="11.25" customHeight="1">
      <c r="A35" s="38"/>
      <c r="B35" s="39">
        <f t="shared" si="4"/>
        <v>30</v>
      </c>
      <c r="C35" s="607">
        <v>20000.0</v>
      </c>
      <c r="D35" s="79">
        <f t="shared" si="5"/>
        <v>6259.719399</v>
      </c>
      <c r="E35" s="79">
        <f t="shared" si="1"/>
        <v>13740.2806</v>
      </c>
      <c r="F35" s="79">
        <f t="shared" si="6"/>
        <v>414131.707</v>
      </c>
      <c r="G35" s="79">
        <f t="shared" si="7"/>
        <v>185868.293</v>
      </c>
      <c r="H35" s="79">
        <f t="shared" si="8"/>
        <v>600000</v>
      </c>
      <c r="I35" s="611">
        <f t="shared" si="9"/>
        <v>2185868.293</v>
      </c>
      <c r="J35" s="610">
        <v>3.415</v>
      </c>
      <c r="K35" s="591"/>
      <c r="L35" s="6"/>
      <c r="M35" s="9">
        <v>20000.0</v>
      </c>
      <c r="N35" s="79">
        <f t="shared" si="10"/>
        <v>600000</v>
      </c>
      <c r="O35" s="6">
        <f t="shared" si="2"/>
        <v>296531.707</v>
      </c>
      <c r="P35" s="6"/>
      <c r="Q35" s="6">
        <f t="shared" si="11"/>
        <v>9820.280601</v>
      </c>
      <c r="R35" s="6">
        <f t="shared" si="12"/>
        <v>296531.707</v>
      </c>
      <c r="S35" s="81">
        <f t="shared" si="3"/>
        <v>159.5386186</v>
      </c>
      <c r="T35" s="6"/>
      <c r="U35" s="6"/>
      <c r="V35" s="6"/>
      <c r="W35" s="6"/>
      <c r="X35" s="6"/>
    </row>
    <row r="36" ht="11.25" customHeight="1">
      <c r="A36" s="38"/>
      <c r="B36" s="39">
        <f t="shared" si="4"/>
        <v>31</v>
      </c>
      <c r="C36" s="607">
        <v>20000.0</v>
      </c>
      <c r="D36" s="79">
        <f t="shared" si="5"/>
        <v>6220.61685</v>
      </c>
      <c r="E36" s="79">
        <f t="shared" si="1"/>
        <v>13779.38315</v>
      </c>
      <c r="F36" s="79">
        <f t="shared" si="6"/>
        <v>427911.0902</v>
      </c>
      <c r="G36" s="79">
        <f t="shared" si="7"/>
        <v>192088.9098</v>
      </c>
      <c r="H36" s="79">
        <f t="shared" si="8"/>
        <v>620000</v>
      </c>
      <c r="I36" s="611">
        <f t="shared" si="9"/>
        <v>2172088.91</v>
      </c>
      <c r="J36" s="610">
        <v>3.415</v>
      </c>
      <c r="K36" s="591"/>
      <c r="L36" s="6"/>
      <c r="M36" s="9">
        <v>20000.0</v>
      </c>
      <c r="N36" s="79">
        <f t="shared" si="10"/>
        <v>620000</v>
      </c>
      <c r="O36" s="6">
        <f t="shared" si="2"/>
        <v>306391.0902</v>
      </c>
      <c r="P36" s="6"/>
      <c r="Q36" s="6">
        <f t="shared" si="11"/>
        <v>9859.38315</v>
      </c>
      <c r="R36" s="6">
        <f t="shared" si="12"/>
        <v>306391.0902</v>
      </c>
      <c r="S36" s="81">
        <f t="shared" si="3"/>
        <v>159.5048306</v>
      </c>
      <c r="T36" s="6"/>
      <c r="U36" s="6"/>
      <c r="V36" s="6"/>
      <c r="W36" s="6"/>
      <c r="X36" s="6"/>
    </row>
    <row r="37" ht="11.25" customHeight="1">
      <c r="A37" s="38"/>
      <c r="B37" s="39">
        <f t="shared" si="4"/>
        <v>32</v>
      </c>
      <c r="C37" s="607">
        <v>20000.0</v>
      </c>
      <c r="D37" s="79">
        <f t="shared" si="5"/>
        <v>6181.403023</v>
      </c>
      <c r="E37" s="79">
        <f t="shared" si="1"/>
        <v>13818.59698</v>
      </c>
      <c r="F37" s="79">
        <f t="shared" si="6"/>
        <v>441729.6871</v>
      </c>
      <c r="G37" s="79">
        <f t="shared" si="7"/>
        <v>198270.3129</v>
      </c>
      <c r="H37" s="79">
        <f t="shared" si="8"/>
        <v>640000</v>
      </c>
      <c r="I37" s="611">
        <f t="shared" si="9"/>
        <v>2158270.313</v>
      </c>
      <c r="J37" s="610">
        <v>3.415</v>
      </c>
      <c r="K37" s="591"/>
      <c r="L37" s="6"/>
      <c r="M37" s="9">
        <v>20000.0</v>
      </c>
      <c r="N37" s="79">
        <f t="shared" si="10"/>
        <v>640000</v>
      </c>
      <c r="O37" s="6">
        <f t="shared" si="2"/>
        <v>316289.6871</v>
      </c>
      <c r="P37" s="6"/>
      <c r="Q37" s="6">
        <f t="shared" si="11"/>
        <v>9898.596977</v>
      </c>
      <c r="R37" s="6">
        <f t="shared" si="12"/>
        <v>316289.6871</v>
      </c>
      <c r="S37" s="81">
        <f t="shared" si="3"/>
        <v>159.5244808</v>
      </c>
      <c r="T37" s="6"/>
      <c r="U37" s="6"/>
      <c r="V37" s="6"/>
      <c r="W37" s="6"/>
      <c r="X37" s="6"/>
    </row>
    <row r="38" ht="11.25" customHeight="1">
      <c r="A38" s="38"/>
      <c r="B38" s="39">
        <f t="shared" si="4"/>
        <v>33</v>
      </c>
      <c r="C38" s="607">
        <v>20000.0</v>
      </c>
      <c r="D38" s="79">
        <f t="shared" si="5"/>
        <v>6142.077599</v>
      </c>
      <c r="E38" s="79">
        <f t="shared" si="1"/>
        <v>13857.9224</v>
      </c>
      <c r="F38" s="79">
        <f t="shared" si="6"/>
        <v>455587.6095</v>
      </c>
      <c r="G38" s="79">
        <f t="shared" si="7"/>
        <v>204412.3905</v>
      </c>
      <c r="H38" s="79">
        <f t="shared" si="8"/>
        <v>660000</v>
      </c>
      <c r="I38" s="611">
        <f t="shared" si="9"/>
        <v>2144412.39</v>
      </c>
      <c r="J38" s="610">
        <v>3.415</v>
      </c>
      <c r="K38" s="591"/>
      <c r="L38" s="6"/>
      <c r="M38" s="9">
        <v>20000.0</v>
      </c>
      <c r="N38" s="79">
        <f t="shared" si="10"/>
        <v>660000</v>
      </c>
      <c r="O38" s="6">
        <f t="shared" si="2"/>
        <v>326227.6095</v>
      </c>
      <c r="P38" s="6"/>
      <c r="Q38" s="6">
        <f t="shared" si="11"/>
        <v>9937.922401</v>
      </c>
      <c r="R38" s="6">
        <f t="shared" si="12"/>
        <v>326227.6095</v>
      </c>
      <c r="S38" s="81">
        <f t="shared" si="3"/>
        <v>159.5928744</v>
      </c>
      <c r="T38" s="6"/>
      <c r="U38" s="6"/>
      <c r="V38" s="6"/>
      <c r="W38" s="6"/>
      <c r="X38" s="6"/>
    </row>
    <row r="39" ht="11.25" customHeight="1">
      <c r="A39" s="38"/>
      <c r="B39" s="39">
        <f t="shared" si="4"/>
        <v>34</v>
      </c>
      <c r="C39" s="607">
        <v>20000.0</v>
      </c>
      <c r="D39" s="79">
        <f t="shared" si="5"/>
        <v>6102.640261</v>
      </c>
      <c r="E39" s="79">
        <f t="shared" si="1"/>
        <v>13897.35974</v>
      </c>
      <c r="F39" s="79">
        <f t="shared" si="6"/>
        <v>469484.9693</v>
      </c>
      <c r="G39" s="79">
        <f t="shared" si="7"/>
        <v>210515.0307</v>
      </c>
      <c r="H39" s="79">
        <f t="shared" si="8"/>
        <v>680000</v>
      </c>
      <c r="I39" s="611">
        <f t="shared" si="9"/>
        <v>2130515.031</v>
      </c>
      <c r="J39" s="610">
        <v>3.415</v>
      </c>
      <c r="K39" s="591"/>
      <c r="L39" s="6"/>
      <c r="M39" s="9">
        <v>20000.0</v>
      </c>
      <c r="N39" s="79">
        <f t="shared" si="10"/>
        <v>680000</v>
      </c>
      <c r="O39" s="6">
        <f t="shared" si="2"/>
        <v>336204.9693</v>
      </c>
      <c r="P39" s="6"/>
      <c r="Q39" s="6">
        <f t="shared" si="11"/>
        <v>9977.359739</v>
      </c>
      <c r="R39" s="6">
        <f t="shared" si="12"/>
        <v>336204.9693</v>
      </c>
      <c r="S39" s="81">
        <f t="shared" si="3"/>
        <v>159.7059213</v>
      </c>
      <c r="T39" s="6"/>
      <c r="U39" s="6"/>
      <c r="V39" s="6"/>
      <c r="W39" s="6"/>
      <c r="X39" s="6"/>
    </row>
    <row r="40" ht="11.25" customHeight="1">
      <c r="A40" s="64"/>
      <c r="B40" s="39">
        <f t="shared" si="4"/>
        <v>35</v>
      </c>
      <c r="C40" s="607">
        <v>20000.0</v>
      </c>
      <c r="D40" s="79">
        <f t="shared" si="5"/>
        <v>6063.090692</v>
      </c>
      <c r="E40" s="79">
        <f t="shared" si="1"/>
        <v>13936.90931</v>
      </c>
      <c r="F40" s="79">
        <f t="shared" si="6"/>
        <v>483421.8786</v>
      </c>
      <c r="G40" s="79">
        <f t="shared" si="7"/>
        <v>216578.1214</v>
      </c>
      <c r="H40" s="79">
        <f t="shared" si="8"/>
        <v>700000</v>
      </c>
      <c r="I40" s="611">
        <f t="shared" si="9"/>
        <v>2116578.121</v>
      </c>
      <c r="J40" s="610">
        <v>3.415</v>
      </c>
      <c r="K40" s="591"/>
      <c r="L40" s="6"/>
      <c r="M40" s="9">
        <v>20000.0</v>
      </c>
      <c r="N40" s="79">
        <f t="shared" si="10"/>
        <v>700000</v>
      </c>
      <c r="O40" s="6">
        <f t="shared" si="2"/>
        <v>346221.8786</v>
      </c>
      <c r="P40" s="6"/>
      <c r="Q40" s="6">
        <f t="shared" si="11"/>
        <v>10016.90931</v>
      </c>
      <c r="R40" s="6">
        <f t="shared" si="12"/>
        <v>346221.8786</v>
      </c>
      <c r="S40" s="81">
        <f t="shared" si="3"/>
        <v>159.8600433</v>
      </c>
      <c r="T40" s="6"/>
      <c r="U40" s="6"/>
      <c r="V40" s="6"/>
      <c r="W40" s="6"/>
      <c r="X40" s="6"/>
    </row>
    <row r="41" ht="11.25" customHeight="1">
      <c r="A41" s="57"/>
      <c r="B41" s="48">
        <f t="shared" si="4"/>
        <v>36</v>
      </c>
      <c r="C41" s="607">
        <v>20000.0</v>
      </c>
      <c r="D41" s="90">
        <f t="shared" si="5"/>
        <v>6023.428571</v>
      </c>
      <c r="E41" s="90">
        <f t="shared" si="1"/>
        <v>13976.57143</v>
      </c>
      <c r="F41" s="90">
        <f t="shared" si="6"/>
        <v>497398.45</v>
      </c>
      <c r="G41" s="90">
        <f t="shared" si="7"/>
        <v>222601.55</v>
      </c>
      <c r="H41" s="90">
        <f t="shared" si="8"/>
        <v>720000</v>
      </c>
      <c r="I41" s="613">
        <f t="shared" si="9"/>
        <v>2102601.55</v>
      </c>
      <c r="J41" s="610">
        <v>3.415</v>
      </c>
      <c r="K41" s="591"/>
      <c r="L41" s="6"/>
      <c r="M41" s="9">
        <v>20000.0</v>
      </c>
      <c r="N41" s="79">
        <f t="shared" si="10"/>
        <v>720000</v>
      </c>
      <c r="O41" s="6">
        <f t="shared" si="2"/>
        <v>356278.45</v>
      </c>
      <c r="P41" s="6"/>
      <c r="Q41" s="6">
        <f t="shared" si="11"/>
        <v>10056.57143</v>
      </c>
      <c r="R41" s="6">
        <f t="shared" si="12"/>
        <v>356278.45</v>
      </c>
      <c r="S41" s="81">
        <f t="shared" si="3"/>
        <v>160.0520976</v>
      </c>
      <c r="T41" s="6"/>
      <c r="U41" s="6"/>
      <c r="V41" s="6"/>
      <c r="W41" s="6"/>
      <c r="X41" s="6"/>
    </row>
    <row r="42" ht="11.25" customHeight="1">
      <c r="A42" s="606">
        <v>4.0</v>
      </c>
      <c r="B42" s="39">
        <f t="shared" si="4"/>
        <v>37</v>
      </c>
      <c r="C42" s="607">
        <v>20000.0</v>
      </c>
      <c r="D42" s="79">
        <f t="shared" si="5"/>
        <v>12484.1967</v>
      </c>
      <c r="E42" s="79">
        <f t="shared" si="1"/>
        <v>7515.803297</v>
      </c>
      <c r="F42" s="79">
        <f t="shared" si="6"/>
        <v>504914.2533</v>
      </c>
      <c r="G42" s="79">
        <f t="shared" si="7"/>
        <v>235085.7467</v>
      </c>
      <c r="H42" s="79">
        <f t="shared" si="8"/>
        <v>740000</v>
      </c>
      <c r="I42" s="611">
        <f t="shared" si="9"/>
        <v>2095085.747</v>
      </c>
      <c r="J42" s="610">
        <v>7.125</v>
      </c>
      <c r="K42" s="612"/>
      <c r="L42" s="6"/>
      <c r="M42" s="9">
        <v>20000.0</v>
      </c>
      <c r="N42" s="79">
        <f t="shared" si="10"/>
        <v>740000</v>
      </c>
      <c r="O42" s="6">
        <f t="shared" si="2"/>
        <v>359874.2533</v>
      </c>
      <c r="P42" s="6"/>
      <c r="Q42" s="6">
        <f t="shared" si="11"/>
        <v>3595.803297</v>
      </c>
      <c r="R42" s="6">
        <f t="shared" si="12"/>
        <v>359874.2533</v>
      </c>
      <c r="S42" s="81">
        <f t="shared" si="3"/>
        <v>153.0821236</v>
      </c>
      <c r="T42" s="6"/>
      <c r="U42" s="6"/>
      <c r="V42" s="6"/>
      <c r="W42" s="6"/>
      <c r="X42" s="6"/>
    </row>
    <row r="43" ht="11.25" customHeight="1">
      <c r="A43" s="54"/>
      <c r="B43" s="39">
        <f t="shared" si="4"/>
        <v>38</v>
      </c>
      <c r="C43" s="607">
        <v>20000.0</v>
      </c>
      <c r="D43" s="79">
        <f t="shared" si="5"/>
        <v>12439.57162</v>
      </c>
      <c r="E43" s="79">
        <f t="shared" si="1"/>
        <v>7560.428379</v>
      </c>
      <c r="F43" s="79">
        <f t="shared" si="6"/>
        <v>512474.6817</v>
      </c>
      <c r="G43" s="79">
        <f t="shared" si="7"/>
        <v>247525.3183</v>
      </c>
      <c r="H43" s="79">
        <f t="shared" si="8"/>
        <v>760000</v>
      </c>
      <c r="I43" s="611">
        <f t="shared" si="9"/>
        <v>2087525.318</v>
      </c>
      <c r="J43" s="610">
        <v>7.125</v>
      </c>
      <c r="K43" s="591"/>
      <c r="L43" s="6"/>
      <c r="M43" s="9">
        <v>20000.0</v>
      </c>
      <c r="N43" s="79">
        <f t="shared" si="10"/>
        <v>760000</v>
      </c>
      <c r="O43" s="6">
        <f t="shared" si="2"/>
        <v>363514.6817</v>
      </c>
      <c r="P43" s="6"/>
      <c r="Q43" s="6">
        <f t="shared" si="11"/>
        <v>3640.428379</v>
      </c>
      <c r="R43" s="6">
        <f t="shared" si="12"/>
        <v>363514.6817</v>
      </c>
      <c r="S43" s="81">
        <f t="shared" si="3"/>
        <v>146.8595957</v>
      </c>
      <c r="T43" s="6"/>
      <c r="U43" s="6"/>
      <c r="V43" s="6"/>
      <c r="W43" s="6"/>
      <c r="X43" s="6"/>
    </row>
    <row r="44" ht="11.25" customHeight="1">
      <c r="B44" s="63">
        <f t="shared" si="4"/>
        <v>39</v>
      </c>
      <c r="C44" s="607">
        <v>20000.0</v>
      </c>
      <c r="D44" s="79">
        <f t="shared" si="5"/>
        <v>12394.68158</v>
      </c>
      <c r="E44" s="79">
        <f t="shared" si="1"/>
        <v>7605.318423</v>
      </c>
      <c r="F44" s="79">
        <f t="shared" si="6"/>
        <v>520080.0001</v>
      </c>
      <c r="G44" s="79">
        <f t="shared" si="7"/>
        <v>259919.9999</v>
      </c>
      <c r="H44" s="79">
        <f t="shared" si="8"/>
        <v>780000</v>
      </c>
      <c r="I44" s="611">
        <f t="shared" si="9"/>
        <v>2079920</v>
      </c>
      <c r="J44" s="610">
        <v>7.125</v>
      </c>
      <c r="K44" s="591"/>
      <c r="L44" s="6"/>
      <c r="M44" s="9">
        <v>20000.0</v>
      </c>
      <c r="N44" s="79">
        <f t="shared" si="10"/>
        <v>780000</v>
      </c>
      <c r="O44" s="6">
        <f t="shared" si="2"/>
        <v>367200.0001</v>
      </c>
      <c r="P44" s="6"/>
      <c r="Q44" s="6">
        <f t="shared" si="11"/>
        <v>3685.318423</v>
      </c>
      <c r="R44" s="6">
        <f t="shared" si="12"/>
        <v>367200.0001</v>
      </c>
      <c r="S44" s="81">
        <f t="shared" si="3"/>
        <v>141.2742383</v>
      </c>
      <c r="T44" s="6"/>
      <c r="U44" s="6"/>
      <c r="V44" s="6"/>
      <c r="W44" s="6"/>
      <c r="X44" s="6"/>
    </row>
    <row r="45" ht="11.25" customHeight="1">
      <c r="A45" s="38"/>
      <c r="B45" s="39">
        <f t="shared" si="4"/>
        <v>40</v>
      </c>
      <c r="C45" s="607">
        <v>20000.0</v>
      </c>
      <c r="D45" s="79">
        <f t="shared" si="5"/>
        <v>12349.525</v>
      </c>
      <c r="E45" s="79">
        <f t="shared" si="1"/>
        <v>7650.475001</v>
      </c>
      <c r="F45" s="79">
        <f t="shared" si="6"/>
        <v>527730.4751</v>
      </c>
      <c r="G45" s="79">
        <f t="shared" si="7"/>
        <v>272269.5249</v>
      </c>
      <c r="H45" s="79">
        <f t="shared" si="8"/>
        <v>800000</v>
      </c>
      <c r="I45" s="611">
        <f t="shared" si="9"/>
        <v>2072269.525</v>
      </c>
      <c r="J45" s="610">
        <v>7.125</v>
      </c>
      <c r="K45" s="591"/>
      <c r="L45" s="6"/>
      <c r="M45" s="9">
        <v>20000.0</v>
      </c>
      <c r="N45" s="79">
        <f t="shared" si="10"/>
        <v>800000</v>
      </c>
      <c r="O45" s="6">
        <f t="shared" si="2"/>
        <v>370930.4751</v>
      </c>
      <c r="P45" s="6"/>
      <c r="Q45" s="6">
        <f t="shared" si="11"/>
        <v>3730.475001</v>
      </c>
      <c r="R45" s="6">
        <f t="shared" si="12"/>
        <v>370930.4751</v>
      </c>
      <c r="S45" s="81">
        <f t="shared" si="3"/>
        <v>136.2365014</v>
      </c>
      <c r="T45" s="6"/>
      <c r="U45" s="6"/>
      <c r="V45" s="6"/>
      <c r="W45" s="6"/>
      <c r="X45" s="6"/>
    </row>
    <row r="46" ht="11.25" customHeight="1">
      <c r="A46" s="56"/>
      <c r="B46" s="39">
        <f t="shared" si="4"/>
        <v>41</v>
      </c>
      <c r="C46" s="607">
        <v>20000.0</v>
      </c>
      <c r="D46" s="79">
        <f t="shared" si="5"/>
        <v>12304.1003</v>
      </c>
      <c r="E46" s="79">
        <f t="shared" si="1"/>
        <v>7695.899696</v>
      </c>
      <c r="F46" s="79">
        <f t="shared" si="6"/>
        <v>535426.3748</v>
      </c>
      <c r="G46" s="79">
        <f t="shared" si="7"/>
        <v>284573.6252</v>
      </c>
      <c r="H46" s="79">
        <f t="shared" si="8"/>
        <v>820000</v>
      </c>
      <c r="I46" s="611">
        <f t="shared" si="9"/>
        <v>2064573.625</v>
      </c>
      <c r="J46" s="610">
        <v>7.125</v>
      </c>
      <c r="K46" s="591"/>
      <c r="L46" s="6"/>
      <c r="M46" s="9">
        <v>20000.0</v>
      </c>
      <c r="N46" s="79">
        <f t="shared" si="10"/>
        <v>820000</v>
      </c>
      <c r="O46" s="6">
        <f t="shared" si="2"/>
        <v>374706.3748</v>
      </c>
      <c r="P46" s="6"/>
      <c r="Q46" s="6">
        <f t="shared" si="11"/>
        <v>3775.899696</v>
      </c>
      <c r="R46" s="6">
        <f t="shared" si="12"/>
        <v>374706.3748</v>
      </c>
      <c r="S46" s="81">
        <f t="shared" si="3"/>
        <v>131.6729105</v>
      </c>
      <c r="T46" s="6"/>
      <c r="U46" s="6"/>
      <c r="V46" s="6"/>
      <c r="W46" s="6"/>
      <c r="X46" s="6"/>
    </row>
    <row r="47" ht="11.25" customHeight="1">
      <c r="A47" s="38"/>
      <c r="B47" s="39">
        <f t="shared" si="4"/>
        <v>42</v>
      </c>
      <c r="C47" s="607">
        <v>20000.0</v>
      </c>
      <c r="D47" s="79">
        <f t="shared" si="5"/>
        <v>12258.4059</v>
      </c>
      <c r="E47" s="79">
        <f t="shared" si="1"/>
        <v>7741.5941</v>
      </c>
      <c r="F47" s="79">
        <f t="shared" si="6"/>
        <v>543167.9689</v>
      </c>
      <c r="G47" s="79">
        <f t="shared" si="7"/>
        <v>296832.0311</v>
      </c>
      <c r="H47" s="79">
        <f t="shared" si="8"/>
        <v>840000</v>
      </c>
      <c r="I47" s="611">
        <f t="shared" si="9"/>
        <v>2056832.031</v>
      </c>
      <c r="J47" s="610">
        <v>7.125</v>
      </c>
      <c r="K47" s="591"/>
      <c r="L47" s="6"/>
      <c r="M47" s="9">
        <v>20000.0</v>
      </c>
      <c r="N47" s="79">
        <f t="shared" si="10"/>
        <v>840000</v>
      </c>
      <c r="O47" s="6">
        <f t="shared" si="2"/>
        <v>378527.9689</v>
      </c>
      <c r="P47" s="6"/>
      <c r="Q47" s="6">
        <f t="shared" si="11"/>
        <v>3821.5941</v>
      </c>
      <c r="R47" s="6">
        <f t="shared" si="12"/>
        <v>378527.9689</v>
      </c>
      <c r="S47" s="81">
        <f t="shared" si="3"/>
        <v>127.5226152</v>
      </c>
      <c r="T47" s="6"/>
      <c r="U47" s="6"/>
      <c r="V47" s="6"/>
      <c r="W47" s="6"/>
      <c r="X47" s="6"/>
    </row>
    <row r="48" ht="11.25" customHeight="1">
      <c r="A48" s="38"/>
      <c r="B48" s="39">
        <f t="shared" si="4"/>
        <v>43</v>
      </c>
      <c r="C48" s="607">
        <v>20000.0</v>
      </c>
      <c r="D48" s="79">
        <f t="shared" si="5"/>
        <v>12212.44018</v>
      </c>
      <c r="E48" s="79">
        <f t="shared" si="1"/>
        <v>7787.559815</v>
      </c>
      <c r="F48" s="79">
        <f t="shared" si="6"/>
        <v>550955.5287</v>
      </c>
      <c r="G48" s="79">
        <f t="shared" si="7"/>
        <v>309044.4713</v>
      </c>
      <c r="H48" s="79">
        <f t="shared" si="8"/>
        <v>860000</v>
      </c>
      <c r="I48" s="611">
        <f t="shared" si="9"/>
        <v>2049044.471</v>
      </c>
      <c r="J48" s="610">
        <v>7.125</v>
      </c>
      <c r="K48" s="591"/>
      <c r="L48" s="6"/>
      <c r="M48" s="9">
        <v>20000.0</v>
      </c>
      <c r="N48" s="79">
        <f t="shared" si="10"/>
        <v>860000</v>
      </c>
      <c r="O48" s="6">
        <f t="shared" si="2"/>
        <v>382395.5287</v>
      </c>
      <c r="P48" s="6"/>
      <c r="Q48" s="6">
        <f t="shared" si="11"/>
        <v>3867.559815</v>
      </c>
      <c r="R48" s="6">
        <f t="shared" si="12"/>
        <v>382395.5287</v>
      </c>
      <c r="S48" s="81">
        <f t="shared" si="3"/>
        <v>123.7347904</v>
      </c>
      <c r="T48" s="6"/>
      <c r="U48" s="6"/>
      <c r="V48" s="6"/>
      <c r="W48" s="6"/>
      <c r="X48" s="6"/>
    </row>
    <row r="49" ht="11.25" customHeight="1">
      <c r="A49" s="38"/>
      <c r="B49" s="39">
        <f t="shared" si="4"/>
        <v>44</v>
      </c>
      <c r="C49" s="607">
        <v>20000.0</v>
      </c>
      <c r="D49" s="79">
        <f t="shared" si="5"/>
        <v>12166.20155</v>
      </c>
      <c r="E49" s="79">
        <f t="shared" si="1"/>
        <v>7833.798452</v>
      </c>
      <c r="F49" s="79">
        <f t="shared" si="6"/>
        <v>558789.3272</v>
      </c>
      <c r="G49" s="79">
        <f t="shared" si="7"/>
        <v>321210.6728</v>
      </c>
      <c r="H49" s="79">
        <f t="shared" si="8"/>
        <v>880000</v>
      </c>
      <c r="I49" s="611">
        <f t="shared" si="9"/>
        <v>2041210.673</v>
      </c>
      <c r="J49" s="610">
        <v>7.125</v>
      </c>
      <c r="K49" s="591"/>
      <c r="L49" s="6"/>
      <c r="M49" s="9">
        <v>20000.0</v>
      </c>
      <c r="N49" s="79">
        <f t="shared" si="10"/>
        <v>880000</v>
      </c>
      <c r="O49" s="6">
        <f t="shared" si="2"/>
        <v>386309.3272</v>
      </c>
      <c r="P49" s="6"/>
      <c r="Q49" s="6">
        <f t="shared" si="11"/>
        <v>3913.798452</v>
      </c>
      <c r="R49" s="6">
        <f t="shared" si="12"/>
        <v>386309.3272</v>
      </c>
      <c r="S49" s="81">
        <f t="shared" si="3"/>
        <v>120.2666536</v>
      </c>
      <c r="T49" s="6"/>
      <c r="U49" s="6"/>
      <c r="V49" s="6"/>
      <c r="W49" s="6"/>
      <c r="X49" s="6"/>
    </row>
    <row r="50" ht="11.25" customHeight="1">
      <c r="A50" s="56"/>
      <c r="B50" s="39">
        <f t="shared" si="4"/>
        <v>45</v>
      </c>
      <c r="C50" s="607">
        <v>20000.0</v>
      </c>
      <c r="D50" s="79">
        <f t="shared" si="5"/>
        <v>12119.68837</v>
      </c>
      <c r="E50" s="79">
        <f t="shared" si="1"/>
        <v>7880.31163</v>
      </c>
      <c r="F50" s="79">
        <f t="shared" si="6"/>
        <v>566669.6388</v>
      </c>
      <c r="G50" s="79">
        <f t="shared" si="7"/>
        <v>333330.3612</v>
      </c>
      <c r="H50" s="79">
        <f t="shared" si="8"/>
        <v>900000</v>
      </c>
      <c r="I50" s="611">
        <f t="shared" si="9"/>
        <v>2033330.361</v>
      </c>
      <c r="J50" s="610">
        <v>7.125</v>
      </c>
      <c r="K50" s="591"/>
      <c r="L50" s="6"/>
      <c r="M50" s="9">
        <v>20000.0</v>
      </c>
      <c r="N50" s="79">
        <f t="shared" si="10"/>
        <v>900000</v>
      </c>
      <c r="O50" s="6">
        <f t="shared" si="2"/>
        <v>390269.6388</v>
      </c>
      <c r="P50" s="6"/>
      <c r="Q50" s="6">
        <f t="shared" si="11"/>
        <v>3960.31163</v>
      </c>
      <c r="R50" s="6">
        <f t="shared" si="12"/>
        <v>390269.6388</v>
      </c>
      <c r="S50" s="81">
        <f t="shared" si="3"/>
        <v>117.0819356</v>
      </c>
      <c r="T50" s="6"/>
      <c r="U50" s="6"/>
      <c r="V50" s="6"/>
      <c r="W50" s="6"/>
      <c r="X50" s="6"/>
    </row>
    <row r="51" ht="11.25" customHeight="1">
      <c r="A51" s="38"/>
      <c r="B51" s="39">
        <f t="shared" si="4"/>
        <v>46</v>
      </c>
      <c r="C51" s="607">
        <v>20000.0</v>
      </c>
      <c r="D51" s="79">
        <f t="shared" si="5"/>
        <v>12072.89902</v>
      </c>
      <c r="E51" s="79">
        <f t="shared" si="1"/>
        <v>7927.10098</v>
      </c>
      <c r="F51" s="79">
        <f t="shared" si="6"/>
        <v>574596.7398</v>
      </c>
      <c r="G51" s="79">
        <f t="shared" si="7"/>
        <v>345403.2602</v>
      </c>
      <c r="H51" s="79">
        <f t="shared" si="8"/>
        <v>920000</v>
      </c>
      <c r="I51" s="614">
        <f t="shared" si="9"/>
        <v>2025403.26</v>
      </c>
      <c r="J51" s="610">
        <v>7.125</v>
      </c>
      <c r="K51" s="591"/>
      <c r="L51" s="6"/>
      <c r="M51" s="9">
        <v>20000.0</v>
      </c>
      <c r="N51" s="79">
        <f t="shared" si="10"/>
        <v>920000</v>
      </c>
      <c r="O51" s="6">
        <f t="shared" si="2"/>
        <v>394276.7398</v>
      </c>
      <c r="P51" s="6"/>
      <c r="Q51" s="6">
        <f t="shared" si="11"/>
        <v>4007.10098</v>
      </c>
      <c r="R51" s="6">
        <f t="shared" si="12"/>
        <v>394276.7398</v>
      </c>
      <c r="S51" s="81">
        <f t="shared" si="3"/>
        <v>114.1496868</v>
      </c>
      <c r="T51" s="6"/>
      <c r="U51" s="6"/>
      <c r="V51" s="6"/>
      <c r="W51" s="6"/>
      <c r="X51" s="6"/>
    </row>
    <row r="52" ht="11.25" customHeight="1">
      <c r="A52" s="38"/>
      <c r="B52" s="39">
        <f t="shared" si="4"/>
        <v>47</v>
      </c>
      <c r="C52" s="607">
        <v>20000.0</v>
      </c>
      <c r="D52" s="79">
        <f t="shared" si="5"/>
        <v>12025.83186</v>
      </c>
      <c r="E52" s="79">
        <f t="shared" si="1"/>
        <v>7974.168143</v>
      </c>
      <c r="F52" s="79">
        <f t="shared" si="6"/>
        <v>582570.9079</v>
      </c>
      <c r="G52" s="79">
        <f t="shared" si="7"/>
        <v>357429.0921</v>
      </c>
      <c r="H52" s="615">
        <f t="shared" si="8"/>
        <v>940000</v>
      </c>
      <c r="I52" s="614">
        <f t="shared" si="9"/>
        <v>2017429.092</v>
      </c>
      <c r="J52" s="610">
        <v>7.125</v>
      </c>
      <c r="K52" s="591"/>
      <c r="L52" s="6"/>
      <c r="M52" s="9">
        <v>20000.0</v>
      </c>
      <c r="N52" s="79">
        <f t="shared" si="10"/>
        <v>940000</v>
      </c>
      <c r="O52" s="6">
        <f t="shared" si="2"/>
        <v>398330.9079</v>
      </c>
      <c r="P52" s="6"/>
      <c r="Q52" s="6">
        <f t="shared" si="11"/>
        <v>4054.168143</v>
      </c>
      <c r="R52" s="6">
        <f t="shared" si="12"/>
        <v>398330.9079</v>
      </c>
      <c r="S52" s="81">
        <f t="shared" si="3"/>
        <v>111.4433371</v>
      </c>
      <c r="T52" s="6"/>
      <c r="U52" s="6"/>
      <c r="V52" s="6"/>
      <c r="W52" s="6"/>
      <c r="X52" s="6"/>
    </row>
    <row r="53" ht="11.25" customHeight="1">
      <c r="A53" s="57"/>
      <c r="B53" s="48">
        <f t="shared" si="4"/>
        <v>48</v>
      </c>
      <c r="C53" s="607">
        <v>20000.0</v>
      </c>
      <c r="D53" s="90">
        <f t="shared" si="5"/>
        <v>11978.48523</v>
      </c>
      <c r="E53" s="90">
        <f t="shared" si="1"/>
        <v>8021.514766</v>
      </c>
      <c r="F53" s="90">
        <f t="shared" si="6"/>
        <v>590592.4227</v>
      </c>
      <c r="G53" s="90">
        <f t="shared" si="7"/>
        <v>369407.5773</v>
      </c>
      <c r="H53" s="616">
        <f t="shared" si="8"/>
        <v>960000</v>
      </c>
      <c r="I53" s="614">
        <f t="shared" si="9"/>
        <v>2009407.577</v>
      </c>
      <c r="J53" s="610">
        <v>7.125</v>
      </c>
      <c r="K53" s="591"/>
      <c r="L53" s="6"/>
      <c r="M53" s="9">
        <v>20000.0</v>
      </c>
      <c r="N53" s="79">
        <f t="shared" si="10"/>
        <v>960000</v>
      </c>
      <c r="O53" s="6">
        <f t="shared" si="2"/>
        <v>402432.4227</v>
      </c>
      <c r="P53" s="6"/>
      <c r="Q53" s="6">
        <f t="shared" si="11"/>
        <v>4101.514766</v>
      </c>
      <c r="R53" s="6">
        <f t="shared" si="12"/>
        <v>402432.4227</v>
      </c>
      <c r="S53" s="81">
        <f t="shared" si="3"/>
        <v>108.939948</v>
      </c>
      <c r="T53" s="6"/>
      <c r="U53" s="6"/>
      <c r="V53" s="6"/>
      <c r="W53" s="6"/>
      <c r="X53" s="6"/>
    </row>
    <row r="54" ht="11.25" customHeight="1">
      <c r="A54" s="100">
        <v>5.0</v>
      </c>
      <c r="B54" s="66">
        <f t="shared" ref="B54:B365" si="13">B53+1</f>
        <v>49</v>
      </c>
      <c r="C54" s="607">
        <v>20000.0</v>
      </c>
      <c r="D54" s="617">
        <f t="shared" ref="D54:D365" si="14">(I53*J54%)/12</f>
        <v>11930.85749</v>
      </c>
      <c r="E54" s="617">
        <f t="shared" si="1"/>
        <v>8069.14251</v>
      </c>
      <c r="F54" s="617">
        <f t="shared" si="6"/>
        <v>598661.5652</v>
      </c>
      <c r="G54" s="617">
        <f t="shared" si="7"/>
        <v>381338.4348</v>
      </c>
      <c r="H54" s="617">
        <f t="shared" si="8"/>
        <v>980000</v>
      </c>
      <c r="I54" s="617">
        <f t="shared" si="9"/>
        <v>2001338.435</v>
      </c>
      <c r="J54" s="610">
        <v>7.125</v>
      </c>
      <c r="K54" s="591"/>
      <c r="L54" s="6"/>
      <c r="M54" s="9">
        <v>20000.0</v>
      </c>
      <c r="N54" s="79">
        <f t="shared" si="10"/>
        <v>980000</v>
      </c>
      <c r="O54" s="6">
        <f t="shared" si="2"/>
        <v>406581.5652</v>
      </c>
      <c r="P54" s="6"/>
      <c r="Q54" s="6">
        <f t="shared" si="11"/>
        <v>4149.14251</v>
      </c>
      <c r="R54" s="6">
        <f t="shared" si="12"/>
        <v>406581.5652</v>
      </c>
      <c r="S54" s="81">
        <f t="shared" si="3"/>
        <v>106.6196135</v>
      </c>
      <c r="T54" s="6"/>
      <c r="U54" s="6"/>
      <c r="V54" s="6"/>
      <c r="W54" s="6"/>
      <c r="X54" s="6"/>
    </row>
    <row r="55" ht="11.25" customHeight="1">
      <c r="A55" s="618"/>
      <c r="B55" s="68">
        <f t="shared" si="13"/>
        <v>50</v>
      </c>
      <c r="C55" s="607">
        <v>20000.0</v>
      </c>
      <c r="D55" s="6">
        <f t="shared" si="14"/>
        <v>11882.94696</v>
      </c>
      <c r="E55" s="6">
        <f t="shared" si="1"/>
        <v>8117.053043</v>
      </c>
      <c r="F55" s="6">
        <f t="shared" si="6"/>
        <v>606778.6183</v>
      </c>
      <c r="G55" s="6">
        <f t="shared" si="7"/>
        <v>393221.3817</v>
      </c>
      <c r="H55" s="6">
        <f t="shared" si="8"/>
        <v>1000000</v>
      </c>
      <c r="I55" s="6">
        <f t="shared" si="9"/>
        <v>1993221.382</v>
      </c>
      <c r="J55" s="610">
        <v>7.125</v>
      </c>
      <c r="K55" s="591"/>
      <c r="L55" s="6"/>
      <c r="M55" s="9">
        <v>20000.0</v>
      </c>
      <c r="N55" s="79">
        <f t="shared" si="10"/>
        <v>1000000</v>
      </c>
      <c r="O55" s="6">
        <f t="shared" si="2"/>
        <v>410778.6183</v>
      </c>
      <c r="P55" s="6"/>
      <c r="Q55" s="6">
        <f t="shared" si="11"/>
        <v>4197.053043</v>
      </c>
      <c r="R55" s="6">
        <f t="shared" si="12"/>
        <v>410778.6183</v>
      </c>
      <c r="S55" s="81">
        <f t="shared" si="3"/>
        <v>104.464975</v>
      </c>
      <c r="T55" s="6"/>
      <c r="U55" s="6"/>
      <c r="V55" s="6"/>
      <c r="W55" s="6"/>
      <c r="X55" s="6"/>
    </row>
    <row r="56" ht="11.25" customHeight="1">
      <c r="A56" s="7"/>
      <c r="B56" s="68">
        <f t="shared" si="13"/>
        <v>51</v>
      </c>
      <c r="C56" s="607">
        <v>20000.0</v>
      </c>
      <c r="D56" s="6">
        <f t="shared" si="14"/>
        <v>11834.75195</v>
      </c>
      <c r="E56" s="6">
        <f t="shared" si="1"/>
        <v>8165.248046</v>
      </c>
      <c r="F56" s="6">
        <f t="shared" si="6"/>
        <v>614943.8663</v>
      </c>
      <c r="G56" s="6">
        <f t="shared" si="7"/>
        <v>405056.1337</v>
      </c>
      <c r="H56" s="6">
        <f t="shared" si="8"/>
        <v>1020000</v>
      </c>
      <c r="I56" s="6">
        <f t="shared" si="9"/>
        <v>1985056.134</v>
      </c>
      <c r="J56" s="610">
        <v>7.125</v>
      </c>
      <c r="K56" s="591"/>
      <c r="L56" s="6"/>
      <c r="M56" s="9">
        <v>20000.0</v>
      </c>
      <c r="N56" s="79">
        <f t="shared" si="10"/>
        <v>1020000</v>
      </c>
      <c r="O56" s="6">
        <f t="shared" si="2"/>
        <v>415023.8663</v>
      </c>
      <c r="P56" s="6"/>
      <c r="Q56" s="6">
        <f t="shared" si="11"/>
        <v>4245.248046</v>
      </c>
      <c r="R56" s="6">
        <f t="shared" si="12"/>
        <v>415023.8663</v>
      </c>
      <c r="S56" s="81">
        <f t="shared" si="3"/>
        <v>102.4608275</v>
      </c>
      <c r="T56" s="6"/>
      <c r="U56" s="6"/>
      <c r="V56" s="6"/>
      <c r="W56" s="6"/>
      <c r="X56" s="6"/>
    </row>
    <row r="57" ht="11.25" customHeight="1">
      <c r="A57" s="7"/>
      <c r="B57" s="68">
        <f t="shared" si="13"/>
        <v>52</v>
      </c>
      <c r="C57" s="607">
        <v>20000.0</v>
      </c>
      <c r="D57" s="6">
        <f t="shared" si="14"/>
        <v>11786.27079</v>
      </c>
      <c r="E57" s="6">
        <f t="shared" si="1"/>
        <v>8213.729206</v>
      </c>
      <c r="F57" s="6">
        <f t="shared" si="6"/>
        <v>623157.5955</v>
      </c>
      <c r="G57" s="6">
        <f t="shared" si="7"/>
        <v>416842.4045</v>
      </c>
      <c r="H57" s="6">
        <f t="shared" si="8"/>
        <v>1040000</v>
      </c>
      <c r="I57" s="6">
        <f t="shared" si="9"/>
        <v>1976842.404</v>
      </c>
      <c r="J57" s="610">
        <v>7.125</v>
      </c>
      <c r="K57" s="591"/>
      <c r="L57" s="6"/>
      <c r="M57" s="9">
        <v>20000.0</v>
      </c>
      <c r="N57" s="79">
        <f t="shared" si="10"/>
        <v>1040000</v>
      </c>
      <c r="O57" s="6">
        <f t="shared" si="2"/>
        <v>419317.5955</v>
      </c>
      <c r="P57" s="6"/>
      <c r="Q57" s="6">
        <f t="shared" si="11"/>
        <v>4293.729206</v>
      </c>
      <c r="R57" s="6">
        <f t="shared" si="12"/>
        <v>419317.5955</v>
      </c>
      <c r="S57" s="81">
        <f t="shared" si="3"/>
        <v>100.5937954</v>
      </c>
      <c r="T57" s="6"/>
      <c r="U57" s="6"/>
      <c r="V57" s="6"/>
      <c r="W57" s="6"/>
      <c r="X57" s="6"/>
    </row>
    <row r="58" ht="11.25" customHeight="1">
      <c r="A58" s="7"/>
      <c r="B58" s="68">
        <f t="shared" si="13"/>
        <v>53</v>
      </c>
      <c r="C58" s="607">
        <v>20000.0</v>
      </c>
      <c r="D58" s="6">
        <f t="shared" si="14"/>
        <v>11737.50178</v>
      </c>
      <c r="E58" s="6">
        <f t="shared" si="1"/>
        <v>8262.498223</v>
      </c>
      <c r="F58" s="6">
        <f t="shared" si="6"/>
        <v>631420.0937</v>
      </c>
      <c r="G58" s="6">
        <f t="shared" si="7"/>
        <v>428579.9063</v>
      </c>
      <c r="H58" s="6">
        <f t="shared" si="8"/>
        <v>1060000</v>
      </c>
      <c r="I58" s="6">
        <f t="shared" si="9"/>
        <v>1968579.906</v>
      </c>
      <c r="J58" s="610">
        <v>7.125</v>
      </c>
      <c r="K58" s="591"/>
      <c r="L58" s="6"/>
      <c r="M58" s="9">
        <v>20000.0</v>
      </c>
      <c r="N58" s="79">
        <f t="shared" si="10"/>
        <v>1060000</v>
      </c>
      <c r="O58" s="6">
        <f t="shared" si="2"/>
        <v>423660.0937</v>
      </c>
      <c r="P58" s="6"/>
      <c r="Q58" s="6">
        <f t="shared" si="11"/>
        <v>4342.498223</v>
      </c>
      <c r="R58" s="6">
        <f t="shared" si="12"/>
        <v>423660.0937</v>
      </c>
      <c r="S58" s="81">
        <f t="shared" si="3"/>
        <v>98.85206645</v>
      </c>
      <c r="T58" s="6"/>
      <c r="U58" s="6"/>
      <c r="V58" s="6"/>
      <c r="W58" s="6"/>
      <c r="X58" s="6"/>
    </row>
    <row r="59" ht="11.25" customHeight="1">
      <c r="A59" s="7"/>
      <c r="B59" s="68">
        <f t="shared" si="13"/>
        <v>54</v>
      </c>
      <c r="C59" s="607">
        <v>20000.0</v>
      </c>
      <c r="D59" s="6">
        <f t="shared" si="14"/>
        <v>11688.44319</v>
      </c>
      <c r="E59" s="6">
        <f t="shared" si="1"/>
        <v>8311.556807</v>
      </c>
      <c r="F59" s="6">
        <f t="shared" si="6"/>
        <v>639731.6505</v>
      </c>
      <c r="G59" s="6">
        <f t="shared" si="7"/>
        <v>440268.3495</v>
      </c>
      <c r="H59" s="6">
        <f t="shared" si="8"/>
        <v>1080000</v>
      </c>
      <c r="I59" s="6">
        <f t="shared" si="9"/>
        <v>1960268.349</v>
      </c>
      <c r="J59" s="610">
        <v>7.125</v>
      </c>
      <c r="K59" s="591"/>
      <c r="L59" s="6"/>
      <c r="M59" s="9">
        <v>20000.0</v>
      </c>
      <c r="N59" s="79">
        <f t="shared" si="10"/>
        <v>1080000</v>
      </c>
      <c r="O59" s="6">
        <f t="shared" si="2"/>
        <v>428051.6505</v>
      </c>
      <c r="P59" s="6"/>
      <c r="Q59" s="6">
        <f t="shared" si="11"/>
        <v>4391.556807</v>
      </c>
      <c r="R59" s="6">
        <f t="shared" si="12"/>
        <v>428051.6505</v>
      </c>
      <c r="S59" s="81">
        <f t="shared" si="3"/>
        <v>97.22516984</v>
      </c>
      <c r="T59" s="6"/>
      <c r="U59" s="6"/>
      <c r="V59" s="6"/>
      <c r="W59" s="6"/>
      <c r="X59" s="6"/>
    </row>
    <row r="60" ht="11.25" customHeight="1">
      <c r="A60" s="7"/>
      <c r="B60" s="68">
        <f t="shared" si="13"/>
        <v>55</v>
      </c>
      <c r="C60" s="607">
        <v>20000.0</v>
      </c>
      <c r="D60" s="6">
        <f t="shared" si="14"/>
        <v>11639.09332</v>
      </c>
      <c r="E60" s="6">
        <f t="shared" si="1"/>
        <v>8360.906675</v>
      </c>
      <c r="F60" s="6">
        <f t="shared" si="6"/>
        <v>648092.5572</v>
      </c>
      <c r="G60" s="6">
        <f t="shared" si="7"/>
        <v>451907.4428</v>
      </c>
      <c r="H60" s="6">
        <f t="shared" si="8"/>
        <v>1100000</v>
      </c>
      <c r="I60" s="6">
        <f t="shared" si="9"/>
        <v>1951907.443</v>
      </c>
      <c r="J60" s="610">
        <v>7.125</v>
      </c>
      <c r="K60" s="591"/>
      <c r="L60" s="6"/>
      <c r="M60" s="9">
        <v>20000.0</v>
      </c>
      <c r="N60" s="79">
        <f t="shared" si="10"/>
        <v>1100000</v>
      </c>
      <c r="O60" s="6">
        <f t="shared" si="2"/>
        <v>432492.5572</v>
      </c>
      <c r="P60" s="6"/>
      <c r="Q60" s="6">
        <f t="shared" si="11"/>
        <v>4440.906675</v>
      </c>
      <c r="R60" s="6">
        <f t="shared" si="12"/>
        <v>432492.5572</v>
      </c>
      <c r="S60" s="81">
        <f t="shared" si="3"/>
        <v>95.70379159</v>
      </c>
      <c r="T60" s="6"/>
      <c r="U60" s="6"/>
      <c r="V60" s="6"/>
      <c r="W60" s="6"/>
      <c r="X60" s="6"/>
    </row>
    <row r="61" ht="11.25" customHeight="1">
      <c r="A61" s="7"/>
      <c r="B61" s="68">
        <f t="shared" si="13"/>
        <v>56</v>
      </c>
      <c r="C61" s="607">
        <v>20000.0</v>
      </c>
      <c r="D61" s="6">
        <f t="shared" si="14"/>
        <v>11589.45044</v>
      </c>
      <c r="E61" s="6">
        <f t="shared" si="1"/>
        <v>8410.549558</v>
      </c>
      <c r="F61" s="6">
        <f t="shared" si="6"/>
        <v>656503.1068</v>
      </c>
      <c r="G61" s="6">
        <f t="shared" si="7"/>
        <v>463496.8932</v>
      </c>
      <c r="H61" s="6">
        <f t="shared" si="8"/>
        <v>1120000</v>
      </c>
      <c r="I61" s="6">
        <f t="shared" si="9"/>
        <v>1943496.893</v>
      </c>
      <c r="J61" s="610">
        <v>7.125</v>
      </c>
      <c r="K61" s="591"/>
      <c r="L61" s="6"/>
      <c r="M61" s="9">
        <v>20000.0</v>
      </c>
      <c r="N61" s="79">
        <f t="shared" si="10"/>
        <v>1120000</v>
      </c>
      <c r="O61" s="6">
        <f t="shared" si="2"/>
        <v>436983.1068</v>
      </c>
      <c r="P61" s="6"/>
      <c r="Q61" s="6">
        <f t="shared" si="11"/>
        <v>4490.549558</v>
      </c>
      <c r="R61" s="6">
        <f t="shared" si="12"/>
        <v>436983.1068</v>
      </c>
      <c r="S61" s="81">
        <f t="shared" si="3"/>
        <v>94.27961938</v>
      </c>
      <c r="T61" s="6"/>
      <c r="U61" s="6"/>
      <c r="V61" s="6"/>
      <c r="W61" s="6"/>
      <c r="X61" s="6"/>
    </row>
    <row r="62" ht="11.25" customHeight="1">
      <c r="A62" s="7"/>
      <c r="B62" s="68">
        <f t="shared" si="13"/>
        <v>57</v>
      </c>
      <c r="C62" s="607">
        <v>20000.0</v>
      </c>
      <c r="D62" s="6">
        <f t="shared" si="14"/>
        <v>11539.5128</v>
      </c>
      <c r="E62" s="6">
        <f t="shared" si="1"/>
        <v>8460.487196</v>
      </c>
      <c r="F62" s="6">
        <f t="shared" si="6"/>
        <v>664963.594</v>
      </c>
      <c r="G62" s="6">
        <f t="shared" si="7"/>
        <v>475036.406</v>
      </c>
      <c r="H62" s="6">
        <f t="shared" si="8"/>
        <v>1140000</v>
      </c>
      <c r="I62" s="6">
        <f t="shared" si="9"/>
        <v>1935036.406</v>
      </c>
      <c r="J62" s="610">
        <v>7.125</v>
      </c>
      <c r="K62" s="591"/>
      <c r="L62" s="6"/>
      <c r="M62" s="9">
        <v>20000.0</v>
      </c>
      <c r="N62" s="79">
        <f t="shared" si="10"/>
        <v>1140000</v>
      </c>
      <c r="O62" s="6">
        <f t="shared" si="2"/>
        <v>441523.594</v>
      </c>
      <c r="P62" s="6"/>
      <c r="Q62" s="6">
        <f t="shared" si="11"/>
        <v>4540.487196</v>
      </c>
      <c r="R62" s="6">
        <f t="shared" si="12"/>
        <v>441523.594</v>
      </c>
      <c r="S62" s="81">
        <f t="shared" si="3"/>
        <v>92.94521185</v>
      </c>
      <c r="T62" s="6"/>
      <c r="U62" s="6"/>
      <c r="V62" s="6"/>
      <c r="W62" s="6"/>
      <c r="X62" s="6"/>
    </row>
    <row r="63" ht="11.25" customHeight="1">
      <c r="A63" s="7"/>
      <c r="B63" s="68">
        <f t="shared" si="13"/>
        <v>58</v>
      </c>
      <c r="C63" s="607">
        <v>20000.0</v>
      </c>
      <c r="D63" s="6">
        <f t="shared" si="14"/>
        <v>11489.27866</v>
      </c>
      <c r="E63" s="6">
        <f t="shared" si="1"/>
        <v>8510.721339</v>
      </c>
      <c r="F63" s="6">
        <f t="shared" si="6"/>
        <v>673474.3153</v>
      </c>
      <c r="G63" s="6">
        <f t="shared" si="7"/>
        <v>486525.6847</v>
      </c>
      <c r="H63" s="6">
        <f t="shared" si="8"/>
        <v>1160000</v>
      </c>
      <c r="I63" s="6">
        <f t="shared" si="9"/>
        <v>1926525.685</v>
      </c>
      <c r="J63" s="610">
        <v>7.125</v>
      </c>
      <c r="K63" s="591"/>
      <c r="L63" s="6"/>
      <c r="M63" s="9">
        <v>20000.0</v>
      </c>
      <c r="N63" s="79">
        <f t="shared" si="10"/>
        <v>1160000</v>
      </c>
      <c r="O63" s="6">
        <f t="shared" si="2"/>
        <v>446114.3153</v>
      </c>
      <c r="P63" s="6"/>
      <c r="Q63" s="6">
        <f t="shared" si="11"/>
        <v>4590.721339</v>
      </c>
      <c r="R63" s="6">
        <f t="shared" si="12"/>
        <v>446114.3153</v>
      </c>
      <c r="S63" s="81">
        <f t="shared" si="3"/>
        <v>91.69388777</v>
      </c>
      <c r="T63" s="6"/>
      <c r="U63" s="6"/>
      <c r="V63" s="6"/>
      <c r="W63" s="6"/>
      <c r="X63" s="6"/>
    </row>
    <row r="64" ht="11.25" customHeight="1">
      <c r="A64" s="7"/>
      <c r="B64" s="68">
        <f t="shared" si="13"/>
        <v>59</v>
      </c>
      <c r="C64" s="607">
        <v>20000.0</v>
      </c>
      <c r="D64" s="6">
        <f t="shared" si="14"/>
        <v>11438.74625</v>
      </c>
      <c r="E64" s="6">
        <f t="shared" si="1"/>
        <v>8561.253747</v>
      </c>
      <c r="F64" s="6">
        <f t="shared" si="6"/>
        <v>682035.5691</v>
      </c>
      <c r="G64" s="6">
        <f t="shared" si="7"/>
        <v>497964.4309</v>
      </c>
      <c r="H64" s="6">
        <f t="shared" si="8"/>
        <v>1180000</v>
      </c>
      <c r="I64" s="6">
        <f t="shared" si="9"/>
        <v>1917964.431</v>
      </c>
      <c r="J64" s="610">
        <v>7.125</v>
      </c>
      <c r="K64" s="591"/>
      <c r="L64" s="6"/>
      <c r="M64" s="9">
        <v>20000.0</v>
      </c>
      <c r="N64" s="79">
        <f t="shared" si="10"/>
        <v>1180000</v>
      </c>
      <c r="O64" s="6">
        <f t="shared" si="2"/>
        <v>450755.5691</v>
      </c>
      <c r="P64" s="6"/>
      <c r="Q64" s="6">
        <f t="shared" si="11"/>
        <v>4641.253747</v>
      </c>
      <c r="R64" s="6">
        <f t="shared" si="12"/>
        <v>450755.5691</v>
      </c>
      <c r="S64" s="81">
        <f t="shared" si="3"/>
        <v>90.51963173</v>
      </c>
      <c r="T64" s="6"/>
      <c r="U64" s="6"/>
      <c r="V64" s="6"/>
      <c r="W64" s="6"/>
      <c r="X64" s="6"/>
    </row>
    <row r="65" ht="11.25" customHeight="1">
      <c r="A65" s="71"/>
      <c r="B65" s="72">
        <f t="shared" si="13"/>
        <v>60</v>
      </c>
      <c r="C65" s="607">
        <v>20000.0</v>
      </c>
      <c r="D65" s="10">
        <f t="shared" si="14"/>
        <v>11387.91381</v>
      </c>
      <c r="E65" s="10">
        <f t="shared" si="1"/>
        <v>8612.086191</v>
      </c>
      <c r="F65" s="10">
        <f t="shared" si="6"/>
        <v>690647.6552</v>
      </c>
      <c r="G65" s="10">
        <f t="shared" si="7"/>
        <v>509352.3448</v>
      </c>
      <c r="H65" s="10">
        <f t="shared" si="8"/>
        <v>1200000</v>
      </c>
      <c r="I65" s="10">
        <f t="shared" si="9"/>
        <v>1909352.345</v>
      </c>
      <c r="J65" s="610">
        <v>7.125</v>
      </c>
      <c r="K65" s="591"/>
      <c r="L65" s="6"/>
      <c r="M65" s="9">
        <v>20000.0</v>
      </c>
      <c r="N65" s="79">
        <f t="shared" si="10"/>
        <v>1200000</v>
      </c>
      <c r="O65" s="6">
        <f t="shared" si="2"/>
        <v>455447.6552</v>
      </c>
      <c r="P65" s="6"/>
      <c r="Q65" s="6">
        <f t="shared" si="11"/>
        <v>4692.086191</v>
      </c>
      <c r="R65" s="6">
        <f t="shared" si="12"/>
        <v>455447.6552</v>
      </c>
      <c r="S65" s="81">
        <f t="shared" si="3"/>
        <v>89.41701357</v>
      </c>
      <c r="T65" s="6"/>
      <c r="U65" s="6"/>
      <c r="V65" s="6"/>
      <c r="W65" s="6"/>
      <c r="X65" s="6"/>
    </row>
    <row r="66" ht="11.25" customHeight="1">
      <c r="A66" s="619">
        <v>6.0</v>
      </c>
      <c r="B66" s="66">
        <f t="shared" si="13"/>
        <v>61</v>
      </c>
      <c r="C66" s="607">
        <v>20000.0</v>
      </c>
      <c r="D66" s="617">
        <f t="shared" si="14"/>
        <v>11336.77955</v>
      </c>
      <c r="E66" s="617">
        <f t="shared" si="1"/>
        <v>8663.220453</v>
      </c>
      <c r="F66" s="617">
        <f t="shared" si="6"/>
        <v>699310.8757</v>
      </c>
      <c r="G66" s="617">
        <f t="shared" si="7"/>
        <v>520689.1243</v>
      </c>
      <c r="H66" s="617">
        <f t="shared" si="8"/>
        <v>1220000</v>
      </c>
      <c r="I66" s="617">
        <f t="shared" si="9"/>
        <v>1900689.124</v>
      </c>
      <c r="J66" s="610">
        <v>7.125</v>
      </c>
      <c r="K66" s="591"/>
      <c r="L66" s="6"/>
      <c r="M66" s="9">
        <v>20000.0</v>
      </c>
      <c r="N66" s="79">
        <f t="shared" si="10"/>
        <v>1220000</v>
      </c>
      <c r="O66" s="6">
        <f t="shared" si="2"/>
        <v>460190.8757</v>
      </c>
      <c r="P66" s="6"/>
      <c r="Q66" s="6">
        <f t="shared" si="11"/>
        <v>4743.220453</v>
      </c>
      <c r="R66" s="6">
        <f t="shared" si="12"/>
        <v>460190.8757</v>
      </c>
      <c r="S66" s="81">
        <f t="shared" si="3"/>
        <v>88.38111922</v>
      </c>
      <c r="T66" s="6"/>
      <c r="U66" s="6"/>
      <c r="V66" s="6"/>
      <c r="W66" s="6"/>
      <c r="X66" s="6"/>
    </row>
    <row r="67" ht="11.25" customHeight="1">
      <c r="A67" s="54"/>
      <c r="B67" s="68">
        <f t="shared" si="13"/>
        <v>62</v>
      </c>
      <c r="C67" s="607">
        <v>20000.0</v>
      </c>
      <c r="D67" s="6">
        <f t="shared" si="14"/>
        <v>11285.34168</v>
      </c>
      <c r="E67" s="6">
        <f t="shared" si="1"/>
        <v>8714.658324</v>
      </c>
      <c r="F67" s="6">
        <f t="shared" si="6"/>
        <v>708025.534</v>
      </c>
      <c r="G67" s="6">
        <f t="shared" si="7"/>
        <v>531974.466</v>
      </c>
      <c r="H67" s="6">
        <f t="shared" si="8"/>
        <v>1240000</v>
      </c>
      <c r="I67" s="6">
        <f t="shared" si="9"/>
        <v>1891974.466</v>
      </c>
      <c r="J67" s="610">
        <v>7.125</v>
      </c>
      <c r="K67" s="591"/>
      <c r="L67" s="6"/>
      <c r="M67" s="9">
        <v>20000.0</v>
      </c>
      <c r="N67" s="79">
        <f t="shared" si="10"/>
        <v>1240000</v>
      </c>
      <c r="O67" s="6">
        <f t="shared" si="2"/>
        <v>464985.534</v>
      </c>
      <c r="P67" s="6"/>
      <c r="Q67" s="6">
        <f t="shared" si="11"/>
        <v>4794.658324</v>
      </c>
      <c r="R67" s="6">
        <f t="shared" si="12"/>
        <v>464985.534</v>
      </c>
      <c r="S67" s="81">
        <f t="shared" si="3"/>
        <v>87.4074911</v>
      </c>
      <c r="T67" s="6"/>
      <c r="U67" s="6"/>
      <c r="V67" s="6"/>
      <c r="W67" s="6"/>
      <c r="X67" s="6"/>
    </row>
    <row r="68" ht="11.25" customHeight="1">
      <c r="A68" s="7"/>
      <c r="B68" s="68">
        <f t="shared" si="13"/>
        <v>63</v>
      </c>
      <c r="C68" s="607">
        <v>20000.0</v>
      </c>
      <c r="D68" s="6">
        <f t="shared" si="14"/>
        <v>11233.59839</v>
      </c>
      <c r="E68" s="6">
        <f t="shared" si="1"/>
        <v>8766.401608</v>
      </c>
      <c r="F68" s="6">
        <f t="shared" si="6"/>
        <v>716791.9356</v>
      </c>
      <c r="G68" s="6">
        <f t="shared" si="7"/>
        <v>543208.0644</v>
      </c>
      <c r="H68" s="6">
        <f t="shared" si="8"/>
        <v>1260000</v>
      </c>
      <c r="I68" s="6">
        <f t="shared" si="9"/>
        <v>1883208.064</v>
      </c>
      <c r="J68" s="610">
        <v>7.125</v>
      </c>
      <c r="K68" s="591"/>
      <c r="L68" s="6"/>
      <c r="M68" s="9">
        <v>20000.0</v>
      </c>
      <c r="N68" s="79">
        <f t="shared" si="10"/>
        <v>1260000</v>
      </c>
      <c r="O68" s="6">
        <f t="shared" si="2"/>
        <v>469831.9356</v>
      </c>
      <c r="P68" s="6"/>
      <c r="Q68" s="6">
        <f t="shared" si="11"/>
        <v>4846.401608</v>
      </c>
      <c r="R68" s="6">
        <f t="shared" si="12"/>
        <v>469831.9356</v>
      </c>
      <c r="S68" s="81">
        <f t="shared" si="3"/>
        <v>86.49207669</v>
      </c>
      <c r="T68" s="6"/>
      <c r="U68" s="6"/>
      <c r="V68" s="6"/>
      <c r="W68" s="6"/>
      <c r="X68" s="6"/>
    </row>
    <row r="69" ht="11.25" customHeight="1">
      <c r="A69" s="7"/>
      <c r="B69" s="68">
        <f t="shared" si="13"/>
        <v>64</v>
      </c>
      <c r="C69" s="607">
        <v>20000.0</v>
      </c>
      <c r="D69" s="6">
        <f t="shared" si="14"/>
        <v>11181.54788</v>
      </c>
      <c r="E69" s="6">
        <f t="shared" si="1"/>
        <v>8818.452118</v>
      </c>
      <c r="F69" s="6">
        <f t="shared" si="6"/>
        <v>725610.3877</v>
      </c>
      <c r="G69" s="6">
        <f t="shared" si="7"/>
        <v>554389.6123</v>
      </c>
      <c r="H69" s="6">
        <f t="shared" si="8"/>
        <v>1280000</v>
      </c>
      <c r="I69" s="6">
        <f t="shared" si="9"/>
        <v>1874389.612</v>
      </c>
      <c r="J69" s="610">
        <v>7.125</v>
      </c>
      <c r="K69" s="591"/>
      <c r="L69" s="6"/>
      <c r="M69" s="9">
        <v>20000.0</v>
      </c>
      <c r="N69" s="79">
        <f t="shared" si="10"/>
        <v>1280000</v>
      </c>
      <c r="O69" s="6">
        <f t="shared" si="2"/>
        <v>474730.3877</v>
      </c>
      <c r="P69" s="6"/>
      <c r="Q69" s="6">
        <f t="shared" si="11"/>
        <v>4898.452118</v>
      </c>
      <c r="R69" s="6">
        <f t="shared" si="12"/>
        <v>474730.3877</v>
      </c>
      <c r="S69" s="81">
        <f t="shared" si="3"/>
        <v>85.63118378</v>
      </c>
      <c r="T69" s="6"/>
      <c r="U69" s="6"/>
      <c r="V69" s="6"/>
      <c r="W69" s="6"/>
      <c r="X69" s="6"/>
    </row>
    <row r="70" ht="11.25" customHeight="1">
      <c r="A70" s="7"/>
      <c r="B70" s="68">
        <f t="shared" si="13"/>
        <v>65</v>
      </c>
      <c r="C70" s="607">
        <v>20000.0</v>
      </c>
      <c r="D70" s="6">
        <f t="shared" si="14"/>
        <v>11129.18832</v>
      </c>
      <c r="E70" s="6">
        <f t="shared" si="1"/>
        <v>8870.811677</v>
      </c>
      <c r="F70" s="6">
        <f t="shared" si="6"/>
        <v>734481.1994</v>
      </c>
      <c r="G70" s="6">
        <f t="shared" si="7"/>
        <v>565518.8006</v>
      </c>
      <c r="H70" s="6">
        <f t="shared" si="8"/>
        <v>1300000</v>
      </c>
      <c r="I70" s="6">
        <f t="shared" si="9"/>
        <v>1865518.801</v>
      </c>
      <c r="J70" s="610">
        <v>7.125</v>
      </c>
      <c r="K70" s="591"/>
      <c r="L70" s="6"/>
      <c r="M70" s="9">
        <v>20000.0</v>
      </c>
      <c r="N70" s="79">
        <f t="shared" si="10"/>
        <v>1300000</v>
      </c>
      <c r="O70" s="6">
        <f t="shared" si="2"/>
        <v>479681.1994</v>
      </c>
      <c r="P70" s="6"/>
      <c r="Q70" s="6">
        <f t="shared" si="11"/>
        <v>4950.811677</v>
      </c>
      <c r="R70" s="6">
        <f t="shared" si="12"/>
        <v>479681.1994</v>
      </c>
      <c r="S70" s="81">
        <f t="shared" si="3"/>
        <v>84.82144165</v>
      </c>
      <c r="T70" s="6"/>
      <c r="U70" s="6"/>
      <c r="V70" s="6"/>
      <c r="W70" s="6"/>
      <c r="X70" s="6"/>
    </row>
    <row r="71" ht="11.25" customHeight="1">
      <c r="A71" s="7"/>
      <c r="B71" s="68">
        <f t="shared" si="13"/>
        <v>66</v>
      </c>
      <c r="C71" s="607">
        <v>20000.0</v>
      </c>
      <c r="D71" s="6">
        <f t="shared" si="14"/>
        <v>11076.51788</v>
      </c>
      <c r="E71" s="6">
        <f t="shared" si="1"/>
        <v>8923.482122</v>
      </c>
      <c r="F71" s="6">
        <f t="shared" si="6"/>
        <v>743404.6815</v>
      </c>
      <c r="G71" s="6">
        <f t="shared" si="7"/>
        <v>576595.3185</v>
      </c>
      <c r="H71" s="6">
        <f t="shared" si="8"/>
        <v>1320000</v>
      </c>
      <c r="I71" s="6">
        <f t="shared" si="9"/>
        <v>1856595.318</v>
      </c>
      <c r="J71" s="610">
        <v>7.125</v>
      </c>
      <c r="K71" s="591"/>
      <c r="L71" s="6"/>
      <c r="M71" s="9">
        <v>20000.0</v>
      </c>
      <c r="N71" s="79">
        <f t="shared" si="10"/>
        <v>1320000</v>
      </c>
      <c r="O71" s="6">
        <f t="shared" si="2"/>
        <v>484684.6815</v>
      </c>
      <c r="P71" s="6"/>
      <c r="Q71" s="6">
        <f t="shared" si="11"/>
        <v>5003.482122</v>
      </c>
      <c r="R71" s="6">
        <f t="shared" si="12"/>
        <v>484684.6815</v>
      </c>
      <c r="S71" s="81">
        <f t="shared" si="3"/>
        <v>84.05976706</v>
      </c>
      <c r="T71" s="6"/>
      <c r="U71" s="6"/>
      <c r="V71" s="6"/>
      <c r="W71" s="6"/>
      <c r="X71" s="6"/>
    </row>
    <row r="72" ht="11.25" customHeight="1">
      <c r="A72" s="7"/>
      <c r="B72" s="68">
        <f t="shared" si="13"/>
        <v>67</v>
      </c>
      <c r="C72" s="607">
        <v>20000.0</v>
      </c>
      <c r="D72" s="6">
        <f t="shared" si="14"/>
        <v>11023.5347</v>
      </c>
      <c r="E72" s="6">
        <f t="shared" si="1"/>
        <v>8976.465297</v>
      </c>
      <c r="F72" s="6">
        <f t="shared" si="6"/>
        <v>752381.1468</v>
      </c>
      <c r="G72" s="6">
        <f t="shared" si="7"/>
        <v>587618.8532</v>
      </c>
      <c r="H72" s="6">
        <f t="shared" si="8"/>
        <v>1340000</v>
      </c>
      <c r="I72" s="6">
        <f t="shared" si="9"/>
        <v>1847618.853</v>
      </c>
      <c r="J72" s="610">
        <v>7.125</v>
      </c>
      <c r="K72" s="591"/>
      <c r="L72" s="6"/>
      <c r="M72" s="9">
        <v>20000.0</v>
      </c>
      <c r="N72" s="79">
        <f t="shared" si="10"/>
        <v>1340000</v>
      </c>
      <c r="O72" s="6">
        <f t="shared" si="2"/>
        <v>489741.1468</v>
      </c>
      <c r="P72" s="6"/>
      <c r="Q72" s="6">
        <f t="shared" si="11"/>
        <v>5056.465297</v>
      </c>
      <c r="R72" s="6">
        <f t="shared" si="12"/>
        <v>489741.1468</v>
      </c>
      <c r="S72" s="81">
        <f t="shared" si="3"/>
        <v>83.34333458</v>
      </c>
      <c r="T72" s="6"/>
      <c r="U72" s="6"/>
      <c r="V72" s="6"/>
      <c r="W72" s="6"/>
      <c r="X72" s="6"/>
    </row>
    <row r="73" ht="11.25" customHeight="1">
      <c r="A73" s="7"/>
      <c r="B73" s="68">
        <f t="shared" si="13"/>
        <v>68</v>
      </c>
      <c r="C73" s="607">
        <v>20000.0</v>
      </c>
      <c r="D73" s="6">
        <f t="shared" si="14"/>
        <v>10970.23694</v>
      </c>
      <c r="E73" s="6">
        <f t="shared" si="1"/>
        <v>9029.763059</v>
      </c>
      <c r="F73" s="6">
        <f t="shared" si="6"/>
        <v>761410.9099</v>
      </c>
      <c r="G73" s="6">
        <f t="shared" si="7"/>
        <v>598589.0901</v>
      </c>
      <c r="H73" s="6">
        <f t="shared" si="8"/>
        <v>1360000</v>
      </c>
      <c r="I73" s="6">
        <f t="shared" si="9"/>
        <v>1838589.09</v>
      </c>
      <c r="J73" s="610">
        <v>7.125</v>
      </c>
      <c r="K73" s="591"/>
      <c r="L73" s="6"/>
      <c r="M73" s="9">
        <v>20000.0</v>
      </c>
      <c r="N73" s="79">
        <f t="shared" si="10"/>
        <v>1360000</v>
      </c>
      <c r="O73" s="6">
        <f t="shared" si="2"/>
        <v>494850.9099</v>
      </c>
      <c r="P73" s="6"/>
      <c r="Q73" s="6">
        <f t="shared" si="11"/>
        <v>5109.763059</v>
      </c>
      <c r="R73" s="6">
        <f t="shared" si="12"/>
        <v>494850.9099</v>
      </c>
      <c r="S73" s="81">
        <f t="shared" si="3"/>
        <v>82.66955046</v>
      </c>
      <c r="T73" s="6"/>
      <c r="U73" s="6"/>
      <c r="V73" s="6"/>
      <c r="W73" s="6"/>
      <c r="X73" s="6"/>
    </row>
    <row r="74" ht="11.25" customHeight="1">
      <c r="A74" s="7"/>
      <c r="B74" s="68">
        <f t="shared" si="13"/>
        <v>69</v>
      </c>
      <c r="C74" s="607">
        <v>20000.0</v>
      </c>
      <c r="D74" s="6">
        <f t="shared" si="14"/>
        <v>10916.62272</v>
      </c>
      <c r="E74" s="6">
        <f t="shared" si="1"/>
        <v>9083.377278</v>
      </c>
      <c r="F74" s="6">
        <f t="shared" si="6"/>
        <v>770494.2872</v>
      </c>
      <c r="G74" s="6">
        <f t="shared" si="7"/>
        <v>609505.7128</v>
      </c>
      <c r="H74" s="6">
        <f t="shared" si="8"/>
        <v>1380000</v>
      </c>
      <c r="I74" s="6">
        <f t="shared" si="9"/>
        <v>1829505.713</v>
      </c>
      <c r="J74" s="610">
        <v>7.125</v>
      </c>
      <c r="K74" s="591"/>
      <c r="L74" s="6"/>
      <c r="M74" s="9">
        <v>20000.0</v>
      </c>
      <c r="N74" s="79">
        <f t="shared" si="10"/>
        <v>1380000</v>
      </c>
      <c r="O74" s="6">
        <f t="shared" si="2"/>
        <v>500014.2872</v>
      </c>
      <c r="P74" s="6"/>
      <c r="Q74" s="6">
        <f t="shared" si="11"/>
        <v>5163.377278</v>
      </c>
      <c r="R74" s="6">
        <f t="shared" si="12"/>
        <v>500014.2872</v>
      </c>
      <c r="S74" s="81">
        <f t="shared" si="3"/>
        <v>82.03602963</v>
      </c>
      <c r="T74" s="6"/>
      <c r="U74" s="6"/>
      <c r="V74" s="6"/>
      <c r="W74" s="6"/>
      <c r="X74" s="6"/>
    </row>
    <row r="75" ht="11.25" customHeight="1">
      <c r="A75" s="7"/>
      <c r="B75" s="68">
        <f t="shared" si="13"/>
        <v>70</v>
      </c>
      <c r="C75" s="607">
        <v>20000.0</v>
      </c>
      <c r="D75" s="6">
        <f t="shared" si="14"/>
        <v>10862.69017</v>
      </c>
      <c r="E75" s="6">
        <f t="shared" si="1"/>
        <v>9137.30983</v>
      </c>
      <c r="F75" s="6">
        <f t="shared" si="6"/>
        <v>779631.597</v>
      </c>
      <c r="G75" s="6">
        <f t="shared" si="7"/>
        <v>620368.403</v>
      </c>
      <c r="H75" s="6">
        <f t="shared" si="8"/>
        <v>1400000</v>
      </c>
      <c r="I75" s="6">
        <f t="shared" si="9"/>
        <v>1820368.403</v>
      </c>
      <c r="J75" s="610">
        <v>7.125</v>
      </c>
      <c r="K75" s="591"/>
      <c r="L75" s="6"/>
      <c r="M75" s="9">
        <v>20000.0</v>
      </c>
      <c r="N75" s="79">
        <f t="shared" si="10"/>
        <v>1400000</v>
      </c>
      <c r="O75" s="6">
        <f t="shared" si="2"/>
        <v>505231.597</v>
      </c>
      <c r="P75" s="6"/>
      <c r="Q75" s="6">
        <f t="shared" si="11"/>
        <v>5217.30983</v>
      </c>
      <c r="R75" s="6">
        <f t="shared" si="12"/>
        <v>505231.597</v>
      </c>
      <c r="S75" s="81">
        <f t="shared" si="3"/>
        <v>81.4405754</v>
      </c>
      <c r="T75" s="6"/>
      <c r="U75" s="6"/>
      <c r="V75" s="6"/>
      <c r="W75" s="6"/>
      <c r="X75" s="6"/>
    </row>
    <row r="76" ht="11.25" customHeight="1">
      <c r="A76" s="7"/>
      <c r="B76" s="68">
        <f t="shared" si="13"/>
        <v>71</v>
      </c>
      <c r="C76" s="607">
        <v>20000.0</v>
      </c>
      <c r="D76" s="6">
        <f t="shared" si="14"/>
        <v>10808.43739</v>
      </c>
      <c r="E76" s="6">
        <f t="shared" si="1"/>
        <v>9191.562607</v>
      </c>
      <c r="F76" s="6">
        <f t="shared" si="6"/>
        <v>788823.1596</v>
      </c>
      <c r="G76" s="6">
        <f t="shared" si="7"/>
        <v>631176.8404</v>
      </c>
      <c r="H76" s="6">
        <f t="shared" si="8"/>
        <v>1420000</v>
      </c>
      <c r="I76" s="6">
        <f t="shared" si="9"/>
        <v>1811176.84</v>
      </c>
      <c r="J76" s="610">
        <v>7.125</v>
      </c>
      <c r="K76" s="591"/>
      <c r="L76" s="6"/>
      <c r="M76" s="9">
        <v>20000.0</v>
      </c>
      <c r="N76" s="79">
        <f t="shared" si="10"/>
        <v>1420000</v>
      </c>
      <c r="O76" s="6">
        <f t="shared" si="2"/>
        <v>510503.1596</v>
      </c>
      <c r="P76" s="6"/>
      <c r="Q76" s="6">
        <f t="shared" si="11"/>
        <v>5271.562607</v>
      </c>
      <c r="R76" s="6">
        <f t="shared" si="12"/>
        <v>510503.1596</v>
      </c>
      <c r="S76" s="81">
        <f t="shared" si="3"/>
        <v>80.8811615</v>
      </c>
      <c r="T76" s="6"/>
      <c r="U76" s="6"/>
      <c r="V76" s="6"/>
      <c r="W76" s="6"/>
      <c r="X76" s="6"/>
    </row>
    <row r="77" ht="11.25" customHeight="1">
      <c r="A77" s="71"/>
      <c r="B77" s="72">
        <f t="shared" si="13"/>
        <v>72</v>
      </c>
      <c r="C77" s="607">
        <v>20000.0</v>
      </c>
      <c r="D77" s="10">
        <f t="shared" si="14"/>
        <v>10753.86249</v>
      </c>
      <c r="E77" s="10">
        <f t="shared" si="1"/>
        <v>9246.13751</v>
      </c>
      <c r="F77" s="10">
        <f t="shared" si="6"/>
        <v>798069.2971</v>
      </c>
      <c r="G77" s="10">
        <f t="shared" si="7"/>
        <v>641930.7029</v>
      </c>
      <c r="H77" s="10">
        <f t="shared" si="8"/>
        <v>1440000</v>
      </c>
      <c r="I77" s="10">
        <f t="shared" si="9"/>
        <v>1801930.703</v>
      </c>
      <c r="J77" s="610">
        <v>7.125</v>
      </c>
      <c r="K77" s="591"/>
      <c r="L77" s="6"/>
      <c r="M77" s="9">
        <v>20000.0</v>
      </c>
      <c r="N77" s="79">
        <f t="shared" si="10"/>
        <v>1440000</v>
      </c>
      <c r="O77" s="6">
        <f t="shared" si="2"/>
        <v>515829.2971</v>
      </c>
      <c r="P77" s="6"/>
      <c r="Q77" s="6">
        <f t="shared" si="11"/>
        <v>5326.13751</v>
      </c>
      <c r="R77" s="6">
        <f t="shared" si="12"/>
        <v>515829.2971</v>
      </c>
      <c r="S77" s="81">
        <f t="shared" si="3"/>
        <v>80.35591612</v>
      </c>
      <c r="T77" s="6"/>
      <c r="U77" s="6"/>
      <c r="V77" s="6"/>
      <c r="W77" s="6"/>
      <c r="X77" s="6"/>
    </row>
    <row r="78" ht="11.25" customHeight="1">
      <c r="A78" s="619">
        <v>7.0</v>
      </c>
      <c r="B78" s="66">
        <f t="shared" si="13"/>
        <v>73</v>
      </c>
      <c r="C78" s="607">
        <v>20000.0</v>
      </c>
      <c r="D78" s="617">
        <f t="shared" si="14"/>
        <v>10698.96355</v>
      </c>
      <c r="E78" s="617">
        <f t="shared" si="1"/>
        <v>9301.036452</v>
      </c>
      <c r="F78" s="617">
        <f t="shared" si="6"/>
        <v>807370.3336</v>
      </c>
      <c r="G78" s="617">
        <f t="shared" si="7"/>
        <v>652629.6664</v>
      </c>
      <c r="H78" s="617">
        <f t="shared" si="8"/>
        <v>1460000</v>
      </c>
      <c r="I78" s="617">
        <f t="shared" si="9"/>
        <v>1792629.666</v>
      </c>
      <c r="J78" s="610">
        <v>7.125</v>
      </c>
      <c r="K78" s="591"/>
      <c r="L78" s="6"/>
      <c r="M78" s="9">
        <v>20000.0</v>
      </c>
      <c r="N78" s="79">
        <f t="shared" si="10"/>
        <v>1460000</v>
      </c>
      <c r="O78" s="6">
        <f t="shared" si="2"/>
        <v>521210.3336</v>
      </c>
      <c r="P78" s="6"/>
      <c r="Q78" s="6">
        <f t="shared" si="11"/>
        <v>5381.036452</v>
      </c>
      <c r="R78" s="6">
        <f t="shared" si="12"/>
        <v>521210.3336</v>
      </c>
      <c r="S78" s="81">
        <f t="shared" si="3"/>
        <v>79.86310773</v>
      </c>
      <c r="T78" s="6"/>
      <c r="U78" s="6"/>
      <c r="V78" s="6"/>
      <c r="W78" s="6"/>
      <c r="X78" s="6"/>
    </row>
    <row r="79" ht="11.25" customHeight="1">
      <c r="A79" s="54"/>
      <c r="B79" s="68">
        <f t="shared" si="13"/>
        <v>74</v>
      </c>
      <c r="C79" s="607">
        <v>20000.0</v>
      </c>
      <c r="D79" s="6">
        <f t="shared" si="14"/>
        <v>10643.73864</v>
      </c>
      <c r="E79" s="6">
        <f t="shared" si="1"/>
        <v>9356.261356</v>
      </c>
      <c r="F79" s="6">
        <f t="shared" si="6"/>
        <v>816726.5949</v>
      </c>
      <c r="G79" s="6">
        <f t="shared" si="7"/>
        <v>663273.4051</v>
      </c>
      <c r="H79" s="6">
        <f t="shared" si="8"/>
        <v>1480000</v>
      </c>
      <c r="I79" s="6">
        <f t="shared" si="9"/>
        <v>1783273.405</v>
      </c>
      <c r="J79" s="610">
        <v>7.125</v>
      </c>
      <c r="K79" s="591"/>
      <c r="L79" s="6"/>
      <c r="M79" s="9">
        <v>20000.0</v>
      </c>
      <c r="N79" s="79">
        <f t="shared" si="10"/>
        <v>1480000</v>
      </c>
      <c r="O79" s="6">
        <f t="shared" si="2"/>
        <v>526646.5949</v>
      </c>
      <c r="P79" s="6"/>
      <c r="Q79" s="6">
        <f t="shared" si="11"/>
        <v>5436.261356</v>
      </c>
      <c r="R79" s="6">
        <f t="shared" si="12"/>
        <v>526646.5949</v>
      </c>
      <c r="S79" s="81">
        <f t="shared" si="3"/>
        <v>79.40113246</v>
      </c>
      <c r="T79" s="6"/>
      <c r="U79" s="6"/>
      <c r="V79" s="6"/>
      <c r="W79" s="6"/>
      <c r="X79" s="6"/>
    </row>
    <row r="80" ht="11.25" customHeight="1">
      <c r="A80" s="7"/>
      <c r="B80" s="68">
        <f t="shared" si="13"/>
        <v>75</v>
      </c>
      <c r="C80" s="607">
        <v>20000.0</v>
      </c>
      <c r="D80" s="6">
        <f t="shared" si="14"/>
        <v>10588.18584</v>
      </c>
      <c r="E80" s="6">
        <f t="shared" si="1"/>
        <v>9411.814157</v>
      </c>
      <c r="F80" s="6">
        <f t="shared" si="6"/>
        <v>826138.4091</v>
      </c>
      <c r="G80" s="6">
        <f t="shared" si="7"/>
        <v>673861.5909</v>
      </c>
      <c r="H80" s="6">
        <f t="shared" si="8"/>
        <v>1500000</v>
      </c>
      <c r="I80" s="6">
        <f t="shared" si="9"/>
        <v>1773861.591</v>
      </c>
      <c r="J80" s="610">
        <v>7.125</v>
      </c>
      <c r="K80" s="591"/>
      <c r="L80" s="6"/>
      <c r="M80" s="9">
        <v>20000.0</v>
      </c>
      <c r="N80" s="79">
        <f t="shared" si="10"/>
        <v>1500000</v>
      </c>
      <c r="O80" s="6">
        <f t="shared" si="2"/>
        <v>532138.4091</v>
      </c>
      <c r="P80" s="6"/>
      <c r="Q80" s="6">
        <f t="shared" si="11"/>
        <v>5491.814157</v>
      </c>
      <c r="R80" s="6">
        <f t="shared" si="12"/>
        <v>532138.4091</v>
      </c>
      <c r="S80" s="81">
        <f t="shared" si="3"/>
        <v>78.96850277</v>
      </c>
      <c r="T80" s="6"/>
      <c r="U80" s="6"/>
      <c r="V80" s="6"/>
      <c r="W80" s="6"/>
      <c r="X80" s="6"/>
    </row>
    <row r="81" ht="11.25" customHeight="1">
      <c r="A81" s="7"/>
      <c r="B81" s="68">
        <f t="shared" si="13"/>
        <v>76</v>
      </c>
      <c r="C81" s="607">
        <v>20000.0</v>
      </c>
      <c r="D81" s="6">
        <f t="shared" si="14"/>
        <v>10532.3032</v>
      </c>
      <c r="E81" s="6">
        <f t="shared" si="1"/>
        <v>9467.696804</v>
      </c>
      <c r="F81" s="6">
        <f t="shared" si="6"/>
        <v>835606.1059</v>
      </c>
      <c r="G81" s="6">
        <f t="shared" si="7"/>
        <v>684393.8941</v>
      </c>
      <c r="H81" s="6">
        <f t="shared" si="8"/>
        <v>1520000</v>
      </c>
      <c r="I81" s="6">
        <f t="shared" si="9"/>
        <v>1764393.894</v>
      </c>
      <c r="J81" s="610">
        <v>7.125</v>
      </c>
      <c r="K81" s="591"/>
      <c r="L81" s="6"/>
      <c r="M81" s="9">
        <v>20000.0</v>
      </c>
      <c r="N81" s="79">
        <f t="shared" si="10"/>
        <v>1520000</v>
      </c>
      <c r="O81" s="6">
        <f t="shared" si="2"/>
        <v>537686.1059</v>
      </c>
      <c r="P81" s="6"/>
      <c r="Q81" s="6">
        <f t="shared" si="11"/>
        <v>5547.696804</v>
      </c>
      <c r="R81" s="6">
        <f t="shared" si="12"/>
        <v>537686.1059</v>
      </c>
      <c r="S81" s="81">
        <f t="shared" si="3"/>
        <v>78.56383736</v>
      </c>
      <c r="T81" s="6"/>
      <c r="U81" s="6"/>
      <c r="V81" s="6"/>
      <c r="W81" s="6"/>
      <c r="X81" s="6"/>
    </row>
    <row r="82" ht="11.25" customHeight="1">
      <c r="A82" s="7"/>
      <c r="B82" s="68">
        <f t="shared" si="13"/>
        <v>77</v>
      </c>
      <c r="C82" s="607">
        <v>20000.0</v>
      </c>
      <c r="D82" s="6">
        <f t="shared" si="14"/>
        <v>10476.08875</v>
      </c>
      <c r="E82" s="6">
        <f t="shared" si="1"/>
        <v>9523.911254</v>
      </c>
      <c r="F82" s="6">
        <f t="shared" si="6"/>
        <v>845130.0171</v>
      </c>
      <c r="G82" s="6">
        <f t="shared" si="7"/>
        <v>694869.9829</v>
      </c>
      <c r="H82" s="6">
        <f t="shared" si="8"/>
        <v>1540000</v>
      </c>
      <c r="I82" s="6">
        <f t="shared" si="9"/>
        <v>1754869.983</v>
      </c>
      <c r="J82" s="610">
        <v>7.125</v>
      </c>
      <c r="K82" s="591"/>
      <c r="L82" s="6"/>
      <c r="M82" s="9">
        <v>20000.0</v>
      </c>
      <c r="N82" s="79">
        <f t="shared" si="10"/>
        <v>1540000</v>
      </c>
      <c r="O82" s="6">
        <f t="shared" si="2"/>
        <v>543290.0171</v>
      </c>
      <c r="P82" s="6"/>
      <c r="Q82" s="6">
        <f t="shared" si="11"/>
        <v>5603.911254</v>
      </c>
      <c r="R82" s="6">
        <f t="shared" si="12"/>
        <v>543290.0171</v>
      </c>
      <c r="S82" s="81">
        <f t="shared" si="3"/>
        <v>78.18585211</v>
      </c>
      <c r="T82" s="6"/>
      <c r="U82" s="6"/>
      <c r="V82" s="6"/>
      <c r="W82" s="6"/>
      <c r="X82" s="6"/>
    </row>
    <row r="83" ht="11.25" customHeight="1">
      <c r="A83" s="7"/>
      <c r="B83" s="68">
        <f t="shared" si="13"/>
        <v>78</v>
      </c>
      <c r="C83" s="607">
        <v>20000.0</v>
      </c>
      <c r="D83" s="6">
        <f t="shared" si="14"/>
        <v>10419.54052</v>
      </c>
      <c r="E83" s="6">
        <f t="shared" si="1"/>
        <v>9580.459477</v>
      </c>
      <c r="F83" s="6">
        <f t="shared" si="6"/>
        <v>854710.4766</v>
      </c>
      <c r="G83" s="6">
        <f t="shared" si="7"/>
        <v>705289.5234</v>
      </c>
      <c r="H83" s="6">
        <f t="shared" si="8"/>
        <v>1560000</v>
      </c>
      <c r="I83" s="6">
        <f t="shared" si="9"/>
        <v>1745289.523</v>
      </c>
      <c r="J83" s="610">
        <v>7.125</v>
      </c>
      <c r="K83" s="591"/>
      <c r="L83" s="6"/>
      <c r="M83" s="9">
        <v>20000.0</v>
      </c>
      <c r="N83" s="79">
        <f t="shared" si="10"/>
        <v>1560000</v>
      </c>
      <c r="O83" s="6">
        <f t="shared" si="2"/>
        <v>548950.4766</v>
      </c>
      <c r="P83" s="6"/>
      <c r="Q83" s="6">
        <f t="shared" si="11"/>
        <v>5660.459477</v>
      </c>
      <c r="R83" s="6">
        <f t="shared" si="12"/>
        <v>548950.4766</v>
      </c>
      <c r="S83" s="81">
        <f t="shared" si="3"/>
        <v>77.8333519</v>
      </c>
      <c r="T83" s="6"/>
      <c r="U83" s="6"/>
      <c r="V83" s="6"/>
      <c r="W83" s="6"/>
      <c r="X83" s="6"/>
    </row>
    <row r="84" ht="11.25" customHeight="1">
      <c r="A84" s="7"/>
      <c r="B84" s="68">
        <f t="shared" si="13"/>
        <v>79</v>
      </c>
      <c r="C84" s="607">
        <v>20000.0</v>
      </c>
      <c r="D84" s="6">
        <f t="shared" si="14"/>
        <v>10362.65655</v>
      </c>
      <c r="E84" s="6">
        <f t="shared" si="1"/>
        <v>9637.343455</v>
      </c>
      <c r="F84" s="6">
        <f t="shared" si="6"/>
        <v>864347.8201</v>
      </c>
      <c r="G84" s="6">
        <f t="shared" si="7"/>
        <v>715652.1799</v>
      </c>
      <c r="H84" s="6">
        <f t="shared" si="8"/>
        <v>1580000</v>
      </c>
      <c r="I84" s="6">
        <f t="shared" si="9"/>
        <v>1735652.18</v>
      </c>
      <c r="J84" s="610">
        <v>7.125</v>
      </c>
      <c r="K84" s="591"/>
      <c r="L84" s="6"/>
      <c r="M84" s="9">
        <v>20000.0</v>
      </c>
      <c r="N84" s="79">
        <f t="shared" si="10"/>
        <v>1580000</v>
      </c>
      <c r="O84" s="6">
        <f t="shared" si="2"/>
        <v>554667.8201</v>
      </c>
      <c r="P84" s="6"/>
      <c r="Q84" s="6">
        <f t="shared" si="11"/>
        <v>5717.343455</v>
      </c>
      <c r="R84" s="6">
        <f t="shared" si="12"/>
        <v>554667.8201</v>
      </c>
      <c r="S84" s="81">
        <f t="shared" si="3"/>
        <v>77.5052233</v>
      </c>
      <c r="T84" s="6"/>
      <c r="U84" s="6"/>
      <c r="V84" s="6"/>
      <c r="W84" s="6"/>
      <c r="X84" s="6"/>
    </row>
    <row r="85" ht="11.25" customHeight="1">
      <c r="A85" s="7"/>
      <c r="B85" s="68">
        <f t="shared" si="13"/>
        <v>80</v>
      </c>
      <c r="C85" s="607">
        <v>20000.0</v>
      </c>
      <c r="D85" s="6">
        <f t="shared" si="14"/>
        <v>10305.43482</v>
      </c>
      <c r="E85" s="6">
        <f t="shared" si="1"/>
        <v>9694.565182</v>
      </c>
      <c r="F85" s="6">
        <f t="shared" si="6"/>
        <v>874042.3853</v>
      </c>
      <c r="G85" s="6">
        <f t="shared" si="7"/>
        <v>725957.6147</v>
      </c>
      <c r="H85" s="6">
        <f t="shared" si="8"/>
        <v>1600000</v>
      </c>
      <c r="I85" s="6">
        <f t="shared" si="9"/>
        <v>1725957.615</v>
      </c>
      <c r="J85" s="610">
        <v>7.125</v>
      </c>
      <c r="K85" s="591"/>
      <c r="L85" s="6"/>
      <c r="M85" s="9">
        <v>20000.0</v>
      </c>
      <c r="N85" s="79">
        <f t="shared" si="10"/>
        <v>1600000</v>
      </c>
      <c r="O85" s="6">
        <f t="shared" si="2"/>
        <v>560442.3853</v>
      </c>
      <c r="P85" s="6"/>
      <c r="Q85" s="6">
        <f t="shared" si="11"/>
        <v>5774.565182</v>
      </c>
      <c r="R85" s="6">
        <f t="shared" si="12"/>
        <v>560442.3853</v>
      </c>
      <c r="S85" s="81">
        <f t="shared" si="3"/>
        <v>77.20042794</v>
      </c>
      <c r="T85" s="6"/>
      <c r="U85" s="6"/>
      <c r="V85" s="6"/>
      <c r="W85" s="6"/>
      <c r="X85" s="6"/>
    </row>
    <row r="86" ht="11.25" customHeight="1">
      <c r="A86" s="7"/>
      <c r="B86" s="68">
        <f t="shared" si="13"/>
        <v>81</v>
      </c>
      <c r="C86" s="607">
        <v>20000.0</v>
      </c>
      <c r="D86" s="6">
        <f t="shared" si="14"/>
        <v>10247.87334</v>
      </c>
      <c r="E86" s="6">
        <f t="shared" si="1"/>
        <v>9752.126662</v>
      </c>
      <c r="F86" s="6">
        <f t="shared" si="6"/>
        <v>883794.5119</v>
      </c>
      <c r="G86" s="6">
        <f t="shared" si="7"/>
        <v>736205.4881</v>
      </c>
      <c r="H86" s="6">
        <f t="shared" si="8"/>
        <v>1620000</v>
      </c>
      <c r="I86" s="6">
        <f t="shared" si="9"/>
        <v>1716205.488</v>
      </c>
      <c r="J86" s="610">
        <v>7.125</v>
      </c>
      <c r="K86" s="591"/>
      <c r="L86" s="6"/>
      <c r="M86" s="9">
        <v>20000.0</v>
      </c>
      <c r="N86" s="79">
        <f t="shared" si="10"/>
        <v>1620000</v>
      </c>
      <c r="O86" s="6">
        <f t="shared" si="2"/>
        <v>566274.5119</v>
      </c>
      <c r="P86" s="6"/>
      <c r="Q86" s="6">
        <f t="shared" si="11"/>
        <v>5832.126662</v>
      </c>
      <c r="R86" s="6">
        <f t="shared" si="12"/>
        <v>566274.5119</v>
      </c>
      <c r="S86" s="81">
        <f t="shared" si="3"/>
        <v>76.91799655</v>
      </c>
      <c r="T86" s="6"/>
      <c r="U86" s="6"/>
      <c r="V86" s="6"/>
      <c r="W86" s="6"/>
      <c r="X86" s="6"/>
    </row>
    <row r="87" ht="11.25" customHeight="1">
      <c r="A87" s="87"/>
      <c r="B87" s="68">
        <f t="shared" si="13"/>
        <v>82</v>
      </c>
      <c r="C87" s="607">
        <v>20000.0</v>
      </c>
      <c r="D87" s="6">
        <f t="shared" si="14"/>
        <v>10189.97009</v>
      </c>
      <c r="E87" s="6">
        <f t="shared" si="1"/>
        <v>9810.029915</v>
      </c>
      <c r="F87" s="6">
        <f t="shared" si="6"/>
        <v>893604.5418</v>
      </c>
      <c r="G87" s="6">
        <f t="shared" si="7"/>
        <v>746395.4582</v>
      </c>
      <c r="H87" s="6">
        <f t="shared" si="8"/>
        <v>1640000</v>
      </c>
      <c r="I87" s="6">
        <f t="shared" si="9"/>
        <v>1706395.458</v>
      </c>
      <c r="J87" s="610">
        <v>7.125</v>
      </c>
      <c r="K87" s="591"/>
      <c r="L87" s="6"/>
      <c r="M87" s="9">
        <v>20000.0</v>
      </c>
      <c r="N87" s="79">
        <f t="shared" si="10"/>
        <v>1640000</v>
      </c>
      <c r="O87" s="6">
        <f t="shared" si="2"/>
        <v>572164.5418</v>
      </c>
      <c r="P87" s="6"/>
      <c r="Q87" s="6">
        <f t="shared" si="11"/>
        <v>5890.029915</v>
      </c>
      <c r="R87" s="6">
        <f t="shared" si="12"/>
        <v>572164.5418</v>
      </c>
      <c r="S87" s="81">
        <f t="shared" si="3"/>
        <v>76.65702351</v>
      </c>
      <c r="T87" s="6"/>
      <c r="U87" s="6"/>
      <c r="V87" s="6"/>
      <c r="W87" s="6"/>
      <c r="X87" s="6"/>
    </row>
    <row r="88" ht="11.25" customHeight="1">
      <c r="A88" s="7"/>
      <c r="B88" s="68">
        <f t="shared" si="13"/>
        <v>83</v>
      </c>
      <c r="C88" s="607">
        <v>20000.0</v>
      </c>
      <c r="D88" s="6">
        <f t="shared" si="14"/>
        <v>10131.72303</v>
      </c>
      <c r="E88" s="6">
        <f t="shared" si="1"/>
        <v>9868.276967</v>
      </c>
      <c r="F88" s="6">
        <f t="shared" si="6"/>
        <v>903472.8188</v>
      </c>
      <c r="G88" s="6">
        <f t="shared" si="7"/>
        <v>756527.1812</v>
      </c>
      <c r="H88" s="6">
        <f t="shared" si="8"/>
        <v>1660000</v>
      </c>
      <c r="I88" s="6">
        <f t="shared" si="9"/>
        <v>1696527.181</v>
      </c>
      <c r="J88" s="610">
        <v>7.125</v>
      </c>
      <c r="K88" s="591"/>
      <c r="L88" s="6"/>
      <c r="M88" s="9">
        <v>20000.0</v>
      </c>
      <c r="N88" s="79">
        <f t="shared" si="10"/>
        <v>1660000</v>
      </c>
      <c r="O88" s="6">
        <f t="shared" si="2"/>
        <v>578112.8188</v>
      </c>
      <c r="P88" s="6"/>
      <c r="Q88" s="6">
        <f t="shared" si="11"/>
        <v>5948.276967</v>
      </c>
      <c r="R88" s="6">
        <f t="shared" si="12"/>
        <v>578112.8188</v>
      </c>
      <c r="S88" s="81">
        <f t="shared" si="3"/>
        <v>76.41666198</v>
      </c>
      <c r="T88" s="6"/>
      <c r="U88" s="6"/>
      <c r="V88" s="6"/>
      <c r="W88" s="6"/>
      <c r="X88" s="6"/>
    </row>
    <row r="89" ht="11.25" customHeight="1">
      <c r="A89" s="71"/>
      <c r="B89" s="72">
        <f t="shared" si="13"/>
        <v>84</v>
      </c>
      <c r="C89" s="607">
        <v>20000.0</v>
      </c>
      <c r="D89" s="10">
        <f t="shared" si="14"/>
        <v>10073.13014</v>
      </c>
      <c r="E89" s="10">
        <f t="shared" si="1"/>
        <v>9926.869862</v>
      </c>
      <c r="F89" s="10">
        <f t="shared" si="6"/>
        <v>913399.6887</v>
      </c>
      <c r="G89" s="10">
        <f t="shared" si="7"/>
        <v>766600.3113</v>
      </c>
      <c r="H89" s="10">
        <f t="shared" si="8"/>
        <v>1680000</v>
      </c>
      <c r="I89" s="10">
        <f t="shared" si="9"/>
        <v>1686600.311</v>
      </c>
      <c r="J89" s="610">
        <v>7.125</v>
      </c>
      <c r="K89" s="591"/>
      <c r="L89" s="6"/>
      <c r="M89" s="9">
        <v>20000.0</v>
      </c>
      <c r="N89" s="79">
        <f t="shared" si="10"/>
        <v>1680000</v>
      </c>
      <c r="O89" s="6">
        <f t="shared" si="2"/>
        <v>584119.6887</v>
      </c>
      <c r="P89" s="6"/>
      <c r="Q89" s="6">
        <f t="shared" si="11"/>
        <v>6006.869862</v>
      </c>
      <c r="R89" s="6">
        <f t="shared" si="12"/>
        <v>584119.6887</v>
      </c>
      <c r="S89" s="81">
        <f t="shared" si="3"/>
        <v>76.19611942</v>
      </c>
      <c r="T89" s="6"/>
      <c r="U89" s="6"/>
      <c r="V89" s="6"/>
      <c r="W89" s="6"/>
      <c r="X89" s="6"/>
    </row>
    <row r="90" ht="11.25" customHeight="1">
      <c r="A90" s="100">
        <v>8.0</v>
      </c>
      <c r="B90" s="66">
        <f t="shared" si="13"/>
        <v>85</v>
      </c>
      <c r="C90" s="607">
        <v>20000.0</v>
      </c>
      <c r="D90" s="617">
        <f t="shared" si="14"/>
        <v>10014.18935</v>
      </c>
      <c r="E90" s="617">
        <f t="shared" si="1"/>
        <v>9985.810651</v>
      </c>
      <c r="F90" s="617">
        <f t="shared" si="6"/>
        <v>923385.4993</v>
      </c>
      <c r="G90" s="617">
        <f t="shared" si="7"/>
        <v>776614.5007</v>
      </c>
      <c r="H90" s="617">
        <f t="shared" si="8"/>
        <v>1700000</v>
      </c>
      <c r="I90" s="617">
        <f t="shared" si="9"/>
        <v>1676614.501</v>
      </c>
      <c r="J90" s="610">
        <v>7.125</v>
      </c>
      <c r="K90" s="591"/>
      <c r="L90" s="6"/>
      <c r="M90" s="9">
        <v>20000.0</v>
      </c>
      <c r="N90" s="79">
        <f t="shared" si="10"/>
        <v>1700000</v>
      </c>
      <c r="O90" s="6">
        <f t="shared" si="2"/>
        <v>590185.4993</v>
      </c>
      <c r="P90" s="6"/>
      <c r="Q90" s="6">
        <f t="shared" si="11"/>
        <v>6065.810651</v>
      </c>
      <c r="R90" s="6">
        <f t="shared" si="12"/>
        <v>590185.4993</v>
      </c>
      <c r="S90" s="81">
        <f t="shared" si="3"/>
        <v>75.99465356</v>
      </c>
      <c r="T90" s="6"/>
      <c r="U90" s="6"/>
      <c r="V90" s="6"/>
      <c r="W90" s="6"/>
      <c r="X90" s="6"/>
    </row>
    <row r="91" ht="11.25" customHeight="1">
      <c r="A91" s="54"/>
      <c r="B91" s="68">
        <f t="shared" si="13"/>
        <v>86</v>
      </c>
      <c r="C91" s="607">
        <v>20000.0</v>
      </c>
      <c r="D91" s="6">
        <f t="shared" si="14"/>
        <v>9954.898598</v>
      </c>
      <c r="E91" s="6">
        <f t="shared" si="1"/>
        <v>10045.1014</v>
      </c>
      <c r="F91" s="6">
        <f t="shared" si="6"/>
        <v>933430.6007</v>
      </c>
      <c r="G91" s="6">
        <f t="shared" si="7"/>
        <v>786569.3993</v>
      </c>
      <c r="H91" s="6">
        <f t="shared" si="8"/>
        <v>1720000</v>
      </c>
      <c r="I91" s="6">
        <f t="shared" si="9"/>
        <v>1666569.399</v>
      </c>
      <c r="J91" s="610">
        <v>7.125</v>
      </c>
      <c r="K91" s="591"/>
      <c r="L91" s="6"/>
      <c r="M91" s="9">
        <v>20000.0</v>
      </c>
      <c r="N91" s="79">
        <f t="shared" si="10"/>
        <v>1720000</v>
      </c>
      <c r="O91" s="6">
        <f t="shared" si="2"/>
        <v>596310.6007</v>
      </c>
      <c r="P91" s="6"/>
      <c r="Q91" s="6">
        <f t="shared" si="11"/>
        <v>6125.101402</v>
      </c>
      <c r="R91" s="6">
        <f t="shared" si="12"/>
        <v>596310.6007</v>
      </c>
      <c r="S91" s="81">
        <f t="shared" si="3"/>
        <v>75.81156873</v>
      </c>
      <c r="T91" s="6"/>
      <c r="U91" s="6"/>
      <c r="V91" s="6"/>
      <c r="W91" s="6"/>
      <c r="X91" s="6"/>
    </row>
    <row r="92" ht="11.25" customHeight="1">
      <c r="A92" s="7"/>
      <c r="B92" s="68">
        <f t="shared" si="13"/>
        <v>87</v>
      </c>
      <c r="C92" s="607">
        <v>20000.0</v>
      </c>
      <c r="D92" s="6">
        <f t="shared" si="14"/>
        <v>9895.255808</v>
      </c>
      <c r="E92" s="6">
        <f t="shared" si="1"/>
        <v>10104.74419</v>
      </c>
      <c r="F92" s="6">
        <f t="shared" si="6"/>
        <v>943535.3449</v>
      </c>
      <c r="G92" s="6">
        <f t="shared" si="7"/>
        <v>796464.6551</v>
      </c>
      <c r="H92" s="6">
        <f t="shared" si="8"/>
        <v>1740000</v>
      </c>
      <c r="I92" s="6">
        <f t="shared" si="9"/>
        <v>1656464.655</v>
      </c>
      <c r="J92" s="610">
        <v>7.125</v>
      </c>
      <c r="K92" s="591"/>
      <c r="L92" s="6"/>
      <c r="M92" s="9">
        <v>20000.0</v>
      </c>
      <c r="N92" s="79">
        <f t="shared" si="10"/>
        <v>1740000</v>
      </c>
      <c r="O92" s="6">
        <f t="shared" si="2"/>
        <v>602495.3449</v>
      </c>
      <c r="P92" s="6"/>
      <c r="Q92" s="6">
        <f t="shared" si="11"/>
        <v>6184.744192</v>
      </c>
      <c r="R92" s="6">
        <f t="shared" si="12"/>
        <v>602495.3449</v>
      </c>
      <c r="S92" s="81">
        <f t="shared" si="3"/>
        <v>75.64621243</v>
      </c>
      <c r="T92" s="6"/>
      <c r="U92" s="6"/>
      <c r="V92" s="6"/>
      <c r="W92" s="6"/>
      <c r="X92" s="6"/>
    </row>
    <row r="93" ht="11.25" customHeight="1">
      <c r="A93" s="7"/>
      <c r="B93" s="68">
        <f t="shared" si="13"/>
        <v>88</v>
      </c>
      <c r="C93" s="607">
        <v>20000.0</v>
      </c>
      <c r="D93" s="6">
        <f t="shared" si="14"/>
        <v>9835.25889</v>
      </c>
      <c r="E93" s="6">
        <f t="shared" si="1"/>
        <v>10164.74111</v>
      </c>
      <c r="F93" s="6">
        <f t="shared" si="6"/>
        <v>953700.086</v>
      </c>
      <c r="G93" s="6">
        <f t="shared" si="7"/>
        <v>806299.914</v>
      </c>
      <c r="H93" s="6">
        <f t="shared" si="8"/>
        <v>1760000</v>
      </c>
      <c r="I93" s="6">
        <f t="shared" si="9"/>
        <v>1646299.914</v>
      </c>
      <c r="J93" s="610">
        <v>7.125</v>
      </c>
      <c r="K93" s="591"/>
      <c r="L93" s="6"/>
      <c r="M93" s="9">
        <v>20000.0</v>
      </c>
      <c r="N93" s="79">
        <f t="shared" si="10"/>
        <v>1760000</v>
      </c>
      <c r="O93" s="6">
        <f t="shared" si="2"/>
        <v>608740.086</v>
      </c>
      <c r="P93" s="6"/>
      <c r="Q93" s="6">
        <f t="shared" si="11"/>
        <v>6244.74111</v>
      </c>
      <c r="R93" s="6">
        <f t="shared" si="12"/>
        <v>608740.086</v>
      </c>
      <c r="S93" s="81">
        <f t="shared" si="3"/>
        <v>75.49797234</v>
      </c>
      <c r="T93" s="6"/>
      <c r="U93" s="6"/>
      <c r="V93" s="6"/>
      <c r="W93" s="6"/>
      <c r="X93" s="6"/>
    </row>
    <row r="94" ht="11.25" customHeight="1">
      <c r="A94" s="7"/>
      <c r="B94" s="68">
        <f t="shared" si="13"/>
        <v>89</v>
      </c>
      <c r="C94" s="607">
        <v>20000.0</v>
      </c>
      <c r="D94" s="6">
        <f t="shared" si="14"/>
        <v>9774.905739</v>
      </c>
      <c r="E94" s="6">
        <f t="shared" si="1"/>
        <v>10225.09426</v>
      </c>
      <c r="F94" s="6">
        <f t="shared" si="6"/>
        <v>963925.1803</v>
      </c>
      <c r="G94" s="6">
        <f t="shared" si="7"/>
        <v>816074.8197</v>
      </c>
      <c r="H94" s="6">
        <f t="shared" si="8"/>
        <v>1780000</v>
      </c>
      <c r="I94" s="6">
        <f t="shared" si="9"/>
        <v>1636074.82</v>
      </c>
      <c r="J94" s="610">
        <v>7.125</v>
      </c>
      <c r="K94" s="591"/>
      <c r="L94" s="6"/>
      <c r="M94" s="9">
        <v>20000.0</v>
      </c>
      <c r="N94" s="79">
        <f t="shared" si="10"/>
        <v>1780000</v>
      </c>
      <c r="O94" s="6">
        <f t="shared" si="2"/>
        <v>615045.1803</v>
      </c>
      <c r="P94" s="6"/>
      <c r="Q94" s="6">
        <f t="shared" si="11"/>
        <v>6305.094261</v>
      </c>
      <c r="R94" s="6">
        <f t="shared" si="12"/>
        <v>615045.1803</v>
      </c>
      <c r="S94" s="81">
        <f t="shared" si="3"/>
        <v>75.36627346</v>
      </c>
      <c r="T94" s="6"/>
      <c r="U94" s="6"/>
      <c r="V94" s="6"/>
      <c r="W94" s="6"/>
      <c r="X94" s="6"/>
    </row>
    <row r="95" ht="11.25" customHeight="1">
      <c r="A95" s="7"/>
      <c r="B95" s="68">
        <f t="shared" si="13"/>
        <v>90</v>
      </c>
      <c r="C95" s="607">
        <v>20000.0</v>
      </c>
      <c r="D95" s="6">
        <f t="shared" si="14"/>
        <v>9714.194242</v>
      </c>
      <c r="E95" s="6">
        <f t="shared" si="1"/>
        <v>10285.80576</v>
      </c>
      <c r="F95" s="6">
        <f t="shared" si="6"/>
        <v>974210.986</v>
      </c>
      <c r="G95" s="6">
        <f t="shared" si="7"/>
        <v>825789.014</v>
      </c>
      <c r="H95" s="6">
        <f t="shared" si="8"/>
        <v>1800000</v>
      </c>
      <c r="I95" s="6">
        <f t="shared" si="9"/>
        <v>1625789.014</v>
      </c>
      <c r="J95" s="610">
        <v>7.125</v>
      </c>
      <c r="K95" s="591"/>
      <c r="L95" s="6"/>
      <c r="M95" s="9">
        <v>20000.0</v>
      </c>
      <c r="N95" s="79">
        <f t="shared" si="10"/>
        <v>1800000</v>
      </c>
      <c r="O95" s="6">
        <f t="shared" si="2"/>
        <v>621410.986</v>
      </c>
      <c r="P95" s="6"/>
      <c r="Q95" s="6">
        <f t="shared" si="11"/>
        <v>6365.805758</v>
      </c>
      <c r="R95" s="6">
        <f t="shared" si="12"/>
        <v>621410.986</v>
      </c>
      <c r="S95" s="81">
        <f t="shared" si="3"/>
        <v>75.25057558</v>
      </c>
      <c r="T95" s="6"/>
      <c r="U95" s="6"/>
      <c r="V95" s="6"/>
      <c r="W95" s="6"/>
      <c r="X95" s="6"/>
    </row>
    <row r="96" ht="11.25" customHeight="1">
      <c r="A96" s="7"/>
      <c r="B96" s="68">
        <f t="shared" si="13"/>
        <v>91</v>
      </c>
      <c r="C96" s="607">
        <v>20000.0</v>
      </c>
      <c r="D96" s="6">
        <f t="shared" si="14"/>
        <v>9653.12227</v>
      </c>
      <c r="E96" s="6">
        <f t="shared" si="1"/>
        <v>10346.87773</v>
      </c>
      <c r="F96" s="6">
        <f t="shared" si="6"/>
        <v>984557.8638</v>
      </c>
      <c r="G96" s="6">
        <f t="shared" si="7"/>
        <v>835442.1362</v>
      </c>
      <c r="H96" s="6">
        <f t="shared" si="8"/>
        <v>1820000</v>
      </c>
      <c r="I96" s="6">
        <f t="shared" si="9"/>
        <v>1615442.136</v>
      </c>
      <c r="J96" s="610">
        <v>7.125</v>
      </c>
      <c r="K96" s="591"/>
      <c r="L96" s="6"/>
      <c r="M96" s="9">
        <v>20000.0</v>
      </c>
      <c r="N96" s="79">
        <f t="shared" si="10"/>
        <v>1820000</v>
      </c>
      <c r="O96" s="6">
        <f t="shared" si="2"/>
        <v>627837.8638</v>
      </c>
      <c r="P96" s="6"/>
      <c r="Q96" s="6">
        <f t="shared" si="11"/>
        <v>6426.87773</v>
      </c>
      <c r="R96" s="6">
        <f t="shared" si="12"/>
        <v>627837.8638</v>
      </c>
      <c r="S96" s="81">
        <f t="shared" si="3"/>
        <v>75.15037087</v>
      </c>
      <c r="T96" s="6"/>
      <c r="U96" s="6"/>
      <c r="V96" s="6"/>
      <c r="W96" s="6"/>
      <c r="X96" s="6"/>
    </row>
    <row r="97" ht="11.25" customHeight="1">
      <c r="A97" s="7"/>
      <c r="B97" s="68">
        <f t="shared" si="13"/>
        <v>92</v>
      </c>
      <c r="C97" s="607">
        <v>20000.0</v>
      </c>
      <c r="D97" s="6">
        <f t="shared" si="14"/>
        <v>9591.687684</v>
      </c>
      <c r="E97" s="6">
        <f t="shared" si="1"/>
        <v>10408.31232</v>
      </c>
      <c r="F97" s="6">
        <f t="shared" si="6"/>
        <v>994966.1761</v>
      </c>
      <c r="G97" s="6">
        <f t="shared" si="7"/>
        <v>845033.8239</v>
      </c>
      <c r="H97" s="6">
        <f t="shared" si="8"/>
        <v>1840000</v>
      </c>
      <c r="I97" s="6">
        <f t="shared" si="9"/>
        <v>1605033.824</v>
      </c>
      <c r="J97" s="610">
        <v>7.125</v>
      </c>
      <c r="K97" s="591"/>
      <c r="L97" s="6"/>
      <c r="M97" s="9">
        <v>20000.0</v>
      </c>
      <c r="N97" s="79">
        <f t="shared" si="10"/>
        <v>1840000</v>
      </c>
      <c r="O97" s="6">
        <f t="shared" si="2"/>
        <v>634326.1761</v>
      </c>
      <c r="P97" s="6"/>
      <c r="Q97" s="6">
        <f t="shared" si="11"/>
        <v>6488.312316</v>
      </c>
      <c r="R97" s="6">
        <f t="shared" si="12"/>
        <v>634326.1761</v>
      </c>
      <c r="S97" s="81">
        <f t="shared" si="3"/>
        <v>75.06518179</v>
      </c>
      <c r="T97" s="6"/>
      <c r="U97" s="6"/>
      <c r="V97" s="6"/>
      <c r="W97" s="6"/>
      <c r="X97" s="6"/>
    </row>
    <row r="98" ht="11.25" customHeight="1">
      <c r="A98" s="7"/>
      <c r="B98" s="68">
        <f t="shared" si="13"/>
        <v>93</v>
      </c>
      <c r="C98" s="607">
        <v>20000.0</v>
      </c>
      <c r="D98" s="6">
        <f t="shared" si="14"/>
        <v>9529.888329</v>
      </c>
      <c r="E98" s="6">
        <f t="shared" si="1"/>
        <v>10470.11167</v>
      </c>
      <c r="F98" s="6">
        <f t="shared" si="6"/>
        <v>1005436.288</v>
      </c>
      <c r="G98" s="6">
        <f t="shared" si="7"/>
        <v>854563.7122</v>
      </c>
      <c r="H98" s="6">
        <f t="shared" si="8"/>
        <v>1860000</v>
      </c>
      <c r="I98" s="6">
        <f t="shared" si="9"/>
        <v>1594563.712</v>
      </c>
      <c r="J98" s="610">
        <v>7.125</v>
      </c>
      <c r="K98" s="591"/>
      <c r="L98" s="6"/>
      <c r="M98" s="9">
        <v>20000.0</v>
      </c>
      <c r="N98" s="79">
        <f t="shared" si="10"/>
        <v>1860000</v>
      </c>
      <c r="O98" s="6">
        <f t="shared" si="2"/>
        <v>640876.2878</v>
      </c>
      <c r="P98" s="6"/>
      <c r="Q98" s="6">
        <f t="shared" si="11"/>
        <v>6550.111671</v>
      </c>
      <c r="R98" s="6">
        <f t="shared" si="12"/>
        <v>640876.2878</v>
      </c>
      <c r="S98" s="81">
        <f t="shared" si="3"/>
        <v>74.99455905</v>
      </c>
      <c r="T98" s="6"/>
      <c r="U98" s="6"/>
      <c r="V98" s="6"/>
      <c r="W98" s="6"/>
      <c r="X98" s="6"/>
    </row>
    <row r="99" ht="11.25" customHeight="1">
      <c r="A99" s="7"/>
      <c r="B99" s="68">
        <f t="shared" si="13"/>
        <v>94</v>
      </c>
      <c r="C99" s="607">
        <v>20000.0</v>
      </c>
      <c r="D99" s="6">
        <f t="shared" si="14"/>
        <v>9467.722041</v>
      </c>
      <c r="E99" s="6">
        <f t="shared" si="1"/>
        <v>10532.27796</v>
      </c>
      <c r="F99" s="6">
        <f t="shared" si="6"/>
        <v>1015968.566</v>
      </c>
      <c r="G99" s="6">
        <f t="shared" si="7"/>
        <v>864031.4343</v>
      </c>
      <c r="H99" s="6">
        <f t="shared" si="8"/>
        <v>1880000</v>
      </c>
      <c r="I99" s="6">
        <f t="shared" si="9"/>
        <v>1584031.434</v>
      </c>
      <c r="J99" s="610">
        <v>7.125</v>
      </c>
      <c r="K99" s="591"/>
      <c r="L99" s="6"/>
      <c r="M99" s="9">
        <v>20000.0</v>
      </c>
      <c r="N99" s="79">
        <f t="shared" si="10"/>
        <v>1880000</v>
      </c>
      <c r="O99" s="6">
        <f t="shared" si="2"/>
        <v>647488.5657</v>
      </c>
      <c r="P99" s="6"/>
      <c r="Q99" s="6">
        <f t="shared" si="11"/>
        <v>6612.277959</v>
      </c>
      <c r="R99" s="6">
        <f t="shared" si="12"/>
        <v>647488.5657</v>
      </c>
      <c r="S99" s="81">
        <f t="shared" si="3"/>
        <v>74.9380798</v>
      </c>
      <c r="T99" s="6"/>
      <c r="U99" s="6"/>
      <c r="V99" s="6"/>
      <c r="W99" s="6"/>
      <c r="X99" s="6"/>
    </row>
    <row r="100" ht="11.25" customHeight="1">
      <c r="A100" s="7"/>
      <c r="B100" s="68">
        <f t="shared" si="13"/>
        <v>95</v>
      </c>
      <c r="C100" s="607">
        <v>20000.0</v>
      </c>
      <c r="D100" s="6">
        <f t="shared" si="14"/>
        <v>9405.186641</v>
      </c>
      <c r="E100" s="6">
        <f t="shared" si="1"/>
        <v>10594.81336</v>
      </c>
      <c r="F100" s="6">
        <f t="shared" si="6"/>
        <v>1026563.379</v>
      </c>
      <c r="G100" s="6">
        <f t="shared" si="7"/>
        <v>873436.6209</v>
      </c>
      <c r="H100" s="6">
        <f t="shared" si="8"/>
        <v>1900000</v>
      </c>
      <c r="I100" s="6">
        <f t="shared" si="9"/>
        <v>1573436.621</v>
      </c>
      <c r="J100" s="610">
        <v>7.125</v>
      </c>
      <c r="K100" s="591"/>
      <c r="L100" s="6"/>
      <c r="M100" s="9">
        <v>20000.0</v>
      </c>
      <c r="N100" s="79">
        <f t="shared" si="10"/>
        <v>1900000</v>
      </c>
      <c r="O100" s="6">
        <f t="shared" si="2"/>
        <v>654163.3791</v>
      </c>
      <c r="P100" s="6"/>
      <c r="Q100" s="6">
        <f t="shared" si="11"/>
        <v>6674.813359</v>
      </c>
      <c r="R100" s="6">
        <f t="shared" si="12"/>
        <v>654163.3791</v>
      </c>
      <c r="S100" s="81">
        <f t="shared" si="3"/>
        <v>74.89534597</v>
      </c>
      <c r="T100" s="6"/>
      <c r="U100" s="6"/>
      <c r="V100" s="6"/>
      <c r="W100" s="6"/>
      <c r="X100" s="6"/>
    </row>
    <row r="101" ht="11.25" customHeight="1">
      <c r="A101" s="71"/>
      <c r="B101" s="72">
        <f t="shared" si="13"/>
        <v>96</v>
      </c>
      <c r="C101" s="607">
        <v>20000.0</v>
      </c>
      <c r="D101" s="10">
        <f t="shared" si="14"/>
        <v>9342.279937</v>
      </c>
      <c r="E101" s="10">
        <f t="shared" si="1"/>
        <v>10657.72006</v>
      </c>
      <c r="F101" s="10">
        <f t="shared" si="6"/>
        <v>1037221.099</v>
      </c>
      <c r="G101" s="10">
        <f t="shared" si="7"/>
        <v>882778.9009</v>
      </c>
      <c r="H101" s="10">
        <f t="shared" si="8"/>
        <v>1920000</v>
      </c>
      <c r="I101" s="10">
        <f t="shared" si="9"/>
        <v>1562778.901</v>
      </c>
      <c r="J101" s="610">
        <v>7.125</v>
      </c>
      <c r="K101" s="591"/>
      <c r="L101" s="6"/>
      <c r="M101" s="9">
        <v>20000.0</v>
      </c>
      <c r="N101" s="79">
        <f t="shared" si="10"/>
        <v>1920000</v>
      </c>
      <c r="O101" s="6">
        <f t="shared" si="2"/>
        <v>660901.0991</v>
      </c>
      <c r="P101" s="6"/>
      <c r="Q101" s="6">
        <f t="shared" si="11"/>
        <v>6737.720063</v>
      </c>
      <c r="R101" s="6">
        <f t="shared" si="12"/>
        <v>660901.0991</v>
      </c>
      <c r="S101" s="81">
        <f t="shared" si="3"/>
        <v>74.86598269</v>
      </c>
      <c r="T101" s="6"/>
      <c r="U101" s="6"/>
      <c r="V101" s="6"/>
      <c r="W101" s="6"/>
      <c r="X101" s="6"/>
    </row>
    <row r="102" ht="11.25" customHeight="1">
      <c r="A102" s="100">
        <v>9.0</v>
      </c>
      <c r="B102" s="66">
        <f t="shared" si="13"/>
        <v>97</v>
      </c>
      <c r="C102" s="607">
        <v>20000.0</v>
      </c>
      <c r="D102" s="617">
        <f t="shared" si="14"/>
        <v>9278.999724</v>
      </c>
      <c r="E102" s="617">
        <f t="shared" si="1"/>
        <v>10721.00028</v>
      </c>
      <c r="F102" s="617">
        <f t="shared" si="6"/>
        <v>1047942.099</v>
      </c>
      <c r="G102" s="617">
        <f t="shared" si="7"/>
        <v>892057.9006</v>
      </c>
      <c r="H102" s="617">
        <f t="shared" si="8"/>
        <v>1940000</v>
      </c>
      <c r="I102" s="617">
        <f t="shared" si="9"/>
        <v>1552057.901</v>
      </c>
      <c r="J102" s="610">
        <v>7.125</v>
      </c>
      <c r="K102" s="591"/>
      <c r="L102" s="6"/>
      <c r="M102" s="9">
        <v>20000.0</v>
      </c>
      <c r="N102" s="79">
        <f t="shared" si="10"/>
        <v>1940000</v>
      </c>
      <c r="O102" s="6">
        <f t="shared" si="2"/>
        <v>667702.0994</v>
      </c>
      <c r="P102" s="6"/>
      <c r="Q102" s="6">
        <f t="shared" si="11"/>
        <v>6801.000276</v>
      </c>
      <c r="R102" s="6">
        <f t="shared" si="12"/>
        <v>667702.0994</v>
      </c>
      <c r="S102" s="81">
        <f t="shared" si="3"/>
        <v>74.84963689</v>
      </c>
      <c r="T102" s="6"/>
      <c r="U102" s="6"/>
      <c r="V102" s="6"/>
      <c r="W102" s="6"/>
      <c r="X102" s="6"/>
    </row>
    <row r="103" ht="11.25" customHeight="1">
      <c r="A103" s="54"/>
      <c r="B103" s="68">
        <f t="shared" si="13"/>
        <v>98</v>
      </c>
      <c r="C103" s="607">
        <v>20000.0</v>
      </c>
      <c r="D103" s="6">
        <f t="shared" si="14"/>
        <v>9215.343785</v>
      </c>
      <c r="E103" s="6">
        <f t="shared" si="1"/>
        <v>10784.65622</v>
      </c>
      <c r="F103" s="6">
        <f t="shared" si="6"/>
        <v>1058726.756</v>
      </c>
      <c r="G103" s="6">
        <f t="shared" si="7"/>
        <v>901273.2444</v>
      </c>
      <c r="H103" s="6">
        <f t="shared" si="8"/>
        <v>1960000</v>
      </c>
      <c r="I103" s="6">
        <f t="shared" si="9"/>
        <v>1541273.244</v>
      </c>
      <c r="J103" s="610">
        <v>7.125</v>
      </c>
      <c r="K103" s="591"/>
      <c r="L103" s="6"/>
      <c r="M103" s="9">
        <v>20000.0</v>
      </c>
      <c r="N103" s="79">
        <f t="shared" si="10"/>
        <v>1960000</v>
      </c>
      <c r="O103" s="6">
        <f t="shared" si="2"/>
        <v>674566.7556</v>
      </c>
      <c r="P103" s="6"/>
      <c r="Q103" s="6">
        <f t="shared" si="11"/>
        <v>6864.656215</v>
      </c>
      <c r="R103" s="6">
        <f t="shared" si="12"/>
        <v>674566.7556</v>
      </c>
      <c r="S103" s="81">
        <f t="shared" si="3"/>
        <v>74.84597594</v>
      </c>
      <c r="T103" s="6"/>
      <c r="U103" s="6"/>
      <c r="V103" s="6"/>
      <c r="W103" s="6"/>
      <c r="X103" s="6"/>
    </row>
    <row r="104" ht="11.25" customHeight="1">
      <c r="A104" s="7"/>
      <c r="B104" s="68">
        <f t="shared" si="13"/>
        <v>99</v>
      </c>
      <c r="C104" s="607">
        <v>20000.0</v>
      </c>
      <c r="D104" s="6">
        <f t="shared" si="14"/>
        <v>9151.309888</v>
      </c>
      <c r="E104" s="6">
        <f t="shared" si="1"/>
        <v>10848.69011</v>
      </c>
      <c r="F104" s="6">
        <f t="shared" si="6"/>
        <v>1069575.446</v>
      </c>
      <c r="G104" s="6">
        <f t="shared" si="7"/>
        <v>910424.5543</v>
      </c>
      <c r="H104" s="6">
        <f t="shared" si="8"/>
        <v>1980000</v>
      </c>
      <c r="I104" s="6">
        <f t="shared" si="9"/>
        <v>1530424.554</v>
      </c>
      <c r="J104" s="610">
        <v>7.125</v>
      </c>
      <c r="K104" s="591"/>
      <c r="L104" s="6"/>
      <c r="M104" s="9">
        <v>20000.0</v>
      </c>
      <c r="N104" s="79">
        <f t="shared" si="10"/>
        <v>1980000</v>
      </c>
      <c r="O104" s="6">
        <f t="shared" si="2"/>
        <v>681495.4457</v>
      </c>
      <c r="P104" s="6"/>
      <c r="Q104" s="6">
        <f t="shared" si="11"/>
        <v>6928.690112</v>
      </c>
      <c r="R104" s="6">
        <f t="shared" si="12"/>
        <v>681495.4457</v>
      </c>
      <c r="S104" s="81">
        <f t="shared" si="3"/>
        <v>74.85468648</v>
      </c>
      <c r="T104" s="6"/>
      <c r="U104" s="6"/>
      <c r="V104" s="6"/>
      <c r="W104" s="6"/>
      <c r="X104" s="6"/>
    </row>
    <row r="105" ht="11.25" customHeight="1">
      <c r="A105" s="7"/>
      <c r="B105" s="68">
        <f t="shared" si="13"/>
        <v>100</v>
      </c>
      <c r="C105" s="607">
        <v>20000.0</v>
      </c>
      <c r="D105" s="6">
        <f t="shared" si="14"/>
        <v>9086.895791</v>
      </c>
      <c r="E105" s="6">
        <f t="shared" si="1"/>
        <v>10913.10421</v>
      </c>
      <c r="F105" s="6">
        <f t="shared" si="6"/>
        <v>1080488.55</v>
      </c>
      <c r="G105" s="6">
        <f t="shared" si="7"/>
        <v>919511.45</v>
      </c>
      <c r="H105" s="6">
        <f t="shared" si="8"/>
        <v>2000000</v>
      </c>
      <c r="I105" s="6">
        <f t="shared" si="9"/>
        <v>1519511.45</v>
      </c>
      <c r="J105" s="610">
        <v>7.125</v>
      </c>
      <c r="K105" s="591"/>
      <c r="L105" s="6"/>
      <c r="M105" s="9">
        <v>20000.0</v>
      </c>
      <c r="N105" s="79">
        <f t="shared" si="10"/>
        <v>2000000</v>
      </c>
      <c r="O105" s="6">
        <f t="shared" si="2"/>
        <v>688488.55</v>
      </c>
      <c r="P105" s="6"/>
      <c r="Q105" s="6">
        <f t="shared" si="11"/>
        <v>6993.104209</v>
      </c>
      <c r="R105" s="6">
        <f t="shared" si="12"/>
        <v>688488.55</v>
      </c>
      <c r="S105" s="81">
        <f t="shared" si="3"/>
        <v>74.87547327</v>
      </c>
      <c r="T105" s="6"/>
      <c r="U105" s="6"/>
      <c r="V105" s="6"/>
      <c r="W105" s="6"/>
      <c r="X105" s="6"/>
    </row>
    <row r="106" ht="11.25" customHeight="1">
      <c r="A106" s="7"/>
      <c r="B106" s="68">
        <f t="shared" si="13"/>
        <v>101</v>
      </c>
      <c r="C106" s="607">
        <v>20000.0</v>
      </c>
      <c r="D106" s="6">
        <f t="shared" si="14"/>
        <v>9022.099235</v>
      </c>
      <c r="E106" s="6">
        <f t="shared" si="1"/>
        <v>10977.90077</v>
      </c>
      <c r="F106" s="6">
        <f t="shared" si="6"/>
        <v>1091466.451</v>
      </c>
      <c r="G106" s="6">
        <f t="shared" si="7"/>
        <v>928533.5493</v>
      </c>
      <c r="H106" s="6">
        <f t="shared" si="8"/>
        <v>2020000</v>
      </c>
      <c r="I106" s="6">
        <f t="shared" si="9"/>
        <v>1508533.549</v>
      </c>
      <c r="J106" s="610">
        <v>7.125</v>
      </c>
      <c r="K106" s="591"/>
      <c r="L106" s="6"/>
      <c r="M106" s="9">
        <v>20000.0</v>
      </c>
      <c r="N106" s="79">
        <f t="shared" si="10"/>
        <v>2020000</v>
      </c>
      <c r="O106" s="6">
        <f t="shared" si="2"/>
        <v>695546.4507</v>
      </c>
      <c r="P106" s="6"/>
      <c r="Q106" s="6">
        <f t="shared" si="11"/>
        <v>7057.900765</v>
      </c>
      <c r="R106" s="6">
        <f t="shared" si="12"/>
        <v>695546.4507</v>
      </c>
      <c r="S106" s="81">
        <f t="shared" si="3"/>
        <v>74.90805812</v>
      </c>
      <c r="T106" s="6"/>
      <c r="U106" s="6"/>
      <c r="V106" s="6"/>
      <c r="W106" s="6"/>
      <c r="X106" s="6"/>
    </row>
    <row r="107" ht="11.25" customHeight="1">
      <c r="A107" s="7"/>
      <c r="B107" s="68">
        <f t="shared" si="13"/>
        <v>102</v>
      </c>
      <c r="C107" s="607">
        <v>20000.0</v>
      </c>
      <c r="D107" s="6">
        <f t="shared" si="14"/>
        <v>8956.917949</v>
      </c>
      <c r="E107" s="6">
        <f t="shared" si="1"/>
        <v>11043.08205</v>
      </c>
      <c r="F107" s="6">
        <f t="shared" si="6"/>
        <v>1102509.533</v>
      </c>
      <c r="G107" s="6">
        <f t="shared" si="7"/>
        <v>937490.4672</v>
      </c>
      <c r="H107" s="6">
        <f t="shared" si="8"/>
        <v>2040000</v>
      </c>
      <c r="I107" s="6">
        <f t="shared" si="9"/>
        <v>1497490.467</v>
      </c>
      <c r="J107" s="610">
        <v>7.125</v>
      </c>
      <c r="K107" s="591"/>
      <c r="L107" s="6"/>
      <c r="M107" s="9">
        <v>20000.0</v>
      </c>
      <c r="N107" s="79">
        <f t="shared" si="10"/>
        <v>2040000</v>
      </c>
      <c r="O107" s="6">
        <f t="shared" si="2"/>
        <v>702669.5328</v>
      </c>
      <c r="P107" s="6"/>
      <c r="Q107" s="6">
        <f t="shared" si="11"/>
        <v>7123.082051</v>
      </c>
      <c r="R107" s="6">
        <f t="shared" si="12"/>
        <v>702669.5328</v>
      </c>
      <c r="S107" s="81">
        <f t="shared" si="3"/>
        <v>74.95217896</v>
      </c>
      <c r="T107" s="6"/>
      <c r="U107" s="6"/>
      <c r="V107" s="6"/>
      <c r="W107" s="6"/>
      <c r="X107" s="6"/>
    </row>
    <row r="108" ht="11.25" customHeight="1">
      <c r="A108" s="7"/>
      <c r="B108" s="68">
        <f t="shared" si="13"/>
        <v>103</v>
      </c>
      <c r="C108" s="607">
        <v>20000.0</v>
      </c>
      <c r="D108" s="6">
        <f t="shared" si="14"/>
        <v>8891.349649</v>
      </c>
      <c r="E108" s="6">
        <f t="shared" si="1"/>
        <v>11108.65035</v>
      </c>
      <c r="F108" s="6">
        <f t="shared" si="6"/>
        <v>1113618.183</v>
      </c>
      <c r="G108" s="6">
        <f t="shared" si="7"/>
        <v>946381.8169</v>
      </c>
      <c r="H108" s="6">
        <f t="shared" si="8"/>
        <v>2060000</v>
      </c>
      <c r="I108" s="6">
        <f t="shared" si="9"/>
        <v>1486381.817</v>
      </c>
      <c r="J108" s="610">
        <v>7.125</v>
      </c>
      <c r="K108" s="591"/>
      <c r="L108" s="6"/>
      <c r="M108" s="9">
        <v>20000.0</v>
      </c>
      <c r="N108" s="79">
        <f t="shared" si="10"/>
        <v>2060000</v>
      </c>
      <c r="O108" s="6">
        <f t="shared" si="2"/>
        <v>709858.1831</v>
      </c>
      <c r="P108" s="6"/>
      <c r="Q108" s="6">
        <f t="shared" si="11"/>
        <v>7188.650351</v>
      </c>
      <c r="R108" s="6">
        <f t="shared" si="12"/>
        <v>709858.1831</v>
      </c>
      <c r="S108" s="81">
        <f t="shared" si="3"/>
        <v>75.00758895</v>
      </c>
      <c r="T108" s="6"/>
      <c r="U108" s="6"/>
      <c r="V108" s="6"/>
      <c r="W108" s="6"/>
      <c r="X108" s="6"/>
    </row>
    <row r="109" ht="11.25" customHeight="1">
      <c r="A109" s="7"/>
      <c r="B109" s="68">
        <f t="shared" si="13"/>
        <v>104</v>
      </c>
      <c r="C109" s="607">
        <v>20000.0</v>
      </c>
      <c r="D109" s="6">
        <f t="shared" si="14"/>
        <v>8825.392038</v>
      </c>
      <c r="E109" s="6">
        <f t="shared" si="1"/>
        <v>11174.60796</v>
      </c>
      <c r="F109" s="6">
        <f t="shared" si="6"/>
        <v>1124792.791</v>
      </c>
      <c r="G109" s="6">
        <f t="shared" si="7"/>
        <v>955207.2089</v>
      </c>
      <c r="H109" s="6">
        <f t="shared" si="8"/>
        <v>2080000</v>
      </c>
      <c r="I109" s="6">
        <f t="shared" si="9"/>
        <v>1475207.209</v>
      </c>
      <c r="J109" s="610">
        <v>7.125</v>
      </c>
      <c r="K109" s="591"/>
      <c r="L109" s="6"/>
      <c r="M109" s="9">
        <v>20000.0</v>
      </c>
      <c r="N109" s="79">
        <f t="shared" si="10"/>
        <v>2080000</v>
      </c>
      <c r="O109" s="6">
        <f t="shared" si="2"/>
        <v>717112.7911</v>
      </c>
      <c r="P109" s="6"/>
      <c r="Q109" s="6">
        <f t="shared" si="11"/>
        <v>7254.607962</v>
      </c>
      <c r="R109" s="6">
        <f t="shared" si="12"/>
        <v>717112.7911</v>
      </c>
      <c r="S109" s="81">
        <f t="shared" si="3"/>
        <v>75.0740556</v>
      </c>
      <c r="T109" s="6"/>
      <c r="U109" s="6"/>
      <c r="V109" s="6"/>
      <c r="W109" s="6"/>
      <c r="X109" s="6"/>
    </row>
    <row r="110" ht="11.25" customHeight="1">
      <c r="A110" s="7"/>
      <c r="B110" s="68">
        <f t="shared" si="13"/>
        <v>105</v>
      </c>
      <c r="C110" s="607">
        <v>20000.0</v>
      </c>
      <c r="D110" s="6">
        <f t="shared" si="14"/>
        <v>8759.042803</v>
      </c>
      <c r="E110" s="6">
        <f t="shared" si="1"/>
        <v>11240.9572</v>
      </c>
      <c r="F110" s="6">
        <f t="shared" si="6"/>
        <v>1136033.748</v>
      </c>
      <c r="G110" s="6">
        <f t="shared" si="7"/>
        <v>963966.2517</v>
      </c>
      <c r="H110" s="6">
        <f t="shared" si="8"/>
        <v>2100000</v>
      </c>
      <c r="I110" s="6">
        <f t="shared" si="9"/>
        <v>1463966.252</v>
      </c>
      <c r="J110" s="610">
        <v>7.125</v>
      </c>
      <c r="K110" s="591"/>
      <c r="L110" s="6"/>
      <c r="M110" s="9">
        <v>20000.0</v>
      </c>
      <c r="N110" s="79">
        <f t="shared" si="10"/>
        <v>2100000</v>
      </c>
      <c r="O110" s="6">
        <f t="shared" si="2"/>
        <v>724433.7483</v>
      </c>
      <c r="P110" s="6"/>
      <c r="Q110" s="6">
        <f t="shared" si="11"/>
        <v>7320.957197</v>
      </c>
      <c r="R110" s="6">
        <f t="shared" si="12"/>
        <v>724433.7483</v>
      </c>
      <c r="S110" s="81">
        <f t="shared" si="3"/>
        <v>75.15136002</v>
      </c>
      <c r="T110" s="6"/>
      <c r="U110" s="6"/>
      <c r="V110" s="6"/>
      <c r="W110" s="6"/>
      <c r="X110" s="6"/>
    </row>
    <row r="111" ht="11.25" customHeight="1">
      <c r="A111" s="7"/>
      <c r="B111" s="68">
        <f t="shared" si="13"/>
        <v>106</v>
      </c>
      <c r="C111" s="607">
        <v>20000.0</v>
      </c>
      <c r="D111" s="6">
        <f t="shared" si="14"/>
        <v>8692.29962</v>
      </c>
      <c r="E111" s="6">
        <f t="shared" si="1"/>
        <v>11307.70038</v>
      </c>
      <c r="F111" s="6">
        <f t="shared" si="6"/>
        <v>1147341.449</v>
      </c>
      <c r="G111" s="6">
        <f t="shared" si="7"/>
        <v>972658.5513</v>
      </c>
      <c r="H111" s="6">
        <f t="shared" si="8"/>
        <v>2120000</v>
      </c>
      <c r="I111" s="6">
        <f t="shared" si="9"/>
        <v>1452658.551</v>
      </c>
      <c r="J111" s="610">
        <v>7.125</v>
      </c>
      <c r="K111" s="591"/>
      <c r="L111" s="6"/>
      <c r="M111" s="9">
        <v>20000.0</v>
      </c>
      <c r="N111" s="79">
        <f t="shared" si="10"/>
        <v>2120000</v>
      </c>
      <c r="O111" s="6">
        <f t="shared" si="2"/>
        <v>731821.4487</v>
      </c>
      <c r="P111" s="6"/>
      <c r="Q111" s="6">
        <f t="shared" si="11"/>
        <v>7387.70038</v>
      </c>
      <c r="R111" s="6">
        <f t="shared" si="12"/>
        <v>731821.4487</v>
      </c>
      <c r="S111" s="81">
        <f t="shared" si="3"/>
        <v>75.23929622</v>
      </c>
      <c r="T111" s="6"/>
      <c r="U111" s="6"/>
      <c r="V111" s="6"/>
      <c r="W111" s="6"/>
      <c r="X111" s="6"/>
    </row>
    <row r="112" ht="11.25" customHeight="1">
      <c r="A112" s="7"/>
      <c r="B112" s="68">
        <f t="shared" si="13"/>
        <v>107</v>
      </c>
      <c r="C112" s="607">
        <v>20000.0</v>
      </c>
      <c r="D112" s="6">
        <f t="shared" si="14"/>
        <v>8625.160149</v>
      </c>
      <c r="E112" s="6">
        <f t="shared" si="1"/>
        <v>11374.83985</v>
      </c>
      <c r="F112" s="6">
        <f t="shared" si="6"/>
        <v>1158716.289</v>
      </c>
      <c r="G112" s="6">
        <f t="shared" si="7"/>
        <v>981283.7115</v>
      </c>
      <c r="H112" s="6">
        <f t="shared" si="8"/>
        <v>2140000</v>
      </c>
      <c r="I112" s="6">
        <f t="shared" si="9"/>
        <v>1441283.711</v>
      </c>
      <c r="J112" s="610">
        <v>7.125</v>
      </c>
      <c r="K112" s="591"/>
      <c r="L112" s="6"/>
      <c r="M112" s="9">
        <v>20000.0</v>
      </c>
      <c r="N112" s="79">
        <f t="shared" si="10"/>
        <v>2140000</v>
      </c>
      <c r="O112" s="6">
        <f t="shared" si="2"/>
        <v>739276.2885</v>
      </c>
      <c r="P112" s="6"/>
      <c r="Q112" s="6">
        <f t="shared" si="11"/>
        <v>7454.839851</v>
      </c>
      <c r="R112" s="6">
        <f t="shared" si="12"/>
        <v>739276.2885</v>
      </c>
      <c r="S112" s="81">
        <f t="shared" si="3"/>
        <v>75.33767043</v>
      </c>
      <c r="T112" s="6"/>
      <c r="U112" s="6"/>
      <c r="V112" s="6"/>
      <c r="W112" s="6"/>
      <c r="X112" s="6"/>
    </row>
    <row r="113" ht="11.25" customHeight="1">
      <c r="A113" s="71"/>
      <c r="B113" s="72">
        <f t="shared" si="13"/>
        <v>108</v>
      </c>
      <c r="C113" s="607">
        <v>20000.0</v>
      </c>
      <c r="D113" s="10">
        <f t="shared" si="14"/>
        <v>8557.622037</v>
      </c>
      <c r="E113" s="10">
        <f t="shared" si="1"/>
        <v>11442.37796</v>
      </c>
      <c r="F113" s="10">
        <f t="shared" si="6"/>
        <v>1170158.666</v>
      </c>
      <c r="G113" s="10">
        <f t="shared" si="7"/>
        <v>989841.3335</v>
      </c>
      <c r="H113" s="10">
        <f t="shared" si="8"/>
        <v>2160000</v>
      </c>
      <c r="I113" s="10">
        <f t="shared" si="9"/>
        <v>1429841.334</v>
      </c>
      <c r="J113" s="610">
        <v>7.125</v>
      </c>
      <c r="K113" s="591"/>
      <c r="L113" s="6"/>
      <c r="M113" s="9">
        <v>20000.0</v>
      </c>
      <c r="N113" s="79">
        <f t="shared" si="10"/>
        <v>2160000</v>
      </c>
      <c r="O113" s="6">
        <f t="shared" si="2"/>
        <v>746798.6665</v>
      </c>
      <c r="P113" s="6"/>
      <c r="Q113" s="6">
        <f t="shared" si="11"/>
        <v>7522.377963</v>
      </c>
      <c r="R113" s="6">
        <f t="shared" si="12"/>
        <v>746798.6665</v>
      </c>
      <c r="S113" s="81">
        <f t="shared" si="3"/>
        <v>75.44630045</v>
      </c>
      <c r="T113" s="6"/>
      <c r="U113" s="6"/>
      <c r="V113" s="6"/>
      <c r="W113" s="6"/>
      <c r="X113" s="6"/>
    </row>
    <row r="114" ht="11.25" customHeight="1">
      <c r="A114" s="100">
        <v>10.0</v>
      </c>
      <c r="B114" s="66">
        <f t="shared" si="13"/>
        <v>109</v>
      </c>
      <c r="C114" s="607">
        <v>20000.0</v>
      </c>
      <c r="D114" s="617">
        <f t="shared" si="14"/>
        <v>8489.682918</v>
      </c>
      <c r="E114" s="617">
        <f t="shared" si="1"/>
        <v>11510.31708</v>
      </c>
      <c r="F114" s="617">
        <f t="shared" si="6"/>
        <v>1181668.984</v>
      </c>
      <c r="G114" s="617">
        <f t="shared" si="7"/>
        <v>998331.0164</v>
      </c>
      <c r="H114" s="617">
        <f t="shared" si="8"/>
        <v>2180000</v>
      </c>
      <c r="I114" s="617">
        <f t="shared" si="9"/>
        <v>1418331.016</v>
      </c>
      <c r="J114" s="610">
        <v>7.125</v>
      </c>
      <c r="K114" s="591"/>
      <c r="L114" s="6"/>
      <c r="M114" s="9">
        <v>20000.0</v>
      </c>
      <c r="N114" s="79">
        <f t="shared" si="10"/>
        <v>2180000</v>
      </c>
      <c r="O114" s="6">
        <f t="shared" si="2"/>
        <v>754388.9836</v>
      </c>
      <c r="P114" s="6"/>
      <c r="Q114" s="6">
        <f t="shared" si="11"/>
        <v>7590.317082</v>
      </c>
      <c r="R114" s="6">
        <f t="shared" si="12"/>
        <v>754388.9836</v>
      </c>
      <c r="S114" s="81">
        <f t="shared" si="3"/>
        <v>75.56501512</v>
      </c>
      <c r="T114" s="6"/>
      <c r="U114" s="6"/>
      <c r="V114" s="6"/>
      <c r="W114" s="6"/>
      <c r="X114" s="6"/>
    </row>
    <row r="115" ht="11.25" customHeight="1">
      <c r="A115" s="7"/>
      <c r="B115" s="68">
        <f t="shared" si="13"/>
        <v>110</v>
      </c>
      <c r="C115" s="607">
        <v>20000.0</v>
      </c>
      <c r="D115" s="6">
        <f t="shared" si="14"/>
        <v>8421.34041</v>
      </c>
      <c r="E115" s="6">
        <f t="shared" si="1"/>
        <v>11578.65959</v>
      </c>
      <c r="F115" s="6">
        <f t="shared" si="6"/>
        <v>1193247.643</v>
      </c>
      <c r="G115" s="6">
        <f t="shared" si="7"/>
        <v>1006752.357</v>
      </c>
      <c r="H115" s="6">
        <f t="shared" si="8"/>
        <v>2200000</v>
      </c>
      <c r="I115" s="6">
        <f t="shared" si="9"/>
        <v>1406752.357</v>
      </c>
      <c r="J115" s="610">
        <v>7.125</v>
      </c>
      <c r="K115" s="591"/>
      <c r="L115" s="6"/>
      <c r="M115" s="9">
        <v>20000.0</v>
      </c>
      <c r="N115" s="79">
        <f t="shared" si="10"/>
        <v>2200000</v>
      </c>
      <c r="O115" s="6">
        <f t="shared" si="2"/>
        <v>762047.6431</v>
      </c>
      <c r="P115" s="6"/>
      <c r="Q115" s="6">
        <f t="shared" si="11"/>
        <v>7658.65959</v>
      </c>
      <c r="R115" s="6">
        <f t="shared" si="12"/>
        <v>762047.6431</v>
      </c>
      <c r="S115" s="81">
        <f t="shared" si="3"/>
        <v>75.69365375</v>
      </c>
      <c r="T115" s="6"/>
      <c r="U115" s="6"/>
      <c r="V115" s="6"/>
      <c r="W115" s="6"/>
      <c r="X115" s="6"/>
    </row>
    <row r="116" ht="11.25" customHeight="1">
      <c r="A116" s="7"/>
      <c r="B116" s="68">
        <f t="shared" si="13"/>
        <v>111</v>
      </c>
      <c r="C116" s="607">
        <v>20000.0</v>
      </c>
      <c r="D116" s="6">
        <f t="shared" si="14"/>
        <v>8352.592119</v>
      </c>
      <c r="E116" s="6">
        <f t="shared" si="1"/>
        <v>11647.40788</v>
      </c>
      <c r="F116" s="6">
        <f t="shared" si="6"/>
        <v>1204895.051</v>
      </c>
      <c r="G116" s="6">
        <f t="shared" si="7"/>
        <v>1015104.949</v>
      </c>
      <c r="H116" s="6">
        <f t="shared" si="8"/>
        <v>2220000</v>
      </c>
      <c r="I116" s="6">
        <f t="shared" si="9"/>
        <v>1395104.949</v>
      </c>
      <c r="J116" s="610">
        <v>7.125</v>
      </c>
      <c r="K116" s="591"/>
      <c r="L116" s="6"/>
      <c r="M116" s="9">
        <v>20000.0</v>
      </c>
      <c r="N116" s="79">
        <f t="shared" si="10"/>
        <v>2220000</v>
      </c>
      <c r="O116" s="6">
        <f t="shared" si="2"/>
        <v>769775.051</v>
      </c>
      <c r="P116" s="6"/>
      <c r="Q116" s="6">
        <f t="shared" si="11"/>
        <v>7727.407881</v>
      </c>
      <c r="R116" s="6">
        <f t="shared" si="12"/>
        <v>769775.051</v>
      </c>
      <c r="S116" s="81">
        <f t="shared" si="3"/>
        <v>75.83206562</v>
      </c>
      <c r="T116" s="6"/>
      <c r="U116" s="6"/>
      <c r="V116" s="6"/>
      <c r="W116" s="6"/>
      <c r="X116" s="6"/>
    </row>
    <row r="117" ht="11.25" customHeight="1">
      <c r="A117" s="7"/>
      <c r="B117" s="68">
        <f t="shared" si="13"/>
        <v>112</v>
      </c>
      <c r="C117" s="607">
        <v>20000.0</v>
      </c>
      <c r="D117" s="6">
        <f t="shared" si="14"/>
        <v>8283.435635</v>
      </c>
      <c r="E117" s="6">
        <f t="shared" si="1"/>
        <v>11716.56437</v>
      </c>
      <c r="F117" s="6">
        <f t="shared" si="6"/>
        <v>1216611.615</v>
      </c>
      <c r="G117" s="6">
        <f t="shared" si="7"/>
        <v>1023388.385</v>
      </c>
      <c r="H117" s="6">
        <f t="shared" si="8"/>
        <v>2240000</v>
      </c>
      <c r="I117" s="6">
        <f t="shared" si="9"/>
        <v>1383388.385</v>
      </c>
      <c r="J117" s="610">
        <v>7.125</v>
      </c>
      <c r="K117" s="591"/>
      <c r="L117" s="6"/>
      <c r="M117" s="9">
        <v>20000.0</v>
      </c>
      <c r="N117" s="79">
        <f t="shared" si="10"/>
        <v>2240000</v>
      </c>
      <c r="O117" s="6">
        <f t="shared" si="2"/>
        <v>777571.6154</v>
      </c>
      <c r="P117" s="6"/>
      <c r="Q117" s="6">
        <f t="shared" si="11"/>
        <v>7796.564365</v>
      </c>
      <c r="R117" s="6">
        <f t="shared" si="12"/>
        <v>777571.6154</v>
      </c>
      <c r="S117" s="81">
        <f t="shared" si="3"/>
        <v>75.98010952</v>
      </c>
      <c r="T117" s="6"/>
      <c r="U117" s="6"/>
      <c r="V117" s="6"/>
      <c r="W117" s="6"/>
      <c r="X117" s="6"/>
    </row>
    <row r="118" ht="11.25" customHeight="1">
      <c r="A118" s="7"/>
      <c r="B118" s="68">
        <f t="shared" si="13"/>
        <v>113</v>
      </c>
      <c r="C118" s="607">
        <v>20000.0</v>
      </c>
      <c r="D118" s="6">
        <f t="shared" si="14"/>
        <v>8213.868534</v>
      </c>
      <c r="E118" s="6">
        <f t="shared" si="1"/>
        <v>11786.13147</v>
      </c>
      <c r="F118" s="6">
        <f t="shared" si="6"/>
        <v>1228397.747</v>
      </c>
      <c r="G118" s="6">
        <f t="shared" si="7"/>
        <v>1031602.253</v>
      </c>
      <c r="H118" s="6">
        <f t="shared" si="8"/>
        <v>2260000</v>
      </c>
      <c r="I118" s="6">
        <f t="shared" si="9"/>
        <v>1371602.253</v>
      </c>
      <c r="J118" s="610">
        <v>7.125</v>
      </c>
      <c r="K118" s="591"/>
      <c r="L118" s="6"/>
      <c r="M118" s="9">
        <v>20000.0</v>
      </c>
      <c r="N118" s="79">
        <f t="shared" si="10"/>
        <v>2260000</v>
      </c>
      <c r="O118" s="6">
        <f t="shared" si="2"/>
        <v>785437.7469</v>
      </c>
      <c r="P118" s="6"/>
      <c r="Q118" s="6">
        <f t="shared" si="11"/>
        <v>7866.131466</v>
      </c>
      <c r="R118" s="6">
        <f t="shared" si="12"/>
        <v>785437.7469</v>
      </c>
      <c r="S118" s="81">
        <f t="shared" si="3"/>
        <v>76.13765329</v>
      </c>
      <c r="T118" s="6"/>
      <c r="U118" s="6"/>
      <c r="V118" s="6"/>
      <c r="W118" s="6"/>
      <c r="X118" s="6"/>
    </row>
    <row r="119" ht="11.25" customHeight="1">
      <c r="A119" s="7"/>
      <c r="B119" s="68">
        <f t="shared" si="13"/>
        <v>114</v>
      </c>
      <c r="C119" s="607">
        <v>20000.0</v>
      </c>
      <c r="D119" s="6">
        <f t="shared" si="14"/>
        <v>8143.888378</v>
      </c>
      <c r="E119" s="6">
        <f t="shared" si="1"/>
        <v>11856.11162</v>
      </c>
      <c r="F119" s="6">
        <f t="shared" si="6"/>
        <v>1240253.858</v>
      </c>
      <c r="G119" s="6">
        <f t="shared" si="7"/>
        <v>1039746.142</v>
      </c>
      <c r="H119" s="6">
        <f t="shared" si="8"/>
        <v>2280000</v>
      </c>
      <c r="I119" s="6">
        <f t="shared" si="9"/>
        <v>1359746.142</v>
      </c>
      <c r="J119" s="610">
        <v>7.125</v>
      </c>
      <c r="K119" s="591"/>
      <c r="L119" s="6"/>
      <c r="M119" s="9">
        <v>20000.0</v>
      </c>
      <c r="N119" s="79">
        <f t="shared" si="10"/>
        <v>2280000</v>
      </c>
      <c r="O119" s="6">
        <f t="shared" si="2"/>
        <v>793373.8585</v>
      </c>
      <c r="P119" s="6"/>
      <c r="Q119" s="6">
        <f t="shared" si="11"/>
        <v>7936.111622</v>
      </c>
      <c r="R119" s="6">
        <f t="shared" si="12"/>
        <v>793373.8585</v>
      </c>
      <c r="S119" s="81">
        <f t="shared" si="3"/>
        <v>76.30457347</v>
      </c>
      <c r="T119" s="6"/>
      <c r="U119" s="6"/>
      <c r="V119" s="6"/>
      <c r="W119" s="6"/>
      <c r="X119" s="6"/>
    </row>
    <row r="120" ht="11.25" customHeight="1">
      <c r="A120" s="7"/>
      <c r="B120" s="68">
        <f t="shared" si="13"/>
        <v>115</v>
      </c>
      <c r="C120" s="607">
        <v>20000.0</v>
      </c>
      <c r="D120" s="6">
        <f t="shared" si="14"/>
        <v>8073.492715</v>
      </c>
      <c r="E120" s="6">
        <f t="shared" si="1"/>
        <v>11926.50728</v>
      </c>
      <c r="F120" s="6">
        <f t="shared" si="6"/>
        <v>1252180.366</v>
      </c>
      <c r="G120" s="6">
        <f t="shared" si="7"/>
        <v>1047819.634</v>
      </c>
      <c r="H120" s="6">
        <f t="shared" si="8"/>
        <v>2300000</v>
      </c>
      <c r="I120" s="6">
        <f t="shared" si="9"/>
        <v>1347819.634</v>
      </c>
      <c r="J120" s="610">
        <v>7.125</v>
      </c>
      <c r="K120" s="591"/>
      <c r="L120" s="6"/>
      <c r="M120" s="9">
        <v>20000.0</v>
      </c>
      <c r="N120" s="79">
        <f t="shared" si="10"/>
        <v>2300000</v>
      </c>
      <c r="O120" s="6">
        <f t="shared" si="2"/>
        <v>801380.3658</v>
      </c>
      <c r="P120" s="6"/>
      <c r="Q120" s="6">
        <f t="shared" si="11"/>
        <v>8006.507285</v>
      </c>
      <c r="R120" s="6">
        <f t="shared" si="12"/>
        <v>801380.3658</v>
      </c>
      <c r="S120" s="81">
        <f t="shared" si="3"/>
        <v>76.48075485</v>
      </c>
      <c r="T120" s="6"/>
      <c r="U120" s="6"/>
      <c r="V120" s="6"/>
      <c r="W120" s="6"/>
      <c r="X120" s="6"/>
    </row>
    <row r="121" ht="11.25" customHeight="1">
      <c r="A121" s="7"/>
      <c r="B121" s="68">
        <f t="shared" si="13"/>
        <v>116</v>
      </c>
      <c r="C121" s="607">
        <v>20000.0</v>
      </c>
      <c r="D121" s="6">
        <f t="shared" si="14"/>
        <v>8002.679078</v>
      </c>
      <c r="E121" s="6">
        <f t="shared" si="1"/>
        <v>11997.32092</v>
      </c>
      <c r="F121" s="6">
        <f t="shared" si="6"/>
        <v>1264177.687</v>
      </c>
      <c r="G121" s="6">
        <f t="shared" si="7"/>
        <v>1055822.313</v>
      </c>
      <c r="H121" s="6">
        <f t="shared" si="8"/>
        <v>2320000</v>
      </c>
      <c r="I121" s="6">
        <f t="shared" si="9"/>
        <v>1335822.313</v>
      </c>
      <c r="J121" s="610">
        <v>7.125</v>
      </c>
      <c r="K121" s="591"/>
      <c r="L121" s="6"/>
      <c r="M121" s="9">
        <v>20000.0</v>
      </c>
      <c r="N121" s="79">
        <f t="shared" si="10"/>
        <v>2320000</v>
      </c>
      <c r="O121" s="6">
        <f t="shared" si="2"/>
        <v>809457.6867</v>
      </c>
      <c r="P121" s="6"/>
      <c r="Q121" s="6">
        <f t="shared" si="11"/>
        <v>8077.320922</v>
      </c>
      <c r="R121" s="6">
        <f t="shared" si="12"/>
        <v>809457.6867</v>
      </c>
      <c r="S121" s="81">
        <f t="shared" si="3"/>
        <v>76.66609016</v>
      </c>
      <c r="T121" s="6"/>
      <c r="U121" s="6"/>
      <c r="V121" s="6"/>
      <c r="W121" s="6"/>
      <c r="X121" s="6"/>
    </row>
    <row r="122" ht="11.25" customHeight="1">
      <c r="A122" s="7"/>
      <c r="B122" s="68">
        <f t="shared" si="13"/>
        <v>117</v>
      </c>
      <c r="C122" s="607">
        <v>20000.0</v>
      </c>
      <c r="D122" s="6">
        <f t="shared" si="14"/>
        <v>7931.444985</v>
      </c>
      <c r="E122" s="6">
        <f t="shared" si="1"/>
        <v>12068.55501</v>
      </c>
      <c r="F122" s="6">
        <f t="shared" si="6"/>
        <v>1276246.242</v>
      </c>
      <c r="G122" s="6">
        <f t="shared" si="7"/>
        <v>1063753.758</v>
      </c>
      <c r="H122" s="6">
        <f t="shared" si="8"/>
        <v>2340000</v>
      </c>
      <c r="I122" s="6">
        <f t="shared" si="9"/>
        <v>1323753.758</v>
      </c>
      <c r="J122" s="610">
        <v>7.125</v>
      </c>
      <c r="K122" s="591"/>
      <c r="L122" s="6"/>
      <c r="M122" s="9">
        <v>20000.0</v>
      </c>
      <c r="N122" s="79">
        <f t="shared" si="10"/>
        <v>2340000</v>
      </c>
      <c r="O122" s="6">
        <f t="shared" si="2"/>
        <v>817606.2417</v>
      </c>
      <c r="P122" s="6"/>
      <c r="Q122" s="6">
        <f t="shared" si="11"/>
        <v>8148.555015</v>
      </c>
      <c r="R122" s="6">
        <f t="shared" si="12"/>
        <v>817606.2417</v>
      </c>
      <c r="S122" s="81">
        <f t="shared" si="3"/>
        <v>76.86047972</v>
      </c>
      <c r="T122" s="6"/>
      <c r="U122" s="6"/>
      <c r="V122" s="6"/>
      <c r="W122" s="6"/>
      <c r="X122" s="6"/>
    </row>
    <row r="123" ht="11.25" customHeight="1">
      <c r="A123" s="7"/>
      <c r="B123" s="68">
        <f t="shared" si="13"/>
        <v>118</v>
      </c>
      <c r="C123" s="607">
        <v>20000.0</v>
      </c>
      <c r="D123" s="6">
        <f t="shared" si="14"/>
        <v>7859.78794</v>
      </c>
      <c r="E123" s="6">
        <f t="shared" si="1"/>
        <v>12140.21206</v>
      </c>
      <c r="F123" s="6">
        <f t="shared" si="6"/>
        <v>1288386.454</v>
      </c>
      <c r="G123" s="6">
        <f t="shared" si="7"/>
        <v>1071613.546</v>
      </c>
      <c r="H123" s="6">
        <f t="shared" si="8"/>
        <v>2360000</v>
      </c>
      <c r="I123" s="6">
        <f t="shared" si="9"/>
        <v>1311613.546</v>
      </c>
      <c r="J123" s="610">
        <v>7.125</v>
      </c>
      <c r="K123" s="591"/>
      <c r="L123" s="6"/>
      <c r="M123" s="9">
        <v>20000.0</v>
      </c>
      <c r="N123" s="79">
        <f t="shared" si="10"/>
        <v>2360000</v>
      </c>
      <c r="O123" s="6">
        <f t="shared" si="2"/>
        <v>825826.4538</v>
      </c>
      <c r="P123" s="6"/>
      <c r="Q123" s="6">
        <f t="shared" si="11"/>
        <v>8220.21206</v>
      </c>
      <c r="R123" s="6">
        <f t="shared" si="12"/>
        <v>825826.4538</v>
      </c>
      <c r="S123" s="81">
        <f t="shared" si="3"/>
        <v>77.06383114</v>
      </c>
      <c r="T123" s="6"/>
      <c r="U123" s="6"/>
      <c r="V123" s="6"/>
      <c r="W123" s="6"/>
      <c r="X123" s="6"/>
    </row>
    <row r="124" ht="11.25" customHeight="1">
      <c r="A124" s="7"/>
      <c r="B124" s="68">
        <f t="shared" si="13"/>
        <v>119</v>
      </c>
      <c r="C124" s="607">
        <v>20000.0</v>
      </c>
      <c r="D124" s="6">
        <f t="shared" si="14"/>
        <v>7787.705431</v>
      </c>
      <c r="E124" s="6">
        <f t="shared" si="1"/>
        <v>12212.29457</v>
      </c>
      <c r="F124" s="6">
        <f t="shared" si="6"/>
        <v>1300598.748</v>
      </c>
      <c r="G124" s="6">
        <f t="shared" si="7"/>
        <v>1079401.252</v>
      </c>
      <c r="H124" s="6">
        <f t="shared" si="8"/>
        <v>2380000</v>
      </c>
      <c r="I124" s="6">
        <f t="shared" si="9"/>
        <v>1299401.252</v>
      </c>
      <c r="J124" s="610">
        <v>7.125</v>
      </c>
      <c r="K124" s="591"/>
      <c r="L124" s="6"/>
      <c r="M124" s="9">
        <v>20000.0</v>
      </c>
      <c r="N124" s="79">
        <f t="shared" si="10"/>
        <v>2380000</v>
      </c>
      <c r="O124" s="6">
        <f t="shared" si="2"/>
        <v>834118.7483</v>
      </c>
      <c r="P124" s="6"/>
      <c r="Q124" s="6">
        <f t="shared" si="11"/>
        <v>8292.294569</v>
      </c>
      <c r="R124" s="6">
        <f t="shared" si="12"/>
        <v>834118.7483</v>
      </c>
      <c r="S124" s="81">
        <f t="shared" si="3"/>
        <v>77.27605902</v>
      </c>
      <c r="T124" s="6"/>
      <c r="U124" s="6"/>
      <c r="V124" s="6"/>
      <c r="W124" s="6"/>
      <c r="X124" s="6"/>
    </row>
    <row r="125" ht="11.25" customHeight="1">
      <c r="A125" s="71"/>
      <c r="B125" s="72">
        <f t="shared" si="13"/>
        <v>120</v>
      </c>
      <c r="C125" s="607">
        <v>20000.0</v>
      </c>
      <c r="D125" s="10">
        <f t="shared" si="14"/>
        <v>7715.194932</v>
      </c>
      <c r="E125" s="10">
        <f t="shared" si="1"/>
        <v>12284.80507</v>
      </c>
      <c r="F125" s="10">
        <f t="shared" si="6"/>
        <v>1312883.553</v>
      </c>
      <c r="G125" s="10">
        <f t="shared" si="7"/>
        <v>1087116.447</v>
      </c>
      <c r="H125" s="10">
        <f t="shared" si="8"/>
        <v>2400000</v>
      </c>
      <c r="I125" s="10">
        <f t="shared" si="9"/>
        <v>1287116.447</v>
      </c>
      <c r="J125" s="610">
        <v>7.125</v>
      </c>
      <c r="K125" s="591"/>
      <c r="L125" s="6"/>
      <c r="M125" s="9">
        <v>20000.0</v>
      </c>
      <c r="N125" s="79">
        <f t="shared" si="10"/>
        <v>2400000</v>
      </c>
      <c r="O125" s="6">
        <f t="shared" si="2"/>
        <v>842483.5534</v>
      </c>
      <c r="P125" s="6"/>
      <c r="Q125" s="6">
        <f t="shared" si="11"/>
        <v>8364.805068</v>
      </c>
      <c r="R125" s="6">
        <f t="shared" si="12"/>
        <v>842483.5534</v>
      </c>
      <c r="S125" s="81">
        <f t="shared" si="3"/>
        <v>77.4970847</v>
      </c>
      <c r="T125" s="6"/>
      <c r="U125" s="6"/>
      <c r="V125" s="6"/>
      <c r="W125" s="6"/>
      <c r="X125" s="6"/>
    </row>
    <row r="126" ht="11.25" customHeight="1">
      <c r="A126" s="100">
        <v>11.0</v>
      </c>
      <c r="B126" s="66">
        <f t="shared" si="13"/>
        <v>121</v>
      </c>
      <c r="C126" s="607">
        <v>20000.0</v>
      </c>
      <c r="D126" s="617">
        <f t="shared" si="14"/>
        <v>7642.253902</v>
      </c>
      <c r="E126" s="617">
        <f t="shared" si="1"/>
        <v>12357.7461</v>
      </c>
      <c r="F126" s="617">
        <f t="shared" si="6"/>
        <v>1325241.299</v>
      </c>
      <c r="G126" s="617">
        <f t="shared" si="7"/>
        <v>1094758.701</v>
      </c>
      <c r="H126" s="617">
        <f t="shared" si="8"/>
        <v>2420000</v>
      </c>
      <c r="I126" s="617">
        <f t="shared" si="9"/>
        <v>1274758.701</v>
      </c>
      <c r="J126" s="610">
        <v>7.125</v>
      </c>
      <c r="K126" s="591"/>
      <c r="L126" s="6"/>
      <c r="M126" s="9">
        <v>20000.0</v>
      </c>
      <c r="N126" s="79">
        <f t="shared" si="10"/>
        <v>2420000</v>
      </c>
      <c r="O126" s="6">
        <f t="shared" si="2"/>
        <v>850921.2995</v>
      </c>
      <c r="P126" s="6"/>
      <c r="Q126" s="6">
        <f t="shared" si="11"/>
        <v>8437.746098</v>
      </c>
      <c r="R126" s="6">
        <f t="shared" si="12"/>
        <v>850921.2995</v>
      </c>
      <c r="S126" s="81">
        <f t="shared" si="3"/>
        <v>77.72683598</v>
      </c>
      <c r="T126" s="6"/>
      <c r="U126" s="6"/>
      <c r="V126" s="6"/>
      <c r="W126" s="6"/>
      <c r="X126" s="6"/>
    </row>
    <row r="127" ht="11.25" customHeight="1">
      <c r="A127" s="7"/>
      <c r="B127" s="68">
        <f t="shared" si="13"/>
        <v>122</v>
      </c>
      <c r="C127" s="607">
        <v>20000.0</v>
      </c>
      <c r="D127" s="6">
        <f t="shared" si="14"/>
        <v>7568.879784</v>
      </c>
      <c r="E127" s="6">
        <f t="shared" si="1"/>
        <v>12431.12022</v>
      </c>
      <c r="F127" s="6">
        <f t="shared" si="6"/>
        <v>1337672.42</v>
      </c>
      <c r="G127" s="6">
        <f t="shared" si="7"/>
        <v>1102327.58</v>
      </c>
      <c r="H127" s="6">
        <f t="shared" si="8"/>
        <v>2440000</v>
      </c>
      <c r="I127" s="6">
        <f t="shared" si="9"/>
        <v>1262327.58</v>
      </c>
      <c r="J127" s="610">
        <v>7.125</v>
      </c>
      <c r="K127" s="591"/>
      <c r="L127" s="6"/>
      <c r="M127" s="9">
        <v>20000.0</v>
      </c>
      <c r="N127" s="79">
        <f t="shared" si="10"/>
        <v>2440000</v>
      </c>
      <c r="O127" s="6">
        <f t="shared" si="2"/>
        <v>859432.4197</v>
      </c>
      <c r="P127" s="6"/>
      <c r="Q127" s="6">
        <f t="shared" si="11"/>
        <v>8511.120216</v>
      </c>
      <c r="R127" s="6">
        <f t="shared" si="12"/>
        <v>859432.4197</v>
      </c>
      <c r="S127" s="81">
        <f t="shared" si="3"/>
        <v>77.96524691</v>
      </c>
      <c r="T127" s="6"/>
      <c r="U127" s="6"/>
      <c r="V127" s="6"/>
      <c r="W127" s="6"/>
      <c r="X127" s="6"/>
    </row>
    <row r="128" ht="11.25" customHeight="1">
      <c r="A128" s="7"/>
      <c r="B128" s="68">
        <f t="shared" si="13"/>
        <v>123</v>
      </c>
      <c r="C128" s="607">
        <v>20000.0</v>
      </c>
      <c r="D128" s="6">
        <f t="shared" si="14"/>
        <v>7495.070008</v>
      </c>
      <c r="E128" s="6">
        <f t="shared" si="1"/>
        <v>12504.92999</v>
      </c>
      <c r="F128" s="6">
        <f t="shared" si="6"/>
        <v>1350177.35</v>
      </c>
      <c r="G128" s="6">
        <f t="shared" si="7"/>
        <v>1109822.65</v>
      </c>
      <c r="H128" s="6">
        <f t="shared" si="8"/>
        <v>2460000</v>
      </c>
      <c r="I128" s="6">
        <f t="shared" si="9"/>
        <v>1249822.65</v>
      </c>
      <c r="J128" s="610">
        <v>7.125</v>
      </c>
      <c r="K128" s="591"/>
      <c r="L128" s="6"/>
      <c r="M128" s="9">
        <v>20000.0</v>
      </c>
      <c r="N128" s="79">
        <f t="shared" si="10"/>
        <v>2460000</v>
      </c>
      <c r="O128" s="6">
        <f t="shared" si="2"/>
        <v>868017.3497</v>
      </c>
      <c r="P128" s="6"/>
      <c r="Q128" s="6">
        <f t="shared" si="11"/>
        <v>8584.929992</v>
      </c>
      <c r="R128" s="6">
        <f t="shared" si="12"/>
        <v>868017.3497</v>
      </c>
      <c r="S128" s="81">
        <f t="shared" si="3"/>
        <v>78.21225756</v>
      </c>
      <c r="T128" s="6"/>
      <c r="U128" s="6"/>
      <c r="V128" s="6"/>
      <c r="W128" s="6"/>
      <c r="X128" s="6"/>
    </row>
    <row r="129" ht="11.25" customHeight="1">
      <c r="A129" s="7"/>
      <c r="B129" s="68">
        <f t="shared" si="13"/>
        <v>124</v>
      </c>
      <c r="C129" s="607">
        <v>20000.0</v>
      </c>
      <c r="D129" s="6">
        <f t="shared" si="14"/>
        <v>7420.821986</v>
      </c>
      <c r="E129" s="6">
        <f t="shared" si="1"/>
        <v>12579.17801</v>
      </c>
      <c r="F129" s="6">
        <f t="shared" si="6"/>
        <v>1362756.528</v>
      </c>
      <c r="G129" s="6">
        <f t="shared" si="7"/>
        <v>1117243.472</v>
      </c>
      <c r="H129" s="6">
        <f t="shared" si="8"/>
        <v>2480000</v>
      </c>
      <c r="I129" s="6">
        <f t="shared" si="9"/>
        <v>1237243.472</v>
      </c>
      <c r="J129" s="610">
        <v>7.125</v>
      </c>
      <c r="K129" s="591"/>
      <c r="L129" s="6"/>
      <c r="M129" s="9">
        <v>20000.0</v>
      </c>
      <c r="N129" s="79">
        <f t="shared" si="10"/>
        <v>2480000</v>
      </c>
      <c r="O129" s="6">
        <f t="shared" si="2"/>
        <v>876676.5277</v>
      </c>
      <c r="P129" s="6"/>
      <c r="Q129" s="6">
        <f t="shared" si="11"/>
        <v>8659.178014</v>
      </c>
      <c r="R129" s="6">
        <f t="shared" si="12"/>
        <v>876676.5277</v>
      </c>
      <c r="S129" s="81">
        <f t="shared" si="3"/>
        <v>78.46781382</v>
      </c>
      <c r="T129" s="6"/>
      <c r="U129" s="6"/>
      <c r="V129" s="6"/>
      <c r="W129" s="6"/>
      <c r="X129" s="6"/>
    </row>
    <row r="130" ht="11.25" customHeight="1">
      <c r="A130" s="7"/>
      <c r="B130" s="68">
        <f t="shared" si="13"/>
        <v>125</v>
      </c>
      <c r="C130" s="607">
        <v>20000.0</v>
      </c>
      <c r="D130" s="6">
        <f t="shared" si="14"/>
        <v>7346.133117</v>
      </c>
      <c r="E130" s="6">
        <f t="shared" si="1"/>
        <v>12653.86688</v>
      </c>
      <c r="F130" s="6">
        <f t="shared" si="6"/>
        <v>1375410.395</v>
      </c>
      <c r="G130" s="6">
        <f t="shared" si="7"/>
        <v>1124589.605</v>
      </c>
      <c r="H130" s="6">
        <f t="shared" si="8"/>
        <v>2500000</v>
      </c>
      <c r="I130" s="6">
        <f t="shared" si="9"/>
        <v>1224589.605</v>
      </c>
      <c r="J130" s="610">
        <v>7.125</v>
      </c>
      <c r="K130" s="591"/>
      <c r="L130" s="6"/>
      <c r="M130" s="9">
        <v>20000.0</v>
      </c>
      <c r="N130" s="79">
        <f t="shared" si="10"/>
        <v>2500000</v>
      </c>
      <c r="O130" s="6">
        <f t="shared" si="2"/>
        <v>885410.3946</v>
      </c>
      <c r="P130" s="6"/>
      <c r="Q130" s="6">
        <f t="shared" si="11"/>
        <v>8733.866883</v>
      </c>
      <c r="R130" s="6">
        <f t="shared" si="12"/>
        <v>885410.3946</v>
      </c>
      <c r="S130" s="81">
        <f t="shared" si="3"/>
        <v>78.73186719</v>
      </c>
      <c r="T130" s="6"/>
      <c r="U130" s="6"/>
      <c r="V130" s="6"/>
      <c r="W130" s="6"/>
      <c r="X130" s="6"/>
    </row>
    <row r="131" ht="11.25" customHeight="1">
      <c r="A131" s="7"/>
      <c r="B131" s="68">
        <f t="shared" si="13"/>
        <v>126</v>
      </c>
      <c r="C131" s="607">
        <v>20000.0</v>
      </c>
      <c r="D131" s="6">
        <f t="shared" si="14"/>
        <v>7271.000782</v>
      </c>
      <c r="E131" s="6">
        <f t="shared" si="1"/>
        <v>12728.99922</v>
      </c>
      <c r="F131" s="6">
        <f t="shared" si="6"/>
        <v>1388139.394</v>
      </c>
      <c r="G131" s="6">
        <f t="shared" si="7"/>
        <v>1131860.606</v>
      </c>
      <c r="H131" s="6">
        <f t="shared" si="8"/>
        <v>2520000</v>
      </c>
      <c r="I131" s="6">
        <f t="shared" si="9"/>
        <v>1211860.606</v>
      </c>
      <c r="J131" s="610">
        <v>7.125</v>
      </c>
      <c r="K131" s="591"/>
      <c r="L131" s="6"/>
      <c r="M131" s="9">
        <v>20000.0</v>
      </c>
      <c r="N131" s="79">
        <f t="shared" si="10"/>
        <v>2520000</v>
      </c>
      <c r="O131" s="6">
        <f t="shared" si="2"/>
        <v>894219.3938</v>
      </c>
      <c r="P131" s="6"/>
      <c r="Q131" s="6">
        <f t="shared" si="11"/>
        <v>8808.999218</v>
      </c>
      <c r="R131" s="6">
        <f t="shared" si="12"/>
        <v>894219.3938</v>
      </c>
      <c r="S131" s="81">
        <f t="shared" si="3"/>
        <v>79.00437465</v>
      </c>
      <c r="T131" s="6"/>
      <c r="U131" s="6"/>
      <c r="V131" s="6"/>
      <c r="W131" s="6"/>
      <c r="X131" s="6"/>
    </row>
    <row r="132" ht="11.25" customHeight="1">
      <c r="A132" s="7"/>
      <c r="B132" s="68">
        <f t="shared" si="13"/>
        <v>127</v>
      </c>
      <c r="C132" s="607">
        <v>20000.0</v>
      </c>
      <c r="D132" s="6">
        <f t="shared" si="14"/>
        <v>7195.422349</v>
      </c>
      <c r="E132" s="6">
        <f t="shared" si="1"/>
        <v>12804.57765</v>
      </c>
      <c r="F132" s="6">
        <f t="shared" si="6"/>
        <v>1400943.971</v>
      </c>
      <c r="G132" s="6">
        <f t="shared" si="7"/>
        <v>1139056.029</v>
      </c>
      <c r="H132" s="6">
        <f t="shared" si="8"/>
        <v>2540000</v>
      </c>
      <c r="I132" s="6">
        <f t="shared" si="9"/>
        <v>1199056.029</v>
      </c>
      <c r="J132" s="610">
        <v>7.125</v>
      </c>
      <c r="K132" s="591"/>
      <c r="L132" s="6"/>
      <c r="M132" s="9">
        <v>20000.0</v>
      </c>
      <c r="N132" s="79">
        <f t="shared" si="10"/>
        <v>2540000</v>
      </c>
      <c r="O132" s="6">
        <f t="shared" si="2"/>
        <v>903103.9715</v>
      </c>
      <c r="P132" s="6"/>
      <c r="Q132" s="6">
        <f t="shared" si="11"/>
        <v>8884.577651</v>
      </c>
      <c r="R132" s="6">
        <f t="shared" si="12"/>
        <v>903103.9715</v>
      </c>
      <c r="S132" s="81">
        <f t="shared" si="3"/>
        <v>79.28529843</v>
      </c>
      <c r="T132" s="6"/>
      <c r="U132" s="6"/>
      <c r="V132" s="6"/>
      <c r="W132" s="6"/>
      <c r="X132" s="6"/>
    </row>
    <row r="133" ht="11.25" customHeight="1">
      <c r="A133" s="7"/>
      <c r="B133" s="68">
        <f t="shared" si="13"/>
        <v>128</v>
      </c>
      <c r="C133" s="607">
        <v>20000.0</v>
      </c>
      <c r="D133" s="6">
        <f t="shared" si="14"/>
        <v>7119.395169</v>
      </c>
      <c r="E133" s="6">
        <f t="shared" si="1"/>
        <v>12880.60483</v>
      </c>
      <c r="F133" s="6">
        <f t="shared" si="6"/>
        <v>1413824.576</v>
      </c>
      <c r="G133" s="6">
        <f t="shared" si="7"/>
        <v>1146175.424</v>
      </c>
      <c r="H133" s="6">
        <f t="shared" si="8"/>
        <v>2560000</v>
      </c>
      <c r="I133" s="6">
        <f t="shared" si="9"/>
        <v>1186175.424</v>
      </c>
      <c r="J133" s="610">
        <v>7.125</v>
      </c>
      <c r="K133" s="591"/>
      <c r="L133" s="6"/>
      <c r="M133" s="9">
        <v>20000.0</v>
      </c>
      <c r="N133" s="79">
        <f t="shared" si="10"/>
        <v>2560000</v>
      </c>
      <c r="O133" s="6">
        <f t="shared" si="2"/>
        <v>912064.5763</v>
      </c>
      <c r="P133" s="6"/>
      <c r="Q133" s="6">
        <f t="shared" si="11"/>
        <v>8960.604831</v>
      </c>
      <c r="R133" s="6">
        <f t="shared" si="12"/>
        <v>912064.5763</v>
      </c>
      <c r="S133" s="81">
        <f t="shared" si="3"/>
        <v>79.5746059</v>
      </c>
      <c r="T133" s="6"/>
      <c r="U133" s="6"/>
      <c r="V133" s="6"/>
      <c r="W133" s="6"/>
      <c r="X133" s="6"/>
    </row>
    <row r="134" ht="11.25" customHeight="1">
      <c r="A134" s="7"/>
      <c r="B134" s="68">
        <f t="shared" si="13"/>
        <v>129</v>
      </c>
      <c r="C134" s="607">
        <v>20000.0</v>
      </c>
      <c r="D134" s="6">
        <f t="shared" si="14"/>
        <v>7042.916578</v>
      </c>
      <c r="E134" s="6">
        <f t="shared" si="1"/>
        <v>12957.08342</v>
      </c>
      <c r="F134" s="6">
        <f t="shared" si="6"/>
        <v>1426781.66</v>
      </c>
      <c r="G134" s="6">
        <f t="shared" si="7"/>
        <v>1153218.34</v>
      </c>
      <c r="H134" s="6">
        <f t="shared" si="8"/>
        <v>2580000</v>
      </c>
      <c r="I134" s="6">
        <f t="shared" si="9"/>
        <v>1173218.34</v>
      </c>
      <c r="J134" s="610">
        <v>7.125</v>
      </c>
      <c r="K134" s="591"/>
      <c r="L134" s="6"/>
      <c r="M134" s="9">
        <v>20000.0</v>
      </c>
      <c r="N134" s="79">
        <f t="shared" si="10"/>
        <v>2580000</v>
      </c>
      <c r="O134" s="6">
        <f t="shared" si="2"/>
        <v>921101.6597</v>
      </c>
      <c r="P134" s="6"/>
      <c r="Q134" s="6">
        <f t="shared" si="11"/>
        <v>9037.083422</v>
      </c>
      <c r="R134" s="6">
        <f t="shared" si="12"/>
        <v>921101.6597</v>
      </c>
      <c r="S134" s="81">
        <f t="shared" si="3"/>
        <v>79.87226942</v>
      </c>
      <c r="T134" s="6"/>
      <c r="U134" s="6"/>
      <c r="V134" s="6"/>
      <c r="W134" s="6"/>
      <c r="X134" s="6"/>
    </row>
    <row r="135" ht="11.25" customHeight="1">
      <c r="A135" s="7"/>
      <c r="B135" s="68">
        <f t="shared" si="13"/>
        <v>130</v>
      </c>
      <c r="C135" s="607">
        <v>20000.0</v>
      </c>
      <c r="D135" s="6">
        <f t="shared" si="14"/>
        <v>6965.983895</v>
      </c>
      <c r="E135" s="6">
        <f t="shared" si="1"/>
        <v>13034.0161</v>
      </c>
      <c r="F135" s="6">
        <f t="shared" si="6"/>
        <v>1439815.676</v>
      </c>
      <c r="G135" s="6">
        <f t="shared" si="7"/>
        <v>1160184.324</v>
      </c>
      <c r="H135" s="6">
        <f t="shared" si="8"/>
        <v>2600000</v>
      </c>
      <c r="I135" s="6">
        <f t="shared" si="9"/>
        <v>1160184.324</v>
      </c>
      <c r="J135" s="610">
        <v>7.125</v>
      </c>
      <c r="K135" s="591"/>
      <c r="L135" s="6"/>
      <c r="M135" s="9">
        <v>20000.0</v>
      </c>
      <c r="N135" s="79">
        <f t="shared" si="10"/>
        <v>2600000</v>
      </c>
      <c r="O135" s="6">
        <f t="shared" si="2"/>
        <v>930215.6758</v>
      </c>
      <c r="P135" s="6"/>
      <c r="Q135" s="6">
        <f t="shared" si="11"/>
        <v>9114.016105</v>
      </c>
      <c r="R135" s="6">
        <f t="shared" si="12"/>
        <v>930215.6758</v>
      </c>
      <c r="S135" s="81">
        <f t="shared" si="3"/>
        <v>80.1782662</v>
      </c>
      <c r="T135" s="6"/>
      <c r="U135" s="6"/>
      <c r="V135" s="6"/>
      <c r="W135" s="6"/>
      <c r="X135" s="6"/>
    </row>
    <row r="136" ht="11.25" customHeight="1">
      <c r="A136" s="7"/>
      <c r="B136" s="68">
        <f t="shared" si="13"/>
        <v>131</v>
      </c>
      <c r="C136" s="607">
        <v>20000.0</v>
      </c>
      <c r="D136" s="6">
        <f t="shared" si="14"/>
        <v>6888.594425</v>
      </c>
      <c r="E136" s="6">
        <f t="shared" si="1"/>
        <v>13111.40558</v>
      </c>
      <c r="F136" s="6">
        <f t="shared" si="6"/>
        <v>1452927.081</v>
      </c>
      <c r="G136" s="6">
        <f t="shared" si="7"/>
        <v>1167072.919</v>
      </c>
      <c r="H136" s="6">
        <f t="shared" si="8"/>
        <v>2620000</v>
      </c>
      <c r="I136" s="6">
        <f t="shared" si="9"/>
        <v>1147072.919</v>
      </c>
      <c r="J136" s="610">
        <v>7.125</v>
      </c>
      <c r="K136" s="591"/>
      <c r="L136" s="6"/>
      <c r="M136" s="9">
        <v>20000.0</v>
      </c>
      <c r="N136" s="79">
        <f t="shared" si="10"/>
        <v>2620000</v>
      </c>
      <c r="O136" s="6">
        <f t="shared" si="2"/>
        <v>939407.0814</v>
      </c>
      <c r="P136" s="6"/>
      <c r="Q136" s="6">
        <f t="shared" si="11"/>
        <v>9191.405575</v>
      </c>
      <c r="R136" s="6">
        <f t="shared" si="12"/>
        <v>939407.0814</v>
      </c>
      <c r="S136" s="81">
        <f t="shared" si="3"/>
        <v>80.49257818</v>
      </c>
      <c r="T136" s="6"/>
      <c r="U136" s="6"/>
      <c r="V136" s="6"/>
      <c r="W136" s="6"/>
      <c r="X136" s="6"/>
    </row>
    <row r="137" ht="11.25" customHeight="1">
      <c r="A137" s="71"/>
      <c r="B137" s="72">
        <f t="shared" si="13"/>
        <v>132</v>
      </c>
      <c r="C137" s="607">
        <v>20000.0</v>
      </c>
      <c r="D137" s="10">
        <f t="shared" si="14"/>
        <v>6810.745454</v>
      </c>
      <c r="E137" s="10">
        <f t="shared" si="1"/>
        <v>13189.25455</v>
      </c>
      <c r="F137" s="10">
        <f t="shared" si="6"/>
        <v>1466116.336</v>
      </c>
      <c r="G137" s="10">
        <f t="shared" si="7"/>
        <v>1173883.664</v>
      </c>
      <c r="H137" s="10">
        <f t="shared" si="8"/>
        <v>2640000</v>
      </c>
      <c r="I137" s="10">
        <f t="shared" si="9"/>
        <v>1133883.664</v>
      </c>
      <c r="J137" s="610">
        <v>7.125</v>
      </c>
      <c r="K137" s="591"/>
      <c r="L137" s="6"/>
      <c r="M137" s="9">
        <v>20000.0</v>
      </c>
      <c r="N137" s="79">
        <f t="shared" si="10"/>
        <v>2640000</v>
      </c>
      <c r="O137" s="6">
        <f t="shared" si="2"/>
        <v>948676.336</v>
      </c>
      <c r="P137" s="6"/>
      <c r="Q137" s="6">
        <f t="shared" si="11"/>
        <v>9269.254546</v>
      </c>
      <c r="R137" s="6">
        <f t="shared" si="12"/>
        <v>948676.336</v>
      </c>
      <c r="S137" s="81">
        <f t="shared" si="3"/>
        <v>80.81519191</v>
      </c>
      <c r="T137" s="6"/>
      <c r="U137" s="6"/>
      <c r="V137" s="6"/>
      <c r="W137" s="6"/>
      <c r="X137" s="6"/>
    </row>
    <row r="138" ht="11.25" customHeight="1">
      <c r="A138" s="100">
        <v>12.0</v>
      </c>
      <c r="B138" s="66">
        <f t="shared" si="13"/>
        <v>133</v>
      </c>
      <c r="C138" s="607">
        <v>20000.0</v>
      </c>
      <c r="D138" s="617">
        <f t="shared" si="14"/>
        <v>6732.434255</v>
      </c>
      <c r="E138" s="617">
        <f t="shared" si="1"/>
        <v>13267.56574</v>
      </c>
      <c r="F138" s="617">
        <f t="shared" si="6"/>
        <v>1479383.902</v>
      </c>
      <c r="G138" s="617">
        <f t="shared" si="7"/>
        <v>1180616.098</v>
      </c>
      <c r="H138" s="617">
        <f t="shared" si="8"/>
        <v>2660000</v>
      </c>
      <c r="I138" s="617">
        <f t="shared" si="9"/>
        <v>1120616.098</v>
      </c>
      <c r="J138" s="610">
        <v>7.125</v>
      </c>
      <c r="K138" s="591"/>
      <c r="L138" s="6"/>
      <c r="M138" s="9">
        <v>20000.0</v>
      </c>
      <c r="N138" s="79">
        <f t="shared" si="10"/>
        <v>2660000</v>
      </c>
      <c r="O138" s="6">
        <f t="shared" si="2"/>
        <v>958023.9017</v>
      </c>
      <c r="P138" s="6"/>
      <c r="Q138" s="6">
        <f t="shared" si="11"/>
        <v>9347.565745</v>
      </c>
      <c r="R138" s="6">
        <f t="shared" si="12"/>
        <v>958023.9017</v>
      </c>
      <c r="S138" s="81">
        <f t="shared" si="3"/>
        <v>81.14609847</v>
      </c>
      <c r="T138" s="6"/>
      <c r="U138" s="6"/>
      <c r="V138" s="6"/>
      <c r="W138" s="6"/>
      <c r="X138" s="6"/>
    </row>
    <row r="139" ht="11.25" customHeight="1">
      <c r="A139" s="7"/>
      <c r="B139" s="68">
        <f t="shared" si="13"/>
        <v>134</v>
      </c>
      <c r="C139" s="607">
        <v>20000.0</v>
      </c>
      <c r="D139" s="6">
        <f t="shared" si="14"/>
        <v>6653.658084</v>
      </c>
      <c r="E139" s="6">
        <f t="shared" si="1"/>
        <v>13346.34192</v>
      </c>
      <c r="F139" s="6">
        <f t="shared" si="6"/>
        <v>1492730.244</v>
      </c>
      <c r="G139" s="6">
        <f t="shared" si="7"/>
        <v>1187269.756</v>
      </c>
      <c r="H139" s="6">
        <f t="shared" si="8"/>
        <v>2680000</v>
      </c>
      <c r="I139" s="6">
        <f t="shared" si="9"/>
        <v>1107269.756</v>
      </c>
      <c r="J139" s="610">
        <v>7.125</v>
      </c>
      <c r="K139" s="591"/>
      <c r="L139" s="6"/>
      <c r="M139" s="9">
        <v>20000.0</v>
      </c>
      <c r="N139" s="79">
        <f t="shared" si="10"/>
        <v>2680000</v>
      </c>
      <c r="O139" s="6">
        <f t="shared" si="2"/>
        <v>967450.2436</v>
      </c>
      <c r="P139" s="6"/>
      <c r="Q139" s="6">
        <f t="shared" si="11"/>
        <v>9426.341916</v>
      </c>
      <c r="R139" s="6">
        <f t="shared" si="12"/>
        <v>967450.2436</v>
      </c>
      <c r="S139" s="81">
        <f t="shared" si="3"/>
        <v>81.48529333</v>
      </c>
      <c r="T139" s="6"/>
      <c r="U139" s="6"/>
      <c r="V139" s="6"/>
      <c r="W139" s="6"/>
      <c r="X139" s="6"/>
    </row>
    <row r="140" ht="11.25" customHeight="1">
      <c r="A140" s="7"/>
      <c r="B140" s="68">
        <f t="shared" si="13"/>
        <v>135</v>
      </c>
      <c r="C140" s="607">
        <v>20000.0</v>
      </c>
      <c r="D140" s="6">
        <f t="shared" si="14"/>
        <v>6574.414179</v>
      </c>
      <c r="E140" s="6">
        <f t="shared" si="1"/>
        <v>13425.58582</v>
      </c>
      <c r="F140" s="6">
        <f t="shared" si="6"/>
        <v>1506155.829</v>
      </c>
      <c r="G140" s="6">
        <f t="shared" si="7"/>
        <v>1193844.171</v>
      </c>
      <c r="H140" s="6">
        <f t="shared" si="8"/>
        <v>2700000</v>
      </c>
      <c r="I140" s="6">
        <f t="shared" si="9"/>
        <v>1093844.171</v>
      </c>
      <c r="J140" s="610">
        <v>7.125</v>
      </c>
      <c r="K140" s="591"/>
      <c r="L140" s="6"/>
      <c r="M140" s="9">
        <v>20000.0</v>
      </c>
      <c r="N140" s="79">
        <f t="shared" si="10"/>
        <v>2700000</v>
      </c>
      <c r="O140" s="6">
        <f t="shared" si="2"/>
        <v>976955.8294</v>
      </c>
      <c r="P140" s="6"/>
      <c r="Q140" s="6">
        <f t="shared" si="11"/>
        <v>9505.585821</v>
      </c>
      <c r="R140" s="6">
        <f t="shared" si="12"/>
        <v>976955.8294</v>
      </c>
      <c r="S140" s="81">
        <f t="shared" si="3"/>
        <v>81.8327763</v>
      </c>
      <c r="T140" s="6"/>
      <c r="U140" s="6"/>
      <c r="V140" s="6"/>
      <c r="W140" s="6"/>
      <c r="X140" s="6"/>
    </row>
    <row r="141" ht="11.25" customHeight="1">
      <c r="A141" s="7"/>
      <c r="B141" s="68">
        <f t="shared" si="13"/>
        <v>136</v>
      </c>
      <c r="C141" s="607">
        <v>20000.0</v>
      </c>
      <c r="D141" s="6">
        <f t="shared" si="14"/>
        <v>6494.699763</v>
      </c>
      <c r="E141" s="6">
        <f t="shared" si="1"/>
        <v>13505.30024</v>
      </c>
      <c r="F141" s="6">
        <f t="shared" si="6"/>
        <v>1519661.13</v>
      </c>
      <c r="G141" s="6">
        <f t="shared" si="7"/>
        <v>1200338.87</v>
      </c>
      <c r="H141" s="6">
        <f t="shared" si="8"/>
        <v>2720000</v>
      </c>
      <c r="I141" s="6">
        <f t="shared" si="9"/>
        <v>1080338.87</v>
      </c>
      <c r="J141" s="610">
        <v>7.125</v>
      </c>
      <c r="K141" s="591"/>
      <c r="L141" s="6"/>
      <c r="M141" s="9">
        <v>20000.0</v>
      </c>
      <c r="N141" s="79">
        <f t="shared" si="10"/>
        <v>2720000</v>
      </c>
      <c r="O141" s="6">
        <f t="shared" si="2"/>
        <v>986541.1297</v>
      </c>
      <c r="P141" s="6"/>
      <c r="Q141" s="6">
        <f t="shared" si="11"/>
        <v>9585.300237</v>
      </c>
      <c r="R141" s="6">
        <f t="shared" si="12"/>
        <v>986541.1297</v>
      </c>
      <c r="S141" s="81">
        <f t="shared" si="3"/>
        <v>82.18855142</v>
      </c>
      <c r="T141" s="6"/>
      <c r="U141" s="6"/>
      <c r="V141" s="6"/>
      <c r="W141" s="6"/>
      <c r="X141" s="6"/>
    </row>
    <row r="142" ht="11.25" customHeight="1">
      <c r="A142" s="7"/>
      <c r="B142" s="68">
        <f t="shared" si="13"/>
        <v>137</v>
      </c>
      <c r="C142" s="607">
        <v>20000.0</v>
      </c>
      <c r="D142" s="6">
        <f t="shared" si="14"/>
        <v>6414.512043</v>
      </c>
      <c r="E142" s="6">
        <f t="shared" si="1"/>
        <v>13585.48796</v>
      </c>
      <c r="F142" s="6">
        <f t="shared" si="6"/>
        <v>1533246.618</v>
      </c>
      <c r="G142" s="6">
        <f t="shared" si="7"/>
        <v>1206753.382</v>
      </c>
      <c r="H142" s="6">
        <f t="shared" si="8"/>
        <v>2740000</v>
      </c>
      <c r="I142" s="6">
        <f t="shared" si="9"/>
        <v>1066753.382</v>
      </c>
      <c r="J142" s="610">
        <v>7.125</v>
      </c>
      <c r="K142" s="591"/>
      <c r="L142" s="6"/>
      <c r="M142" s="9">
        <v>20000.0</v>
      </c>
      <c r="N142" s="79">
        <f t="shared" si="10"/>
        <v>2740000</v>
      </c>
      <c r="O142" s="6">
        <f t="shared" si="2"/>
        <v>996206.6176</v>
      </c>
      <c r="P142" s="6"/>
      <c r="Q142" s="6">
        <f t="shared" si="11"/>
        <v>9665.487957</v>
      </c>
      <c r="R142" s="6">
        <f t="shared" si="12"/>
        <v>996206.6176</v>
      </c>
      <c r="S142" s="81">
        <f t="shared" si="3"/>
        <v>82.55262692</v>
      </c>
      <c r="T142" s="6"/>
      <c r="U142" s="6"/>
      <c r="V142" s="6"/>
      <c r="W142" s="6"/>
      <c r="X142" s="6"/>
    </row>
    <row r="143" ht="11.25" customHeight="1">
      <c r="A143" s="7"/>
      <c r="B143" s="68">
        <f t="shared" si="13"/>
        <v>138</v>
      </c>
      <c r="C143" s="607">
        <v>20000.0</v>
      </c>
      <c r="D143" s="6">
        <f t="shared" si="14"/>
        <v>6333.848208</v>
      </c>
      <c r="E143" s="6">
        <f t="shared" si="1"/>
        <v>13666.15179</v>
      </c>
      <c r="F143" s="6">
        <f t="shared" si="6"/>
        <v>1546912.769</v>
      </c>
      <c r="G143" s="6">
        <f t="shared" si="7"/>
        <v>1213087.231</v>
      </c>
      <c r="H143" s="6">
        <f t="shared" si="8"/>
        <v>2760000</v>
      </c>
      <c r="I143" s="6">
        <f t="shared" si="9"/>
        <v>1053087.231</v>
      </c>
      <c r="J143" s="610">
        <v>7.125</v>
      </c>
      <c r="K143" s="591"/>
      <c r="L143" s="6"/>
      <c r="M143" s="9">
        <v>20000.0</v>
      </c>
      <c r="N143" s="79">
        <f t="shared" si="10"/>
        <v>2760000</v>
      </c>
      <c r="O143" s="6">
        <f t="shared" si="2"/>
        <v>1005952.769</v>
      </c>
      <c r="P143" s="6"/>
      <c r="Q143" s="6">
        <f t="shared" si="11"/>
        <v>9746.151792</v>
      </c>
      <c r="R143" s="6">
        <f t="shared" si="12"/>
        <v>1005952.769</v>
      </c>
      <c r="S143" s="81">
        <f t="shared" si="3"/>
        <v>82.92501512</v>
      </c>
      <c r="T143" s="6"/>
      <c r="U143" s="6"/>
      <c r="V143" s="6"/>
      <c r="W143" s="6"/>
      <c r="X143" s="6"/>
    </row>
    <row r="144" ht="11.25" customHeight="1">
      <c r="A144" s="7"/>
      <c r="B144" s="68">
        <f t="shared" si="13"/>
        <v>139</v>
      </c>
      <c r="C144" s="607">
        <v>20000.0</v>
      </c>
      <c r="D144" s="6">
        <f t="shared" si="14"/>
        <v>6252.705432</v>
      </c>
      <c r="E144" s="6">
        <f t="shared" si="1"/>
        <v>13747.29457</v>
      </c>
      <c r="F144" s="6">
        <f t="shared" si="6"/>
        <v>1560660.064</v>
      </c>
      <c r="G144" s="6">
        <f t="shared" si="7"/>
        <v>1219339.936</v>
      </c>
      <c r="H144" s="6">
        <f t="shared" si="8"/>
        <v>2780000</v>
      </c>
      <c r="I144" s="6">
        <f t="shared" si="9"/>
        <v>1039339.936</v>
      </c>
      <c r="J144" s="610">
        <v>7.125</v>
      </c>
      <c r="K144" s="591"/>
      <c r="L144" s="6"/>
      <c r="M144" s="9">
        <v>20000.0</v>
      </c>
      <c r="N144" s="79">
        <f t="shared" si="10"/>
        <v>2780000</v>
      </c>
      <c r="O144" s="6">
        <f t="shared" si="2"/>
        <v>1015780.064</v>
      </c>
      <c r="P144" s="6"/>
      <c r="Q144" s="6">
        <f t="shared" si="11"/>
        <v>9827.294568</v>
      </c>
      <c r="R144" s="6">
        <f t="shared" si="12"/>
        <v>1015780.064</v>
      </c>
      <c r="S144" s="81">
        <f t="shared" si="3"/>
        <v>83.30573239</v>
      </c>
      <c r="T144" s="6"/>
      <c r="U144" s="6"/>
      <c r="V144" s="6"/>
      <c r="W144" s="6"/>
      <c r="X144" s="6"/>
    </row>
    <row r="145" ht="11.25" customHeight="1">
      <c r="A145" s="7"/>
      <c r="B145" s="68">
        <f t="shared" si="13"/>
        <v>140</v>
      </c>
      <c r="C145" s="607">
        <v>20000.0</v>
      </c>
      <c r="D145" s="6">
        <f t="shared" si="14"/>
        <v>6171.08087</v>
      </c>
      <c r="E145" s="6">
        <f t="shared" si="1"/>
        <v>13828.91913</v>
      </c>
      <c r="F145" s="6">
        <f t="shared" si="6"/>
        <v>1574488.983</v>
      </c>
      <c r="G145" s="6">
        <f t="shared" si="7"/>
        <v>1225511.017</v>
      </c>
      <c r="H145" s="6">
        <f t="shared" si="8"/>
        <v>2800000</v>
      </c>
      <c r="I145" s="6">
        <f t="shared" si="9"/>
        <v>1025511.017</v>
      </c>
      <c r="J145" s="610">
        <v>7.125</v>
      </c>
      <c r="K145" s="591"/>
      <c r="L145" s="6"/>
      <c r="M145" s="9">
        <v>20000.0</v>
      </c>
      <c r="N145" s="79">
        <f t="shared" si="10"/>
        <v>2800000</v>
      </c>
      <c r="O145" s="6">
        <f t="shared" si="2"/>
        <v>1025688.983</v>
      </c>
      <c r="P145" s="6"/>
      <c r="Q145" s="6">
        <f t="shared" si="11"/>
        <v>9908.91913</v>
      </c>
      <c r="R145" s="6">
        <f t="shared" si="12"/>
        <v>1025688.983</v>
      </c>
      <c r="S145" s="81">
        <f t="shared" si="3"/>
        <v>83.69479907</v>
      </c>
      <c r="T145" s="6"/>
      <c r="U145" s="6"/>
      <c r="V145" s="6"/>
      <c r="W145" s="6"/>
      <c r="X145" s="6"/>
    </row>
    <row r="146" ht="11.25" customHeight="1">
      <c r="A146" s="7"/>
      <c r="B146" s="68">
        <f t="shared" si="13"/>
        <v>141</v>
      </c>
      <c r="C146" s="607">
        <v>20000.0</v>
      </c>
      <c r="D146" s="6">
        <f t="shared" si="14"/>
        <v>6088.971663</v>
      </c>
      <c r="E146" s="6">
        <f t="shared" si="1"/>
        <v>13911.02834</v>
      </c>
      <c r="F146" s="6">
        <f t="shared" si="6"/>
        <v>1588400.011</v>
      </c>
      <c r="G146" s="6">
        <f t="shared" si="7"/>
        <v>1231599.989</v>
      </c>
      <c r="H146" s="6">
        <f t="shared" si="8"/>
        <v>2820000</v>
      </c>
      <c r="I146" s="6">
        <f t="shared" si="9"/>
        <v>1011599.989</v>
      </c>
      <c r="J146" s="610">
        <v>7.125</v>
      </c>
      <c r="K146" s="591"/>
      <c r="L146" s="6"/>
      <c r="M146" s="9">
        <v>20000.0</v>
      </c>
      <c r="N146" s="79">
        <f t="shared" si="10"/>
        <v>2820000</v>
      </c>
      <c r="O146" s="6">
        <f t="shared" si="2"/>
        <v>1035680.011</v>
      </c>
      <c r="P146" s="6"/>
      <c r="Q146" s="6">
        <f t="shared" si="11"/>
        <v>9991.028337</v>
      </c>
      <c r="R146" s="6">
        <f t="shared" si="12"/>
        <v>1035680.011</v>
      </c>
      <c r="S146" s="81">
        <f t="shared" si="3"/>
        <v>84.09223945</v>
      </c>
      <c r="T146" s="6"/>
      <c r="U146" s="6"/>
      <c r="V146" s="6"/>
      <c r="W146" s="6"/>
      <c r="X146" s="6"/>
    </row>
    <row r="147" ht="11.25" customHeight="1">
      <c r="A147" s="7"/>
      <c r="B147" s="68">
        <f t="shared" si="13"/>
        <v>142</v>
      </c>
      <c r="C147" s="607">
        <v>20000.0</v>
      </c>
      <c r="D147" s="6">
        <f t="shared" si="14"/>
        <v>6006.374932</v>
      </c>
      <c r="E147" s="6">
        <f t="shared" si="1"/>
        <v>13993.62507</v>
      </c>
      <c r="F147" s="6">
        <f t="shared" si="6"/>
        <v>1602393.637</v>
      </c>
      <c r="G147" s="6">
        <f t="shared" si="7"/>
        <v>1237606.363</v>
      </c>
      <c r="H147" s="6">
        <f t="shared" si="8"/>
        <v>2840000</v>
      </c>
      <c r="I147" s="6">
        <f t="shared" si="9"/>
        <v>997606.3635</v>
      </c>
      <c r="J147" s="610">
        <v>7.125</v>
      </c>
      <c r="K147" s="591"/>
      <c r="L147" s="6"/>
      <c r="M147" s="9">
        <v>20000.0</v>
      </c>
      <c r="N147" s="79">
        <f t="shared" si="10"/>
        <v>2840000</v>
      </c>
      <c r="O147" s="6">
        <f t="shared" si="2"/>
        <v>1045753.637</v>
      </c>
      <c r="P147" s="6"/>
      <c r="Q147" s="6">
        <f t="shared" si="11"/>
        <v>10073.62507</v>
      </c>
      <c r="R147" s="6">
        <f t="shared" si="12"/>
        <v>1045753.637</v>
      </c>
      <c r="S147" s="81">
        <f t="shared" si="3"/>
        <v>84.49808173</v>
      </c>
      <c r="T147" s="6"/>
      <c r="U147" s="6"/>
      <c r="V147" s="6"/>
      <c r="W147" s="6"/>
      <c r="X147" s="6"/>
    </row>
    <row r="148" ht="11.25" customHeight="1">
      <c r="A148" s="7"/>
      <c r="B148" s="68">
        <f t="shared" si="13"/>
        <v>143</v>
      </c>
      <c r="C148" s="607">
        <v>20000.0</v>
      </c>
      <c r="D148" s="6">
        <f t="shared" si="14"/>
        <v>5923.287783</v>
      </c>
      <c r="E148" s="6">
        <f t="shared" si="1"/>
        <v>14076.71222</v>
      </c>
      <c r="F148" s="6">
        <f t="shared" si="6"/>
        <v>1616470.349</v>
      </c>
      <c r="G148" s="6">
        <f t="shared" si="7"/>
        <v>1243529.651</v>
      </c>
      <c r="H148" s="6">
        <f t="shared" si="8"/>
        <v>2860000</v>
      </c>
      <c r="I148" s="6">
        <f t="shared" si="9"/>
        <v>983529.6513</v>
      </c>
      <c r="J148" s="610">
        <v>7.125</v>
      </c>
      <c r="K148" s="591"/>
      <c r="L148" s="6"/>
      <c r="M148" s="9">
        <v>20000.0</v>
      </c>
      <c r="N148" s="79">
        <f t="shared" si="10"/>
        <v>2860000</v>
      </c>
      <c r="O148" s="6">
        <f t="shared" si="2"/>
        <v>1055910.349</v>
      </c>
      <c r="P148" s="6"/>
      <c r="Q148" s="6">
        <f t="shared" si="11"/>
        <v>10156.71222</v>
      </c>
      <c r="R148" s="6">
        <f t="shared" si="12"/>
        <v>1055910.349</v>
      </c>
      <c r="S148" s="81">
        <f t="shared" si="3"/>
        <v>84.91235795</v>
      </c>
      <c r="T148" s="6"/>
      <c r="U148" s="6"/>
      <c r="V148" s="6"/>
      <c r="W148" s="6"/>
      <c r="X148" s="6"/>
    </row>
    <row r="149" ht="11.25" customHeight="1">
      <c r="A149" s="71"/>
      <c r="B149" s="72">
        <f t="shared" si="13"/>
        <v>144</v>
      </c>
      <c r="C149" s="607">
        <v>20000.0</v>
      </c>
      <c r="D149" s="10">
        <f t="shared" si="14"/>
        <v>5839.707304</v>
      </c>
      <c r="E149" s="10">
        <f t="shared" si="1"/>
        <v>14160.2927</v>
      </c>
      <c r="F149" s="10">
        <f t="shared" si="6"/>
        <v>1630630.641</v>
      </c>
      <c r="G149" s="10">
        <f t="shared" si="7"/>
        <v>1249369.359</v>
      </c>
      <c r="H149" s="10">
        <f t="shared" si="8"/>
        <v>2880000</v>
      </c>
      <c r="I149" s="10">
        <f t="shared" si="9"/>
        <v>969369.3586</v>
      </c>
      <c r="J149" s="610">
        <v>7.125</v>
      </c>
      <c r="K149" s="591"/>
      <c r="L149" s="6"/>
      <c r="M149" s="9">
        <v>20000.0</v>
      </c>
      <c r="N149" s="79">
        <f t="shared" si="10"/>
        <v>2880000</v>
      </c>
      <c r="O149" s="6">
        <f t="shared" si="2"/>
        <v>1066150.641</v>
      </c>
      <c r="P149" s="6"/>
      <c r="Q149" s="6">
        <f t="shared" si="11"/>
        <v>10240.2927</v>
      </c>
      <c r="R149" s="6">
        <f t="shared" si="12"/>
        <v>1066150.641</v>
      </c>
      <c r="S149" s="81">
        <f t="shared" si="3"/>
        <v>85.335104</v>
      </c>
      <c r="T149" s="6"/>
      <c r="U149" s="6"/>
      <c r="V149" s="6"/>
      <c r="W149" s="6"/>
      <c r="X149" s="6"/>
    </row>
    <row r="150" ht="11.25" customHeight="1">
      <c r="A150" s="100">
        <v>13.0</v>
      </c>
      <c r="B150" s="66">
        <f t="shared" si="13"/>
        <v>145</v>
      </c>
      <c r="C150" s="607">
        <v>20000.0</v>
      </c>
      <c r="D150" s="617">
        <f t="shared" si="14"/>
        <v>5755.630566</v>
      </c>
      <c r="E150" s="617">
        <f t="shared" si="1"/>
        <v>14244.36943</v>
      </c>
      <c r="F150" s="617">
        <f t="shared" si="6"/>
        <v>1644875.011</v>
      </c>
      <c r="G150" s="617">
        <f t="shared" si="7"/>
        <v>1255124.989</v>
      </c>
      <c r="H150" s="617">
        <f t="shared" si="8"/>
        <v>2900000</v>
      </c>
      <c r="I150" s="617">
        <f t="shared" si="9"/>
        <v>955124.9891</v>
      </c>
      <c r="J150" s="610">
        <v>7.125</v>
      </c>
      <c r="K150" s="591"/>
      <c r="L150" s="6"/>
      <c r="M150" s="9">
        <v>20000.0</v>
      </c>
      <c r="N150" s="79">
        <f t="shared" si="10"/>
        <v>2900000</v>
      </c>
      <c r="O150" s="6">
        <f t="shared" si="2"/>
        <v>1076475.011</v>
      </c>
      <c r="P150" s="6"/>
      <c r="Q150" s="6">
        <f t="shared" si="11"/>
        <v>10324.36943</v>
      </c>
      <c r="R150" s="6">
        <f t="shared" si="12"/>
        <v>1076475.011</v>
      </c>
      <c r="S150" s="81">
        <f t="shared" si="3"/>
        <v>85.76635954</v>
      </c>
      <c r="T150" s="6"/>
      <c r="U150" s="6"/>
      <c r="V150" s="6"/>
      <c r="W150" s="6"/>
      <c r="X150" s="6"/>
    </row>
    <row r="151" ht="11.25" customHeight="1">
      <c r="A151" s="7"/>
      <c r="B151" s="68">
        <f t="shared" si="13"/>
        <v>146</v>
      </c>
      <c r="C151" s="607">
        <v>20000.0</v>
      </c>
      <c r="D151" s="6">
        <f t="shared" si="14"/>
        <v>5671.054623</v>
      </c>
      <c r="E151" s="6">
        <f t="shared" si="1"/>
        <v>14328.94538</v>
      </c>
      <c r="F151" s="6">
        <f t="shared" si="6"/>
        <v>1659203.956</v>
      </c>
      <c r="G151" s="6">
        <f t="shared" si="7"/>
        <v>1260796.044</v>
      </c>
      <c r="H151" s="6">
        <f t="shared" si="8"/>
        <v>2920000</v>
      </c>
      <c r="I151" s="6">
        <f t="shared" si="9"/>
        <v>940796.0438</v>
      </c>
      <c r="J151" s="610">
        <v>7.125</v>
      </c>
      <c r="K151" s="591"/>
      <c r="L151" s="6"/>
      <c r="M151" s="9">
        <v>20000.0</v>
      </c>
      <c r="N151" s="79">
        <f t="shared" si="10"/>
        <v>2920000</v>
      </c>
      <c r="O151" s="6">
        <f t="shared" si="2"/>
        <v>1086883.956</v>
      </c>
      <c r="P151" s="6"/>
      <c r="Q151" s="6">
        <f t="shared" si="11"/>
        <v>10408.94538</v>
      </c>
      <c r="R151" s="6">
        <f t="shared" si="12"/>
        <v>1086883.956</v>
      </c>
      <c r="S151" s="81">
        <f t="shared" si="3"/>
        <v>86.20616805</v>
      </c>
      <c r="T151" s="6"/>
      <c r="U151" s="6"/>
      <c r="V151" s="6"/>
      <c r="W151" s="6"/>
      <c r="X151" s="6"/>
    </row>
    <row r="152" ht="11.25" customHeight="1">
      <c r="A152" s="7"/>
      <c r="B152" s="68">
        <f t="shared" si="13"/>
        <v>147</v>
      </c>
      <c r="C152" s="607">
        <v>20000.0</v>
      </c>
      <c r="D152" s="6">
        <f t="shared" si="14"/>
        <v>5585.97651</v>
      </c>
      <c r="E152" s="6">
        <f t="shared" si="1"/>
        <v>14414.02349</v>
      </c>
      <c r="F152" s="6">
        <f t="shared" si="6"/>
        <v>1673617.98</v>
      </c>
      <c r="G152" s="6">
        <f t="shared" si="7"/>
        <v>1266382.02</v>
      </c>
      <c r="H152" s="6">
        <f t="shared" si="8"/>
        <v>2940000</v>
      </c>
      <c r="I152" s="6">
        <f t="shared" si="9"/>
        <v>926382.0203</v>
      </c>
      <c r="J152" s="610">
        <v>7.125</v>
      </c>
      <c r="K152" s="591"/>
      <c r="L152" s="6"/>
      <c r="M152" s="9">
        <v>20000.0</v>
      </c>
      <c r="N152" s="79">
        <f t="shared" si="10"/>
        <v>2940000</v>
      </c>
      <c r="O152" s="6">
        <f t="shared" si="2"/>
        <v>1097377.98</v>
      </c>
      <c r="P152" s="6"/>
      <c r="Q152" s="6">
        <f t="shared" si="11"/>
        <v>10494.02349</v>
      </c>
      <c r="R152" s="6">
        <f t="shared" si="12"/>
        <v>1097377.98</v>
      </c>
      <c r="S152" s="81">
        <f t="shared" si="3"/>
        <v>86.65457675</v>
      </c>
      <c r="T152" s="6"/>
      <c r="U152" s="6"/>
      <c r="V152" s="6"/>
      <c r="W152" s="6"/>
      <c r="X152" s="6"/>
    </row>
    <row r="153" ht="11.25" customHeight="1">
      <c r="A153" s="7"/>
      <c r="B153" s="68">
        <f t="shared" si="13"/>
        <v>148</v>
      </c>
      <c r="C153" s="607">
        <v>20000.0</v>
      </c>
      <c r="D153" s="6">
        <f t="shared" si="14"/>
        <v>5500.393245</v>
      </c>
      <c r="E153" s="6">
        <f t="shared" si="1"/>
        <v>14499.60675</v>
      </c>
      <c r="F153" s="6">
        <f t="shared" si="6"/>
        <v>1688117.586</v>
      </c>
      <c r="G153" s="6">
        <f t="shared" si="7"/>
        <v>1271882.414</v>
      </c>
      <c r="H153" s="6">
        <f t="shared" si="8"/>
        <v>2960000</v>
      </c>
      <c r="I153" s="6">
        <f t="shared" si="9"/>
        <v>911882.4135</v>
      </c>
      <c r="J153" s="610">
        <v>7.125</v>
      </c>
      <c r="K153" s="591"/>
      <c r="L153" s="6"/>
      <c r="M153" s="9">
        <v>20000.0</v>
      </c>
      <c r="N153" s="79">
        <f t="shared" si="10"/>
        <v>2960000</v>
      </c>
      <c r="O153" s="6">
        <f t="shared" si="2"/>
        <v>1107957.586</v>
      </c>
      <c r="P153" s="6"/>
      <c r="Q153" s="6">
        <f t="shared" si="11"/>
        <v>10579.60675</v>
      </c>
      <c r="R153" s="6">
        <f t="shared" si="12"/>
        <v>1107957.586</v>
      </c>
      <c r="S153" s="81">
        <f t="shared" si="3"/>
        <v>87.11163664</v>
      </c>
      <c r="T153" s="6"/>
      <c r="U153" s="6"/>
      <c r="V153" s="6"/>
      <c r="W153" s="6"/>
      <c r="X153" s="6"/>
    </row>
    <row r="154" ht="11.25" customHeight="1">
      <c r="A154" s="7"/>
      <c r="B154" s="68">
        <f t="shared" si="13"/>
        <v>149</v>
      </c>
      <c r="C154" s="607">
        <v>20000.0</v>
      </c>
      <c r="D154" s="6">
        <f t="shared" si="14"/>
        <v>5414.30183</v>
      </c>
      <c r="E154" s="6">
        <f t="shared" si="1"/>
        <v>14585.69817</v>
      </c>
      <c r="F154" s="6">
        <f t="shared" si="6"/>
        <v>1702703.285</v>
      </c>
      <c r="G154" s="6">
        <f t="shared" si="7"/>
        <v>1277296.715</v>
      </c>
      <c r="H154" s="6">
        <f t="shared" si="8"/>
        <v>2980000</v>
      </c>
      <c r="I154" s="6">
        <f t="shared" si="9"/>
        <v>897296.7153</v>
      </c>
      <c r="J154" s="610">
        <v>7.125</v>
      </c>
      <c r="K154" s="591"/>
      <c r="L154" s="6"/>
      <c r="M154" s="9">
        <v>20000.0</v>
      </c>
      <c r="N154" s="79">
        <f t="shared" si="10"/>
        <v>2980000</v>
      </c>
      <c r="O154" s="6">
        <f t="shared" si="2"/>
        <v>1118623.285</v>
      </c>
      <c r="P154" s="6"/>
      <c r="Q154" s="6">
        <f t="shared" si="11"/>
        <v>10665.69817</v>
      </c>
      <c r="R154" s="6">
        <f t="shared" si="12"/>
        <v>1118623.285</v>
      </c>
      <c r="S154" s="81">
        <f t="shared" si="3"/>
        <v>87.57740243</v>
      </c>
      <c r="T154" s="6"/>
      <c r="U154" s="6"/>
      <c r="V154" s="6"/>
      <c r="W154" s="6"/>
      <c r="X154" s="6"/>
    </row>
    <row r="155" ht="11.25" customHeight="1">
      <c r="A155" s="7"/>
      <c r="B155" s="68">
        <f t="shared" si="13"/>
        <v>150</v>
      </c>
      <c r="C155" s="607">
        <v>20000.0</v>
      </c>
      <c r="D155" s="6">
        <f t="shared" si="14"/>
        <v>5327.699247</v>
      </c>
      <c r="E155" s="6">
        <f t="shared" si="1"/>
        <v>14672.30075</v>
      </c>
      <c r="F155" s="6">
        <f t="shared" si="6"/>
        <v>1717375.585</v>
      </c>
      <c r="G155" s="6">
        <f t="shared" si="7"/>
        <v>1282624.415</v>
      </c>
      <c r="H155" s="6">
        <f t="shared" si="8"/>
        <v>3000000</v>
      </c>
      <c r="I155" s="6">
        <f t="shared" si="9"/>
        <v>882624.4146</v>
      </c>
      <c r="J155" s="610">
        <v>7.125</v>
      </c>
      <c r="K155" s="591"/>
      <c r="L155" s="6"/>
      <c r="M155" s="9">
        <v>20000.0</v>
      </c>
      <c r="N155" s="79">
        <f t="shared" si="10"/>
        <v>3000000</v>
      </c>
      <c r="O155" s="6">
        <f t="shared" si="2"/>
        <v>1129375.585</v>
      </c>
      <c r="P155" s="6"/>
      <c r="Q155" s="6">
        <f t="shared" si="11"/>
        <v>10752.30075</v>
      </c>
      <c r="R155" s="6">
        <f t="shared" si="12"/>
        <v>1129375.585</v>
      </c>
      <c r="S155" s="81">
        <f t="shared" si="3"/>
        <v>88.05193263</v>
      </c>
      <c r="T155" s="6"/>
      <c r="U155" s="6"/>
      <c r="V155" s="6"/>
      <c r="W155" s="6"/>
      <c r="X155" s="6"/>
    </row>
    <row r="156" ht="11.25" customHeight="1">
      <c r="A156" s="7"/>
      <c r="B156" s="68">
        <f t="shared" si="13"/>
        <v>151</v>
      </c>
      <c r="C156" s="607">
        <v>20000.0</v>
      </c>
      <c r="D156" s="6">
        <f t="shared" si="14"/>
        <v>5240.582462</v>
      </c>
      <c r="E156" s="6">
        <f t="shared" si="1"/>
        <v>14759.41754</v>
      </c>
      <c r="F156" s="6">
        <f t="shared" si="6"/>
        <v>1732135.003</v>
      </c>
      <c r="G156" s="6">
        <f t="shared" si="7"/>
        <v>1287864.997</v>
      </c>
      <c r="H156" s="6">
        <f t="shared" si="8"/>
        <v>3020000</v>
      </c>
      <c r="I156" s="6">
        <f t="shared" si="9"/>
        <v>867864.997</v>
      </c>
      <c r="J156" s="610">
        <v>7.125</v>
      </c>
      <c r="K156" s="591"/>
      <c r="L156" s="6"/>
      <c r="M156" s="9">
        <v>20000.0</v>
      </c>
      <c r="N156" s="79">
        <f t="shared" si="10"/>
        <v>3020000</v>
      </c>
      <c r="O156" s="6">
        <f t="shared" si="2"/>
        <v>1140215.003</v>
      </c>
      <c r="P156" s="6"/>
      <c r="Q156" s="6">
        <f t="shared" si="11"/>
        <v>10839.41754</v>
      </c>
      <c r="R156" s="6">
        <f t="shared" si="12"/>
        <v>1140215.003</v>
      </c>
      <c r="S156" s="81">
        <f t="shared" si="3"/>
        <v>88.53528946</v>
      </c>
      <c r="T156" s="6"/>
      <c r="U156" s="6"/>
      <c r="V156" s="6"/>
      <c r="W156" s="6"/>
      <c r="X156" s="6"/>
    </row>
    <row r="157" ht="11.25" customHeight="1">
      <c r="A157" s="7"/>
      <c r="B157" s="68">
        <f t="shared" si="13"/>
        <v>152</v>
      </c>
      <c r="C157" s="607">
        <v>20000.0</v>
      </c>
      <c r="D157" s="6">
        <f t="shared" si="14"/>
        <v>5152.94842</v>
      </c>
      <c r="E157" s="6">
        <f t="shared" si="1"/>
        <v>14847.05158</v>
      </c>
      <c r="F157" s="6">
        <f t="shared" si="6"/>
        <v>1746982.055</v>
      </c>
      <c r="G157" s="6">
        <f t="shared" si="7"/>
        <v>1293017.945</v>
      </c>
      <c r="H157" s="6">
        <f t="shared" si="8"/>
        <v>3040000</v>
      </c>
      <c r="I157" s="6">
        <f t="shared" si="9"/>
        <v>853017.9455</v>
      </c>
      <c r="J157" s="610">
        <v>7.125</v>
      </c>
      <c r="K157" s="591"/>
      <c r="L157" s="6"/>
      <c r="M157" s="9">
        <v>20000.0</v>
      </c>
      <c r="N157" s="79">
        <f t="shared" si="10"/>
        <v>3040000</v>
      </c>
      <c r="O157" s="6">
        <f t="shared" si="2"/>
        <v>1151142.055</v>
      </c>
      <c r="P157" s="6"/>
      <c r="Q157" s="6">
        <f t="shared" si="11"/>
        <v>10927.05158</v>
      </c>
      <c r="R157" s="6">
        <f t="shared" si="12"/>
        <v>1151142.055</v>
      </c>
      <c r="S157" s="81">
        <f t="shared" si="3"/>
        <v>89.02753891</v>
      </c>
      <c r="T157" s="6"/>
      <c r="U157" s="6"/>
      <c r="V157" s="6"/>
      <c r="W157" s="6"/>
      <c r="X157" s="6"/>
    </row>
    <row r="158" ht="11.25" customHeight="1">
      <c r="A158" s="7"/>
      <c r="B158" s="68">
        <f t="shared" si="13"/>
        <v>153</v>
      </c>
      <c r="C158" s="607">
        <v>20000.0</v>
      </c>
      <c r="D158" s="6">
        <f t="shared" si="14"/>
        <v>5064.794051</v>
      </c>
      <c r="E158" s="6">
        <f t="shared" si="1"/>
        <v>14935.20595</v>
      </c>
      <c r="F158" s="6">
        <f t="shared" si="6"/>
        <v>1761917.26</v>
      </c>
      <c r="G158" s="6">
        <f t="shared" si="7"/>
        <v>1298082.74</v>
      </c>
      <c r="H158" s="6">
        <f t="shared" si="8"/>
        <v>3060000</v>
      </c>
      <c r="I158" s="6">
        <f t="shared" si="9"/>
        <v>838082.7395</v>
      </c>
      <c r="J158" s="610">
        <v>7.125</v>
      </c>
      <c r="K158" s="591"/>
      <c r="L158" s="6"/>
      <c r="M158" s="9">
        <v>20000.0</v>
      </c>
      <c r="N158" s="79">
        <f t="shared" si="10"/>
        <v>3060000</v>
      </c>
      <c r="O158" s="6">
        <f t="shared" si="2"/>
        <v>1162157.26</v>
      </c>
      <c r="P158" s="6"/>
      <c r="Q158" s="6">
        <f t="shared" si="11"/>
        <v>11015.20595</v>
      </c>
      <c r="R158" s="6">
        <f t="shared" si="12"/>
        <v>1162157.26</v>
      </c>
      <c r="S158" s="81">
        <f t="shared" si="3"/>
        <v>89.52875076</v>
      </c>
      <c r="T158" s="6"/>
      <c r="U158" s="6"/>
      <c r="V158" s="6"/>
      <c r="W158" s="6"/>
      <c r="X158" s="6"/>
    </row>
    <row r="159" ht="11.25" customHeight="1">
      <c r="A159" s="7"/>
      <c r="B159" s="68">
        <f t="shared" si="13"/>
        <v>154</v>
      </c>
      <c r="C159" s="607">
        <v>20000.0</v>
      </c>
      <c r="D159" s="6">
        <f t="shared" si="14"/>
        <v>4976.116266</v>
      </c>
      <c r="E159" s="6">
        <f t="shared" si="1"/>
        <v>15023.88373</v>
      </c>
      <c r="F159" s="6">
        <f t="shared" si="6"/>
        <v>1776941.144</v>
      </c>
      <c r="G159" s="6">
        <f t="shared" si="7"/>
        <v>1303058.856</v>
      </c>
      <c r="H159" s="6">
        <f t="shared" si="8"/>
        <v>3080000</v>
      </c>
      <c r="I159" s="6">
        <f t="shared" si="9"/>
        <v>823058.8558</v>
      </c>
      <c r="J159" s="610">
        <v>7.125</v>
      </c>
      <c r="K159" s="591"/>
      <c r="L159" s="6"/>
      <c r="M159" s="9">
        <v>20000.0</v>
      </c>
      <c r="N159" s="79">
        <f t="shared" si="10"/>
        <v>3080000</v>
      </c>
      <c r="O159" s="6">
        <f t="shared" si="2"/>
        <v>1173261.144</v>
      </c>
      <c r="P159" s="6"/>
      <c r="Q159" s="6">
        <f t="shared" si="11"/>
        <v>11103.88373</v>
      </c>
      <c r="R159" s="6">
        <f t="shared" si="12"/>
        <v>1173261.144</v>
      </c>
      <c r="S159" s="81">
        <f t="shared" si="3"/>
        <v>90.03899855</v>
      </c>
      <c r="T159" s="6"/>
      <c r="U159" s="6"/>
      <c r="V159" s="6"/>
      <c r="W159" s="6"/>
      <c r="X159" s="6"/>
    </row>
    <row r="160" ht="11.25" customHeight="1">
      <c r="A160" s="7"/>
      <c r="B160" s="68">
        <f t="shared" si="13"/>
        <v>155</v>
      </c>
      <c r="C160" s="607">
        <v>20000.0</v>
      </c>
      <c r="D160" s="6">
        <f t="shared" si="14"/>
        <v>4886.911956</v>
      </c>
      <c r="E160" s="6">
        <f t="shared" si="1"/>
        <v>15113.08804</v>
      </c>
      <c r="F160" s="6">
        <f t="shared" si="6"/>
        <v>1792054.232</v>
      </c>
      <c r="G160" s="6">
        <f t="shared" si="7"/>
        <v>1307945.768</v>
      </c>
      <c r="H160" s="6">
        <f t="shared" si="8"/>
        <v>3100000</v>
      </c>
      <c r="I160" s="6">
        <f t="shared" si="9"/>
        <v>807945.7677</v>
      </c>
      <c r="J160" s="610">
        <v>7.125</v>
      </c>
      <c r="K160" s="591"/>
      <c r="L160" s="6"/>
      <c r="M160" s="9">
        <v>20000.0</v>
      </c>
      <c r="N160" s="79">
        <f t="shared" si="10"/>
        <v>3100000</v>
      </c>
      <c r="O160" s="6">
        <f t="shared" si="2"/>
        <v>1184454.232</v>
      </c>
      <c r="P160" s="6"/>
      <c r="Q160" s="6">
        <f t="shared" si="11"/>
        <v>11193.08804</v>
      </c>
      <c r="R160" s="6">
        <f t="shared" si="12"/>
        <v>1184454.232</v>
      </c>
      <c r="S160" s="81">
        <f t="shared" si="3"/>
        <v>90.55835964</v>
      </c>
      <c r="T160" s="6"/>
      <c r="U160" s="6"/>
      <c r="V160" s="6"/>
      <c r="W160" s="6"/>
      <c r="X160" s="6"/>
    </row>
    <row r="161" ht="11.25" customHeight="1">
      <c r="A161" s="71"/>
      <c r="B161" s="72">
        <f t="shared" si="13"/>
        <v>156</v>
      </c>
      <c r="C161" s="607">
        <v>20000.0</v>
      </c>
      <c r="D161" s="10">
        <f t="shared" si="14"/>
        <v>4797.177996</v>
      </c>
      <c r="E161" s="10">
        <f t="shared" si="1"/>
        <v>15202.822</v>
      </c>
      <c r="F161" s="10">
        <f t="shared" si="6"/>
        <v>1807257.054</v>
      </c>
      <c r="G161" s="10">
        <f t="shared" si="7"/>
        <v>1312742.946</v>
      </c>
      <c r="H161" s="10">
        <f t="shared" si="8"/>
        <v>3120000</v>
      </c>
      <c r="I161" s="10">
        <f t="shared" si="9"/>
        <v>792742.9457</v>
      </c>
      <c r="J161" s="610">
        <v>7.125</v>
      </c>
      <c r="K161" s="591"/>
      <c r="L161" s="6"/>
      <c r="M161" s="9">
        <v>20000.0</v>
      </c>
      <c r="N161" s="79">
        <f t="shared" si="10"/>
        <v>3120000</v>
      </c>
      <c r="O161" s="6">
        <f t="shared" si="2"/>
        <v>1195737.054</v>
      </c>
      <c r="P161" s="6"/>
      <c r="Q161" s="6">
        <f t="shared" si="11"/>
        <v>11282.822</v>
      </c>
      <c r="R161" s="6">
        <f t="shared" si="12"/>
        <v>1195737.054</v>
      </c>
      <c r="S161" s="81">
        <f t="shared" si="3"/>
        <v>91.08691524</v>
      </c>
      <c r="T161" s="6"/>
      <c r="U161" s="6"/>
      <c r="V161" s="6"/>
      <c r="W161" s="6"/>
      <c r="X161" s="6"/>
    </row>
    <row r="162" ht="11.25" customHeight="1">
      <c r="A162" s="100">
        <v>14.0</v>
      </c>
      <c r="B162" s="66">
        <f t="shared" si="13"/>
        <v>157</v>
      </c>
      <c r="C162" s="607">
        <v>20000.0</v>
      </c>
      <c r="D162" s="617">
        <f t="shared" si="14"/>
        <v>4706.91124</v>
      </c>
      <c r="E162" s="617">
        <f t="shared" si="1"/>
        <v>15293.08876</v>
      </c>
      <c r="F162" s="617">
        <f t="shared" si="6"/>
        <v>1822550.143</v>
      </c>
      <c r="G162" s="617">
        <f t="shared" si="7"/>
        <v>1317449.857</v>
      </c>
      <c r="H162" s="617">
        <f t="shared" si="8"/>
        <v>3140000</v>
      </c>
      <c r="I162" s="617">
        <f t="shared" si="9"/>
        <v>777449.857</v>
      </c>
      <c r="J162" s="610">
        <v>7.125</v>
      </c>
      <c r="K162" s="591"/>
      <c r="L162" s="6"/>
      <c r="M162" s="9">
        <v>20000.0</v>
      </c>
      <c r="N162" s="79">
        <f t="shared" si="10"/>
        <v>3140000</v>
      </c>
      <c r="O162" s="6">
        <f t="shared" si="2"/>
        <v>1207110.143</v>
      </c>
      <c r="P162" s="6"/>
      <c r="Q162" s="6">
        <f t="shared" si="11"/>
        <v>11373.08876</v>
      </c>
      <c r="R162" s="6">
        <f t="shared" si="12"/>
        <v>1207110.143</v>
      </c>
      <c r="S162" s="81">
        <f t="shared" si="3"/>
        <v>91.62475039</v>
      </c>
      <c r="T162" s="6"/>
      <c r="U162" s="6"/>
      <c r="V162" s="6"/>
      <c r="W162" s="6"/>
      <c r="X162" s="6"/>
    </row>
    <row r="163" ht="11.25" customHeight="1">
      <c r="A163" s="7"/>
      <c r="B163" s="68">
        <f t="shared" si="13"/>
        <v>158</v>
      </c>
      <c r="C163" s="607">
        <v>20000.0</v>
      </c>
      <c r="D163" s="6">
        <f t="shared" si="14"/>
        <v>4616.108526</v>
      </c>
      <c r="E163" s="6">
        <f t="shared" si="1"/>
        <v>15383.89147</v>
      </c>
      <c r="F163" s="6">
        <f t="shared" si="6"/>
        <v>1837934.034</v>
      </c>
      <c r="G163" s="6">
        <f t="shared" si="7"/>
        <v>1322065.966</v>
      </c>
      <c r="H163" s="6">
        <f t="shared" si="8"/>
        <v>3160000</v>
      </c>
      <c r="I163" s="6">
        <f t="shared" si="9"/>
        <v>762065.9655</v>
      </c>
      <c r="J163" s="610">
        <v>7.125</v>
      </c>
      <c r="K163" s="591"/>
      <c r="L163" s="6"/>
      <c r="M163" s="9">
        <v>20000.0</v>
      </c>
      <c r="N163" s="79">
        <f t="shared" si="10"/>
        <v>3160000</v>
      </c>
      <c r="O163" s="6">
        <f t="shared" si="2"/>
        <v>1218574.034</v>
      </c>
      <c r="P163" s="6"/>
      <c r="Q163" s="6">
        <f t="shared" si="11"/>
        <v>11463.89147</v>
      </c>
      <c r="R163" s="6">
        <f t="shared" si="12"/>
        <v>1218574.034</v>
      </c>
      <c r="S163" s="81">
        <f t="shared" si="3"/>
        <v>92.17195407</v>
      </c>
      <c r="T163" s="6"/>
      <c r="U163" s="6"/>
      <c r="V163" s="6"/>
      <c r="W163" s="6"/>
      <c r="X163" s="6"/>
    </row>
    <row r="164" ht="11.25" customHeight="1">
      <c r="A164" s="7"/>
      <c r="B164" s="68">
        <f t="shared" si="13"/>
        <v>159</v>
      </c>
      <c r="C164" s="607">
        <v>20000.0</v>
      </c>
      <c r="D164" s="6">
        <f t="shared" si="14"/>
        <v>4524.76667</v>
      </c>
      <c r="E164" s="6">
        <f t="shared" si="1"/>
        <v>15475.23333</v>
      </c>
      <c r="F164" s="6">
        <f t="shared" si="6"/>
        <v>1853409.268</v>
      </c>
      <c r="G164" s="6">
        <f t="shared" si="7"/>
        <v>1326590.732</v>
      </c>
      <c r="H164" s="6">
        <f t="shared" si="8"/>
        <v>3180000</v>
      </c>
      <c r="I164" s="6">
        <f t="shared" si="9"/>
        <v>746590.7322</v>
      </c>
      <c r="J164" s="610">
        <v>7.125</v>
      </c>
      <c r="K164" s="591"/>
      <c r="L164" s="6"/>
      <c r="M164" s="9">
        <v>20000.0</v>
      </c>
      <c r="N164" s="79">
        <f t="shared" si="10"/>
        <v>3180000</v>
      </c>
      <c r="O164" s="6">
        <f t="shared" si="2"/>
        <v>1230129.268</v>
      </c>
      <c r="P164" s="6"/>
      <c r="Q164" s="6">
        <f t="shared" si="11"/>
        <v>11555.23333</v>
      </c>
      <c r="R164" s="6">
        <f t="shared" si="12"/>
        <v>1230129.268</v>
      </c>
      <c r="S164" s="81">
        <f t="shared" si="3"/>
        <v>92.72861916</v>
      </c>
      <c r="T164" s="6"/>
      <c r="U164" s="6"/>
      <c r="V164" s="6"/>
      <c r="W164" s="6"/>
      <c r="X164" s="6"/>
    </row>
    <row r="165" ht="11.25" customHeight="1">
      <c r="A165" s="7"/>
      <c r="B165" s="68">
        <f t="shared" si="13"/>
        <v>160</v>
      </c>
      <c r="C165" s="607">
        <v>20000.0</v>
      </c>
      <c r="D165" s="6">
        <f t="shared" si="14"/>
        <v>4432.882472</v>
      </c>
      <c r="E165" s="6">
        <f t="shared" si="1"/>
        <v>15567.11753</v>
      </c>
      <c r="F165" s="6">
        <f t="shared" si="6"/>
        <v>1868976.385</v>
      </c>
      <c r="G165" s="6">
        <f t="shared" si="7"/>
        <v>1331023.615</v>
      </c>
      <c r="H165" s="6">
        <f t="shared" si="8"/>
        <v>3200000</v>
      </c>
      <c r="I165" s="6">
        <f t="shared" si="9"/>
        <v>731023.6146</v>
      </c>
      <c r="J165" s="610">
        <v>7.125</v>
      </c>
      <c r="K165" s="591"/>
      <c r="L165" s="6"/>
      <c r="M165" s="9">
        <v>20000.0</v>
      </c>
      <c r="N165" s="79">
        <f t="shared" si="10"/>
        <v>3200000</v>
      </c>
      <c r="O165" s="6">
        <f t="shared" si="2"/>
        <v>1241776.385</v>
      </c>
      <c r="P165" s="6"/>
      <c r="Q165" s="6">
        <f t="shared" si="11"/>
        <v>11647.11753</v>
      </c>
      <c r="R165" s="6">
        <f t="shared" si="12"/>
        <v>1241776.385</v>
      </c>
      <c r="S165" s="81">
        <f t="shared" si="3"/>
        <v>93.29484253</v>
      </c>
      <c r="T165" s="6"/>
      <c r="U165" s="6"/>
      <c r="V165" s="6"/>
      <c r="W165" s="6"/>
      <c r="X165" s="6"/>
    </row>
    <row r="166" ht="11.25" customHeight="1">
      <c r="A166" s="7"/>
      <c r="B166" s="68">
        <f t="shared" si="13"/>
        <v>161</v>
      </c>
      <c r="C166" s="607">
        <v>20000.0</v>
      </c>
      <c r="D166" s="6">
        <f t="shared" si="14"/>
        <v>4340.452712</v>
      </c>
      <c r="E166" s="6">
        <f t="shared" si="1"/>
        <v>15659.54729</v>
      </c>
      <c r="F166" s="6">
        <f t="shared" si="6"/>
        <v>1884635.933</v>
      </c>
      <c r="G166" s="6">
        <f t="shared" si="7"/>
        <v>1335364.067</v>
      </c>
      <c r="H166" s="6">
        <f t="shared" si="8"/>
        <v>3220000</v>
      </c>
      <c r="I166" s="6">
        <f t="shared" si="9"/>
        <v>715364.0674</v>
      </c>
      <c r="J166" s="610">
        <v>7.125</v>
      </c>
      <c r="K166" s="591"/>
      <c r="L166" s="6"/>
      <c r="M166" s="9">
        <v>20000.0</v>
      </c>
      <c r="N166" s="79">
        <f t="shared" si="10"/>
        <v>3220000</v>
      </c>
      <c r="O166" s="6">
        <f t="shared" si="2"/>
        <v>1253515.933</v>
      </c>
      <c r="P166" s="6"/>
      <c r="Q166" s="6">
        <f t="shared" si="11"/>
        <v>11739.54729</v>
      </c>
      <c r="R166" s="6">
        <f t="shared" si="12"/>
        <v>1253515.933</v>
      </c>
      <c r="S166" s="81">
        <f t="shared" si="3"/>
        <v>93.87072509</v>
      </c>
      <c r="T166" s="6"/>
      <c r="U166" s="6"/>
      <c r="V166" s="6"/>
      <c r="W166" s="6"/>
      <c r="X166" s="6"/>
    </row>
    <row r="167" ht="11.25" customHeight="1">
      <c r="A167" s="7"/>
      <c r="B167" s="68">
        <f t="shared" si="13"/>
        <v>162</v>
      </c>
      <c r="C167" s="607">
        <v>20000.0</v>
      </c>
      <c r="D167" s="6">
        <f t="shared" si="14"/>
        <v>4247.47415</v>
      </c>
      <c r="E167" s="6">
        <f t="shared" si="1"/>
        <v>15752.52585</v>
      </c>
      <c r="F167" s="6">
        <f t="shared" si="6"/>
        <v>1900388.458</v>
      </c>
      <c r="G167" s="6">
        <f t="shared" si="7"/>
        <v>1339611.542</v>
      </c>
      <c r="H167" s="6">
        <f t="shared" si="8"/>
        <v>3240000</v>
      </c>
      <c r="I167" s="6">
        <f t="shared" si="9"/>
        <v>699611.5415</v>
      </c>
      <c r="J167" s="610">
        <v>7.125</v>
      </c>
      <c r="K167" s="591"/>
      <c r="L167" s="6"/>
      <c r="M167" s="9">
        <v>20000.0</v>
      </c>
      <c r="N167" s="79">
        <f t="shared" si="10"/>
        <v>3240000</v>
      </c>
      <c r="O167" s="6">
        <f t="shared" si="2"/>
        <v>1265348.458</v>
      </c>
      <c r="P167" s="6"/>
      <c r="Q167" s="6">
        <f t="shared" si="11"/>
        <v>11832.52585</v>
      </c>
      <c r="R167" s="6">
        <f t="shared" si="12"/>
        <v>1265348.458</v>
      </c>
      <c r="S167" s="81">
        <f t="shared" si="3"/>
        <v>94.45637181</v>
      </c>
      <c r="T167" s="6"/>
      <c r="U167" s="6"/>
      <c r="V167" s="6"/>
      <c r="W167" s="6"/>
      <c r="X167" s="6"/>
    </row>
    <row r="168" ht="11.25" customHeight="1">
      <c r="A168" s="7"/>
      <c r="B168" s="68">
        <f t="shared" si="13"/>
        <v>163</v>
      </c>
      <c r="C168" s="607">
        <v>20000.0</v>
      </c>
      <c r="D168" s="6">
        <f t="shared" si="14"/>
        <v>4153.943528</v>
      </c>
      <c r="E168" s="6">
        <f t="shared" si="1"/>
        <v>15846.05647</v>
      </c>
      <c r="F168" s="6">
        <f t="shared" si="6"/>
        <v>1916234.515</v>
      </c>
      <c r="G168" s="6">
        <f t="shared" si="7"/>
        <v>1343765.485</v>
      </c>
      <c r="H168" s="6">
        <f t="shared" si="8"/>
        <v>3260000</v>
      </c>
      <c r="I168" s="6">
        <f t="shared" si="9"/>
        <v>683765.485</v>
      </c>
      <c r="J168" s="610">
        <v>7.125</v>
      </c>
      <c r="K168" s="591"/>
      <c r="L168" s="6"/>
      <c r="M168" s="9">
        <v>20000.0</v>
      </c>
      <c r="N168" s="79">
        <f t="shared" si="10"/>
        <v>3260000</v>
      </c>
      <c r="O168" s="6">
        <f t="shared" si="2"/>
        <v>1277274.515</v>
      </c>
      <c r="P168" s="6"/>
      <c r="Q168" s="6">
        <f t="shared" si="11"/>
        <v>11926.05647</v>
      </c>
      <c r="R168" s="6">
        <f t="shared" si="12"/>
        <v>1277274.515</v>
      </c>
      <c r="S168" s="81">
        <f t="shared" si="3"/>
        <v>95.05189181</v>
      </c>
      <c r="T168" s="6"/>
      <c r="U168" s="6"/>
      <c r="V168" s="6"/>
      <c r="W168" s="6"/>
      <c r="X168" s="6"/>
    </row>
    <row r="169" ht="11.25" customHeight="1">
      <c r="A169" s="7"/>
      <c r="B169" s="68">
        <f t="shared" si="13"/>
        <v>164</v>
      </c>
      <c r="C169" s="607">
        <v>20000.0</v>
      </c>
      <c r="D169" s="6">
        <f t="shared" si="14"/>
        <v>4059.857567</v>
      </c>
      <c r="E169" s="6">
        <f t="shared" si="1"/>
        <v>15940.14243</v>
      </c>
      <c r="F169" s="6">
        <f t="shared" si="6"/>
        <v>1932174.657</v>
      </c>
      <c r="G169" s="6">
        <f t="shared" si="7"/>
        <v>1347825.343</v>
      </c>
      <c r="H169" s="6">
        <f t="shared" si="8"/>
        <v>3280000</v>
      </c>
      <c r="I169" s="6">
        <f t="shared" si="9"/>
        <v>667825.3426</v>
      </c>
      <c r="J169" s="610">
        <v>7.125</v>
      </c>
      <c r="K169" s="591"/>
      <c r="L169" s="6"/>
      <c r="M169" s="9">
        <v>20000.0</v>
      </c>
      <c r="N169" s="79">
        <f t="shared" si="10"/>
        <v>3280000</v>
      </c>
      <c r="O169" s="6">
        <f t="shared" si="2"/>
        <v>1289294.657</v>
      </c>
      <c r="P169" s="6"/>
      <c r="Q169" s="6">
        <f t="shared" si="11"/>
        <v>12020.14243</v>
      </c>
      <c r="R169" s="6">
        <f t="shared" si="12"/>
        <v>1289294.657</v>
      </c>
      <c r="S169" s="81">
        <f t="shared" si="3"/>
        <v>95.65739838</v>
      </c>
      <c r="T169" s="6"/>
      <c r="U169" s="6"/>
      <c r="V169" s="6"/>
      <c r="W169" s="6"/>
      <c r="X169" s="6"/>
    </row>
    <row r="170" ht="11.25" customHeight="1">
      <c r="A170" s="7"/>
      <c r="B170" s="68">
        <f t="shared" si="13"/>
        <v>165</v>
      </c>
      <c r="C170" s="607">
        <v>20000.0</v>
      </c>
      <c r="D170" s="6">
        <f t="shared" si="14"/>
        <v>3965.212972</v>
      </c>
      <c r="E170" s="6">
        <f t="shared" si="1"/>
        <v>16034.78703</v>
      </c>
      <c r="F170" s="6">
        <f t="shared" si="6"/>
        <v>1948209.444</v>
      </c>
      <c r="G170" s="6">
        <f t="shared" si="7"/>
        <v>1351790.556</v>
      </c>
      <c r="H170" s="6">
        <f t="shared" si="8"/>
        <v>3300000</v>
      </c>
      <c r="I170" s="6">
        <f t="shared" si="9"/>
        <v>651790.5556</v>
      </c>
      <c r="J170" s="610">
        <v>7.125</v>
      </c>
      <c r="K170" s="591"/>
      <c r="L170" s="6"/>
      <c r="M170" s="9">
        <v>20000.0</v>
      </c>
      <c r="N170" s="79">
        <f t="shared" si="10"/>
        <v>3300000</v>
      </c>
      <c r="O170" s="6">
        <f t="shared" si="2"/>
        <v>1301409.444</v>
      </c>
      <c r="P170" s="6"/>
      <c r="Q170" s="6">
        <f t="shared" si="11"/>
        <v>12114.78703</v>
      </c>
      <c r="R170" s="6">
        <f t="shared" si="12"/>
        <v>1301409.444</v>
      </c>
      <c r="S170" s="81">
        <f t="shared" si="3"/>
        <v>96.27300909</v>
      </c>
      <c r="T170" s="6"/>
      <c r="U170" s="6"/>
      <c r="V170" s="6"/>
      <c r="W170" s="6"/>
      <c r="X170" s="6"/>
    </row>
    <row r="171" ht="11.25" customHeight="1">
      <c r="A171" s="7"/>
      <c r="B171" s="68">
        <f t="shared" si="13"/>
        <v>166</v>
      </c>
      <c r="C171" s="607">
        <v>20000.0</v>
      </c>
      <c r="D171" s="6">
        <f t="shared" si="14"/>
        <v>3870.006424</v>
      </c>
      <c r="E171" s="6">
        <f t="shared" si="1"/>
        <v>16129.99358</v>
      </c>
      <c r="F171" s="6">
        <f t="shared" si="6"/>
        <v>1964339.438</v>
      </c>
      <c r="G171" s="6">
        <f t="shared" si="7"/>
        <v>1355660.562</v>
      </c>
      <c r="H171" s="6">
        <f t="shared" si="8"/>
        <v>3320000</v>
      </c>
      <c r="I171" s="6">
        <f t="shared" si="9"/>
        <v>635660.562</v>
      </c>
      <c r="J171" s="610">
        <v>7.125</v>
      </c>
      <c r="K171" s="591"/>
      <c r="L171" s="6"/>
      <c r="M171" s="9">
        <v>20000.0</v>
      </c>
      <c r="N171" s="79">
        <f t="shared" si="10"/>
        <v>3320000</v>
      </c>
      <c r="O171" s="6">
        <f t="shared" si="2"/>
        <v>1313619.438</v>
      </c>
      <c r="P171" s="6"/>
      <c r="Q171" s="6">
        <f t="shared" si="11"/>
        <v>12209.99358</v>
      </c>
      <c r="R171" s="6">
        <f t="shared" si="12"/>
        <v>1313619.438</v>
      </c>
      <c r="S171" s="81">
        <f t="shared" si="3"/>
        <v>96.89884583</v>
      </c>
      <c r="T171" s="6"/>
      <c r="U171" s="6"/>
      <c r="V171" s="6"/>
      <c r="W171" s="6"/>
      <c r="X171" s="6"/>
    </row>
    <row r="172" ht="11.25" customHeight="1">
      <c r="A172" s="7"/>
      <c r="B172" s="68">
        <f t="shared" si="13"/>
        <v>167</v>
      </c>
      <c r="C172" s="607">
        <v>20000.0</v>
      </c>
      <c r="D172" s="6">
        <f t="shared" si="14"/>
        <v>3774.234587</v>
      </c>
      <c r="E172" s="6">
        <f t="shared" si="1"/>
        <v>16225.76541</v>
      </c>
      <c r="F172" s="6">
        <f t="shared" si="6"/>
        <v>1980565.203</v>
      </c>
      <c r="G172" s="6">
        <f t="shared" si="7"/>
        <v>1359434.797</v>
      </c>
      <c r="H172" s="6">
        <f t="shared" si="8"/>
        <v>3340000</v>
      </c>
      <c r="I172" s="6">
        <f t="shared" si="9"/>
        <v>619434.7966</v>
      </c>
      <c r="J172" s="610">
        <v>7.125</v>
      </c>
      <c r="K172" s="591"/>
      <c r="L172" s="6"/>
      <c r="M172" s="9">
        <v>20000.0</v>
      </c>
      <c r="N172" s="79">
        <f t="shared" si="10"/>
        <v>3340000</v>
      </c>
      <c r="O172" s="6">
        <f t="shared" si="2"/>
        <v>1325925.203</v>
      </c>
      <c r="P172" s="6"/>
      <c r="Q172" s="6">
        <f t="shared" si="11"/>
        <v>12305.76541</v>
      </c>
      <c r="R172" s="6">
        <f t="shared" si="12"/>
        <v>1325925.203</v>
      </c>
      <c r="S172" s="81">
        <f t="shared" si="3"/>
        <v>97.53503491</v>
      </c>
      <c r="T172" s="6"/>
      <c r="U172" s="6"/>
      <c r="V172" s="6"/>
      <c r="W172" s="6"/>
      <c r="X172" s="6"/>
    </row>
    <row r="173" ht="11.25" customHeight="1">
      <c r="A173" s="71"/>
      <c r="B173" s="72">
        <f t="shared" si="13"/>
        <v>168</v>
      </c>
      <c r="C173" s="607">
        <v>20000.0</v>
      </c>
      <c r="D173" s="10">
        <f t="shared" si="14"/>
        <v>3677.894105</v>
      </c>
      <c r="E173" s="10">
        <f t="shared" si="1"/>
        <v>16322.1059</v>
      </c>
      <c r="F173" s="10">
        <f t="shared" si="6"/>
        <v>1996887.309</v>
      </c>
      <c r="G173" s="10">
        <f t="shared" si="7"/>
        <v>1363112.691</v>
      </c>
      <c r="H173" s="10">
        <f t="shared" si="8"/>
        <v>3360000</v>
      </c>
      <c r="I173" s="10">
        <f t="shared" si="9"/>
        <v>603112.6907</v>
      </c>
      <c r="J173" s="610">
        <v>7.125</v>
      </c>
      <c r="K173" s="591"/>
      <c r="L173" s="6"/>
      <c r="M173" s="9">
        <v>20000.0</v>
      </c>
      <c r="N173" s="79">
        <f t="shared" si="10"/>
        <v>3360000</v>
      </c>
      <c r="O173" s="6">
        <f t="shared" si="2"/>
        <v>1338327.309</v>
      </c>
      <c r="P173" s="6"/>
      <c r="Q173" s="6">
        <f t="shared" si="11"/>
        <v>12402.1059</v>
      </c>
      <c r="R173" s="6">
        <f t="shared" si="12"/>
        <v>1338327.309</v>
      </c>
      <c r="S173" s="81">
        <f t="shared" si="3"/>
        <v>98.18170709</v>
      </c>
      <c r="T173" s="6"/>
      <c r="U173" s="6"/>
      <c r="V173" s="6"/>
      <c r="W173" s="6"/>
      <c r="X173" s="6"/>
    </row>
    <row r="174" ht="11.25" customHeight="1">
      <c r="A174" s="100">
        <v>15.0</v>
      </c>
      <c r="B174" s="66">
        <f t="shared" si="13"/>
        <v>169</v>
      </c>
      <c r="C174" s="607">
        <v>20000.0</v>
      </c>
      <c r="D174" s="617">
        <f t="shared" si="14"/>
        <v>3580.981601</v>
      </c>
      <c r="E174" s="617">
        <f t="shared" si="1"/>
        <v>16419.0184</v>
      </c>
      <c r="F174" s="617">
        <f t="shared" si="6"/>
        <v>2013306.328</v>
      </c>
      <c r="G174" s="617">
        <f t="shared" si="7"/>
        <v>1366693.672</v>
      </c>
      <c r="H174" s="617">
        <f t="shared" si="8"/>
        <v>3380000</v>
      </c>
      <c r="I174" s="617">
        <f t="shared" si="9"/>
        <v>586693.6723</v>
      </c>
      <c r="J174" s="610">
        <v>7.125</v>
      </c>
      <c r="K174" s="591"/>
      <c r="L174" s="6"/>
      <c r="M174" s="9">
        <v>20000.0</v>
      </c>
      <c r="N174" s="79">
        <f t="shared" si="10"/>
        <v>3380000</v>
      </c>
      <c r="O174" s="6">
        <f t="shared" si="2"/>
        <v>1350826.328</v>
      </c>
      <c r="P174" s="6"/>
      <c r="Q174" s="6">
        <f t="shared" si="11"/>
        <v>12499.0184</v>
      </c>
      <c r="R174" s="6">
        <f t="shared" si="12"/>
        <v>1350826.328</v>
      </c>
      <c r="S174" s="81">
        <f t="shared" si="3"/>
        <v>98.83899773</v>
      </c>
      <c r="T174" s="6"/>
      <c r="U174" s="6"/>
      <c r="V174" s="6"/>
      <c r="W174" s="6"/>
      <c r="X174" s="6"/>
    </row>
    <row r="175" ht="11.25" customHeight="1">
      <c r="A175" s="7"/>
      <c r="B175" s="68">
        <f t="shared" si="13"/>
        <v>170</v>
      </c>
      <c r="C175" s="607">
        <v>20000.0</v>
      </c>
      <c r="D175" s="6">
        <f t="shared" si="14"/>
        <v>3483.493679</v>
      </c>
      <c r="E175" s="6">
        <f t="shared" si="1"/>
        <v>16516.50632</v>
      </c>
      <c r="F175" s="6">
        <f t="shared" si="6"/>
        <v>2029822.834</v>
      </c>
      <c r="G175" s="6">
        <f t="shared" si="7"/>
        <v>1370177.166</v>
      </c>
      <c r="H175" s="6">
        <f t="shared" si="8"/>
        <v>3400000</v>
      </c>
      <c r="I175" s="6">
        <f t="shared" si="9"/>
        <v>570177.166</v>
      </c>
      <c r="J175" s="610">
        <v>7.125</v>
      </c>
      <c r="K175" s="591"/>
      <c r="L175" s="6"/>
      <c r="M175" s="9">
        <v>20000.0</v>
      </c>
      <c r="N175" s="79">
        <f t="shared" si="10"/>
        <v>3400000</v>
      </c>
      <c r="O175" s="6">
        <f t="shared" si="2"/>
        <v>1363422.834</v>
      </c>
      <c r="P175" s="6"/>
      <c r="Q175" s="6">
        <f t="shared" si="11"/>
        <v>12596.50632</v>
      </c>
      <c r="R175" s="6">
        <f t="shared" si="12"/>
        <v>1363422.834</v>
      </c>
      <c r="S175" s="81">
        <f t="shared" si="3"/>
        <v>99.50704682</v>
      </c>
      <c r="T175" s="6"/>
      <c r="U175" s="6"/>
      <c r="V175" s="6"/>
      <c r="W175" s="6"/>
      <c r="X175" s="6"/>
    </row>
    <row r="176" ht="11.25" customHeight="1">
      <c r="A176" s="7"/>
      <c r="B176" s="68">
        <f t="shared" si="13"/>
        <v>171</v>
      </c>
      <c r="C176" s="607">
        <v>20000.0</v>
      </c>
      <c r="D176" s="6">
        <f t="shared" si="14"/>
        <v>3385.426923</v>
      </c>
      <c r="E176" s="6">
        <f t="shared" si="1"/>
        <v>16614.57308</v>
      </c>
      <c r="F176" s="6">
        <f t="shared" si="6"/>
        <v>2046437.407</v>
      </c>
      <c r="G176" s="6">
        <f t="shared" si="7"/>
        <v>1373562.593</v>
      </c>
      <c r="H176" s="6">
        <f t="shared" si="8"/>
        <v>3420000</v>
      </c>
      <c r="I176" s="6">
        <f t="shared" si="9"/>
        <v>553562.5929</v>
      </c>
      <c r="J176" s="610">
        <v>7.125</v>
      </c>
      <c r="K176" s="591"/>
      <c r="L176" s="6"/>
      <c r="M176" s="9">
        <v>20000.0</v>
      </c>
      <c r="N176" s="79">
        <f t="shared" si="10"/>
        <v>3420000</v>
      </c>
      <c r="O176" s="6">
        <f t="shared" si="2"/>
        <v>1376117.407</v>
      </c>
      <c r="P176" s="6"/>
      <c r="Q176" s="6">
        <f t="shared" si="11"/>
        <v>12694.57308</v>
      </c>
      <c r="R176" s="6">
        <f t="shared" si="12"/>
        <v>1376117.407</v>
      </c>
      <c r="S176" s="81">
        <f t="shared" si="3"/>
        <v>100.1859991</v>
      </c>
      <c r="T176" s="6"/>
      <c r="U176" s="6"/>
      <c r="V176" s="6"/>
      <c r="W176" s="6"/>
      <c r="X176" s="6"/>
    </row>
    <row r="177" ht="11.25" customHeight="1">
      <c r="A177" s="7"/>
      <c r="B177" s="68">
        <f t="shared" si="13"/>
        <v>172</v>
      </c>
      <c r="C177" s="607">
        <v>20000.0</v>
      </c>
      <c r="D177" s="6">
        <f t="shared" si="14"/>
        <v>3286.777895</v>
      </c>
      <c r="E177" s="6">
        <f t="shared" si="1"/>
        <v>16713.2221</v>
      </c>
      <c r="F177" s="6">
        <f t="shared" si="6"/>
        <v>2063150.629</v>
      </c>
      <c r="G177" s="6">
        <f t="shared" si="7"/>
        <v>1376849.371</v>
      </c>
      <c r="H177" s="6">
        <f t="shared" si="8"/>
        <v>3440000</v>
      </c>
      <c r="I177" s="6">
        <f t="shared" si="9"/>
        <v>536849.3708</v>
      </c>
      <c r="J177" s="610">
        <v>7.125</v>
      </c>
      <c r="K177" s="591"/>
      <c r="L177" s="6"/>
      <c r="M177" s="9">
        <v>20000.0</v>
      </c>
      <c r="N177" s="79">
        <f t="shared" si="10"/>
        <v>3440000</v>
      </c>
      <c r="O177" s="6">
        <f t="shared" si="2"/>
        <v>1388910.629</v>
      </c>
      <c r="P177" s="6"/>
      <c r="Q177" s="6">
        <f t="shared" si="11"/>
        <v>12793.2221</v>
      </c>
      <c r="R177" s="6">
        <f t="shared" si="12"/>
        <v>1388910.629</v>
      </c>
      <c r="S177" s="81">
        <f t="shared" si="3"/>
        <v>100.8760042</v>
      </c>
      <c r="T177" s="6"/>
      <c r="U177" s="6"/>
      <c r="V177" s="6"/>
      <c r="W177" s="6"/>
      <c r="X177" s="6"/>
    </row>
    <row r="178" ht="11.25" customHeight="1">
      <c r="A178" s="7"/>
      <c r="B178" s="68">
        <f t="shared" si="13"/>
        <v>173</v>
      </c>
      <c r="C178" s="607">
        <v>20000.0</v>
      </c>
      <c r="D178" s="6">
        <f t="shared" si="14"/>
        <v>3187.543139</v>
      </c>
      <c r="E178" s="6">
        <f t="shared" si="1"/>
        <v>16812.45686</v>
      </c>
      <c r="F178" s="6">
        <f t="shared" si="6"/>
        <v>2079963.086</v>
      </c>
      <c r="G178" s="6">
        <f t="shared" si="7"/>
        <v>1380036.914</v>
      </c>
      <c r="H178" s="6">
        <f t="shared" si="8"/>
        <v>3460000</v>
      </c>
      <c r="I178" s="6">
        <f t="shared" si="9"/>
        <v>520036.9139</v>
      </c>
      <c r="J178" s="610">
        <v>7.125</v>
      </c>
      <c r="K178" s="591"/>
      <c r="L178" s="6"/>
      <c r="M178" s="9">
        <v>20000.0</v>
      </c>
      <c r="N178" s="79">
        <f t="shared" si="10"/>
        <v>3460000</v>
      </c>
      <c r="O178" s="6">
        <f t="shared" si="2"/>
        <v>1401803.086</v>
      </c>
      <c r="P178" s="6"/>
      <c r="Q178" s="6">
        <f t="shared" si="11"/>
        <v>12892.45686</v>
      </c>
      <c r="R178" s="6">
        <f t="shared" si="12"/>
        <v>1401803.086</v>
      </c>
      <c r="S178" s="81">
        <f t="shared" si="3"/>
        <v>101.5772167</v>
      </c>
      <c r="T178" s="6"/>
      <c r="U178" s="6"/>
      <c r="V178" s="6"/>
      <c r="W178" s="6"/>
      <c r="X178" s="6"/>
    </row>
    <row r="179" ht="11.25" customHeight="1">
      <c r="A179" s="7"/>
      <c r="B179" s="68">
        <f t="shared" si="13"/>
        <v>174</v>
      </c>
      <c r="C179" s="607">
        <v>20000.0</v>
      </c>
      <c r="D179" s="6">
        <f t="shared" si="14"/>
        <v>3087.719176</v>
      </c>
      <c r="E179" s="6">
        <f t="shared" si="1"/>
        <v>16912.28082</v>
      </c>
      <c r="F179" s="6">
        <f t="shared" si="6"/>
        <v>2096875.367</v>
      </c>
      <c r="G179" s="6">
        <f t="shared" si="7"/>
        <v>1383124.633</v>
      </c>
      <c r="H179" s="6">
        <f t="shared" si="8"/>
        <v>3480000</v>
      </c>
      <c r="I179" s="6">
        <f t="shared" si="9"/>
        <v>503124.6331</v>
      </c>
      <c r="J179" s="610">
        <v>7.125</v>
      </c>
      <c r="K179" s="591"/>
      <c r="L179" s="6"/>
      <c r="M179" s="9">
        <v>20000.0</v>
      </c>
      <c r="N179" s="79">
        <f t="shared" si="10"/>
        <v>3480000</v>
      </c>
      <c r="O179" s="6">
        <f t="shared" si="2"/>
        <v>1414795.367</v>
      </c>
      <c r="P179" s="6"/>
      <c r="Q179" s="6">
        <f t="shared" si="11"/>
        <v>12992.28082</v>
      </c>
      <c r="R179" s="6">
        <f t="shared" si="12"/>
        <v>1414795.367</v>
      </c>
      <c r="S179" s="81">
        <f t="shared" si="3"/>
        <v>102.2897961</v>
      </c>
      <c r="T179" s="6"/>
      <c r="U179" s="6"/>
      <c r="V179" s="6"/>
      <c r="W179" s="6"/>
      <c r="X179" s="6"/>
    </row>
    <row r="180" ht="11.25" customHeight="1">
      <c r="A180" s="7"/>
      <c r="B180" s="68">
        <f t="shared" si="13"/>
        <v>175</v>
      </c>
      <c r="C180" s="607">
        <v>20000.0</v>
      </c>
      <c r="D180" s="6">
        <f t="shared" si="14"/>
        <v>2987.302509</v>
      </c>
      <c r="E180" s="6">
        <f t="shared" si="1"/>
        <v>17012.69749</v>
      </c>
      <c r="F180" s="6">
        <f t="shared" si="6"/>
        <v>2113888.064</v>
      </c>
      <c r="G180" s="6">
        <f t="shared" si="7"/>
        <v>1386111.936</v>
      </c>
      <c r="H180" s="6">
        <f t="shared" si="8"/>
        <v>3500000</v>
      </c>
      <c r="I180" s="6">
        <f t="shared" si="9"/>
        <v>486111.9356</v>
      </c>
      <c r="J180" s="610">
        <v>7.125</v>
      </c>
      <c r="K180" s="591"/>
      <c r="L180" s="6"/>
      <c r="M180" s="9">
        <v>20000.0</v>
      </c>
      <c r="N180" s="79">
        <f t="shared" si="10"/>
        <v>3500000</v>
      </c>
      <c r="O180" s="6">
        <f t="shared" si="2"/>
        <v>1427888.064</v>
      </c>
      <c r="P180" s="6"/>
      <c r="Q180" s="6">
        <f t="shared" si="11"/>
        <v>13092.69749</v>
      </c>
      <c r="R180" s="6">
        <f t="shared" si="12"/>
        <v>1427888.064</v>
      </c>
      <c r="S180" s="81">
        <f t="shared" si="3"/>
        <v>103.0139073</v>
      </c>
      <c r="T180" s="6"/>
      <c r="U180" s="6"/>
      <c r="V180" s="6"/>
      <c r="W180" s="6"/>
      <c r="X180" s="6"/>
    </row>
    <row r="181" ht="11.25" customHeight="1">
      <c r="A181" s="7"/>
      <c r="B181" s="68">
        <f t="shared" si="13"/>
        <v>176</v>
      </c>
      <c r="C181" s="607">
        <v>20000.0</v>
      </c>
      <c r="D181" s="6">
        <f t="shared" si="14"/>
        <v>2886.289618</v>
      </c>
      <c r="E181" s="6">
        <f t="shared" si="1"/>
        <v>17113.71038</v>
      </c>
      <c r="F181" s="6">
        <f t="shared" si="6"/>
        <v>2131001.775</v>
      </c>
      <c r="G181" s="6">
        <f t="shared" si="7"/>
        <v>1388998.225</v>
      </c>
      <c r="H181" s="6">
        <f t="shared" si="8"/>
        <v>3520000</v>
      </c>
      <c r="I181" s="6">
        <f t="shared" si="9"/>
        <v>468998.2252</v>
      </c>
      <c r="J181" s="610">
        <v>7.125</v>
      </c>
      <c r="K181" s="591"/>
      <c r="L181" s="6"/>
      <c r="M181" s="9">
        <v>20000.0</v>
      </c>
      <c r="N181" s="79">
        <f t="shared" si="10"/>
        <v>3520000</v>
      </c>
      <c r="O181" s="6">
        <f t="shared" si="2"/>
        <v>1441081.775</v>
      </c>
      <c r="P181" s="6"/>
      <c r="Q181" s="6">
        <f t="shared" si="11"/>
        <v>13193.71038</v>
      </c>
      <c r="R181" s="6">
        <f t="shared" si="12"/>
        <v>1441081.775</v>
      </c>
      <c r="S181" s="81">
        <f t="shared" si="3"/>
        <v>103.7497204</v>
      </c>
      <c r="T181" s="6"/>
      <c r="U181" s="6"/>
      <c r="V181" s="6"/>
      <c r="W181" s="6"/>
      <c r="X181" s="6"/>
    </row>
    <row r="182" ht="11.25" customHeight="1">
      <c r="A182" s="7"/>
      <c r="B182" s="68">
        <f t="shared" si="13"/>
        <v>177</v>
      </c>
      <c r="C182" s="607">
        <v>20000.0</v>
      </c>
      <c r="D182" s="6">
        <f t="shared" si="14"/>
        <v>2784.676962</v>
      </c>
      <c r="E182" s="6">
        <f t="shared" si="1"/>
        <v>17215.32304</v>
      </c>
      <c r="F182" s="6">
        <f t="shared" si="6"/>
        <v>2148217.098</v>
      </c>
      <c r="G182" s="6">
        <f t="shared" si="7"/>
        <v>1391782.902</v>
      </c>
      <c r="H182" s="6">
        <f t="shared" si="8"/>
        <v>3540000</v>
      </c>
      <c r="I182" s="6">
        <f t="shared" si="9"/>
        <v>451782.9022</v>
      </c>
      <c r="J182" s="610">
        <v>7.125</v>
      </c>
      <c r="K182" s="591"/>
      <c r="L182" s="6"/>
      <c r="M182" s="9">
        <v>20000.0</v>
      </c>
      <c r="N182" s="79">
        <f t="shared" si="10"/>
        <v>3540000</v>
      </c>
      <c r="O182" s="6">
        <f t="shared" si="2"/>
        <v>1454377.098</v>
      </c>
      <c r="P182" s="6"/>
      <c r="Q182" s="6">
        <f t="shared" si="11"/>
        <v>13295.32304</v>
      </c>
      <c r="R182" s="6">
        <f t="shared" si="12"/>
        <v>1454377.098</v>
      </c>
      <c r="S182" s="81">
        <f t="shared" si="3"/>
        <v>104.4974109</v>
      </c>
      <c r="T182" s="6"/>
      <c r="U182" s="6"/>
      <c r="V182" s="6"/>
      <c r="W182" s="6"/>
      <c r="X182" s="6"/>
    </row>
    <row r="183" ht="11.25" customHeight="1">
      <c r="A183" s="7"/>
      <c r="B183" s="68">
        <f t="shared" si="13"/>
        <v>178</v>
      </c>
      <c r="C183" s="607">
        <v>20000.0</v>
      </c>
      <c r="D183" s="6">
        <f t="shared" si="14"/>
        <v>2682.460982</v>
      </c>
      <c r="E183" s="6">
        <f t="shared" si="1"/>
        <v>17317.53902</v>
      </c>
      <c r="F183" s="6">
        <f t="shared" si="6"/>
        <v>2165534.637</v>
      </c>
      <c r="G183" s="6">
        <f t="shared" si="7"/>
        <v>1394465.363</v>
      </c>
      <c r="H183" s="6">
        <f t="shared" si="8"/>
        <v>3560000</v>
      </c>
      <c r="I183" s="6">
        <f t="shared" si="9"/>
        <v>434465.3632</v>
      </c>
      <c r="J183" s="610">
        <v>7.125</v>
      </c>
      <c r="K183" s="591"/>
      <c r="L183" s="6"/>
      <c r="M183" s="9">
        <v>20000.0</v>
      </c>
      <c r="N183" s="79">
        <f t="shared" si="10"/>
        <v>3560000</v>
      </c>
      <c r="O183" s="6">
        <f t="shared" si="2"/>
        <v>1467774.637</v>
      </c>
      <c r="P183" s="6"/>
      <c r="Q183" s="6">
        <f t="shared" si="11"/>
        <v>13397.53902</v>
      </c>
      <c r="R183" s="6">
        <f t="shared" si="12"/>
        <v>1467774.637</v>
      </c>
      <c r="S183" s="81">
        <f t="shared" si="3"/>
        <v>105.2571599</v>
      </c>
      <c r="T183" s="6"/>
      <c r="U183" s="6"/>
      <c r="V183" s="6"/>
      <c r="W183" s="6"/>
      <c r="X183" s="6"/>
    </row>
    <row r="184" ht="11.25" customHeight="1">
      <c r="A184" s="7"/>
      <c r="B184" s="68">
        <f t="shared" si="13"/>
        <v>179</v>
      </c>
      <c r="C184" s="607">
        <v>20000.0</v>
      </c>
      <c r="D184" s="6">
        <f t="shared" si="14"/>
        <v>2579.638094</v>
      </c>
      <c r="E184" s="6">
        <f t="shared" si="1"/>
        <v>17420.36191</v>
      </c>
      <c r="F184" s="6">
        <f t="shared" si="6"/>
        <v>2182954.999</v>
      </c>
      <c r="G184" s="6">
        <f t="shared" si="7"/>
        <v>1397045.001</v>
      </c>
      <c r="H184" s="6">
        <f t="shared" si="8"/>
        <v>3580000</v>
      </c>
      <c r="I184" s="6">
        <f t="shared" si="9"/>
        <v>417045.0013</v>
      </c>
      <c r="J184" s="610">
        <v>7.125</v>
      </c>
      <c r="K184" s="591"/>
      <c r="L184" s="6"/>
      <c r="M184" s="9">
        <v>20000.0</v>
      </c>
      <c r="N184" s="79">
        <f t="shared" si="10"/>
        <v>3580000</v>
      </c>
      <c r="O184" s="6">
        <f t="shared" si="2"/>
        <v>1481274.999</v>
      </c>
      <c r="P184" s="6"/>
      <c r="Q184" s="6">
        <f t="shared" si="11"/>
        <v>13500.36191</v>
      </c>
      <c r="R184" s="6">
        <f t="shared" si="12"/>
        <v>1481274.999</v>
      </c>
      <c r="S184" s="81">
        <f t="shared" si="3"/>
        <v>106.0291542</v>
      </c>
      <c r="T184" s="6"/>
      <c r="U184" s="6"/>
      <c r="V184" s="6"/>
      <c r="W184" s="6"/>
      <c r="X184" s="6"/>
    </row>
    <row r="185" ht="11.25" customHeight="1">
      <c r="A185" s="71"/>
      <c r="B185" s="72">
        <f t="shared" si="13"/>
        <v>180</v>
      </c>
      <c r="C185" s="607">
        <v>20000.0</v>
      </c>
      <c r="D185" s="10">
        <f t="shared" si="14"/>
        <v>2476.204695</v>
      </c>
      <c r="E185" s="10">
        <f t="shared" si="1"/>
        <v>17523.7953</v>
      </c>
      <c r="F185" s="10">
        <f t="shared" si="6"/>
        <v>2200478.794</v>
      </c>
      <c r="G185" s="10">
        <f t="shared" si="7"/>
        <v>1399521.206</v>
      </c>
      <c r="H185" s="10">
        <f t="shared" si="8"/>
        <v>3600000</v>
      </c>
      <c r="I185" s="10">
        <f t="shared" si="9"/>
        <v>399521.206</v>
      </c>
      <c r="J185" s="610">
        <v>7.125</v>
      </c>
      <c r="K185" s="591"/>
      <c r="L185" s="6"/>
      <c r="M185" s="9">
        <v>20000.0</v>
      </c>
      <c r="N185" s="79">
        <f t="shared" si="10"/>
        <v>3600000</v>
      </c>
      <c r="O185" s="6">
        <f t="shared" si="2"/>
        <v>1494878.794</v>
      </c>
      <c r="P185" s="6"/>
      <c r="Q185" s="6">
        <f t="shared" si="11"/>
        <v>13603.7953</v>
      </c>
      <c r="R185" s="6">
        <f t="shared" si="12"/>
        <v>1494878.794</v>
      </c>
      <c r="S185" s="81">
        <f t="shared" si="3"/>
        <v>106.8135865</v>
      </c>
      <c r="T185" s="6"/>
      <c r="U185" s="6"/>
      <c r="V185" s="6"/>
      <c r="W185" s="6"/>
      <c r="X185" s="6"/>
    </row>
    <row r="186" ht="11.25" customHeight="1">
      <c r="A186" s="100">
        <v>16.0</v>
      </c>
      <c r="B186" s="66">
        <f t="shared" si="13"/>
        <v>181</v>
      </c>
      <c r="C186" s="607">
        <v>20000.0</v>
      </c>
      <c r="D186" s="617">
        <f t="shared" si="14"/>
        <v>2372.15716</v>
      </c>
      <c r="E186" s="617">
        <f t="shared" si="1"/>
        <v>17627.84284</v>
      </c>
      <c r="F186" s="617">
        <f t="shared" si="6"/>
        <v>2218106.637</v>
      </c>
      <c r="G186" s="617">
        <f t="shared" si="7"/>
        <v>1401893.363</v>
      </c>
      <c r="H186" s="617">
        <f t="shared" si="8"/>
        <v>3620000</v>
      </c>
      <c r="I186" s="617">
        <f t="shared" si="9"/>
        <v>381893.3631</v>
      </c>
      <c r="J186" s="610">
        <v>7.125</v>
      </c>
      <c r="K186" s="591"/>
      <c r="L186" s="6"/>
      <c r="M186" s="9">
        <v>20000.0</v>
      </c>
      <c r="N186" s="79">
        <f t="shared" si="10"/>
        <v>3620000</v>
      </c>
      <c r="O186" s="6">
        <f t="shared" si="2"/>
        <v>1508586.637</v>
      </c>
      <c r="P186" s="6"/>
      <c r="Q186" s="6">
        <f t="shared" si="11"/>
        <v>13707.84284</v>
      </c>
      <c r="R186" s="6">
        <f t="shared" si="12"/>
        <v>1508586.637</v>
      </c>
      <c r="S186" s="81">
        <f t="shared" si="3"/>
        <v>107.6106555</v>
      </c>
      <c r="T186" s="6"/>
      <c r="U186" s="6"/>
      <c r="V186" s="6"/>
      <c r="W186" s="6"/>
      <c r="X186" s="6"/>
    </row>
    <row r="187" ht="11.25" customHeight="1">
      <c r="A187" s="7"/>
      <c r="B187" s="68">
        <f t="shared" si="13"/>
        <v>182</v>
      </c>
      <c r="C187" s="607">
        <v>20000.0</v>
      </c>
      <c r="D187" s="6">
        <f t="shared" si="14"/>
        <v>2267.491844</v>
      </c>
      <c r="E187" s="6">
        <f t="shared" si="1"/>
        <v>17732.50816</v>
      </c>
      <c r="F187" s="6">
        <f t="shared" si="6"/>
        <v>2235839.145</v>
      </c>
      <c r="G187" s="6">
        <f t="shared" si="7"/>
        <v>1404160.855</v>
      </c>
      <c r="H187" s="6">
        <f t="shared" si="8"/>
        <v>3640000</v>
      </c>
      <c r="I187" s="6">
        <f t="shared" si="9"/>
        <v>364160.855</v>
      </c>
      <c r="J187" s="610">
        <v>7.125</v>
      </c>
      <c r="K187" s="591"/>
      <c r="L187" s="6"/>
      <c r="M187" s="9">
        <v>20000.0</v>
      </c>
      <c r="N187" s="79">
        <f t="shared" si="10"/>
        <v>3640000</v>
      </c>
      <c r="O187" s="6">
        <f t="shared" si="2"/>
        <v>1522399.145</v>
      </c>
      <c r="P187" s="6"/>
      <c r="Q187" s="6">
        <f t="shared" si="11"/>
        <v>13812.50816</v>
      </c>
      <c r="R187" s="6">
        <f t="shared" si="12"/>
        <v>1522399.145</v>
      </c>
      <c r="S187" s="81">
        <f t="shared" si="3"/>
        <v>108.4205659</v>
      </c>
      <c r="T187" s="6"/>
      <c r="U187" s="6"/>
      <c r="V187" s="6"/>
      <c r="W187" s="6"/>
      <c r="X187" s="6"/>
    </row>
    <row r="188" ht="11.25" customHeight="1">
      <c r="A188" s="7"/>
      <c r="B188" s="68">
        <f t="shared" si="13"/>
        <v>183</v>
      </c>
      <c r="C188" s="607">
        <v>20000.0</v>
      </c>
      <c r="D188" s="6">
        <f t="shared" si="14"/>
        <v>2162.205076</v>
      </c>
      <c r="E188" s="6">
        <f t="shared" si="1"/>
        <v>17837.79492</v>
      </c>
      <c r="F188" s="6">
        <f t="shared" si="6"/>
        <v>2253676.94</v>
      </c>
      <c r="G188" s="6">
        <f t="shared" si="7"/>
        <v>1406323.06</v>
      </c>
      <c r="H188" s="6">
        <f t="shared" si="8"/>
        <v>3660000</v>
      </c>
      <c r="I188" s="6">
        <f t="shared" si="9"/>
        <v>346323.06</v>
      </c>
      <c r="J188" s="610">
        <v>7.125</v>
      </c>
      <c r="K188" s="591"/>
      <c r="L188" s="6"/>
      <c r="M188" s="9">
        <v>20000.0</v>
      </c>
      <c r="N188" s="79">
        <f t="shared" si="10"/>
        <v>3660000</v>
      </c>
      <c r="O188" s="6">
        <f t="shared" si="2"/>
        <v>1536316.94</v>
      </c>
      <c r="P188" s="6"/>
      <c r="Q188" s="6">
        <f t="shared" si="11"/>
        <v>13917.79492</v>
      </c>
      <c r="R188" s="6">
        <f t="shared" si="12"/>
        <v>1536316.94</v>
      </c>
      <c r="S188" s="81">
        <f t="shared" si="3"/>
        <v>109.243529</v>
      </c>
      <c r="T188" s="6"/>
      <c r="U188" s="6"/>
      <c r="V188" s="6"/>
      <c r="W188" s="6"/>
      <c r="X188" s="6"/>
    </row>
    <row r="189" ht="11.25" customHeight="1">
      <c r="A189" s="7"/>
      <c r="B189" s="68">
        <f t="shared" si="13"/>
        <v>184</v>
      </c>
      <c r="C189" s="607">
        <v>20000.0</v>
      </c>
      <c r="D189" s="6">
        <f t="shared" si="14"/>
        <v>2056.293169</v>
      </c>
      <c r="E189" s="6">
        <f t="shared" si="1"/>
        <v>17943.70683</v>
      </c>
      <c r="F189" s="6">
        <f t="shared" si="6"/>
        <v>2271620.647</v>
      </c>
      <c r="G189" s="6">
        <f t="shared" si="7"/>
        <v>1408379.353</v>
      </c>
      <c r="H189" s="6">
        <f t="shared" si="8"/>
        <v>3680000</v>
      </c>
      <c r="I189" s="6">
        <f t="shared" si="9"/>
        <v>328379.3532</v>
      </c>
      <c r="J189" s="610">
        <v>7.125</v>
      </c>
      <c r="K189" s="591"/>
      <c r="L189" s="6"/>
      <c r="M189" s="9">
        <v>20000.0</v>
      </c>
      <c r="N189" s="79">
        <f t="shared" si="10"/>
        <v>3680000</v>
      </c>
      <c r="O189" s="6">
        <f t="shared" si="2"/>
        <v>1550340.647</v>
      </c>
      <c r="P189" s="6"/>
      <c r="Q189" s="6">
        <f t="shared" si="11"/>
        <v>14023.70683</v>
      </c>
      <c r="R189" s="6">
        <f t="shared" si="12"/>
        <v>1550340.647</v>
      </c>
      <c r="S189" s="81">
        <f t="shared" si="3"/>
        <v>110.0797625</v>
      </c>
      <c r="T189" s="6"/>
      <c r="U189" s="6"/>
      <c r="V189" s="6"/>
      <c r="W189" s="6"/>
      <c r="X189" s="6"/>
    </row>
    <row r="190" ht="11.25" customHeight="1">
      <c r="A190" s="7"/>
      <c r="B190" s="68">
        <f t="shared" si="13"/>
        <v>185</v>
      </c>
      <c r="C190" s="607">
        <v>20000.0</v>
      </c>
      <c r="D190" s="6">
        <f t="shared" si="14"/>
        <v>1949.75241</v>
      </c>
      <c r="E190" s="6">
        <f t="shared" si="1"/>
        <v>18050.24759</v>
      </c>
      <c r="F190" s="6">
        <f t="shared" si="6"/>
        <v>2289670.894</v>
      </c>
      <c r="G190" s="6">
        <f t="shared" si="7"/>
        <v>1410329.106</v>
      </c>
      <c r="H190" s="6">
        <f t="shared" si="8"/>
        <v>3700000</v>
      </c>
      <c r="I190" s="6">
        <f t="shared" si="9"/>
        <v>310329.1056</v>
      </c>
      <c r="J190" s="610">
        <v>7.125</v>
      </c>
      <c r="K190" s="591"/>
      <c r="L190" s="6"/>
      <c r="M190" s="9">
        <v>20000.0</v>
      </c>
      <c r="N190" s="79">
        <f t="shared" si="10"/>
        <v>3700000</v>
      </c>
      <c r="O190" s="6">
        <f t="shared" si="2"/>
        <v>1564470.894</v>
      </c>
      <c r="P190" s="6"/>
      <c r="Q190" s="6">
        <f t="shared" si="11"/>
        <v>14130.24759</v>
      </c>
      <c r="R190" s="6">
        <f t="shared" si="12"/>
        <v>1564470.894</v>
      </c>
      <c r="S190" s="81">
        <f t="shared" si="3"/>
        <v>110.9294907</v>
      </c>
      <c r="T190" s="6"/>
      <c r="U190" s="6"/>
      <c r="V190" s="6"/>
      <c r="W190" s="6"/>
      <c r="X190" s="6"/>
    </row>
    <row r="191" ht="11.25" customHeight="1">
      <c r="A191" s="7"/>
      <c r="B191" s="68">
        <f t="shared" si="13"/>
        <v>186</v>
      </c>
      <c r="C191" s="607">
        <v>20000.0</v>
      </c>
      <c r="D191" s="6">
        <f t="shared" si="14"/>
        <v>1842.579065</v>
      </c>
      <c r="E191" s="6">
        <f t="shared" si="1"/>
        <v>18157.42094</v>
      </c>
      <c r="F191" s="6">
        <f t="shared" si="6"/>
        <v>2307828.315</v>
      </c>
      <c r="G191" s="6">
        <f t="shared" si="7"/>
        <v>1412171.685</v>
      </c>
      <c r="H191" s="6">
        <f t="shared" si="8"/>
        <v>3720000</v>
      </c>
      <c r="I191" s="6">
        <f t="shared" si="9"/>
        <v>292171.6847</v>
      </c>
      <c r="J191" s="610">
        <v>7.125</v>
      </c>
      <c r="K191" s="591"/>
      <c r="L191" s="6"/>
      <c r="M191" s="9">
        <v>20000.0</v>
      </c>
      <c r="N191" s="79">
        <f t="shared" si="10"/>
        <v>3720000</v>
      </c>
      <c r="O191" s="6">
        <f t="shared" si="2"/>
        <v>1578708.315</v>
      </c>
      <c r="P191" s="6"/>
      <c r="Q191" s="6">
        <f t="shared" si="11"/>
        <v>14237.42094</v>
      </c>
      <c r="R191" s="6">
        <f t="shared" si="12"/>
        <v>1578708.315</v>
      </c>
      <c r="S191" s="81">
        <f t="shared" si="3"/>
        <v>111.792945</v>
      </c>
      <c r="T191" s="6"/>
      <c r="U191" s="6"/>
      <c r="V191" s="6"/>
      <c r="W191" s="6"/>
      <c r="X191" s="6"/>
    </row>
    <row r="192" ht="11.25" customHeight="1">
      <c r="A192" s="7"/>
      <c r="B192" s="68">
        <f t="shared" si="13"/>
        <v>187</v>
      </c>
      <c r="C192" s="607">
        <v>20000.0</v>
      </c>
      <c r="D192" s="6">
        <f t="shared" si="14"/>
        <v>1734.769378</v>
      </c>
      <c r="E192" s="6">
        <f t="shared" si="1"/>
        <v>18265.23062</v>
      </c>
      <c r="F192" s="6">
        <f t="shared" si="6"/>
        <v>2326093.546</v>
      </c>
      <c r="G192" s="6">
        <f t="shared" si="7"/>
        <v>1413906.454</v>
      </c>
      <c r="H192" s="6">
        <f t="shared" si="8"/>
        <v>3740000</v>
      </c>
      <c r="I192" s="6">
        <f t="shared" si="9"/>
        <v>273906.4541</v>
      </c>
      <c r="J192" s="610">
        <v>7.125</v>
      </c>
      <c r="K192" s="591"/>
      <c r="L192" s="6"/>
      <c r="M192" s="9">
        <v>20000.0</v>
      </c>
      <c r="N192" s="79">
        <f t="shared" si="10"/>
        <v>3740000</v>
      </c>
      <c r="O192" s="6">
        <f t="shared" si="2"/>
        <v>1593053.546</v>
      </c>
      <c r="P192" s="6"/>
      <c r="Q192" s="6">
        <f t="shared" si="11"/>
        <v>14345.23062</v>
      </c>
      <c r="R192" s="6">
        <f t="shared" si="12"/>
        <v>1593053.546</v>
      </c>
      <c r="S192" s="81">
        <f t="shared" si="3"/>
        <v>112.6703638</v>
      </c>
      <c r="T192" s="6"/>
      <c r="U192" s="6"/>
      <c r="V192" s="6"/>
      <c r="W192" s="6"/>
      <c r="X192" s="6"/>
    </row>
    <row r="193" ht="11.25" customHeight="1">
      <c r="A193" s="7"/>
      <c r="B193" s="68">
        <f t="shared" si="13"/>
        <v>188</v>
      </c>
      <c r="C193" s="607">
        <v>20000.0</v>
      </c>
      <c r="D193" s="6">
        <f t="shared" si="14"/>
        <v>1626.319571</v>
      </c>
      <c r="E193" s="6">
        <f t="shared" si="1"/>
        <v>18373.68043</v>
      </c>
      <c r="F193" s="6">
        <f t="shared" si="6"/>
        <v>2344467.226</v>
      </c>
      <c r="G193" s="6">
        <f t="shared" si="7"/>
        <v>1415532.774</v>
      </c>
      <c r="H193" s="6">
        <f t="shared" si="8"/>
        <v>3760000</v>
      </c>
      <c r="I193" s="6">
        <f t="shared" si="9"/>
        <v>255532.7736</v>
      </c>
      <c r="J193" s="610">
        <v>7.125</v>
      </c>
      <c r="K193" s="591"/>
      <c r="L193" s="6"/>
      <c r="M193" s="9">
        <v>20000.0</v>
      </c>
      <c r="N193" s="79">
        <f t="shared" si="10"/>
        <v>3760000</v>
      </c>
      <c r="O193" s="6">
        <f t="shared" si="2"/>
        <v>1607507.226</v>
      </c>
      <c r="P193" s="6"/>
      <c r="Q193" s="6">
        <f t="shared" si="11"/>
        <v>14453.68043</v>
      </c>
      <c r="R193" s="6">
        <f t="shared" si="12"/>
        <v>1607507.226</v>
      </c>
      <c r="S193" s="81">
        <f t="shared" si="3"/>
        <v>113.5619928</v>
      </c>
      <c r="T193" s="6"/>
      <c r="U193" s="6"/>
      <c r="V193" s="6"/>
      <c r="W193" s="6"/>
      <c r="X193" s="6"/>
    </row>
    <row r="194" ht="11.25" customHeight="1">
      <c r="A194" s="7"/>
      <c r="B194" s="68">
        <f t="shared" si="13"/>
        <v>189</v>
      </c>
      <c r="C194" s="607">
        <v>20000.0</v>
      </c>
      <c r="D194" s="6">
        <f t="shared" si="14"/>
        <v>1517.225843</v>
      </c>
      <c r="E194" s="6">
        <f t="shared" si="1"/>
        <v>18482.77416</v>
      </c>
      <c r="F194" s="6">
        <f t="shared" si="6"/>
        <v>2362950.001</v>
      </c>
      <c r="G194" s="6">
        <f t="shared" si="7"/>
        <v>1417049.999</v>
      </c>
      <c r="H194" s="6">
        <f t="shared" si="8"/>
        <v>3780000</v>
      </c>
      <c r="I194" s="6">
        <f t="shared" si="9"/>
        <v>237049.9995</v>
      </c>
      <c r="J194" s="610">
        <v>7.125</v>
      </c>
      <c r="K194" s="591"/>
      <c r="L194" s="6"/>
      <c r="M194" s="9">
        <v>20000.0</v>
      </c>
      <c r="N194" s="79">
        <f t="shared" si="10"/>
        <v>3780000</v>
      </c>
      <c r="O194" s="6">
        <f t="shared" si="2"/>
        <v>1622070.001</v>
      </c>
      <c r="P194" s="6"/>
      <c r="Q194" s="6">
        <f t="shared" si="11"/>
        <v>14562.77416</v>
      </c>
      <c r="R194" s="6">
        <f t="shared" si="12"/>
        <v>1622070.001</v>
      </c>
      <c r="S194" s="81">
        <f t="shared" si="3"/>
        <v>114.4680852</v>
      </c>
      <c r="T194" s="6"/>
      <c r="U194" s="6"/>
      <c r="V194" s="6"/>
      <c r="W194" s="6"/>
      <c r="X194" s="6"/>
    </row>
    <row r="195" ht="11.25" customHeight="1">
      <c r="A195" s="7"/>
      <c r="B195" s="68">
        <f t="shared" si="13"/>
        <v>190</v>
      </c>
      <c r="C195" s="607">
        <v>20000.0</v>
      </c>
      <c r="D195" s="6">
        <f t="shared" si="14"/>
        <v>1407.484372</v>
      </c>
      <c r="E195" s="6">
        <f t="shared" si="1"/>
        <v>18592.51563</v>
      </c>
      <c r="F195" s="6">
        <f t="shared" si="6"/>
        <v>2381542.516</v>
      </c>
      <c r="G195" s="6">
        <f t="shared" si="7"/>
        <v>1418457.484</v>
      </c>
      <c r="H195" s="6">
        <f t="shared" si="8"/>
        <v>3800000</v>
      </c>
      <c r="I195" s="6">
        <f t="shared" si="9"/>
        <v>218457.4839</v>
      </c>
      <c r="J195" s="610">
        <v>7.125</v>
      </c>
      <c r="K195" s="591"/>
      <c r="L195" s="6"/>
      <c r="M195" s="9">
        <v>20000.0</v>
      </c>
      <c r="N195" s="79">
        <f t="shared" si="10"/>
        <v>3800000</v>
      </c>
      <c r="O195" s="6">
        <f t="shared" si="2"/>
        <v>1636742.516</v>
      </c>
      <c r="P195" s="6"/>
      <c r="Q195" s="6">
        <f t="shared" si="11"/>
        <v>14672.51563</v>
      </c>
      <c r="R195" s="6">
        <f t="shared" si="12"/>
        <v>1636742.516</v>
      </c>
      <c r="S195" s="81">
        <f t="shared" si="3"/>
        <v>115.388902</v>
      </c>
      <c r="T195" s="6"/>
      <c r="U195" s="6"/>
      <c r="V195" s="6"/>
      <c r="W195" s="6"/>
      <c r="X195" s="6"/>
    </row>
    <row r="196" ht="11.25" customHeight="1">
      <c r="A196" s="7"/>
      <c r="B196" s="68">
        <f t="shared" si="13"/>
        <v>191</v>
      </c>
      <c r="C196" s="607">
        <v>20000.0</v>
      </c>
      <c r="D196" s="6">
        <f t="shared" si="14"/>
        <v>1297.09131</v>
      </c>
      <c r="E196" s="6">
        <f t="shared" si="1"/>
        <v>18702.90869</v>
      </c>
      <c r="F196" s="6">
        <f t="shared" si="6"/>
        <v>2400245.425</v>
      </c>
      <c r="G196" s="6">
        <f t="shared" si="7"/>
        <v>1419754.575</v>
      </c>
      <c r="H196" s="6">
        <f t="shared" si="8"/>
        <v>3820000</v>
      </c>
      <c r="I196" s="6">
        <f t="shared" si="9"/>
        <v>199754.5752</v>
      </c>
      <c r="J196" s="610">
        <v>7.125</v>
      </c>
      <c r="K196" s="591"/>
      <c r="L196" s="6"/>
      <c r="M196" s="9">
        <v>20000.0</v>
      </c>
      <c r="N196" s="79">
        <f t="shared" si="10"/>
        <v>3820000</v>
      </c>
      <c r="O196" s="6">
        <f t="shared" si="2"/>
        <v>1651525.425</v>
      </c>
      <c r="P196" s="6"/>
      <c r="Q196" s="6">
        <f t="shared" si="11"/>
        <v>14782.90869</v>
      </c>
      <c r="R196" s="6">
        <f t="shared" si="12"/>
        <v>1651525.425</v>
      </c>
      <c r="S196" s="81">
        <f t="shared" si="3"/>
        <v>116.3247123</v>
      </c>
      <c r="T196" s="6"/>
      <c r="U196" s="6"/>
      <c r="V196" s="6"/>
      <c r="W196" s="6"/>
      <c r="X196" s="6"/>
    </row>
    <row r="197" ht="11.25" customHeight="1">
      <c r="A197" s="71"/>
      <c r="B197" s="72">
        <f t="shared" si="13"/>
        <v>192</v>
      </c>
      <c r="C197" s="607">
        <v>20000.0</v>
      </c>
      <c r="D197" s="10">
        <f t="shared" si="14"/>
        <v>1186.04279</v>
      </c>
      <c r="E197" s="10">
        <f t="shared" si="1"/>
        <v>18813.95721</v>
      </c>
      <c r="F197" s="10">
        <f t="shared" si="6"/>
        <v>2419059.382</v>
      </c>
      <c r="G197" s="10">
        <f t="shared" si="7"/>
        <v>1420940.618</v>
      </c>
      <c r="H197" s="10">
        <f t="shared" si="8"/>
        <v>3840000</v>
      </c>
      <c r="I197" s="10">
        <f t="shared" si="9"/>
        <v>180940.618</v>
      </c>
      <c r="J197" s="610">
        <v>7.125</v>
      </c>
      <c r="K197" s="591"/>
      <c r="L197" s="6"/>
      <c r="M197" s="9">
        <v>20000.0</v>
      </c>
      <c r="N197" s="79">
        <f t="shared" si="10"/>
        <v>3840000</v>
      </c>
      <c r="O197" s="6">
        <f t="shared" si="2"/>
        <v>1666419.382</v>
      </c>
      <c r="P197" s="6"/>
      <c r="Q197" s="6">
        <f t="shared" si="11"/>
        <v>14893.95721</v>
      </c>
      <c r="R197" s="6">
        <f t="shared" si="12"/>
        <v>1666419.382</v>
      </c>
      <c r="S197" s="81">
        <f t="shared" si="3"/>
        <v>117.2757933</v>
      </c>
      <c r="T197" s="6"/>
      <c r="U197" s="6"/>
      <c r="V197" s="6"/>
      <c r="W197" s="6"/>
      <c r="X197" s="6"/>
    </row>
    <row r="198" ht="11.25" customHeight="1">
      <c r="A198" s="100">
        <v>17.0</v>
      </c>
      <c r="B198" s="66">
        <f t="shared" si="13"/>
        <v>193</v>
      </c>
      <c r="C198" s="607">
        <v>20000.0</v>
      </c>
      <c r="D198" s="617">
        <f t="shared" si="14"/>
        <v>1074.334919</v>
      </c>
      <c r="E198" s="617">
        <f t="shared" si="1"/>
        <v>18925.66508</v>
      </c>
      <c r="F198" s="617">
        <f t="shared" si="6"/>
        <v>2437985.047</v>
      </c>
      <c r="G198" s="617">
        <f t="shared" si="7"/>
        <v>1422014.953</v>
      </c>
      <c r="H198" s="617">
        <f t="shared" si="8"/>
        <v>3860000</v>
      </c>
      <c r="I198" s="617">
        <f t="shared" si="9"/>
        <v>162014.9529</v>
      </c>
      <c r="J198" s="610">
        <v>7.125</v>
      </c>
      <c r="K198" s="591"/>
      <c r="L198" s="6"/>
      <c r="M198" s="9">
        <v>20000.0</v>
      </c>
      <c r="N198" s="79">
        <f t="shared" si="10"/>
        <v>3860000</v>
      </c>
      <c r="O198" s="6">
        <f t="shared" si="2"/>
        <v>1681425.047</v>
      </c>
      <c r="P198" s="6"/>
      <c r="Q198" s="6">
        <f t="shared" si="11"/>
        <v>15005.66508</v>
      </c>
      <c r="R198" s="6">
        <f t="shared" si="12"/>
        <v>1681425.047</v>
      </c>
      <c r="S198" s="81">
        <f t="shared" si="3"/>
        <v>118.2424308</v>
      </c>
      <c r="T198" s="6"/>
      <c r="U198" s="6"/>
      <c r="V198" s="6"/>
      <c r="W198" s="6"/>
      <c r="X198" s="6"/>
    </row>
    <row r="199" ht="11.25" customHeight="1">
      <c r="A199" s="7"/>
      <c r="B199" s="68">
        <f t="shared" si="13"/>
        <v>194</v>
      </c>
      <c r="C199" s="607">
        <v>20000.0</v>
      </c>
      <c r="D199" s="6">
        <f t="shared" si="14"/>
        <v>961.9637827</v>
      </c>
      <c r="E199" s="6">
        <f t="shared" si="1"/>
        <v>19038.03622</v>
      </c>
      <c r="F199" s="6">
        <f t="shared" si="6"/>
        <v>2457023.083</v>
      </c>
      <c r="G199" s="6">
        <f t="shared" si="7"/>
        <v>1422976.917</v>
      </c>
      <c r="H199" s="6">
        <f t="shared" si="8"/>
        <v>3880000</v>
      </c>
      <c r="I199" s="6">
        <f t="shared" si="9"/>
        <v>142976.9167</v>
      </c>
      <c r="J199" s="610">
        <v>7.125</v>
      </c>
      <c r="K199" s="591"/>
      <c r="L199" s="6"/>
      <c r="M199" s="9">
        <v>20000.0</v>
      </c>
      <c r="N199" s="79">
        <f t="shared" si="10"/>
        <v>3880000</v>
      </c>
      <c r="O199" s="6">
        <f t="shared" si="2"/>
        <v>1696543.083</v>
      </c>
      <c r="P199" s="6"/>
      <c r="Q199" s="6">
        <f t="shared" si="11"/>
        <v>15118.03622</v>
      </c>
      <c r="R199" s="6">
        <f t="shared" si="12"/>
        <v>1696543.083</v>
      </c>
      <c r="S199" s="81">
        <f t="shared" si="3"/>
        <v>119.2249195</v>
      </c>
      <c r="T199" s="6"/>
      <c r="U199" s="6"/>
      <c r="V199" s="6"/>
      <c r="W199" s="6"/>
      <c r="X199" s="6"/>
    </row>
    <row r="200" ht="11.25" customHeight="1">
      <c r="A200" s="7"/>
      <c r="B200" s="68">
        <f t="shared" si="13"/>
        <v>195</v>
      </c>
      <c r="C200" s="607">
        <v>20000.0</v>
      </c>
      <c r="D200" s="6">
        <f t="shared" si="14"/>
        <v>848.9254426</v>
      </c>
      <c r="E200" s="6">
        <f t="shared" si="1"/>
        <v>19151.07456</v>
      </c>
      <c r="F200" s="6">
        <f t="shared" si="6"/>
        <v>2476174.158</v>
      </c>
      <c r="G200" s="6">
        <f t="shared" si="7"/>
        <v>1423825.842</v>
      </c>
      <c r="H200" s="6">
        <f t="shared" si="8"/>
        <v>3900000</v>
      </c>
      <c r="I200" s="6">
        <f t="shared" si="9"/>
        <v>123825.8421</v>
      </c>
      <c r="J200" s="610">
        <v>7.125</v>
      </c>
      <c r="K200" s="591"/>
      <c r="L200" s="6"/>
      <c r="M200" s="9">
        <v>20000.0</v>
      </c>
      <c r="N200" s="79">
        <f t="shared" si="10"/>
        <v>3900000</v>
      </c>
      <c r="O200" s="6">
        <f t="shared" si="2"/>
        <v>1711774.158</v>
      </c>
      <c r="P200" s="6"/>
      <c r="Q200" s="6">
        <f t="shared" si="11"/>
        <v>15231.07456</v>
      </c>
      <c r="R200" s="6">
        <f t="shared" si="12"/>
        <v>1711774.158</v>
      </c>
      <c r="S200" s="81">
        <f t="shared" si="3"/>
        <v>120.223563</v>
      </c>
      <c r="T200" s="6"/>
      <c r="U200" s="6"/>
      <c r="V200" s="6"/>
      <c r="W200" s="6"/>
      <c r="X200" s="6"/>
    </row>
    <row r="201" ht="11.25" customHeight="1">
      <c r="A201" s="7"/>
      <c r="B201" s="68">
        <f t="shared" si="13"/>
        <v>196</v>
      </c>
      <c r="C201" s="607">
        <v>20000.0</v>
      </c>
      <c r="D201" s="6">
        <f t="shared" si="14"/>
        <v>735.2159374</v>
      </c>
      <c r="E201" s="6">
        <f t="shared" si="1"/>
        <v>19264.78406</v>
      </c>
      <c r="F201" s="6">
        <f t="shared" si="6"/>
        <v>2495438.942</v>
      </c>
      <c r="G201" s="6">
        <f t="shared" si="7"/>
        <v>1424561.058</v>
      </c>
      <c r="H201" s="6">
        <f t="shared" si="8"/>
        <v>3920000</v>
      </c>
      <c r="I201" s="6">
        <f t="shared" si="9"/>
        <v>104561.058</v>
      </c>
      <c r="J201" s="610">
        <v>7.125</v>
      </c>
      <c r="K201" s="591"/>
      <c r="L201" s="6"/>
      <c r="M201" s="9">
        <v>20000.0</v>
      </c>
      <c r="N201" s="79">
        <f t="shared" si="10"/>
        <v>3920000</v>
      </c>
      <c r="O201" s="6">
        <f t="shared" si="2"/>
        <v>1727118.942</v>
      </c>
      <c r="P201" s="6"/>
      <c r="Q201" s="6">
        <f t="shared" si="11"/>
        <v>15344.78406</v>
      </c>
      <c r="R201" s="6">
        <f t="shared" si="12"/>
        <v>1727118.942</v>
      </c>
      <c r="S201" s="81">
        <f t="shared" si="3"/>
        <v>121.2386743</v>
      </c>
      <c r="T201" s="6"/>
      <c r="U201" s="6"/>
      <c r="V201" s="6"/>
      <c r="W201" s="6"/>
      <c r="X201" s="6"/>
    </row>
    <row r="202" ht="11.25" customHeight="1">
      <c r="A202" s="7"/>
      <c r="B202" s="68">
        <f t="shared" si="13"/>
        <v>197</v>
      </c>
      <c r="C202" s="607">
        <v>20000.0</v>
      </c>
      <c r="D202" s="6">
        <f t="shared" si="14"/>
        <v>620.8312821</v>
      </c>
      <c r="E202" s="6">
        <f t="shared" si="1"/>
        <v>19379.16872</v>
      </c>
      <c r="F202" s="6">
        <f t="shared" si="6"/>
        <v>2514818.111</v>
      </c>
      <c r="G202" s="6">
        <f t="shared" si="7"/>
        <v>1425181.889</v>
      </c>
      <c r="H202" s="6">
        <f t="shared" si="8"/>
        <v>3940000</v>
      </c>
      <c r="I202" s="6">
        <f t="shared" si="9"/>
        <v>85181.88932</v>
      </c>
      <c r="J202" s="610">
        <v>7.125</v>
      </c>
      <c r="K202" s="591"/>
      <c r="L202" s="6"/>
      <c r="M202" s="9">
        <v>20000.0</v>
      </c>
      <c r="N202" s="79">
        <f t="shared" si="10"/>
        <v>3940000</v>
      </c>
      <c r="O202" s="6">
        <f t="shared" si="2"/>
        <v>1742578.111</v>
      </c>
      <c r="P202" s="6"/>
      <c r="Q202" s="6">
        <f t="shared" si="11"/>
        <v>15459.16872</v>
      </c>
      <c r="R202" s="6">
        <f t="shared" si="12"/>
        <v>1742578.111</v>
      </c>
      <c r="S202" s="81">
        <f t="shared" si="3"/>
        <v>122.2705764</v>
      </c>
      <c r="T202" s="6"/>
      <c r="U202" s="6"/>
      <c r="V202" s="6"/>
      <c r="W202" s="6"/>
      <c r="X202" s="6"/>
    </row>
    <row r="203" ht="11.25" customHeight="1">
      <c r="A203" s="7"/>
      <c r="B203" s="68">
        <f t="shared" si="13"/>
        <v>198</v>
      </c>
      <c r="C203" s="607">
        <v>20000.0</v>
      </c>
      <c r="D203" s="6">
        <f t="shared" si="14"/>
        <v>505.7674678</v>
      </c>
      <c r="E203" s="6">
        <f t="shared" si="1"/>
        <v>19494.23253</v>
      </c>
      <c r="F203" s="6">
        <f t="shared" si="6"/>
        <v>2534312.343</v>
      </c>
      <c r="G203" s="6">
        <f t="shared" si="7"/>
        <v>1425687.657</v>
      </c>
      <c r="H203" s="6">
        <f t="shared" si="8"/>
        <v>3960000</v>
      </c>
      <c r="I203" s="6">
        <f t="shared" si="9"/>
        <v>65687.65678</v>
      </c>
      <c r="J203" s="610">
        <v>7.125</v>
      </c>
      <c r="K203" s="591"/>
      <c r="L203" s="6"/>
      <c r="M203" s="9">
        <v>20000.0</v>
      </c>
      <c r="N203" s="79">
        <f t="shared" si="10"/>
        <v>3960000</v>
      </c>
      <c r="O203" s="6">
        <f t="shared" si="2"/>
        <v>1758152.343</v>
      </c>
      <c r="P203" s="6"/>
      <c r="Q203" s="6">
        <f t="shared" si="11"/>
        <v>15574.23253</v>
      </c>
      <c r="R203" s="6">
        <f t="shared" si="12"/>
        <v>1758152.343</v>
      </c>
      <c r="S203" s="81">
        <f t="shared" si="3"/>
        <v>123.3196019</v>
      </c>
      <c r="T203" s="6"/>
      <c r="U203" s="6"/>
      <c r="V203" s="6"/>
      <c r="W203" s="6"/>
      <c r="X203" s="6"/>
    </row>
    <row r="204" ht="11.25" customHeight="1">
      <c r="A204" s="7"/>
      <c r="B204" s="68">
        <f t="shared" si="13"/>
        <v>199</v>
      </c>
      <c r="C204" s="607">
        <v>20000.0</v>
      </c>
      <c r="D204" s="6">
        <f t="shared" si="14"/>
        <v>390.0204622</v>
      </c>
      <c r="E204" s="6">
        <f t="shared" si="1"/>
        <v>19609.97954</v>
      </c>
      <c r="F204" s="6">
        <f t="shared" si="6"/>
        <v>2553922.323</v>
      </c>
      <c r="G204" s="6">
        <f t="shared" si="7"/>
        <v>1426077.677</v>
      </c>
      <c r="H204" s="6">
        <f t="shared" si="8"/>
        <v>3980000</v>
      </c>
      <c r="I204" s="6">
        <f t="shared" si="9"/>
        <v>46077.67725</v>
      </c>
      <c r="J204" s="610">
        <v>7.125</v>
      </c>
      <c r="K204" s="591"/>
      <c r="L204" s="6"/>
      <c r="M204" s="9">
        <v>20000.0</v>
      </c>
      <c r="N204" s="79">
        <f t="shared" si="10"/>
        <v>3980000</v>
      </c>
      <c r="O204" s="6">
        <f t="shared" si="2"/>
        <v>1773842.323</v>
      </c>
      <c r="P204" s="6"/>
      <c r="Q204" s="6">
        <f t="shared" si="11"/>
        <v>15689.97954</v>
      </c>
      <c r="R204" s="6">
        <f t="shared" si="12"/>
        <v>1773842.323</v>
      </c>
      <c r="S204" s="81">
        <f t="shared" si="3"/>
        <v>124.3860942</v>
      </c>
      <c r="T204" s="6"/>
      <c r="U204" s="6"/>
      <c r="V204" s="6"/>
      <c r="W204" s="6"/>
      <c r="X204" s="6"/>
    </row>
    <row r="205" ht="11.25" customHeight="1">
      <c r="A205" s="7"/>
      <c r="B205" s="68">
        <f t="shared" si="13"/>
        <v>200</v>
      </c>
      <c r="C205" s="607">
        <v>20000.0</v>
      </c>
      <c r="D205" s="6">
        <f t="shared" si="14"/>
        <v>273.5862086</v>
      </c>
      <c r="E205" s="6">
        <f t="shared" si="1"/>
        <v>19726.41379</v>
      </c>
      <c r="F205" s="6">
        <f t="shared" si="6"/>
        <v>2573648.737</v>
      </c>
      <c r="G205" s="6">
        <f t="shared" si="7"/>
        <v>1426351.263</v>
      </c>
      <c r="H205" s="6">
        <f t="shared" si="8"/>
        <v>4000000</v>
      </c>
      <c r="I205" s="6">
        <f t="shared" si="9"/>
        <v>26351.26345</v>
      </c>
      <c r="J205" s="610">
        <v>7.125</v>
      </c>
      <c r="K205" s="591"/>
      <c r="L205" s="6"/>
      <c r="M205" s="9">
        <v>20000.0</v>
      </c>
      <c r="N205" s="79">
        <f t="shared" si="10"/>
        <v>4000000</v>
      </c>
      <c r="O205" s="6">
        <f t="shared" si="2"/>
        <v>1789648.737</v>
      </c>
      <c r="P205" s="6"/>
      <c r="Q205" s="6">
        <f t="shared" si="11"/>
        <v>15806.41379</v>
      </c>
      <c r="R205" s="6">
        <f t="shared" si="12"/>
        <v>1789648.737</v>
      </c>
      <c r="S205" s="81">
        <f t="shared" si="3"/>
        <v>125.4704071</v>
      </c>
      <c r="T205" s="6"/>
      <c r="U205" s="6"/>
      <c r="V205" s="6"/>
      <c r="W205" s="6"/>
      <c r="X205" s="6"/>
    </row>
    <row r="206" ht="11.25" customHeight="1">
      <c r="A206" s="7"/>
      <c r="B206" s="68">
        <f t="shared" si="13"/>
        <v>201</v>
      </c>
      <c r="C206" s="607">
        <v>20000.0</v>
      </c>
      <c r="D206" s="6">
        <f t="shared" si="14"/>
        <v>156.4606268</v>
      </c>
      <c r="E206" s="6">
        <f t="shared" si="1"/>
        <v>19843.53937</v>
      </c>
      <c r="F206" s="6">
        <f t="shared" si="6"/>
        <v>2593492.276</v>
      </c>
      <c r="G206" s="6">
        <f t="shared" si="7"/>
        <v>1426507.724</v>
      </c>
      <c r="H206" s="6">
        <f t="shared" si="8"/>
        <v>4020000</v>
      </c>
      <c r="I206" s="6">
        <f t="shared" si="9"/>
        <v>6507.724081</v>
      </c>
      <c r="J206" s="610">
        <v>7.125</v>
      </c>
      <c r="K206" s="591"/>
      <c r="L206" s="6"/>
      <c r="M206" s="9">
        <v>20000.0</v>
      </c>
      <c r="N206" s="79">
        <f t="shared" si="10"/>
        <v>4020000</v>
      </c>
      <c r="O206" s="6">
        <f t="shared" si="2"/>
        <v>1805572.276</v>
      </c>
      <c r="P206" s="6"/>
      <c r="Q206" s="6">
        <f t="shared" si="11"/>
        <v>15923.53937</v>
      </c>
      <c r="R206" s="6">
        <f t="shared" si="12"/>
        <v>1805572.276</v>
      </c>
      <c r="S206" s="81">
        <f t="shared" si="3"/>
        <v>126.5729057</v>
      </c>
      <c r="T206" s="6"/>
      <c r="U206" s="6"/>
      <c r="V206" s="6"/>
      <c r="W206" s="6"/>
      <c r="X206" s="6"/>
    </row>
    <row r="207" ht="11.25" customHeight="1">
      <c r="A207" s="7"/>
      <c r="B207" s="68">
        <f t="shared" si="13"/>
        <v>202</v>
      </c>
      <c r="C207" s="607">
        <v>20000.0</v>
      </c>
      <c r="D207" s="6">
        <f t="shared" si="14"/>
        <v>38.63961173</v>
      </c>
      <c r="E207" s="6">
        <f t="shared" si="1"/>
        <v>19961.36039</v>
      </c>
      <c r="F207" s="6">
        <f t="shared" si="6"/>
        <v>2613453.636</v>
      </c>
      <c r="G207" s="6">
        <f t="shared" si="7"/>
        <v>1426546.364</v>
      </c>
      <c r="H207" s="6">
        <f t="shared" si="8"/>
        <v>4040000</v>
      </c>
      <c r="I207" s="6">
        <f t="shared" si="9"/>
        <v>-13453.63631</v>
      </c>
      <c r="J207" s="610">
        <v>7.125</v>
      </c>
      <c r="K207" s="591"/>
      <c r="L207" s="6"/>
      <c r="M207" s="9">
        <v>20000.0</v>
      </c>
      <c r="N207" s="79">
        <f t="shared" si="10"/>
        <v>4040000</v>
      </c>
      <c r="O207" s="6">
        <f t="shared" si="2"/>
        <v>1821613.636</v>
      </c>
      <c r="P207" s="6"/>
      <c r="Q207" s="6">
        <f t="shared" si="11"/>
        <v>16041.36039</v>
      </c>
      <c r="R207" s="6">
        <f t="shared" si="12"/>
        <v>1821613.636</v>
      </c>
      <c r="S207" s="81">
        <f t="shared" si="3"/>
        <v>127.6939665</v>
      </c>
      <c r="T207" s="6"/>
      <c r="U207" s="6"/>
      <c r="V207" s="6"/>
      <c r="W207" s="6"/>
      <c r="X207" s="6"/>
    </row>
    <row r="208" ht="11.25" customHeight="1">
      <c r="A208" s="7"/>
      <c r="B208" s="68">
        <f t="shared" si="13"/>
        <v>203</v>
      </c>
      <c r="C208" s="607">
        <v>20000.0</v>
      </c>
      <c r="D208" s="6">
        <f t="shared" si="14"/>
        <v>-79.88096557</v>
      </c>
      <c r="E208" s="6">
        <f t="shared" si="1"/>
        <v>20079.88097</v>
      </c>
      <c r="F208" s="6">
        <f t="shared" si="6"/>
        <v>2633533.517</v>
      </c>
      <c r="G208" s="6">
        <f t="shared" si="7"/>
        <v>1426466.483</v>
      </c>
      <c r="H208" s="6">
        <f t="shared" si="8"/>
        <v>4060000</v>
      </c>
      <c r="I208" s="6">
        <f t="shared" si="9"/>
        <v>-33533.51727</v>
      </c>
      <c r="J208" s="610">
        <v>7.125</v>
      </c>
      <c r="K208" s="591"/>
      <c r="L208" s="6"/>
      <c r="M208" s="9">
        <v>20000.0</v>
      </c>
      <c r="N208" s="79">
        <f t="shared" si="10"/>
        <v>4060000</v>
      </c>
      <c r="O208" s="6">
        <f t="shared" si="2"/>
        <v>1837773.517</v>
      </c>
      <c r="P208" s="6"/>
      <c r="Q208" s="6">
        <f t="shared" si="11"/>
        <v>16159.88097</v>
      </c>
      <c r="R208" s="6">
        <f t="shared" si="12"/>
        <v>1837773.517</v>
      </c>
      <c r="S208" s="81">
        <f t="shared" si="3"/>
        <v>128.8339782</v>
      </c>
      <c r="T208" s="6"/>
      <c r="U208" s="6"/>
      <c r="V208" s="6"/>
      <c r="W208" s="6"/>
      <c r="X208" s="6"/>
    </row>
    <row r="209" ht="11.25" customHeight="1">
      <c r="A209" s="71"/>
      <c r="B209" s="72">
        <f t="shared" si="13"/>
        <v>204</v>
      </c>
      <c r="C209" s="607">
        <v>20000.0</v>
      </c>
      <c r="D209" s="10">
        <f t="shared" si="14"/>
        <v>-199.1052588</v>
      </c>
      <c r="E209" s="10">
        <f t="shared" si="1"/>
        <v>20199.10526</v>
      </c>
      <c r="F209" s="10">
        <f t="shared" si="6"/>
        <v>2653732.623</v>
      </c>
      <c r="G209" s="10">
        <f t="shared" si="7"/>
        <v>1426267.377</v>
      </c>
      <c r="H209" s="10">
        <f t="shared" si="8"/>
        <v>4080000</v>
      </c>
      <c r="I209" s="10">
        <f t="shared" si="9"/>
        <v>-53732.62253</v>
      </c>
      <c r="J209" s="610">
        <v>7.125</v>
      </c>
      <c r="K209" s="591"/>
      <c r="L209" s="6"/>
      <c r="M209" s="9">
        <v>20000.0</v>
      </c>
      <c r="N209" s="79">
        <f t="shared" si="10"/>
        <v>4080000</v>
      </c>
      <c r="O209" s="6">
        <f t="shared" si="2"/>
        <v>1854052.623</v>
      </c>
      <c r="P209" s="6"/>
      <c r="Q209" s="6">
        <f t="shared" si="11"/>
        <v>16279.10526</v>
      </c>
      <c r="R209" s="6">
        <f t="shared" si="12"/>
        <v>1854052.623</v>
      </c>
      <c r="S209" s="81">
        <f t="shared" si="3"/>
        <v>129.9933415</v>
      </c>
      <c r="T209" s="6"/>
      <c r="U209" s="6"/>
      <c r="V209" s="6"/>
      <c r="W209" s="6"/>
      <c r="X209" s="6"/>
    </row>
    <row r="210" ht="11.25" customHeight="1">
      <c r="A210" s="100">
        <v>18.0</v>
      </c>
      <c r="B210" s="66">
        <f t="shared" si="13"/>
        <v>205</v>
      </c>
      <c r="C210" s="607">
        <v>20000.0</v>
      </c>
      <c r="D210" s="617">
        <f t="shared" si="14"/>
        <v>-319.0374463</v>
      </c>
      <c r="E210" s="617">
        <f t="shared" si="1"/>
        <v>20319.03745</v>
      </c>
      <c r="F210" s="617">
        <f t="shared" si="6"/>
        <v>2674051.66</v>
      </c>
      <c r="G210" s="617">
        <f t="shared" si="7"/>
        <v>1425948.34</v>
      </c>
      <c r="H210" s="617">
        <f t="shared" si="8"/>
        <v>4100000</v>
      </c>
      <c r="I210" s="617">
        <f t="shared" si="9"/>
        <v>-74051.65998</v>
      </c>
      <c r="J210" s="610">
        <v>7.125</v>
      </c>
      <c r="K210" s="591"/>
      <c r="L210" s="6"/>
      <c r="M210" s="9">
        <v>20000.0</v>
      </c>
      <c r="N210" s="79">
        <f t="shared" si="10"/>
        <v>4100000</v>
      </c>
      <c r="O210" s="6">
        <f t="shared" si="2"/>
        <v>1870451.66</v>
      </c>
      <c r="P210" s="6"/>
      <c r="Q210" s="6">
        <f t="shared" si="11"/>
        <v>16399.03745</v>
      </c>
      <c r="R210" s="6">
        <f t="shared" si="12"/>
        <v>1870451.66</v>
      </c>
      <c r="S210" s="81">
        <f t="shared" si="3"/>
        <v>131.1724701</v>
      </c>
      <c r="T210" s="6"/>
      <c r="U210" s="6"/>
      <c r="V210" s="6"/>
      <c r="W210" s="6"/>
      <c r="X210" s="6"/>
    </row>
    <row r="211" ht="11.25" customHeight="1">
      <c r="A211" s="7"/>
      <c r="B211" s="68">
        <f t="shared" si="13"/>
        <v>206</v>
      </c>
      <c r="C211" s="607">
        <v>20000.0</v>
      </c>
      <c r="D211" s="6">
        <f t="shared" si="14"/>
        <v>-439.6817311</v>
      </c>
      <c r="E211" s="6">
        <f t="shared" si="1"/>
        <v>20439.68173</v>
      </c>
      <c r="F211" s="6">
        <f t="shared" si="6"/>
        <v>2694491.342</v>
      </c>
      <c r="G211" s="6">
        <f t="shared" si="7"/>
        <v>1425508.658</v>
      </c>
      <c r="H211" s="6">
        <f t="shared" si="8"/>
        <v>4120000</v>
      </c>
      <c r="I211" s="6">
        <f t="shared" si="9"/>
        <v>-94491.34171</v>
      </c>
      <c r="J211" s="610">
        <v>7.125</v>
      </c>
      <c r="K211" s="591"/>
      <c r="L211" s="6"/>
      <c r="M211" s="9">
        <v>20000.0</v>
      </c>
      <c r="N211" s="79">
        <f t="shared" si="10"/>
        <v>4120000</v>
      </c>
      <c r="O211" s="6">
        <f t="shared" si="2"/>
        <v>1886971.342</v>
      </c>
      <c r="P211" s="6"/>
      <c r="Q211" s="6">
        <f t="shared" si="11"/>
        <v>16519.68173</v>
      </c>
      <c r="R211" s="6">
        <f t="shared" si="12"/>
        <v>1886971.342</v>
      </c>
      <c r="S211" s="81">
        <f t="shared" si="3"/>
        <v>132.371791</v>
      </c>
      <c r="T211" s="6"/>
      <c r="U211" s="6"/>
      <c r="V211" s="6"/>
      <c r="W211" s="6"/>
      <c r="X211" s="6"/>
    </row>
    <row r="212" ht="11.25" customHeight="1">
      <c r="A212" s="7"/>
      <c r="B212" s="68">
        <f t="shared" si="13"/>
        <v>207</v>
      </c>
      <c r="C212" s="607">
        <v>20000.0</v>
      </c>
      <c r="D212" s="6">
        <f t="shared" si="14"/>
        <v>-561.0423414</v>
      </c>
      <c r="E212" s="6">
        <f t="shared" si="1"/>
        <v>20561.04234</v>
      </c>
      <c r="F212" s="6">
        <f t="shared" si="6"/>
        <v>2715052.384</v>
      </c>
      <c r="G212" s="6">
        <f t="shared" si="7"/>
        <v>1424947.616</v>
      </c>
      <c r="H212" s="6">
        <f t="shared" si="8"/>
        <v>4140000</v>
      </c>
      <c r="I212" s="6">
        <f t="shared" si="9"/>
        <v>-115052.3841</v>
      </c>
      <c r="J212" s="610">
        <v>7.125</v>
      </c>
      <c r="K212" s="591"/>
      <c r="L212" s="6"/>
      <c r="M212" s="9">
        <v>20000.0</v>
      </c>
      <c r="N212" s="79">
        <f t="shared" si="10"/>
        <v>4140000</v>
      </c>
      <c r="O212" s="6">
        <f t="shared" si="2"/>
        <v>1903612.384</v>
      </c>
      <c r="P212" s="6"/>
      <c r="Q212" s="6">
        <f t="shared" si="11"/>
        <v>16641.04234</v>
      </c>
      <c r="R212" s="6">
        <f t="shared" si="12"/>
        <v>1903612.384</v>
      </c>
      <c r="S212" s="81">
        <f t="shared" si="3"/>
        <v>133.5917449</v>
      </c>
      <c r="T212" s="6"/>
      <c r="U212" s="6"/>
      <c r="V212" s="6"/>
      <c r="W212" s="6"/>
      <c r="X212" s="6"/>
    </row>
    <row r="213" ht="11.25" customHeight="1">
      <c r="A213" s="7"/>
      <c r="B213" s="68">
        <f t="shared" si="13"/>
        <v>208</v>
      </c>
      <c r="C213" s="607">
        <v>20000.0</v>
      </c>
      <c r="D213" s="6">
        <f t="shared" si="14"/>
        <v>-683.1235303</v>
      </c>
      <c r="E213" s="6">
        <f t="shared" si="1"/>
        <v>20683.12353</v>
      </c>
      <c r="F213" s="6">
        <f t="shared" si="6"/>
        <v>2735735.508</v>
      </c>
      <c r="G213" s="6">
        <f t="shared" si="7"/>
        <v>1424264.492</v>
      </c>
      <c r="H213" s="6">
        <f t="shared" si="8"/>
        <v>4160000</v>
      </c>
      <c r="I213" s="6">
        <f t="shared" si="9"/>
        <v>-135735.5076</v>
      </c>
      <c r="J213" s="610">
        <v>7.125</v>
      </c>
      <c r="K213" s="591"/>
      <c r="L213" s="6"/>
      <c r="M213" s="9">
        <v>20000.0</v>
      </c>
      <c r="N213" s="79">
        <f t="shared" si="10"/>
        <v>4160000</v>
      </c>
      <c r="O213" s="6">
        <f t="shared" si="2"/>
        <v>1920375.508</v>
      </c>
      <c r="P213" s="6"/>
      <c r="Q213" s="6">
        <f t="shared" si="11"/>
        <v>16763.12353</v>
      </c>
      <c r="R213" s="6">
        <f t="shared" si="12"/>
        <v>1920375.508</v>
      </c>
      <c r="S213" s="81">
        <f t="shared" si="3"/>
        <v>134.8327869</v>
      </c>
      <c r="T213" s="6"/>
      <c r="U213" s="6"/>
      <c r="V213" s="6"/>
      <c r="W213" s="6"/>
      <c r="X213" s="6"/>
    </row>
    <row r="214" ht="11.25" customHeight="1">
      <c r="A214" s="7"/>
      <c r="B214" s="68">
        <f t="shared" si="13"/>
        <v>209</v>
      </c>
      <c r="C214" s="607">
        <v>20000.0</v>
      </c>
      <c r="D214" s="6">
        <f t="shared" si="14"/>
        <v>-805.9295763</v>
      </c>
      <c r="E214" s="6">
        <f t="shared" si="1"/>
        <v>20805.92958</v>
      </c>
      <c r="F214" s="6">
        <f t="shared" si="6"/>
        <v>2756541.437</v>
      </c>
      <c r="G214" s="6">
        <f t="shared" si="7"/>
        <v>1423458.563</v>
      </c>
      <c r="H214" s="6">
        <f t="shared" si="8"/>
        <v>4180000</v>
      </c>
      <c r="I214" s="6">
        <f t="shared" si="9"/>
        <v>-156541.4372</v>
      </c>
      <c r="J214" s="610">
        <v>7.125</v>
      </c>
      <c r="K214" s="591"/>
      <c r="L214" s="6"/>
      <c r="M214" s="9">
        <v>20000.0</v>
      </c>
      <c r="N214" s="79">
        <f t="shared" si="10"/>
        <v>4180000</v>
      </c>
      <c r="O214" s="6">
        <f t="shared" si="2"/>
        <v>1937261.437</v>
      </c>
      <c r="P214" s="6"/>
      <c r="Q214" s="6">
        <f t="shared" si="11"/>
        <v>16885.92958</v>
      </c>
      <c r="R214" s="6">
        <f t="shared" si="12"/>
        <v>1937261.437</v>
      </c>
      <c r="S214" s="81">
        <f t="shared" si="3"/>
        <v>136.0953868</v>
      </c>
      <c r="T214" s="6"/>
      <c r="U214" s="6"/>
      <c r="V214" s="6"/>
      <c r="W214" s="6"/>
      <c r="X214" s="6"/>
    </row>
    <row r="215" ht="11.25" customHeight="1">
      <c r="A215" s="7"/>
      <c r="B215" s="68">
        <f t="shared" si="13"/>
        <v>210</v>
      </c>
      <c r="C215" s="607">
        <v>20000.0</v>
      </c>
      <c r="D215" s="6">
        <f t="shared" si="14"/>
        <v>-929.4647831</v>
      </c>
      <c r="E215" s="6">
        <f t="shared" si="1"/>
        <v>20929.46478</v>
      </c>
      <c r="F215" s="6">
        <f t="shared" si="6"/>
        <v>2777470.902</v>
      </c>
      <c r="G215" s="6">
        <f t="shared" si="7"/>
        <v>1422529.098</v>
      </c>
      <c r="H215" s="6">
        <f t="shared" si="8"/>
        <v>4200000</v>
      </c>
      <c r="I215" s="6">
        <f t="shared" si="9"/>
        <v>-177470.9019</v>
      </c>
      <c r="J215" s="610">
        <v>7.125</v>
      </c>
      <c r="K215" s="591"/>
      <c r="L215" s="6"/>
      <c r="M215" s="9">
        <v>20000.0</v>
      </c>
      <c r="N215" s="79">
        <f t="shared" si="10"/>
        <v>4200000</v>
      </c>
      <c r="O215" s="6">
        <f t="shared" si="2"/>
        <v>1954270.902</v>
      </c>
      <c r="P215" s="6"/>
      <c r="Q215" s="6">
        <f t="shared" si="11"/>
        <v>17009.46478</v>
      </c>
      <c r="R215" s="6">
        <f t="shared" si="12"/>
        <v>1954270.902</v>
      </c>
      <c r="S215" s="81">
        <f t="shared" si="3"/>
        <v>137.38003</v>
      </c>
      <c r="T215" s="6"/>
      <c r="U215" s="6"/>
      <c r="V215" s="6"/>
      <c r="W215" s="6"/>
      <c r="X215" s="6"/>
    </row>
    <row r="216" ht="11.25" customHeight="1">
      <c r="A216" s="7"/>
      <c r="B216" s="68">
        <f t="shared" si="13"/>
        <v>211</v>
      </c>
      <c r="C216" s="607">
        <v>20000.0</v>
      </c>
      <c r="D216" s="6">
        <f t="shared" si="14"/>
        <v>-1053.73348</v>
      </c>
      <c r="E216" s="6">
        <f t="shared" si="1"/>
        <v>21053.73348</v>
      </c>
      <c r="F216" s="6">
        <f t="shared" si="6"/>
        <v>2798524.635</v>
      </c>
      <c r="G216" s="6">
        <f t="shared" si="7"/>
        <v>1421475.365</v>
      </c>
      <c r="H216" s="6">
        <f t="shared" si="8"/>
        <v>4220000</v>
      </c>
      <c r="I216" s="6">
        <f t="shared" si="9"/>
        <v>-198524.6354</v>
      </c>
      <c r="J216" s="610">
        <v>7.125</v>
      </c>
      <c r="K216" s="591"/>
      <c r="L216" s="6"/>
      <c r="M216" s="9">
        <v>20000.0</v>
      </c>
      <c r="N216" s="79">
        <f t="shared" si="10"/>
        <v>4220000</v>
      </c>
      <c r="O216" s="6">
        <f t="shared" si="2"/>
        <v>1971404.635</v>
      </c>
      <c r="P216" s="6"/>
      <c r="Q216" s="6">
        <f t="shared" si="11"/>
        <v>17133.73348</v>
      </c>
      <c r="R216" s="6">
        <f t="shared" si="12"/>
        <v>1971404.635</v>
      </c>
      <c r="S216" s="81">
        <f t="shared" si="3"/>
        <v>138.6872178</v>
      </c>
      <c r="T216" s="6"/>
      <c r="U216" s="6"/>
      <c r="V216" s="6"/>
      <c r="W216" s="6"/>
      <c r="X216" s="6"/>
    </row>
    <row r="217" ht="11.25" customHeight="1">
      <c r="A217" s="7"/>
      <c r="B217" s="68">
        <f t="shared" si="13"/>
        <v>212</v>
      </c>
      <c r="C217" s="607">
        <v>20000.0</v>
      </c>
      <c r="D217" s="6">
        <f t="shared" si="14"/>
        <v>-1178.740023</v>
      </c>
      <c r="E217" s="6">
        <f t="shared" si="1"/>
        <v>21178.74002</v>
      </c>
      <c r="F217" s="6">
        <f t="shared" si="6"/>
        <v>2819703.375</v>
      </c>
      <c r="G217" s="6">
        <f t="shared" si="7"/>
        <v>1420296.625</v>
      </c>
      <c r="H217" s="6">
        <f t="shared" si="8"/>
        <v>4240000</v>
      </c>
      <c r="I217" s="6">
        <f t="shared" si="9"/>
        <v>-219703.3754</v>
      </c>
      <c r="J217" s="610">
        <v>7.125</v>
      </c>
      <c r="K217" s="591"/>
      <c r="L217" s="6"/>
      <c r="M217" s="9">
        <v>20000.0</v>
      </c>
      <c r="N217" s="79">
        <f t="shared" si="10"/>
        <v>4240000</v>
      </c>
      <c r="O217" s="6">
        <f t="shared" si="2"/>
        <v>1988663.375</v>
      </c>
      <c r="P217" s="6"/>
      <c r="Q217" s="6">
        <f t="shared" si="11"/>
        <v>17258.74002</v>
      </c>
      <c r="R217" s="6">
        <f t="shared" si="12"/>
        <v>1988663.375</v>
      </c>
      <c r="S217" s="81">
        <f t="shared" si="3"/>
        <v>140.0174683</v>
      </c>
      <c r="T217" s="6"/>
      <c r="U217" s="6"/>
      <c r="V217" s="6"/>
      <c r="W217" s="6"/>
      <c r="X217" s="6"/>
    </row>
    <row r="218" ht="11.25" customHeight="1">
      <c r="A218" s="7"/>
      <c r="B218" s="68">
        <f t="shared" si="13"/>
        <v>213</v>
      </c>
      <c r="C218" s="607">
        <v>20000.0</v>
      </c>
      <c r="D218" s="6">
        <f t="shared" si="14"/>
        <v>-1304.488792</v>
      </c>
      <c r="E218" s="6">
        <f t="shared" si="1"/>
        <v>21304.48879</v>
      </c>
      <c r="F218" s="6">
        <f t="shared" si="6"/>
        <v>2841007.864</v>
      </c>
      <c r="G218" s="6">
        <f t="shared" si="7"/>
        <v>1418992.136</v>
      </c>
      <c r="H218" s="6">
        <f t="shared" si="8"/>
        <v>4260000</v>
      </c>
      <c r="I218" s="6">
        <f t="shared" si="9"/>
        <v>-241007.8642</v>
      </c>
      <c r="J218" s="610">
        <v>7.125</v>
      </c>
      <c r="K218" s="591"/>
      <c r="L218" s="6"/>
      <c r="M218" s="9">
        <v>20000.0</v>
      </c>
      <c r="N218" s="79">
        <f t="shared" si="10"/>
        <v>4260000</v>
      </c>
      <c r="O218" s="6">
        <f t="shared" si="2"/>
        <v>2006047.864</v>
      </c>
      <c r="P218" s="6"/>
      <c r="Q218" s="6">
        <f t="shared" si="11"/>
        <v>17384.48879</v>
      </c>
      <c r="R218" s="6">
        <f t="shared" si="12"/>
        <v>2006047.864</v>
      </c>
      <c r="S218" s="81">
        <f t="shared" si="3"/>
        <v>141.3713166</v>
      </c>
      <c r="T218" s="6"/>
      <c r="U218" s="6"/>
      <c r="V218" s="6"/>
      <c r="W218" s="6"/>
      <c r="X218" s="6"/>
    </row>
    <row r="219" ht="11.25" customHeight="1">
      <c r="A219" s="7"/>
      <c r="B219" s="68">
        <f t="shared" si="13"/>
        <v>214</v>
      </c>
      <c r="C219" s="607">
        <v>20000.0</v>
      </c>
      <c r="D219" s="6">
        <f t="shared" si="14"/>
        <v>-1430.984194</v>
      </c>
      <c r="E219" s="6">
        <f t="shared" si="1"/>
        <v>21430.98419</v>
      </c>
      <c r="F219" s="6">
        <f t="shared" si="6"/>
        <v>2862438.848</v>
      </c>
      <c r="G219" s="6">
        <f t="shared" si="7"/>
        <v>1417561.152</v>
      </c>
      <c r="H219" s="6">
        <f t="shared" si="8"/>
        <v>4280000</v>
      </c>
      <c r="I219" s="6">
        <f t="shared" si="9"/>
        <v>-262438.8484</v>
      </c>
      <c r="J219" s="610">
        <v>7.125</v>
      </c>
      <c r="K219" s="591"/>
      <c r="L219" s="6"/>
      <c r="M219" s="9">
        <v>20000.0</v>
      </c>
      <c r="N219" s="79">
        <f t="shared" si="10"/>
        <v>4280000</v>
      </c>
      <c r="O219" s="6">
        <f t="shared" si="2"/>
        <v>2023558.848</v>
      </c>
      <c r="P219" s="6"/>
      <c r="Q219" s="6">
        <f t="shared" si="11"/>
        <v>17510.98419</v>
      </c>
      <c r="R219" s="6">
        <f t="shared" si="12"/>
        <v>2023558.848</v>
      </c>
      <c r="S219" s="81">
        <f t="shared" si="3"/>
        <v>142.749316</v>
      </c>
      <c r="T219" s="6"/>
      <c r="U219" s="6"/>
      <c r="V219" s="6"/>
      <c r="W219" s="6"/>
      <c r="X219" s="6"/>
    </row>
    <row r="220" ht="11.25" customHeight="1">
      <c r="A220" s="7"/>
      <c r="B220" s="68">
        <f t="shared" si="13"/>
        <v>215</v>
      </c>
      <c r="C220" s="607">
        <v>20000.0</v>
      </c>
      <c r="D220" s="6">
        <f t="shared" si="14"/>
        <v>-1558.230663</v>
      </c>
      <c r="E220" s="6">
        <f t="shared" si="1"/>
        <v>21558.23066</v>
      </c>
      <c r="F220" s="6">
        <f t="shared" si="6"/>
        <v>2883997.079</v>
      </c>
      <c r="G220" s="6">
        <f t="shared" si="7"/>
        <v>1416002.921</v>
      </c>
      <c r="H220" s="6">
        <f t="shared" si="8"/>
        <v>4300000</v>
      </c>
      <c r="I220" s="6">
        <f t="shared" si="9"/>
        <v>-283997.0791</v>
      </c>
      <c r="J220" s="610">
        <v>7.125</v>
      </c>
      <c r="K220" s="591"/>
      <c r="L220" s="6"/>
      <c r="M220" s="9">
        <v>20000.0</v>
      </c>
      <c r="N220" s="79">
        <f t="shared" si="10"/>
        <v>4300000</v>
      </c>
      <c r="O220" s="6">
        <f t="shared" si="2"/>
        <v>2041197.079</v>
      </c>
      <c r="P220" s="6"/>
      <c r="Q220" s="6">
        <f t="shared" si="11"/>
        <v>17638.23066</v>
      </c>
      <c r="R220" s="6">
        <f t="shared" si="12"/>
        <v>2041197.079</v>
      </c>
      <c r="S220" s="81">
        <f t="shared" si="3"/>
        <v>144.1520387</v>
      </c>
      <c r="T220" s="6"/>
      <c r="U220" s="6"/>
      <c r="V220" s="6"/>
      <c r="W220" s="6"/>
      <c r="X220" s="6"/>
    </row>
    <row r="221" ht="11.25" customHeight="1">
      <c r="A221" s="71"/>
      <c r="B221" s="72">
        <f t="shared" si="13"/>
        <v>216</v>
      </c>
      <c r="C221" s="607">
        <v>20000.0</v>
      </c>
      <c r="D221" s="10">
        <f t="shared" si="14"/>
        <v>-1686.232657</v>
      </c>
      <c r="E221" s="10">
        <f t="shared" si="1"/>
        <v>21686.23266</v>
      </c>
      <c r="F221" s="10">
        <f t="shared" si="6"/>
        <v>2905683.312</v>
      </c>
      <c r="G221" s="10">
        <f t="shared" si="7"/>
        <v>1414316.688</v>
      </c>
      <c r="H221" s="10">
        <f t="shared" si="8"/>
        <v>4320000</v>
      </c>
      <c r="I221" s="10">
        <f t="shared" si="9"/>
        <v>-305683.3117</v>
      </c>
      <c r="J221" s="610">
        <v>7.125</v>
      </c>
      <c r="K221" s="591"/>
      <c r="L221" s="6"/>
      <c r="M221" s="9">
        <v>20000.0</v>
      </c>
      <c r="N221" s="79">
        <f t="shared" si="10"/>
        <v>4320000</v>
      </c>
      <c r="O221" s="6">
        <f t="shared" si="2"/>
        <v>2058963.312</v>
      </c>
      <c r="P221" s="6"/>
      <c r="Q221" s="6">
        <f t="shared" si="11"/>
        <v>17766.23266</v>
      </c>
      <c r="R221" s="6">
        <f t="shared" si="12"/>
        <v>2058963.312</v>
      </c>
      <c r="S221" s="81">
        <f t="shared" si="3"/>
        <v>145.5800761</v>
      </c>
      <c r="T221" s="6"/>
      <c r="U221" s="6"/>
      <c r="V221" s="6"/>
      <c r="W221" s="6"/>
      <c r="X221" s="6"/>
    </row>
    <row r="222" ht="11.25" customHeight="1">
      <c r="A222" s="100">
        <v>19.0</v>
      </c>
      <c r="B222" s="66">
        <f t="shared" si="13"/>
        <v>217</v>
      </c>
      <c r="C222" s="607">
        <v>20000.0</v>
      </c>
      <c r="D222" s="617">
        <f t="shared" si="14"/>
        <v>-1814.994664</v>
      </c>
      <c r="E222" s="617">
        <f t="shared" si="1"/>
        <v>21814.99466</v>
      </c>
      <c r="F222" s="617">
        <f t="shared" si="6"/>
        <v>2927498.306</v>
      </c>
      <c r="G222" s="617">
        <f t="shared" si="7"/>
        <v>1412501.694</v>
      </c>
      <c r="H222" s="617">
        <f t="shared" si="8"/>
        <v>4340000</v>
      </c>
      <c r="I222" s="617">
        <f t="shared" si="9"/>
        <v>-327498.3064</v>
      </c>
      <c r="J222" s="610">
        <v>7.125</v>
      </c>
      <c r="K222" s="591"/>
      <c r="L222" s="6"/>
      <c r="M222" s="9">
        <v>20000.0</v>
      </c>
      <c r="N222" s="79">
        <f t="shared" si="10"/>
        <v>4340000</v>
      </c>
      <c r="O222" s="6">
        <f t="shared" si="2"/>
        <v>2076858.306</v>
      </c>
      <c r="P222" s="6"/>
      <c r="Q222" s="6">
        <f t="shared" si="11"/>
        <v>17894.99466</v>
      </c>
      <c r="R222" s="6">
        <f t="shared" si="12"/>
        <v>2076858.306</v>
      </c>
      <c r="S222" s="81">
        <f t="shared" si="3"/>
        <v>147.0340401</v>
      </c>
      <c r="T222" s="6"/>
      <c r="U222" s="6"/>
      <c r="V222" s="6"/>
      <c r="W222" s="6"/>
      <c r="X222" s="6"/>
    </row>
    <row r="223" ht="11.25" customHeight="1">
      <c r="A223" s="7"/>
      <c r="B223" s="68">
        <f t="shared" si="13"/>
        <v>218</v>
      </c>
      <c r="C223" s="607">
        <v>20000.0</v>
      </c>
      <c r="D223" s="6">
        <f t="shared" si="14"/>
        <v>-1944.521194</v>
      </c>
      <c r="E223" s="6">
        <f t="shared" si="1"/>
        <v>21944.52119</v>
      </c>
      <c r="F223" s="6">
        <f t="shared" si="6"/>
        <v>2949442.828</v>
      </c>
      <c r="G223" s="6">
        <f t="shared" si="7"/>
        <v>1410557.172</v>
      </c>
      <c r="H223" s="6">
        <f t="shared" si="8"/>
        <v>4360000</v>
      </c>
      <c r="I223" s="6">
        <f t="shared" si="9"/>
        <v>-349442.8276</v>
      </c>
      <c r="J223" s="610">
        <v>7.125</v>
      </c>
      <c r="K223" s="591"/>
      <c r="L223" s="6"/>
      <c r="M223" s="9">
        <v>20000.0</v>
      </c>
      <c r="N223" s="79">
        <f t="shared" si="10"/>
        <v>4360000</v>
      </c>
      <c r="O223" s="6">
        <f t="shared" si="2"/>
        <v>2094882.828</v>
      </c>
      <c r="P223" s="6"/>
      <c r="Q223" s="6">
        <f t="shared" si="11"/>
        <v>18024.52119</v>
      </c>
      <c r="R223" s="6">
        <f t="shared" si="12"/>
        <v>2094882.828</v>
      </c>
      <c r="S223" s="81">
        <f t="shared" si="3"/>
        <v>148.5145635</v>
      </c>
      <c r="T223" s="6"/>
      <c r="U223" s="6"/>
      <c r="V223" s="6"/>
      <c r="W223" s="6"/>
      <c r="X223" s="6"/>
    </row>
    <row r="224" ht="11.25" customHeight="1">
      <c r="A224" s="7"/>
      <c r="B224" s="68">
        <f t="shared" si="13"/>
        <v>219</v>
      </c>
      <c r="C224" s="607">
        <v>20000.0</v>
      </c>
      <c r="D224" s="6">
        <f t="shared" si="14"/>
        <v>-2074.816789</v>
      </c>
      <c r="E224" s="6">
        <f t="shared" si="1"/>
        <v>22074.81679</v>
      </c>
      <c r="F224" s="6">
        <f t="shared" si="6"/>
        <v>2971517.644</v>
      </c>
      <c r="G224" s="6">
        <f t="shared" si="7"/>
        <v>1408482.356</v>
      </c>
      <c r="H224" s="6">
        <f t="shared" si="8"/>
        <v>4380000</v>
      </c>
      <c r="I224" s="6">
        <f t="shared" si="9"/>
        <v>-371517.6444</v>
      </c>
      <c r="J224" s="610">
        <v>7.125</v>
      </c>
      <c r="K224" s="591"/>
      <c r="L224" s="6"/>
      <c r="M224" s="9">
        <v>20000.0</v>
      </c>
      <c r="N224" s="79">
        <f t="shared" si="10"/>
        <v>4380000</v>
      </c>
      <c r="O224" s="6">
        <f t="shared" si="2"/>
        <v>2113037.644</v>
      </c>
      <c r="P224" s="6"/>
      <c r="Q224" s="6">
        <f t="shared" si="11"/>
        <v>18154.81679</v>
      </c>
      <c r="R224" s="6">
        <f t="shared" si="12"/>
        <v>2113037.644</v>
      </c>
      <c r="S224" s="81">
        <f t="shared" si="3"/>
        <v>150.0223014</v>
      </c>
      <c r="T224" s="6"/>
      <c r="U224" s="6"/>
      <c r="V224" s="6"/>
      <c r="W224" s="6"/>
      <c r="X224" s="6"/>
    </row>
    <row r="225" ht="11.25" customHeight="1">
      <c r="A225" s="7"/>
      <c r="B225" s="68">
        <f t="shared" si="13"/>
        <v>220</v>
      </c>
      <c r="C225" s="607">
        <v>20000.0</v>
      </c>
      <c r="D225" s="6">
        <f t="shared" si="14"/>
        <v>-2205.886014</v>
      </c>
      <c r="E225" s="6">
        <f t="shared" si="1"/>
        <v>22205.88601</v>
      </c>
      <c r="F225" s="6">
        <f t="shared" si="6"/>
        <v>2993723.53</v>
      </c>
      <c r="G225" s="6">
        <f t="shared" si="7"/>
        <v>1406276.47</v>
      </c>
      <c r="H225" s="6">
        <f t="shared" si="8"/>
        <v>4400000</v>
      </c>
      <c r="I225" s="6">
        <f t="shared" si="9"/>
        <v>-393723.5304</v>
      </c>
      <c r="J225" s="610">
        <v>7.125</v>
      </c>
      <c r="K225" s="591"/>
      <c r="L225" s="6"/>
      <c r="M225" s="9">
        <v>20000.0</v>
      </c>
      <c r="N225" s="79">
        <f t="shared" si="10"/>
        <v>4400000</v>
      </c>
      <c r="O225" s="6">
        <f t="shared" si="2"/>
        <v>2131323.53</v>
      </c>
      <c r="P225" s="6"/>
      <c r="Q225" s="6">
        <f t="shared" si="11"/>
        <v>18285.88601</v>
      </c>
      <c r="R225" s="6">
        <f t="shared" si="12"/>
        <v>2131323.53</v>
      </c>
      <c r="S225" s="81">
        <f t="shared" si="3"/>
        <v>151.5579316</v>
      </c>
      <c r="T225" s="6"/>
      <c r="U225" s="6"/>
      <c r="V225" s="6"/>
      <c r="W225" s="6"/>
      <c r="X225" s="6"/>
    </row>
    <row r="226" ht="11.25" customHeight="1">
      <c r="A226" s="7"/>
      <c r="B226" s="68">
        <f t="shared" si="13"/>
        <v>221</v>
      </c>
      <c r="C226" s="607">
        <v>20000.0</v>
      </c>
      <c r="D226" s="6">
        <f t="shared" si="14"/>
        <v>-2337.733462</v>
      </c>
      <c r="E226" s="6">
        <f t="shared" si="1"/>
        <v>22337.73346</v>
      </c>
      <c r="F226" s="6">
        <f t="shared" si="6"/>
        <v>3016061.264</v>
      </c>
      <c r="G226" s="6">
        <f t="shared" si="7"/>
        <v>1403938.736</v>
      </c>
      <c r="H226" s="6">
        <f t="shared" si="8"/>
        <v>4420000</v>
      </c>
      <c r="I226" s="6">
        <f t="shared" si="9"/>
        <v>-416061.2639</v>
      </c>
      <c r="J226" s="610">
        <v>7.125</v>
      </c>
      <c r="K226" s="591"/>
      <c r="L226" s="6"/>
      <c r="M226" s="9">
        <v>20000.0</v>
      </c>
      <c r="N226" s="79">
        <f t="shared" si="10"/>
        <v>4420000</v>
      </c>
      <c r="O226" s="6">
        <f t="shared" si="2"/>
        <v>2149741.264</v>
      </c>
      <c r="P226" s="6"/>
      <c r="Q226" s="6">
        <f t="shared" si="11"/>
        <v>18417.73346</v>
      </c>
      <c r="R226" s="6">
        <f t="shared" si="12"/>
        <v>2149741.264</v>
      </c>
      <c r="S226" s="81">
        <f t="shared" si="3"/>
        <v>153.1221562</v>
      </c>
      <c r="T226" s="6"/>
      <c r="U226" s="6"/>
      <c r="V226" s="6"/>
      <c r="W226" s="6"/>
      <c r="X226" s="6"/>
    </row>
    <row r="227" ht="11.25" customHeight="1">
      <c r="A227" s="7"/>
      <c r="B227" s="68">
        <f t="shared" si="13"/>
        <v>222</v>
      </c>
      <c r="C227" s="607">
        <v>20000.0</v>
      </c>
      <c r="D227" s="6">
        <f t="shared" si="14"/>
        <v>-2470.363754</v>
      </c>
      <c r="E227" s="6">
        <f t="shared" si="1"/>
        <v>22470.36375</v>
      </c>
      <c r="F227" s="6">
        <f t="shared" si="6"/>
        <v>3038531.628</v>
      </c>
      <c r="G227" s="6">
        <f t="shared" si="7"/>
        <v>1401468.372</v>
      </c>
      <c r="H227" s="6">
        <f t="shared" si="8"/>
        <v>4440000</v>
      </c>
      <c r="I227" s="6">
        <f t="shared" si="9"/>
        <v>-438531.6276</v>
      </c>
      <c r="J227" s="610">
        <v>7.125</v>
      </c>
      <c r="K227" s="591"/>
      <c r="L227" s="6"/>
      <c r="M227" s="9">
        <v>20000.0</v>
      </c>
      <c r="N227" s="79">
        <f t="shared" si="10"/>
        <v>4440000</v>
      </c>
      <c r="O227" s="6">
        <f t="shared" si="2"/>
        <v>2168291.628</v>
      </c>
      <c r="P227" s="6"/>
      <c r="Q227" s="6">
        <f t="shared" si="11"/>
        <v>18550.36375</v>
      </c>
      <c r="R227" s="6">
        <f t="shared" si="12"/>
        <v>2168291.628</v>
      </c>
      <c r="S227" s="81">
        <f t="shared" si="3"/>
        <v>154.7157018</v>
      </c>
      <c r="T227" s="6"/>
      <c r="U227" s="6"/>
      <c r="V227" s="6"/>
      <c r="W227" s="6"/>
      <c r="X227" s="6"/>
    </row>
    <row r="228" ht="11.25" customHeight="1">
      <c r="A228" s="7"/>
      <c r="B228" s="68">
        <f t="shared" si="13"/>
        <v>223</v>
      </c>
      <c r="C228" s="607">
        <v>20000.0</v>
      </c>
      <c r="D228" s="6">
        <f t="shared" si="14"/>
        <v>-2603.781539</v>
      </c>
      <c r="E228" s="6">
        <f t="shared" si="1"/>
        <v>22603.78154</v>
      </c>
      <c r="F228" s="6">
        <f t="shared" si="6"/>
        <v>3061135.409</v>
      </c>
      <c r="G228" s="6">
        <f t="shared" si="7"/>
        <v>1398864.591</v>
      </c>
      <c r="H228" s="6">
        <f t="shared" si="8"/>
        <v>4460000</v>
      </c>
      <c r="I228" s="6">
        <f t="shared" si="9"/>
        <v>-461135.4092</v>
      </c>
      <c r="J228" s="610">
        <v>7.125</v>
      </c>
      <c r="K228" s="591"/>
      <c r="L228" s="6"/>
      <c r="M228" s="9">
        <v>20000.0</v>
      </c>
      <c r="N228" s="79">
        <f t="shared" si="10"/>
        <v>4460000</v>
      </c>
      <c r="O228" s="6">
        <f t="shared" si="2"/>
        <v>2186975.409</v>
      </c>
      <c r="P228" s="6"/>
      <c r="Q228" s="6">
        <f t="shared" si="11"/>
        <v>18683.78154</v>
      </c>
      <c r="R228" s="6">
        <f t="shared" si="12"/>
        <v>2186975.409</v>
      </c>
      <c r="S228" s="81">
        <f t="shared" si="3"/>
        <v>156.3393214</v>
      </c>
      <c r="T228" s="6"/>
      <c r="U228" s="6"/>
      <c r="V228" s="6"/>
      <c r="W228" s="6"/>
      <c r="X228" s="6"/>
    </row>
    <row r="229" ht="11.25" customHeight="1">
      <c r="A229" s="7"/>
      <c r="B229" s="68">
        <f t="shared" si="13"/>
        <v>224</v>
      </c>
      <c r="C229" s="607">
        <v>20000.0</v>
      </c>
      <c r="D229" s="6">
        <f t="shared" si="14"/>
        <v>-2737.991492</v>
      </c>
      <c r="E229" s="6">
        <f t="shared" si="1"/>
        <v>22737.99149</v>
      </c>
      <c r="F229" s="6">
        <f t="shared" si="6"/>
        <v>3083873.401</v>
      </c>
      <c r="G229" s="6">
        <f t="shared" si="7"/>
        <v>1396126.599</v>
      </c>
      <c r="H229" s="6">
        <f t="shared" si="8"/>
        <v>4480000</v>
      </c>
      <c r="I229" s="6">
        <f t="shared" si="9"/>
        <v>-483873.4007</v>
      </c>
      <c r="J229" s="610">
        <v>7.125</v>
      </c>
      <c r="K229" s="591"/>
      <c r="L229" s="6"/>
      <c r="M229" s="9">
        <v>20000.0</v>
      </c>
      <c r="N229" s="79">
        <f t="shared" si="10"/>
        <v>4480000</v>
      </c>
      <c r="O229" s="6">
        <f t="shared" si="2"/>
        <v>2205793.401</v>
      </c>
      <c r="P229" s="6"/>
      <c r="Q229" s="6">
        <f t="shared" si="11"/>
        <v>18817.99149</v>
      </c>
      <c r="R229" s="6">
        <f t="shared" si="12"/>
        <v>2205793.401</v>
      </c>
      <c r="S229" s="81">
        <f t="shared" si="3"/>
        <v>157.9937952</v>
      </c>
      <c r="T229" s="6"/>
      <c r="U229" s="6"/>
      <c r="V229" s="6"/>
      <c r="W229" s="6"/>
      <c r="X229" s="6"/>
    </row>
    <row r="230" ht="11.25" customHeight="1">
      <c r="A230" s="7"/>
      <c r="B230" s="68">
        <f t="shared" si="13"/>
        <v>225</v>
      </c>
      <c r="C230" s="607">
        <v>20000.0</v>
      </c>
      <c r="D230" s="6">
        <f t="shared" si="14"/>
        <v>-2872.998316</v>
      </c>
      <c r="E230" s="6">
        <f t="shared" si="1"/>
        <v>22872.99832</v>
      </c>
      <c r="F230" s="6">
        <f t="shared" si="6"/>
        <v>3106746.399</v>
      </c>
      <c r="G230" s="6">
        <f t="shared" si="7"/>
        <v>1393253.601</v>
      </c>
      <c r="H230" s="6">
        <f t="shared" si="8"/>
        <v>4500000</v>
      </c>
      <c r="I230" s="6">
        <f t="shared" si="9"/>
        <v>-506746.399</v>
      </c>
      <c r="J230" s="610">
        <v>7.125</v>
      </c>
      <c r="K230" s="591"/>
      <c r="L230" s="6"/>
      <c r="M230" s="9">
        <v>20000.0</v>
      </c>
      <c r="N230" s="79">
        <f t="shared" si="10"/>
        <v>4500000</v>
      </c>
      <c r="O230" s="6">
        <f t="shared" si="2"/>
        <v>2224746.399</v>
      </c>
      <c r="P230" s="6"/>
      <c r="Q230" s="6">
        <f t="shared" si="11"/>
        <v>18952.99832</v>
      </c>
      <c r="R230" s="6">
        <f t="shared" si="12"/>
        <v>2224746.399</v>
      </c>
      <c r="S230" s="81">
        <f t="shared" si="3"/>
        <v>159.6799317</v>
      </c>
      <c r="T230" s="6"/>
      <c r="U230" s="6"/>
      <c r="V230" s="6"/>
      <c r="W230" s="6"/>
      <c r="X230" s="6"/>
    </row>
    <row r="231" ht="11.25" customHeight="1">
      <c r="A231" s="7"/>
      <c r="B231" s="68">
        <f t="shared" si="13"/>
        <v>226</v>
      </c>
      <c r="C231" s="607">
        <v>20000.0</v>
      </c>
      <c r="D231" s="6">
        <f t="shared" si="14"/>
        <v>-3008.806744</v>
      </c>
      <c r="E231" s="6">
        <f t="shared" si="1"/>
        <v>23008.80674</v>
      </c>
      <c r="F231" s="6">
        <f t="shared" si="6"/>
        <v>3129755.206</v>
      </c>
      <c r="G231" s="6">
        <f t="shared" si="7"/>
        <v>1390244.794</v>
      </c>
      <c r="H231" s="6">
        <f t="shared" si="8"/>
        <v>4520000</v>
      </c>
      <c r="I231" s="6">
        <f t="shared" si="9"/>
        <v>-529755.2057</v>
      </c>
      <c r="J231" s="610">
        <v>7.125</v>
      </c>
      <c r="K231" s="591"/>
      <c r="L231" s="6"/>
      <c r="M231" s="9">
        <v>20000.0</v>
      </c>
      <c r="N231" s="79">
        <f t="shared" si="10"/>
        <v>4520000</v>
      </c>
      <c r="O231" s="6">
        <f t="shared" si="2"/>
        <v>2243835.206</v>
      </c>
      <c r="P231" s="6"/>
      <c r="Q231" s="6">
        <f t="shared" si="11"/>
        <v>19088.80674</v>
      </c>
      <c r="R231" s="6">
        <f t="shared" si="12"/>
        <v>2243835.206</v>
      </c>
      <c r="S231" s="81">
        <f t="shared" si="3"/>
        <v>161.3985692</v>
      </c>
      <c r="T231" s="6"/>
      <c r="U231" s="6"/>
      <c r="V231" s="6"/>
      <c r="W231" s="6"/>
      <c r="X231" s="6"/>
    </row>
    <row r="232" ht="11.25" customHeight="1">
      <c r="A232" s="7"/>
      <c r="B232" s="68">
        <f t="shared" si="13"/>
        <v>227</v>
      </c>
      <c r="C232" s="607">
        <v>20000.0</v>
      </c>
      <c r="D232" s="6">
        <f t="shared" si="14"/>
        <v>-3145.421534</v>
      </c>
      <c r="E232" s="6">
        <f t="shared" si="1"/>
        <v>23145.42153</v>
      </c>
      <c r="F232" s="6">
        <f t="shared" si="6"/>
        <v>3152900.627</v>
      </c>
      <c r="G232" s="6">
        <f t="shared" si="7"/>
        <v>1387099.373</v>
      </c>
      <c r="H232" s="6">
        <f t="shared" si="8"/>
        <v>4540000</v>
      </c>
      <c r="I232" s="6">
        <f t="shared" si="9"/>
        <v>-552900.6273</v>
      </c>
      <c r="J232" s="610">
        <v>7.125</v>
      </c>
      <c r="K232" s="591"/>
      <c r="L232" s="6"/>
      <c r="M232" s="9">
        <v>20000.0</v>
      </c>
      <c r="N232" s="79">
        <f t="shared" si="10"/>
        <v>4540000</v>
      </c>
      <c r="O232" s="6">
        <f t="shared" si="2"/>
        <v>2263060.627</v>
      </c>
      <c r="P232" s="6"/>
      <c r="Q232" s="6">
        <f t="shared" si="11"/>
        <v>19225.42153</v>
      </c>
      <c r="R232" s="6">
        <f t="shared" si="12"/>
        <v>2263060.627</v>
      </c>
      <c r="S232" s="81">
        <f t="shared" si="3"/>
        <v>163.1505768</v>
      </c>
      <c r="T232" s="6"/>
      <c r="U232" s="6"/>
      <c r="V232" s="6"/>
      <c r="W232" s="6"/>
      <c r="X232" s="6"/>
    </row>
    <row r="233" ht="11.25" customHeight="1">
      <c r="A233" s="71"/>
      <c r="B233" s="72">
        <f t="shared" si="13"/>
        <v>228</v>
      </c>
      <c r="C233" s="607">
        <v>20000.0</v>
      </c>
      <c r="D233" s="10">
        <f t="shared" si="14"/>
        <v>-3282.847474</v>
      </c>
      <c r="E233" s="10">
        <f t="shared" si="1"/>
        <v>23282.84747</v>
      </c>
      <c r="F233" s="10">
        <f t="shared" si="6"/>
        <v>3176183.475</v>
      </c>
      <c r="G233" s="10">
        <f t="shared" si="7"/>
        <v>1383816.525</v>
      </c>
      <c r="H233" s="10">
        <f t="shared" si="8"/>
        <v>4560000</v>
      </c>
      <c r="I233" s="10">
        <f t="shared" si="9"/>
        <v>-576183.4747</v>
      </c>
      <c r="J233" s="610">
        <v>7.125</v>
      </c>
      <c r="K233" s="591"/>
      <c r="L233" s="6"/>
      <c r="M233" s="9">
        <v>20000.0</v>
      </c>
      <c r="N233" s="79">
        <f t="shared" si="10"/>
        <v>4560000</v>
      </c>
      <c r="O233" s="6">
        <f t="shared" si="2"/>
        <v>2282423.475</v>
      </c>
      <c r="P233" s="6"/>
      <c r="Q233" s="6">
        <f t="shared" si="11"/>
        <v>19362.84747</v>
      </c>
      <c r="R233" s="6">
        <f t="shared" si="12"/>
        <v>2282423.475</v>
      </c>
      <c r="S233" s="81">
        <f t="shared" si="3"/>
        <v>164.9368564</v>
      </c>
      <c r="T233" s="6"/>
      <c r="U233" s="6"/>
      <c r="V233" s="6"/>
      <c r="W233" s="6"/>
      <c r="X233" s="6"/>
    </row>
    <row r="234" ht="11.25" customHeight="1">
      <c r="A234" s="100">
        <v>20.0</v>
      </c>
      <c r="B234" s="66">
        <f t="shared" si="13"/>
        <v>229</v>
      </c>
      <c r="C234" s="607">
        <v>20000.0</v>
      </c>
      <c r="D234" s="617">
        <f t="shared" si="14"/>
        <v>-3421.089381</v>
      </c>
      <c r="E234" s="617">
        <f t="shared" si="1"/>
        <v>23421.08938</v>
      </c>
      <c r="F234" s="617">
        <f t="shared" si="6"/>
        <v>3199604.564</v>
      </c>
      <c r="G234" s="617">
        <f t="shared" si="7"/>
        <v>1380395.436</v>
      </c>
      <c r="H234" s="617">
        <f t="shared" si="8"/>
        <v>4580000</v>
      </c>
      <c r="I234" s="617">
        <f t="shared" si="9"/>
        <v>-599604.5641</v>
      </c>
      <c r="J234" s="610">
        <v>7.125</v>
      </c>
      <c r="K234" s="591"/>
      <c r="L234" s="6"/>
      <c r="M234" s="9">
        <v>20000.0</v>
      </c>
      <c r="N234" s="79">
        <f t="shared" si="10"/>
        <v>4580000</v>
      </c>
      <c r="O234" s="6">
        <f t="shared" si="2"/>
        <v>2301924.564</v>
      </c>
      <c r="P234" s="6"/>
      <c r="Q234" s="6">
        <f t="shared" si="11"/>
        <v>19501.08938</v>
      </c>
      <c r="R234" s="6">
        <f t="shared" si="12"/>
        <v>2301924.564</v>
      </c>
      <c r="S234" s="81">
        <f t="shared" si="3"/>
        <v>166.7583436</v>
      </c>
      <c r="T234" s="6"/>
      <c r="U234" s="6"/>
      <c r="V234" s="6"/>
      <c r="W234" s="6"/>
      <c r="X234" s="6"/>
    </row>
    <row r="235" ht="11.25" customHeight="1">
      <c r="A235" s="7"/>
      <c r="B235" s="68">
        <f t="shared" si="13"/>
        <v>230</v>
      </c>
      <c r="C235" s="607">
        <v>20000.0</v>
      </c>
      <c r="D235" s="6">
        <f t="shared" si="14"/>
        <v>-3560.152099</v>
      </c>
      <c r="E235" s="6">
        <f t="shared" si="1"/>
        <v>23560.1521</v>
      </c>
      <c r="F235" s="6">
        <f t="shared" si="6"/>
        <v>3223164.716</v>
      </c>
      <c r="G235" s="6">
        <f t="shared" si="7"/>
        <v>1376835.284</v>
      </c>
      <c r="H235" s="6">
        <f t="shared" si="8"/>
        <v>4600000</v>
      </c>
      <c r="I235" s="6">
        <f t="shared" si="9"/>
        <v>-623164.7162</v>
      </c>
      <c r="J235" s="610">
        <v>7.125</v>
      </c>
      <c r="K235" s="591"/>
      <c r="L235" s="6"/>
      <c r="M235" s="9">
        <v>20000.0</v>
      </c>
      <c r="N235" s="79">
        <f t="shared" si="10"/>
        <v>4600000</v>
      </c>
      <c r="O235" s="6">
        <f t="shared" si="2"/>
        <v>2321564.716</v>
      </c>
      <c r="P235" s="6"/>
      <c r="Q235" s="6">
        <f t="shared" si="11"/>
        <v>19640.1521</v>
      </c>
      <c r="R235" s="6">
        <f t="shared" si="12"/>
        <v>2321564.716</v>
      </c>
      <c r="S235" s="81">
        <f t="shared" si="3"/>
        <v>168.6160097</v>
      </c>
      <c r="T235" s="6"/>
      <c r="U235" s="6"/>
      <c r="V235" s="6"/>
      <c r="W235" s="6"/>
      <c r="X235" s="6"/>
    </row>
    <row r="236" ht="11.25" customHeight="1">
      <c r="A236" s="7"/>
      <c r="B236" s="68">
        <f t="shared" si="13"/>
        <v>231</v>
      </c>
      <c r="C236" s="607">
        <v>20000.0</v>
      </c>
      <c r="D236" s="6">
        <f t="shared" si="14"/>
        <v>-3700.040502</v>
      </c>
      <c r="E236" s="6">
        <f t="shared" si="1"/>
        <v>23700.0405</v>
      </c>
      <c r="F236" s="6">
        <f t="shared" si="6"/>
        <v>3246864.757</v>
      </c>
      <c r="G236" s="6">
        <f t="shared" si="7"/>
        <v>1373135.243</v>
      </c>
      <c r="H236" s="6">
        <f t="shared" si="8"/>
        <v>4620000</v>
      </c>
      <c r="I236" s="6">
        <f t="shared" si="9"/>
        <v>-646864.7567</v>
      </c>
      <c r="J236" s="610">
        <v>7.125</v>
      </c>
      <c r="K236" s="591"/>
      <c r="L236" s="6"/>
      <c r="M236" s="9">
        <v>20000.0</v>
      </c>
      <c r="N236" s="79">
        <f t="shared" si="10"/>
        <v>4620000</v>
      </c>
      <c r="O236" s="6">
        <f t="shared" si="2"/>
        <v>2341344.757</v>
      </c>
      <c r="P236" s="6"/>
      <c r="Q236" s="6">
        <f t="shared" si="11"/>
        <v>19780.0405</v>
      </c>
      <c r="R236" s="6">
        <f t="shared" si="12"/>
        <v>2341344.757</v>
      </c>
      <c r="S236" s="81">
        <f t="shared" si="3"/>
        <v>170.5108632</v>
      </c>
      <c r="T236" s="6"/>
      <c r="U236" s="6"/>
      <c r="V236" s="6"/>
      <c r="W236" s="6"/>
      <c r="X236" s="6"/>
    </row>
    <row r="237" ht="11.25" customHeight="1">
      <c r="A237" s="7"/>
      <c r="B237" s="68">
        <f t="shared" si="13"/>
        <v>232</v>
      </c>
      <c r="C237" s="607">
        <v>20000.0</v>
      </c>
      <c r="D237" s="6">
        <f t="shared" si="14"/>
        <v>-3840.759493</v>
      </c>
      <c r="E237" s="6">
        <f t="shared" si="1"/>
        <v>23840.75949</v>
      </c>
      <c r="F237" s="6">
        <f t="shared" si="6"/>
        <v>3270705.516</v>
      </c>
      <c r="G237" s="6">
        <f t="shared" si="7"/>
        <v>1369294.484</v>
      </c>
      <c r="H237" s="6">
        <f t="shared" si="8"/>
        <v>4640000</v>
      </c>
      <c r="I237" s="6">
        <f t="shared" si="9"/>
        <v>-670705.5162</v>
      </c>
      <c r="J237" s="610">
        <v>7.125</v>
      </c>
      <c r="K237" s="591"/>
      <c r="L237" s="6"/>
      <c r="M237" s="9">
        <v>20000.0</v>
      </c>
      <c r="N237" s="79">
        <f t="shared" si="10"/>
        <v>4640000</v>
      </c>
      <c r="O237" s="6">
        <f t="shared" si="2"/>
        <v>2361265.516</v>
      </c>
      <c r="P237" s="6"/>
      <c r="Q237" s="6">
        <f t="shared" si="11"/>
        <v>19920.75949</v>
      </c>
      <c r="R237" s="6">
        <f t="shared" si="12"/>
        <v>2361265.516</v>
      </c>
      <c r="S237" s="81">
        <f t="shared" si="3"/>
        <v>172.4439515</v>
      </c>
      <c r="T237" s="6"/>
      <c r="U237" s="6"/>
      <c r="V237" s="6"/>
      <c r="W237" s="6"/>
      <c r="X237" s="6"/>
    </row>
    <row r="238" ht="11.25" customHeight="1">
      <c r="A238" s="7"/>
      <c r="B238" s="68">
        <f t="shared" si="13"/>
        <v>233</v>
      </c>
      <c r="C238" s="607">
        <v>20000.0</v>
      </c>
      <c r="D238" s="6">
        <f t="shared" si="14"/>
        <v>-3982.314002</v>
      </c>
      <c r="E238" s="6">
        <f t="shared" si="1"/>
        <v>23982.314</v>
      </c>
      <c r="F238" s="6">
        <f t="shared" si="6"/>
        <v>3294687.83</v>
      </c>
      <c r="G238" s="6">
        <f t="shared" si="7"/>
        <v>1365312.17</v>
      </c>
      <c r="H238" s="6">
        <f t="shared" si="8"/>
        <v>4660000</v>
      </c>
      <c r="I238" s="6">
        <f t="shared" si="9"/>
        <v>-694687.8302</v>
      </c>
      <c r="J238" s="610">
        <v>7.125</v>
      </c>
      <c r="K238" s="591"/>
      <c r="L238" s="6"/>
      <c r="M238" s="9">
        <v>20000.0</v>
      </c>
      <c r="N238" s="79">
        <f t="shared" si="10"/>
        <v>4660000</v>
      </c>
      <c r="O238" s="6">
        <f t="shared" si="2"/>
        <v>2381327.83</v>
      </c>
      <c r="P238" s="6"/>
      <c r="Q238" s="6">
        <f t="shared" si="11"/>
        <v>20062.314</v>
      </c>
      <c r="R238" s="6">
        <f t="shared" si="12"/>
        <v>2381327.83</v>
      </c>
      <c r="S238" s="81">
        <f t="shared" si="3"/>
        <v>174.416363</v>
      </c>
      <c r="T238" s="6"/>
      <c r="U238" s="6"/>
      <c r="V238" s="6"/>
      <c r="W238" s="6"/>
      <c r="X238" s="6"/>
    </row>
    <row r="239" ht="11.25" customHeight="1">
      <c r="A239" s="7"/>
      <c r="B239" s="68">
        <f t="shared" si="13"/>
        <v>234</v>
      </c>
      <c r="C239" s="607">
        <v>20000.0</v>
      </c>
      <c r="D239" s="6">
        <f t="shared" si="14"/>
        <v>-4124.708992</v>
      </c>
      <c r="E239" s="6">
        <f t="shared" si="1"/>
        <v>24124.70899</v>
      </c>
      <c r="F239" s="6">
        <f t="shared" si="6"/>
        <v>3318812.539</v>
      </c>
      <c r="G239" s="6">
        <f t="shared" si="7"/>
        <v>1361187.461</v>
      </c>
      <c r="H239" s="6">
        <f t="shared" si="8"/>
        <v>4680000</v>
      </c>
      <c r="I239" s="6">
        <f t="shared" si="9"/>
        <v>-718812.5392</v>
      </c>
      <c r="J239" s="610">
        <v>7.125</v>
      </c>
      <c r="K239" s="591"/>
      <c r="L239" s="6"/>
      <c r="M239" s="9">
        <v>20000.0</v>
      </c>
      <c r="N239" s="79">
        <f t="shared" si="10"/>
        <v>4680000</v>
      </c>
      <c r="O239" s="6">
        <f t="shared" si="2"/>
        <v>2401532.539</v>
      </c>
      <c r="P239" s="6"/>
      <c r="Q239" s="6">
        <f t="shared" si="11"/>
        <v>20204.70899</v>
      </c>
      <c r="R239" s="6">
        <f t="shared" si="12"/>
        <v>2401532.539</v>
      </c>
      <c r="S239" s="81">
        <f t="shared" si="3"/>
        <v>176.4292288</v>
      </c>
      <c r="T239" s="6"/>
      <c r="U239" s="6"/>
      <c r="V239" s="6"/>
      <c r="W239" s="6"/>
      <c r="X239" s="6"/>
    </row>
    <row r="240" ht="11.25" customHeight="1">
      <c r="A240" s="7"/>
      <c r="B240" s="68">
        <f t="shared" si="13"/>
        <v>235</v>
      </c>
      <c r="C240" s="607">
        <v>20000.0</v>
      </c>
      <c r="D240" s="6">
        <f t="shared" si="14"/>
        <v>-4267.949451</v>
      </c>
      <c r="E240" s="6">
        <f t="shared" si="1"/>
        <v>24267.94945</v>
      </c>
      <c r="F240" s="6">
        <f t="shared" si="6"/>
        <v>3343080.489</v>
      </c>
      <c r="G240" s="6">
        <f t="shared" si="7"/>
        <v>1356919.511</v>
      </c>
      <c r="H240" s="6">
        <f t="shared" si="8"/>
        <v>4700000</v>
      </c>
      <c r="I240" s="6">
        <f t="shared" si="9"/>
        <v>-743080.4886</v>
      </c>
      <c r="J240" s="610">
        <v>7.125</v>
      </c>
      <c r="K240" s="591"/>
      <c r="L240" s="6"/>
      <c r="M240" s="9">
        <v>20000.0</v>
      </c>
      <c r="N240" s="79">
        <f t="shared" si="10"/>
        <v>4700000</v>
      </c>
      <c r="O240" s="6">
        <f t="shared" si="2"/>
        <v>2421880.489</v>
      </c>
      <c r="P240" s="6"/>
      <c r="Q240" s="6">
        <f t="shared" si="11"/>
        <v>20347.94945</v>
      </c>
      <c r="R240" s="6">
        <f t="shared" si="12"/>
        <v>2421880.489</v>
      </c>
      <c r="S240" s="81">
        <f t="shared" si="3"/>
        <v>178.483725</v>
      </c>
      <c r="T240" s="6"/>
      <c r="U240" s="6"/>
      <c r="V240" s="6"/>
      <c r="W240" s="6"/>
      <c r="X240" s="6"/>
    </row>
    <row r="241" ht="11.25" customHeight="1">
      <c r="A241" s="7"/>
      <c r="B241" s="68">
        <f t="shared" si="13"/>
        <v>236</v>
      </c>
      <c r="C241" s="607">
        <v>20000.0</v>
      </c>
      <c r="D241" s="6">
        <f t="shared" si="14"/>
        <v>-4412.040401</v>
      </c>
      <c r="E241" s="6">
        <f t="shared" si="1"/>
        <v>24412.0404</v>
      </c>
      <c r="F241" s="6">
        <f t="shared" si="6"/>
        <v>3367492.529</v>
      </c>
      <c r="G241" s="6">
        <f t="shared" si="7"/>
        <v>1352507.471</v>
      </c>
      <c r="H241" s="6">
        <f t="shared" si="8"/>
        <v>4720000</v>
      </c>
      <c r="I241" s="6">
        <f t="shared" si="9"/>
        <v>-767492.529</v>
      </c>
      <c r="J241" s="610">
        <v>7.125</v>
      </c>
      <c r="K241" s="591"/>
      <c r="L241" s="6"/>
      <c r="M241" s="9">
        <v>20000.0</v>
      </c>
      <c r="N241" s="79">
        <f t="shared" si="10"/>
        <v>4720000</v>
      </c>
      <c r="O241" s="6">
        <f t="shared" si="2"/>
        <v>2442372.529</v>
      </c>
      <c r="P241" s="6"/>
      <c r="Q241" s="6">
        <f t="shared" si="11"/>
        <v>20492.0404</v>
      </c>
      <c r="R241" s="6">
        <f t="shared" si="12"/>
        <v>2442372.529</v>
      </c>
      <c r="S241" s="81">
        <f t="shared" si="3"/>
        <v>180.5810749</v>
      </c>
      <c r="T241" s="6"/>
      <c r="U241" s="6"/>
      <c r="V241" s="6"/>
      <c r="W241" s="6"/>
      <c r="X241" s="6"/>
    </row>
    <row r="242" ht="11.25" customHeight="1">
      <c r="A242" s="7"/>
      <c r="B242" s="68">
        <f t="shared" si="13"/>
        <v>237</v>
      </c>
      <c r="C242" s="607">
        <v>20000.0</v>
      </c>
      <c r="D242" s="6">
        <f t="shared" si="14"/>
        <v>-4556.986891</v>
      </c>
      <c r="E242" s="6">
        <f t="shared" si="1"/>
        <v>24556.98689</v>
      </c>
      <c r="F242" s="6">
        <f t="shared" si="6"/>
        <v>3392049.516</v>
      </c>
      <c r="G242" s="6">
        <f t="shared" si="7"/>
        <v>1347950.484</v>
      </c>
      <c r="H242" s="6">
        <f t="shared" si="8"/>
        <v>4740000</v>
      </c>
      <c r="I242" s="6">
        <f t="shared" si="9"/>
        <v>-792049.5159</v>
      </c>
      <c r="J242" s="610">
        <v>7.125</v>
      </c>
      <c r="K242" s="591"/>
      <c r="L242" s="6"/>
      <c r="M242" s="9">
        <v>20000.0</v>
      </c>
      <c r="N242" s="79">
        <f t="shared" si="10"/>
        <v>4740000</v>
      </c>
      <c r="O242" s="6">
        <f t="shared" si="2"/>
        <v>2463009.516</v>
      </c>
      <c r="P242" s="6"/>
      <c r="Q242" s="6">
        <f t="shared" si="11"/>
        <v>20636.98689</v>
      </c>
      <c r="R242" s="6">
        <f t="shared" si="12"/>
        <v>2463009.516</v>
      </c>
      <c r="S242" s="81">
        <f t="shared" si="3"/>
        <v>182.7225514</v>
      </c>
      <c r="T242" s="6"/>
      <c r="U242" s="6"/>
      <c r="V242" s="6"/>
      <c r="W242" s="6"/>
      <c r="X242" s="6"/>
    </row>
    <row r="243" ht="11.25" customHeight="1">
      <c r="A243" s="7"/>
      <c r="B243" s="68">
        <f t="shared" si="13"/>
        <v>238</v>
      </c>
      <c r="C243" s="607">
        <v>20000.0</v>
      </c>
      <c r="D243" s="6">
        <f t="shared" si="14"/>
        <v>-4702.794001</v>
      </c>
      <c r="E243" s="6">
        <f t="shared" si="1"/>
        <v>24702.794</v>
      </c>
      <c r="F243" s="6">
        <f t="shared" si="6"/>
        <v>3416752.31</v>
      </c>
      <c r="G243" s="6">
        <f t="shared" si="7"/>
        <v>1343247.69</v>
      </c>
      <c r="H243" s="6">
        <f t="shared" si="8"/>
        <v>4760000</v>
      </c>
      <c r="I243" s="6">
        <f t="shared" si="9"/>
        <v>-816752.3099</v>
      </c>
      <c r="J243" s="610">
        <v>7.125</v>
      </c>
      <c r="K243" s="591"/>
      <c r="L243" s="6"/>
      <c r="M243" s="9">
        <v>20000.0</v>
      </c>
      <c r="N243" s="79">
        <f t="shared" si="10"/>
        <v>4760000</v>
      </c>
      <c r="O243" s="6">
        <f t="shared" si="2"/>
        <v>2483792.31</v>
      </c>
      <c r="P243" s="6"/>
      <c r="Q243" s="6">
        <f t="shared" si="11"/>
        <v>20782.794</v>
      </c>
      <c r="R243" s="6">
        <f t="shared" si="12"/>
        <v>2483792.31</v>
      </c>
      <c r="S243" s="81">
        <f t="shared" si="3"/>
        <v>184.9094793</v>
      </c>
      <c r="T243" s="6"/>
      <c r="U243" s="6"/>
      <c r="V243" s="6"/>
      <c r="W243" s="6"/>
      <c r="X243" s="6"/>
    </row>
    <row r="244" ht="11.25" customHeight="1">
      <c r="A244" s="7"/>
      <c r="B244" s="68">
        <f t="shared" si="13"/>
        <v>239</v>
      </c>
      <c r="C244" s="607">
        <v>20000.0</v>
      </c>
      <c r="D244" s="6">
        <f t="shared" si="14"/>
        <v>-4849.46684</v>
      </c>
      <c r="E244" s="6">
        <f t="shared" si="1"/>
        <v>24849.46684</v>
      </c>
      <c r="F244" s="6">
        <f t="shared" si="6"/>
        <v>3441601.777</v>
      </c>
      <c r="G244" s="6">
        <f t="shared" si="7"/>
        <v>1338398.223</v>
      </c>
      <c r="H244" s="6">
        <f t="shared" si="8"/>
        <v>4780000</v>
      </c>
      <c r="I244" s="6">
        <f t="shared" si="9"/>
        <v>-841601.7768</v>
      </c>
      <c r="J244" s="610">
        <v>7.125</v>
      </c>
      <c r="K244" s="591"/>
      <c r="L244" s="6"/>
      <c r="M244" s="9">
        <v>20000.0</v>
      </c>
      <c r="N244" s="79">
        <f t="shared" si="10"/>
        <v>4780000</v>
      </c>
      <c r="O244" s="6">
        <f t="shared" si="2"/>
        <v>2504721.777</v>
      </c>
      <c r="P244" s="6"/>
      <c r="Q244" s="6">
        <f t="shared" si="11"/>
        <v>20929.46684</v>
      </c>
      <c r="R244" s="6">
        <f t="shared" si="12"/>
        <v>2504721.777</v>
      </c>
      <c r="S244" s="81">
        <f t="shared" si="3"/>
        <v>187.1432383</v>
      </c>
      <c r="T244" s="6"/>
      <c r="U244" s="6"/>
      <c r="V244" s="6"/>
      <c r="W244" s="6"/>
      <c r="X244" s="6"/>
    </row>
    <row r="245" ht="11.25" customHeight="1">
      <c r="A245" s="71"/>
      <c r="B245" s="72">
        <f t="shared" si="13"/>
        <v>240</v>
      </c>
      <c r="C245" s="607">
        <v>20000.0</v>
      </c>
      <c r="D245" s="10">
        <f t="shared" si="14"/>
        <v>-4997.01055</v>
      </c>
      <c r="E245" s="10">
        <f t="shared" si="1"/>
        <v>24997.01055</v>
      </c>
      <c r="F245" s="10">
        <f t="shared" si="6"/>
        <v>3466598.787</v>
      </c>
      <c r="G245" s="10">
        <f t="shared" si="7"/>
        <v>1333401.213</v>
      </c>
      <c r="H245" s="10">
        <f t="shared" si="8"/>
        <v>4800000</v>
      </c>
      <c r="I245" s="10">
        <f t="shared" si="9"/>
        <v>-866598.7873</v>
      </c>
      <c r="J245" s="610">
        <v>7.125</v>
      </c>
      <c r="K245" s="591"/>
      <c r="L245" s="6"/>
      <c r="M245" s="9">
        <v>20000.0</v>
      </c>
      <c r="N245" s="79">
        <f t="shared" si="10"/>
        <v>4800000</v>
      </c>
      <c r="O245" s="6">
        <f t="shared" si="2"/>
        <v>2525798.787</v>
      </c>
      <c r="P245" s="6"/>
      <c r="Q245" s="6">
        <f t="shared" si="11"/>
        <v>21077.01055</v>
      </c>
      <c r="R245" s="6">
        <f t="shared" si="12"/>
        <v>2525798.787</v>
      </c>
      <c r="S245" s="81">
        <f t="shared" si="3"/>
        <v>189.4252655</v>
      </c>
      <c r="T245" s="6"/>
      <c r="U245" s="6"/>
      <c r="V245" s="6"/>
      <c r="W245" s="6"/>
      <c r="X245" s="6"/>
    </row>
    <row r="246" ht="11.25" customHeight="1">
      <c r="A246" s="100">
        <v>21.0</v>
      </c>
      <c r="B246" s="66">
        <f t="shared" si="13"/>
        <v>241</v>
      </c>
      <c r="C246" s="607">
        <v>20000.0</v>
      </c>
      <c r="D246" s="617">
        <f t="shared" si="14"/>
        <v>-5145.4303</v>
      </c>
      <c r="E246" s="617">
        <f t="shared" si="1"/>
        <v>25145.4303</v>
      </c>
      <c r="F246" s="617">
        <f t="shared" si="6"/>
        <v>3491744.218</v>
      </c>
      <c r="G246" s="617">
        <f t="shared" si="7"/>
        <v>1328255.782</v>
      </c>
      <c r="H246" s="617">
        <f t="shared" si="8"/>
        <v>4820000</v>
      </c>
      <c r="I246" s="617">
        <f t="shared" si="9"/>
        <v>-891744.2176</v>
      </c>
      <c r="J246" s="610">
        <v>7.125</v>
      </c>
      <c r="K246" s="591"/>
      <c r="L246" s="6"/>
      <c r="M246" s="9">
        <v>20000.0</v>
      </c>
      <c r="N246" s="79">
        <f t="shared" si="10"/>
        <v>4820000</v>
      </c>
      <c r="O246" s="6">
        <f t="shared" si="2"/>
        <v>2547024.218</v>
      </c>
      <c r="P246" s="6"/>
      <c r="Q246" s="6">
        <f t="shared" si="11"/>
        <v>21225.4303</v>
      </c>
      <c r="R246" s="6">
        <f t="shared" si="12"/>
        <v>2547024.218</v>
      </c>
      <c r="S246" s="81">
        <f t="shared" si="3"/>
        <v>191.7570585</v>
      </c>
      <c r="T246" s="6"/>
      <c r="U246" s="6"/>
      <c r="V246" s="6"/>
      <c r="W246" s="6"/>
      <c r="X246" s="6"/>
    </row>
    <row r="247" ht="11.25" customHeight="1">
      <c r="A247" s="7"/>
      <c r="B247" s="68">
        <f t="shared" si="13"/>
        <v>242</v>
      </c>
      <c r="C247" s="607">
        <v>20000.0</v>
      </c>
      <c r="D247" s="6">
        <f t="shared" si="14"/>
        <v>-5294.731292</v>
      </c>
      <c r="E247" s="6">
        <f t="shared" si="1"/>
        <v>25294.73129</v>
      </c>
      <c r="F247" s="6">
        <f t="shared" si="6"/>
        <v>3517038.949</v>
      </c>
      <c r="G247" s="6">
        <f t="shared" si="7"/>
        <v>1322961.051</v>
      </c>
      <c r="H247" s="6">
        <f t="shared" si="8"/>
        <v>4840000</v>
      </c>
      <c r="I247" s="6">
        <f t="shared" si="9"/>
        <v>-917038.9489</v>
      </c>
      <c r="J247" s="610">
        <v>7.125</v>
      </c>
      <c r="K247" s="591"/>
      <c r="L247" s="6"/>
      <c r="M247" s="9">
        <v>20000.0</v>
      </c>
      <c r="N247" s="79">
        <f t="shared" si="10"/>
        <v>4840000</v>
      </c>
      <c r="O247" s="6">
        <f t="shared" si="2"/>
        <v>2568398.949</v>
      </c>
      <c r="P247" s="6"/>
      <c r="Q247" s="6">
        <f t="shared" si="11"/>
        <v>21374.73129</v>
      </c>
      <c r="R247" s="6">
        <f t="shared" si="12"/>
        <v>2568398.949</v>
      </c>
      <c r="S247" s="81">
        <f t="shared" si="3"/>
        <v>194.1401787</v>
      </c>
      <c r="T247" s="6"/>
      <c r="U247" s="6"/>
      <c r="V247" s="6"/>
      <c r="W247" s="6"/>
      <c r="X247" s="6"/>
    </row>
    <row r="248" ht="11.25" customHeight="1">
      <c r="A248" s="7"/>
      <c r="B248" s="68">
        <f t="shared" si="13"/>
        <v>243</v>
      </c>
      <c r="C248" s="607">
        <v>20000.0</v>
      </c>
      <c r="D248" s="6">
        <f t="shared" si="14"/>
        <v>-5444.918759</v>
      </c>
      <c r="E248" s="6">
        <f t="shared" si="1"/>
        <v>25444.91876</v>
      </c>
      <c r="F248" s="6">
        <f t="shared" si="6"/>
        <v>3542483.868</v>
      </c>
      <c r="G248" s="6">
        <f t="shared" si="7"/>
        <v>1317516.132</v>
      </c>
      <c r="H248" s="6">
        <f t="shared" si="8"/>
        <v>4860000</v>
      </c>
      <c r="I248" s="6">
        <f t="shared" si="9"/>
        <v>-942483.8677</v>
      </c>
      <c r="J248" s="610">
        <v>7.125</v>
      </c>
      <c r="K248" s="591"/>
      <c r="L248" s="6"/>
      <c r="M248" s="9">
        <v>20000.0</v>
      </c>
      <c r="N248" s="79">
        <f t="shared" si="10"/>
        <v>4860000</v>
      </c>
      <c r="O248" s="6">
        <f t="shared" si="2"/>
        <v>2589923.868</v>
      </c>
      <c r="P248" s="6"/>
      <c r="Q248" s="6">
        <f t="shared" si="11"/>
        <v>21524.91876</v>
      </c>
      <c r="R248" s="6">
        <f t="shared" si="12"/>
        <v>2589923.868</v>
      </c>
      <c r="S248" s="81">
        <f t="shared" si="3"/>
        <v>196.5762547</v>
      </c>
      <c r="T248" s="6"/>
      <c r="U248" s="6"/>
      <c r="V248" s="6"/>
      <c r="W248" s="6"/>
      <c r="X248" s="6"/>
    </row>
    <row r="249" ht="11.25" customHeight="1">
      <c r="A249" s="7"/>
      <c r="B249" s="68">
        <f t="shared" si="13"/>
        <v>244</v>
      </c>
      <c r="C249" s="607">
        <v>20000.0</v>
      </c>
      <c r="D249" s="6">
        <f t="shared" si="14"/>
        <v>-5595.997964</v>
      </c>
      <c r="E249" s="6">
        <f t="shared" si="1"/>
        <v>25595.99796</v>
      </c>
      <c r="F249" s="6">
        <f t="shared" si="6"/>
        <v>3568079.866</v>
      </c>
      <c r="G249" s="6">
        <f t="shared" si="7"/>
        <v>1311920.134</v>
      </c>
      <c r="H249" s="6">
        <f t="shared" si="8"/>
        <v>4880000</v>
      </c>
      <c r="I249" s="6">
        <f t="shared" si="9"/>
        <v>-968079.8656</v>
      </c>
      <c r="J249" s="610">
        <v>7.125</v>
      </c>
      <c r="K249" s="591"/>
      <c r="L249" s="6"/>
      <c r="M249" s="9">
        <v>20000.0</v>
      </c>
      <c r="N249" s="79">
        <f t="shared" si="10"/>
        <v>4880000</v>
      </c>
      <c r="O249" s="6">
        <f t="shared" si="2"/>
        <v>2611599.866</v>
      </c>
      <c r="P249" s="6"/>
      <c r="Q249" s="6">
        <f t="shared" si="11"/>
        <v>21675.99796</v>
      </c>
      <c r="R249" s="6">
        <f t="shared" si="12"/>
        <v>2611599.866</v>
      </c>
      <c r="S249" s="81">
        <f t="shared" si="3"/>
        <v>199.0669857</v>
      </c>
      <c r="T249" s="6"/>
      <c r="U249" s="6"/>
      <c r="V249" s="6"/>
      <c r="W249" s="6"/>
      <c r="X249" s="6"/>
    </row>
    <row r="250" ht="11.25" customHeight="1">
      <c r="A250" s="7"/>
      <c r="B250" s="68">
        <f t="shared" si="13"/>
        <v>245</v>
      </c>
      <c r="C250" s="607">
        <v>20000.0</v>
      </c>
      <c r="D250" s="6">
        <f t="shared" si="14"/>
        <v>-5747.974202</v>
      </c>
      <c r="E250" s="6">
        <f t="shared" si="1"/>
        <v>25747.9742</v>
      </c>
      <c r="F250" s="6">
        <f t="shared" si="6"/>
        <v>3593827.84</v>
      </c>
      <c r="G250" s="6">
        <f t="shared" si="7"/>
        <v>1306172.16</v>
      </c>
      <c r="H250" s="6">
        <f t="shared" si="8"/>
        <v>4900000</v>
      </c>
      <c r="I250" s="6">
        <f t="shared" si="9"/>
        <v>-993827.8398</v>
      </c>
      <c r="J250" s="610">
        <v>7.125</v>
      </c>
      <c r="K250" s="591"/>
      <c r="L250" s="6"/>
      <c r="M250" s="9">
        <v>20000.0</v>
      </c>
      <c r="N250" s="79">
        <f t="shared" si="10"/>
        <v>4900000</v>
      </c>
      <c r="O250" s="6">
        <f t="shared" si="2"/>
        <v>2633427.84</v>
      </c>
      <c r="P250" s="6"/>
      <c r="Q250" s="6">
        <f t="shared" si="11"/>
        <v>21827.9742</v>
      </c>
      <c r="R250" s="6">
        <f t="shared" si="12"/>
        <v>2633427.84</v>
      </c>
      <c r="S250" s="81">
        <f t="shared" si="3"/>
        <v>201.6141455</v>
      </c>
      <c r="T250" s="6"/>
      <c r="U250" s="6"/>
      <c r="V250" s="6"/>
      <c r="W250" s="6"/>
      <c r="X250" s="6"/>
    </row>
    <row r="251" ht="11.25" customHeight="1">
      <c r="A251" s="7"/>
      <c r="B251" s="68">
        <f t="shared" si="13"/>
        <v>246</v>
      </c>
      <c r="C251" s="607">
        <v>20000.0</v>
      </c>
      <c r="D251" s="6">
        <f t="shared" si="14"/>
        <v>-5900.852799</v>
      </c>
      <c r="E251" s="6">
        <f t="shared" si="1"/>
        <v>25900.8528</v>
      </c>
      <c r="F251" s="6">
        <f t="shared" si="6"/>
        <v>3619728.693</v>
      </c>
      <c r="G251" s="6">
        <f t="shared" si="7"/>
        <v>1300271.307</v>
      </c>
      <c r="H251" s="6">
        <f t="shared" si="8"/>
        <v>4920000</v>
      </c>
      <c r="I251" s="6">
        <f t="shared" si="9"/>
        <v>-1019728.693</v>
      </c>
      <c r="J251" s="610">
        <v>7.125</v>
      </c>
      <c r="K251" s="591"/>
      <c r="L251" s="6"/>
      <c r="M251" s="9">
        <v>20000.0</v>
      </c>
      <c r="N251" s="79">
        <f t="shared" si="10"/>
        <v>4920000</v>
      </c>
      <c r="O251" s="6">
        <f t="shared" si="2"/>
        <v>2655408.693</v>
      </c>
      <c r="P251" s="6"/>
      <c r="Q251" s="6">
        <f t="shared" si="11"/>
        <v>21980.8528</v>
      </c>
      <c r="R251" s="6">
        <f t="shared" si="12"/>
        <v>2655408.693</v>
      </c>
      <c r="S251" s="81">
        <f t="shared" si="3"/>
        <v>204.2195869</v>
      </c>
      <c r="T251" s="6"/>
      <c r="U251" s="6"/>
      <c r="V251" s="6"/>
      <c r="W251" s="6"/>
      <c r="X251" s="6"/>
    </row>
    <row r="252" ht="11.25" customHeight="1">
      <c r="A252" s="7"/>
      <c r="B252" s="68">
        <f t="shared" si="13"/>
        <v>247</v>
      </c>
      <c r="C252" s="607">
        <v>20000.0</v>
      </c>
      <c r="D252" s="6">
        <f t="shared" si="14"/>
        <v>-6054.639113</v>
      </c>
      <c r="E252" s="6">
        <f t="shared" si="1"/>
        <v>26054.63911</v>
      </c>
      <c r="F252" s="6">
        <f t="shared" si="6"/>
        <v>3645783.332</v>
      </c>
      <c r="G252" s="6">
        <f t="shared" si="7"/>
        <v>1294216.668</v>
      </c>
      <c r="H252" s="6">
        <f t="shared" si="8"/>
        <v>4940000</v>
      </c>
      <c r="I252" s="6">
        <f t="shared" si="9"/>
        <v>-1045783.332</v>
      </c>
      <c r="J252" s="610">
        <v>7.125</v>
      </c>
      <c r="K252" s="591"/>
      <c r="L252" s="6"/>
      <c r="M252" s="9">
        <v>20000.0</v>
      </c>
      <c r="N252" s="79">
        <f t="shared" si="10"/>
        <v>4940000</v>
      </c>
      <c r="O252" s="6">
        <f t="shared" si="2"/>
        <v>2677543.332</v>
      </c>
      <c r="P252" s="6"/>
      <c r="Q252" s="6">
        <f t="shared" si="11"/>
        <v>22134.63911</v>
      </c>
      <c r="R252" s="6">
        <f t="shared" si="12"/>
        <v>2677543.332</v>
      </c>
      <c r="S252" s="81">
        <f t="shared" si="3"/>
        <v>206.8852455</v>
      </c>
      <c r="T252" s="6"/>
      <c r="U252" s="6"/>
      <c r="V252" s="6"/>
      <c r="W252" s="6"/>
      <c r="X252" s="6"/>
    </row>
    <row r="253" ht="11.25" customHeight="1">
      <c r="A253" s="7"/>
      <c r="B253" s="68">
        <f t="shared" si="13"/>
        <v>248</v>
      </c>
      <c r="C253" s="607">
        <v>20000.0</v>
      </c>
      <c r="D253" s="6">
        <f t="shared" si="14"/>
        <v>-6209.338532</v>
      </c>
      <c r="E253" s="6">
        <f t="shared" si="1"/>
        <v>26209.33853</v>
      </c>
      <c r="F253" s="6">
        <f t="shared" si="6"/>
        <v>3671992.67</v>
      </c>
      <c r="G253" s="6">
        <f t="shared" si="7"/>
        <v>1288007.33</v>
      </c>
      <c r="H253" s="6">
        <f t="shared" si="8"/>
        <v>4960000</v>
      </c>
      <c r="I253" s="6">
        <f t="shared" si="9"/>
        <v>-1071992.67</v>
      </c>
      <c r="J253" s="610">
        <v>7.125</v>
      </c>
      <c r="K253" s="591"/>
      <c r="L253" s="6"/>
      <c r="M253" s="9">
        <v>20000.0</v>
      </c>
      <c r="N253" s="79">
        <f t="shared" si="10"/>
        <v>4960000</v>
      </c>
      <c r="O253" s="6">
        <f t="shared" si="2"/>
        <v>2699832.67</v>
      </c>
      <c r="P253" s="6"/>
      <c r="Q253" s="6">
        <f t="shared" si="11"/>
        <v>22289.33853</v>
      </c>
      <c r="R253" s="6">
        <f t="shared" si="12"/>
        <v>2699832.67</v>
      </c>
      <c r="S253" s="81">
        <f t="shared" si="3"/>
        <v>209.6131449</v>
      </c>
      <c r="T253" s="6"/>
      <c r="U253" s="6"/>
      <c r="V253" s="6"/>
      <c r="W253" s="6"/>
      <c r="X253" s="6"/>
    </row>
    <row r="254" ht="11.25" customHeight="1">
      <c r="A254" s="7"/>
      <c r="B254" s="68">
        <f t="shared" si="13"/>
        <v>249</v>
      </c>
      <c r="C254" s="607">
        <v>20000.0</v>
      </c>
      <c r="D254" s="6">
        <f t="shared" si="14"/>
        <v>-6364.95648</v>
      </c>
      <c r="E254" s="6">
        <f t="shared" si="1"/>
        <v>26364.95648</v>
      </c>
      <c r="F254" s="6">
        <f t="shared" si="6"/>
        <v>3698357.627</v>
      </c>
      <c r="G254" s="6">
        <f t="shared" si="7"/>
        <v>1281642.373</v>
      </c>
      <c r="H254" s="6">
        <f t="shared" si="8"/>
        <v>4980000</v>
      </c>
      <c r="I254" s="6">
        <f t="shared" si="9"/>
        <v>-1098357.627</v>
      </c>
      <c r="J254" s="610">
        <v>7.125</v>
      </c>
      <c r="K254" s="591"/>
      <c r="L254" s="6"/>
      <c r="M254" s="9">
        <v>20000.0</v>
      </c>
      <c r="N254" s="79">
        <f t="shared" si="10"/>
        <v>4980000</v>
      </c>
      <c r="O254" s="6">
        <f t="shared" si="2"/>
        <v>2722277.627</v>
      </c>
      <c r="P254" s="6"/>
      <c r="Q254" s="6">
        <f t="shared" si="11"/>
        <v>22444.95648</v>
      </c>
      <c r="R254" s="6">
        <f t="shared" si="12"/>
        <v>2722277.627</v>
      </c>
      <c r="S254" s="81">
        <f t="shared" si="3"/>
        <v>212.4054014</v>
      </c>
      <c r="T254" s="6"/>
      <c r="U254" s="6"/>
      <c r="V254" s="6"/>
      <c r="W254" s="6"/>
      <c r="X254" s="6"/>
    </row>
    <row r="255" ht="11.25" customHeight="1">
      <c r="A255" s="7"/>
      <c r="B255" s="68">
        <f t="shared" si="13"/>
        <v>250</v>
      </c>
      <c r="C255" s="607">
        <v>20000.0</v>
      </c>
      <c r="D255" s="6">
        <f t="shared" si="14"/>
        <v>-6521.498409</v>
      </c>
      <c r="E255" s="6">
        <f t="shared" si="1"/>
        <v>26521.49841</v>
      </c>
      <c r="F255" s="6">
        <f t="shared" si="6"/>
        <v>3724879.125</v>
      </c>
      <c r="G255" s="6">
        <f t="shared" si="7"/>
        <v>1275120.875</v>
      </c>
      <c r="H255" s="6">
        <f t="shared" si="8"/>
        <v>5000000</v>
      </c>
      <c r="I255" s="6">
        <f t="shared" si="9"/>
        <v>-1124879.125</v>
      </c>
      <c r="J255" s="610">
        <v>7.125</v>
      </c>
      <c r="K255" s="591"/>
      <c r="L255" s="6"/>
      <c r="M255" s="9">
        <v>20000.0</v>
      </c>
      <c r="N255" s="79">
        <f t="shared" si="10"/>
        <v>5000000</v>
      </c>
      <c r="O255" s="6">
        <f t="shared" si="2"/>
        <v>2744879.125</v>
      </c>
      <c r="P255" s="6"/>
      <c r="Q255" s="6">
        <f t="shared" si="11"/>
        <v>22601.49841</v>
      </c>
      <c r="R255" s="6">
        <f t="shared" si="12"/>
        <v>2744879.125</v>
      </c>
      <c r="S255" s="81">
        <f t="shared" si="3"/>
        <v>215.2642294</v>
      </c>
      <c r="T255" s="6"/>
      <c r="U255" s="6"/>
      <c r="V255" s="6"/>
      <c r="W255" s="6"/>
      <c r="X255" s="6"/>
    </row>
    <row r="256" ht="11.25" customHeight="1">
      <c r="A256" s="7"/>
      <c r="B256" s="68">
        <f t="shared" si="13"/>
        <v>251</v>
      </c>
      <c r="C256" s="607">
        <v>20000.0</v>
      </c>
      <c r="D256" s="6">
        <f t="shared" si="14"/>
        <v>-6678.969806</v>
      </c>
      <c r="E256" s="6">
        <f t="shared" si="1"/>
        <v>26678.96981</v>
      </c>
      <c r="F256" s="6">
        <f t="shared" si="6"/>
        <v>3751558.095</v>
      </c>
      <c r="G256" s="6">
        <f t="shared" si="7"/>
        <v>1268441.905</v>
      </c>
      <c r="H256" s="6">
        <f t="shared" si="8"/>
        <v>5020000</v>
      </c>
      <c r="I256" s="6">
        <f t="shared" si="9"/>
        <v>-1151558.095</v>
      </c>
      <c r="J256" s="610">
        <v>7.125</v>
      </c>
      <c r="K256" s="591"/>
      <c r="L256" s="6"/>
      <c r="M256" s="9">
        <v>20000.0</v>
      </c>
      <c r="N256" s="79">
        <f t="shared" si="10"/>
        <v>5020000</v>
      </c>
      <c r="O256" s="6">
        <f t="shared" si="2"/>
        <v>2767638.095</v>
      </c>
      <c r="P256" s="6"/>
      <c r="Q256" s="6">
        <f t="shared" si="11"/>
        <v>22758.96981</v>
      </c>
      <c r="R256" s="6">
        <f t="shared" si="12"/>
        <v>2767638.095</v>
      </c>
      <c r="S256" s="81">
        <f t="shared" si="3"/>
        <v>218.1919475</v>
      </c>
      <c r="T256" s="6"/>
      <c r="U256" s="6"/>
      <c r="V256" s="6"/>
      <c r="W256" s="6"/>
      <c r="X256" s="6"/>
    </row>
    <row r="257" ht="11.25" customHeight="1">
      <c r="A257" s="71"/>
      <c r="B257" s="72">
        <f t="shared" si="13"/>
        <v>252</v>
      </c>
      <c r="C257" s="607">
        <v>20000.0</v>
      </c>
      <c r="D257" s="10">
        <f t="shared" si="14"/>
        <v>-6837.376189</v>
      </c>
      <c r="E257" s="10">
        <f t="shared" si="1"/>
        <v>26837.37619</v>
      </c>
      <c r="F257" s="10">
        <f t="shared" si="6"/>
        <v>3778395.471</v>
      </c>
      <c r="G257" s="10">
        <f t="shared" si="7"/>
        <v>1261604.529</v>
      </c>
      <c r="H257" s="10">
        <f t="shared" si="8"/>
        <v>5040000</v>
      </c>
      <c r="I257" s="10">
        <f t="shared" si="9"/>
        <v>-1178395.471</v>
      </c>
      <c r="J257" s="610">
        <v>7.125</v>
      </c>
      <c r="K257" s="591"/>
      <c r="L257" s="6"/>
      <c r="M257" s="9">
        <v>20000.0</v>
      </c>
      <c r="N257" s="79">
        <f t="shared" si="10"/>
        <v>5040000</v>
      </c>
      <c r="O257" s="6">
        <f t="shared" si="2"/>
        <v>2790555.471</v>
      </c>
      <c r="P257" s="6"/>
      <c r="Q257" s="6">
        <f t="shared" si="11"/>
        <v>22917.37619</v>
      </c>
      <c r="R257" s="6">
        <f t="shared" si="12"/>
        <v>2790555.471</v>
      </c>
      <c r="S257" s="81">
        <f t="shared" si="3"/>
        <v>221.190984</v>
      </c>
      <c r="T257" s="6"/>
      <c r="U257" s="6"/>
      <c r="V257" s="6"/>
      <c r="W257" s="6"/>
      <c r="X257" s="6"/>
    </row>
    <row r="258" ht="11.25" customHeight="1">
      <c r="A258" s="100">
        <v>22.0</v>
      </c>
      <c r="B258" s="66">
        <f t="shared" si="13"/>
        <v>253</v>
      </c>
      <c r="C258" s="607">
        <v>20000.0</v>
      </c>
      <c r="D258" s="617">
        <f t="shared" si="14"/>
        <v>-6996.72311</v>
      </c>
      <c r="E258" s="617">
        <f t="shared" si="1"/>
        <v>26996.72311</v>
      </c>
      <c r="F258" s="617">
        <f t="shared" si="6"/>
        <v>3805392.194</v>
      </c>
      <c r="G258" s="617">
        <f t="shared" si="7"/>
        <v>1254607.806</v>
      </c>
      <c r="H258" s="617">
        <f t="shared" si="8"/>
        <v>5060000</v>
      </c>
      <c r="I258" s="617">
        <f t="shared" si="9"/>
        <v>-1205392.194</v>
      </c>
      <c r="J258" s="610">
        <v>7.125</v>
      </c>
      <c r="K258" s="591"/>
      <c r="L258" s="6"/>
      <c r="M258" s="9">
        <v>20000.0</v>
      </c>
      <c r="N258" s="79">
        <f t="shared" si="10"/>
        <v>5060000</v>
      </c>
      <c r="O258" s="6">
        <f t="shared" si="2"/>
        <v>2813632.194</v>
      </c>
      <c r="P258" s="6"/>
      <c r="Q258" s="6">
        <f t="shared" si="11"/>
        <v>23076.72311</v>
      </c>
      <c r="R258" s="6">
        <f t="shared" si="12"/>
        <v>2813632.194</v>
      </c>
      <c r="S258" s="81">
        <f t="shared" si="3"/>
        <v>224.263884</v>
      </c>
      <c r="T258" s="6"/>
      <c r="U258" s="6"/>
      <c r="V258" s="6"/>
      <c r="W258" s="6"/>
      <c r="X258" s="6"/>
    </row>
    <row r="259" ht="11.25" customHeight="1">
      <c r="A259" s="7"/>
      <c r="B259" s="68">
        <f t="shared" si="13"/>
        <v>254</v>
      </c>
      <c r="C259" s="607">
        <v>20000.0</v>
      </c>
      <c r="D259" s="6">
        <f t="shared" si="14"/>
        <v>-7157.016154</v>
      </c>
      <c r="E259" s="6">
        <f t="shared" si="1"/>
        <v>27157.01615</v>
      </c>
      <c r="F259" s="6">
        <f t="shared" si="6"/>
        <v>3832549.21</v>
      </c>
      <c r="G259" s="6">
        <f t="shared" si="7"/>
        <v>1247450.79</v>
      </c>
      <c r="H259" s="6">
        <f t="shared" si="8"/>
        <v>5080000</v>
      </c>
      <c r="I259" s="6">
        <f t="shared" si="9"/>
        <v>-1232549.21</v>
      </c>
      <c r="J259" s="610">
        <v>7.125</v>
      </c>
      <c r="K259" s="591"/>
      <c r="L259" s="6"/>
      <c r="M259" s="9">
        <v>20000.0</v>
      </c>
      <c r="N259" s="79">
        <f t="shared" si="10"/>
        <v>5080000</v>
      </c>
      <c r="O259" s="6">
        <f t="shared" si="2"/>
        <v>2836869.21</v>
      </c>
      <c r="P259" s="6"/>
      <c r="Q259" s="6">
        <f t="shared" si="11"/>
        <v>23237.01615</v>
      </c>
      <c r="R259" s="6">
        <f t="shared" si="12"/>
        <v>2836869.21</v>
      </c>
      <c r="S259" s="81">
        <f t="shared" si="3"/>
        <v>227.4133164</v>
      </c>
      <c r="T259" s="6"/>
      <c r="U259" s="6"/>
      <c r="V259" s="6"/>
      <c r="W259" s="6"/>
      <c r="X259" s="6"/>
    </row>
    <row r="260" ht="11.25" customHeight="1">
      <c r="A260" s="7"/>
      <c r="B260" s="68">
        <f t="shared" si="13"/>
        <v>255</v>
      </c>
      <c r="C260" s="607">
        <v>20000.0</v>
      </c>
      <c r="D260" s="6">
        <f t="shared" si="14"/>
        <v>-7318.260937</v>
      </c>
      <c r="E260" s="6">
        <f t="shared" si="1"/>
        <v>27318.26094</v>
      </c>
      <c r="F260" s="6">
        <f t="shared" si="6"/>
        <v>3859867.471</v>
      </c>
      <c r="G260" s="6">
        <f t="shared" si="7"/>
        <v>1240132.529</v>
      </c>
      <c r="H260" s="6">
        <f t="shared" si="8"/>
        <v>5100000</v>
      </c>
      <c r="I260" s="6">
        <f t="shared" si="9"/>
        <v>-1259867.471</v>
      </c>
      <c r="J260" s="610">
        <v>7.125</v>
      </c>
      <c r="K260" s="591"/>
      <c r="L260" s="6"/>
      <c r="M260" s="9">
        <v>20000.0</v>
      </c>
      <c r="N260" s="79">
        <f t="shared" si="10"/>
        <v>5100000</v>
      </c>
      <c r="O260" s="6">
        <f t="shared" si="2"/>
        <v>2860267.471</v>
      </c>
      <c r="P260" s="6"/>
      <c r="Q260" s="6">
        <f t="shared" si="11"/>
        <v>23398.26094</v>
      </c>
      <c r="R260" s="6">
        <f t="shared" si="12"/>
        <v>2860267.471</v>
      </c>
      <c r="S260" s="81">
        <f t="shared" si="3"/>
        <v>230.642081</v>
      </c>
      <c r="T260" s="6"/>
      <c r="U260" s="6"/>
      <c r="V260" s="6"/>
      <c r="W260" s="6"/>
      <c r="X260" s="6"/>
    </row>
    <row r="261" ht="11.25" customHeight="1">
      <c r="A261" s="7"/>
      <c r="B261" s="68">
        <f t="shared" si="13"/>
        <v>256</v>
      </c>
      <c r="C261" s="607">
        <v>20000.0</v>
      </c>
      <c r="D261" s="6">
        <f t="shared" si="14"/>
        <v>-7480.463111</v>
      </c>
      <c r="E261" s="6">
        <f t="shared" si="1"/>
        <v>27480.46311</v>
      </c>
      <c r="F261" s="6">
        <f t="shared" si="6"/>
        <v>3887347.934</v>
      </c>
      <c r="G261" s="6">
        <f t="shared" si="7"/>
        <v>1232652.066</v>
      </c>
      <c r="H261" s="6">
        <f t="shared" si="8"/>
        <v>5120000</v>
      </c>
      <c r="I261" s="6">
        <f t="shared" si="9"/>
        <v>-1287347.934</v>
      </c>
      <c r="J261" s="610">
        <v>7.125</v>
      </c>
      <c r="K261" s="591"/>
      <c r="L261" s="6"/>
      <c r="M261" s="9">
        <v>20000.0</v>
      </c>
      <c r="N261" s="79">
        <f t="shared" si="10"/>
        <v>5120000</v>
      </c>
      <c r="O261" s="6">
        <f t="shared" si="2"/>
        <v>2883827.934</v>
      </c>
      <c r="P261" s="6"/>
      <c r="Q261" s="6">
        <f t="shared" si="11"/>
        <v>23560.46311</v>
      </c>
      <c r="R261" s="6">
        <f t="shared" si="12"/>
        <v>2883827.934</v>
      </c>
      <c r="S261" s="81">
        <f t="shared" si="3"/>
        <v>233.9531174</v>
      </c>
      <c r="T261" s="6"/>
      <c r="U261" s="6"/>
      <c r="V261" s="6"/>
      <c r="W261" s="6"/>
      <c r="X261" s="6"/>
    </row>
    <row r="262" ht="11.25" customHeight="1">
      <c r="A262" s="7"/>
      <c r="B262" s="68">
        <f t="shared" si="13"/>
        <v>257</v>
      </c>
      <c r="C262" s="607">
        <v>20000.0</v>
      </c>
      <c r="D262" s="6">
        <f t="shared" si="14"/>
        <v>-7643.628361</v>
      </c>
      <c r="E262" s="6">
        <f t="shared" si="1"/>
        <v>27643.62836</v>
      </c>
      <c r="F262" s="6">
        <f t="shared" si="6"/>
        <v>3914991.563</v>
      </c>
      <c r="G262" s="6">
        <f t="shared" si="7"/>
        <v>1225008.437</v>
      </c>
      <c r="H262" s="6">
        <f t="shared" si="8"/>
        <v>5140000</v>
      </c>
      <c r="I262" s="6">
        <f t="shared" si="9"/>
        <v>-1314991.563</v>
      </c>
      <c r="J262" s="610">
        <v>7.125</v>
      </c>
      <c r="K262" s="591"/>
      <c r="L262" s="6"/>
      <c r="M262" s="9">
        <v>20000.0</v>
      </c>
      <c r="N262" s="79">
        <f t="shared" si="10"/>
        <v>5140000</v>
      </c>
      <c r="O262" s="6">
        <f t="shared" si="2"/>
        <v>2907551.563</v>
      </c>
      <c r="P262" s="6"/>
      <c r="Q262" s="6">
        <f t="shared" si="11"/>
        <v>23723.62836</v>
      </c>
      <c r="R262" s="6">
        <f t="shared" si="12"/>
        <v>2907551.563</v>
      </c>
      <c r="S262" s="81">
        <f t="shared" si="3"/>
        <v>237.3495132</v>
      </c>
      <c r="T262" s="6"/>
      <c r="U262" s="6"/>
      <c r="V262" s="6"/>
      <c r="W262" s="6"/>
      <c r="X262" s="6"/>
    </row>
    <row r="263" ht="11.25" customHeight="1">
      <c r="A263" s="7"/>
      <c r="B263" s="68">
        <f t="shared" si="13"/>
        <v>258</v>
      </c>
      <c r="C263" s="607">
        <v>20000.0</v>
      </c>
      <c r="D263" s="6">
        <f t="shared" si="14"/>
        <v>-7807.762404</v>
      </c>
      <c r="E263" s="6">
        <f t="shared" si="1"/>
        <v>27807.7624</v>
      </c>
      <c r="F263" s="6">
        <f t="shared" si="6"/>
        <v>3942799.325</v>
      </c>
      <c r="G263" s="6">
        <f t="shared" si="7"/>
        <v>1217200.675</v>
      </c>
      <c r="H263" s="6">
        <f t="shared" si="8"/>
        <v>5160000</v>
      </c>
      <c r="I263" s="6">
        <f t="shared" si="9"/>
        <v>-1342799.325</v>
      </c>
      <c r="J263" s="610">
        <v>7.125</v>
      </c>
      <c r="K263" s="591"/>
      <c r="L263" s="6"/>
      <c r="M263" s="9">
        <v>20000.0</v>
      </c>
      <c r="N263" s="79">
        <f t="shared" si="10"/>
        <v>5160000</v>
      </c>
      <c r="O263" s="6">
        <f t="shared" si="2"/>
        <v>2931439.325</v>
      </c>
      <c r="P263" s="6"/>
      <c r="Q263" s="6">
        <f t="shared" si="11"/>
        <v>23887.7624</v>
      </c>
      <c r="R263" s="6">
        <f t="shared" si="12"/>
        <v>2931439.325</v>
      </c>
      <c r="S263" s="81">
        <f t="shared" si="3"/>
        <v>240.8345137</v>
      </c>
      <c r="T263" s="6"/>
      <c r="U263" s="6"/>
      <c r="V263" s="6"/>
      <c r="W263" s="6"/>
      <c r="X263" s="6"/>
    </row>
    <row r="264" ht="11.25" customHeight="1">
      <c r="A264" s="7"/>
      <c r="B264" s="68">
        <f t="shared" si="13"/>
        <v>259</v>
      </c>
      <c r="C264" s="607">
        <v>20000.0</v>
      </c>
      <c r="D264" s="6">
        <f t="shared" si="14"/>
        <v>-7972.870994</v>
      </c>
      <c r="E264" s="6">
        <f t="shared" si="1"/>
        <v>27972.87099</v>
      </c>
      <c r="F264" s="6">
        <f t="shared" si="6"/>
        <v>3970772.196</v>
      </c>
      <c r="G264" s="6">
        <f t="shared" si="7"/>
        <v>1209227.804</v>
      </c>
      <c r="H264" s="6">
        <f t="shared" si="8"/>
        <v>5180000</v>
      </c>
      <c r="I264" s="6">
        <f t="shared" si="9"/>
        <v>-1370772.196</v>
      </c>
      <c r="J264" s="610">
        <v>7.125</v>
      </c>
      <c r="K264" s="591"/>
      <c r="L264" s="6"/>
      <c r="M264" s="9">
        <v>20000.0</v>
      </c>
      <c r="N264" s="79">
        <f t="shared" si="10"/>
        <v>5180000</v>
      </c>
      <c r="O264" s="6">
        <f t="shared" si="2"/>
        <v>2955492.196</v>
      </c>
      <c r="P264" s="6"/>
      <c r="Q264" s="6">
        <f t="shared" si="11"/>
        <v>24052.87099</v>
      </c>
      <c r="R264" s="6">
        <f t="shared" si="12"/>
        <v>2955492.196</v>
      </c>
      <c r="S264" s="81">
        <f t="shared" si="3"/>
        <v>244.4115316</v>
      </c>
      <c r="T264" s="6"/>
      <c r="U264" s="6"/>
      <c r="V264" s="6"/>
      <c r="W264" s="6"/>
      <c r="X264" s="6"/>
    </row>
    <row r="265" ht="11.25" customHeight="1">
      <c r="A265" s="7"/>
      <c r="B265" s="68">
        <f t="shared" si="13"/>
        <v>260</v>
      </c>
      <c r="C265" s="607">
        <v>20000.0</v>
      </c>
      <c r="D265" s="6">
        <f t="shared" si="14"/>
        <v>-8138.959915</v>
      </c>
      <c r="E265" s="6">
        <f t="shared" si="1"/>
        <v>28138.95992</v>
      </c>
      <c r="F265" s="6">
        <f t="shared" si="6"/>
        <v>3998911.156</v>
      </c>
      <c r="G265" s="6">
        <f t="shared" si="7"/>
        <v>1201088.844</v>
      </c>
      <c r="H265" s="6">
        <f t="shared" si="8"/>
        <v>5200000</v>
      </c>
      <c r="I265" s="6">
        <f t="shared" si="9"/>
        <v>-1398911.156</v>
      </c>
      <c r="J265" s="610">
        <v>7.125</v>
      </c>
      <c r="K265" s="591"/>
      <c r="L265" s="6"/>
      <c r="M265" s="9">
        <v>20000.0</v>
      </c>
      <c r="N265" s="79">
        <f t="shared" si="10"/>
        <v>5200000</v>
      </c>
      <c r="O265" s="6">
        <f t="shared" si="2"/>
        <v>2979711.156</v>
      </c>
      <c r="P265" s="6"/>
      <c r="Q265" s="6">
        <f t="shared" si="11"/>
        <v>24218.95992</v>
      </c>
      <c r="R265" s="6">
        <f t="shared" si="12"/>
        <v>2979711.156</v>
      </c>
      <c r="S265" s="81">
        <f t="shared" si="3"/>
        <v>248.0841589</v>
      </c>
      <c r="T265" s="6"/>
      <c r="U265" s="6"/>
      <c r="V265" s="6"/>
      <c r="W265" s="6"/>
      <c r="X265" s="6"/>
    </row>
    <row r="266" ht="11.25" customHeight="1">
      <c r="A266" s="7"/>
      <c r="B266" s="68">
        <f t="shared" si="13"/>
        <v>261</v>
      </c>
      <c r="C266" s="607">
        <v>20000.0</v>
      </c>
      <c r="D266" s="6">
        <f t="shared" si="14"/>
        <v>-8306.03499</v>
      </c>
      <c r="E266" s="6">
        <f t="shared" si="1"/>
        <v>28306.03499</v>
      </c>
      <c r="F266" s="6">
        <f t="shared" si="6"/>
        <v>4027217.191</v>
      </c>
      <c r="G266" s="6">
        <f t="shared" si="7"/>
        <v>1192782.809</v>
      </c>
      <c r="H266" s="6">
        <f t="shared" si="8"/>
        <v>5220000</v>
      </c>
      <c r="I266" s="6">
        <f t="shared" si="9"/>
        <v>-1427217.191</v>
      </c>
      <c r="J266" s="610">
        <v>7.125</v>
      </c>
      <c r="K266" s="591"/>
      <c r="L266" s="6"/>
      <c r="M266" s="9">
        <v>20000.0</v>
      </c>
      <c r="N266" s="79">
        <f t="shared" si="10"/>
        <v>5220000</v>
      </c>
      <c r="O266" s="6">
        <f t="shared" si="2"/>
        <v>3004097.191</v>
      </c>
      <c r="P266" s="6"/>
      <c r="Q266" s="6">
        <f t="shared" si="11"/>
        <v>24386.03499</v>
      </c>
      <c r="R266" s="6">
        <f t="shared" si="12"/>
        <v>3004097.191</v>
      </c>
      <c r="S266" s="81">
        <f t="shared" si="3"/>
        <v>251.8561777</v>
      </c>
      <c r="T266" s="6"/>
      <c r="U266" s="6"/>
      <c r="V266" s="6"/>
      <c r="W266" s="6"/>
      <c r="X266" s="6"/>
    </row>
    <row r="267" ht="11.25" customHeight="1">
      <c r="A267" s="7"/>
      <c r="B267" s="68">
        <f t="shared" si="13"/>
        <v>262</v>
      </c>
      <c r="C267" s="607">
        <v>20000.0</v>
      </c>
      <c r="D267" s="6">
        <f t="shared" si="14"/>
        <v>-8474.102072</v>
      </c>
      <c r="E267" s="6">
        <f t="shared" si="1"/>
        <v>28474.10207</v>
      </c>
      <c r="F267" s="6">
        <f t="shared" si="6"/>
        <v>4055691.293</v>
      </c>
      <c r="G267" s="6">
        <f t="shared" si="7"/>
        <v>1184308.707</v>
      </c>
      <c r="H267" s="6">
        <f t="shared" si="8"/>
        <v>5240000</v>
      </c>
      <c r="I267" s="6">
        <f t="shared" si="9"/>
        <v>-1455691.293</v>
      </c>
      <c r="J267" s="610">
        <v>7.125</v>
      </c>
      <c r="K267" s="591"/>
      <c r="L267" s="6"/>
      <c r="M267" s="9">
        <v>20000.0</v>
      </c>
      <c r="N267" s="79">
        <f t="shared" si="10"/>
        <v>5240000</v>
      </c>
      <c r="O267" s="6">
        <f t="shared" si="2"/>
        <v>3028651.293</v>
      </c>
      <c r="P267" s="6"/>
      <c r="Q267" s="6">
        <f t="shared" si="11"/>
        <v>24554.10207</v>
      </c>
      <c r="R267" s="6">
        <f t="shared" si="12"/>
        <v>3028651.293</v>
      </c>
      <c r="S267" s="81">
        <f t="shared" si="3"/>
        <v>255.7315737</v>
      </c>
      <c r="T267" s="6"/>
      <c r="U267" s="6"/>
      <c r="V267" s="6"/>
      <c r="W267" s="6"/>
      <c r="X267" s="6"/>
    </row>
    <row r="268" ht="11.25" customHeight="1">
      <c r="A268" s="7"/>
      <c r="B268" s="68">
        <f t="shared" si="13"/>
        <v>263</v>
      </c>
      <c r="C268" s="607">
        <v>20000.0</v>
      </c>
      <c r="D268" s="6">
        <f t="shared" si="14"/>
        <v>-8643.167054</v>
      </c>
      <c r="E268" s="6">
        <f t="shared" si="1"/>
        <v>28643.16705</v>
      </c>
      <c r="F268" s="6">
        <f t="shared" si="6"/>
        <v>4084334.46</v>
      </c>
      <c r="G268" s="6">
        <f t="shared" si="7"/>
        <v>1175665.54</v>
      </c>
      <c r="H268" s="6">
        <f t="shared" si="8"/>
        <v>5260000</v>
      </c>
      <c r="I268" s="6">
        <f t="shared" si="9"/>
        <v>-1484334.46</v>
      </c>
      <c r="J268" s="610">
        <v>7.125</v>
      </c>
      <c r="K268" s="591"/>
      <c r="L268" s="6"/>
      <c r="M268" s="9">
        <v>20000.0</v>
      </c>
      <c r="N268" s="79">
        <f t="shared" si="10"/>
        <v>5260000</v>
      </c>
      <c r="O268" s="6">
        <f t="shared" si="2"/>
        <v>3053374.46</v>
      </c>
      <c r="P268" s="6"/>
      <c r="Q268" s="6">
        <f t="shared" si="11"/>
        <v>24723.16705</v>
      </c>
      <c r="R268" s="6">
        <f t="shared" si="12"/>
        <v>3053374.46</v>
      </c>
      <c r="S268" s="81">
        <f t="shared" si="3"/>
        <v>259.7145495</v>
      </c>
      <c r="T268" s="6"/>
      <c r="U268" s="6"/>
      <c r="V268" s="6"/>
      <c r="W268" s="6"/>
      <c r="X268" s="6"/>
    </row>
    <row r="269" ht="11.25" customHeight="1">
      <c r="A269" s="71"/>
      <c r="B269" s="72">
        <f t="shared" si="13"/>
        <v>264</v>
      </c>
      <c r="C269" s="607">
        <v>20000.0</v>
      </c>
      <c r="D269" s="10">
        <f t="shared" si="14"/>
        <v>-8813.235858</v>
      </c>
      <c r="E269" s="10">
        <f t="shared" si="1"/>
        <v>28813.23586</v>
      </c>
      <c r="F269" s="10">
        <f t="shared" si="6"/>
        <v>4113147.696</v>
      </c>
      <c r="G269" s="10">
        <f t="shared" si="7"/>
        <v>1166852.304</v>
      </c>
      <c r="H269" s="10">
        <f t="shared" si="8"/>
        <v>5280000</v>
      </c>
      <c r="I269" s="10">
        <f t="shared" si="9"/>
        <v>-1513147.696</v>
      </c>
      <c r="J269" s="610">
        <v>7.125</v>
      </c>
      <c r="K269" s="591"/>
      <c r="L269" s="6"/>
      <c r="M269" s="9">
        <v>20000.0</v>
      </c>
      <c r="N269" s="79">
        <f t="shared" si="10"/>
        <v>5280000</v>
      </c>
      <c r="O269" s="6">
        <f t="shared" si="2"/>
        <v>3078267.696</v>
      </c>
      <c r="P269" s="6"/>
      <c r="Q269" s="6">
        <f t="shared" si="11"/>
        <v>24893.23586</v>
      </c>
      <c r="R269" s="6">
        <f t="shared" si="12"/>
        <v>3078267.696</v>
      </c>
      <c r="S269" s="81">
        <f t="shared" si="3"/>
        <v>263.8095401</v>
      </c>
      <c r="T269" s="6"/>
      <c r="U269" s="6"/>
      <c r="V269" s="6"/>
      <c r="W269" s="6"/>
      <c r="X269" s="6"/>
    </row>
    <row r="270" ht="11.25" customHeight="1">
      <c r="A270" s="100">
        <v>23.0</v>
      </c>
      <c r="B270" s="66">
        <f t="shared" si="13"/>
        <v>265</v>
      </c>
      <c r="C270" s="607">
        <v>20000.0</v>
      </c>
      <c r="D270" s="617">
        <f t="shared" si="14"/>
        <v>-8984.314446</v>
      </c>
      <c r="E270" s="617">
        <f t="shared" si="1"/>
        <v>28984.31445</v>
      </c>
      <c r="F270" s="617">
        <f t="shared" si="6"/>
        <v>4142132.011</v>
      </c>
      <c r="G270" s="617">
        <f t="shared" si="7"/>
        <v>1157867.989</v>
      </c>
      <c r="H270" s="617">
        <f t="shared" si="8"/>
        <v>5300000</v>
      </c>
      <c r="I270" s="617">
        <f t="shared" si="9"/>
        <v>-1542132.011</v>
      </c>
      <c r="J270" s="610">
        <v>7.125</v>
      </c>
      <c r="K270" s="591"/>
      <c r="L270" s="6"/>
      <c r="M270" s="9">
        <v>20000.0</v>
      </c>
      <c r="N270" s="79">
        <f t="shared" si="10"/>
        <v>5300000</v>
      </c>
      <c r="O270" s="6">
        <f t="shared" si="2"/>
        <v>3103332.011</v>
      </c>
      <c r="P270" s="6"/>
      <c r="Q270" s="6">
        <f t="shared" si="11"/>
        <v>25064.31445</v>
      </c>
      <c r="R270" s="6">
        <f t="shared" si="12"/>
        <v>3103332.011</v>
      </c>
      <c r="S270" s="81">
        <f t="shared" si="3"/>
        <v>268.0212286</v>
      </c>
      <c r="T270" s="6"/>
      <c r="U270" s="6"/>
      <c r="V270" s="6"/>
      <c r="W270" s="6"/>
      <c r="X270" s="6"/>
    </row>
    <row r="271" ht="11.25" customHeight="1">
      <c r="A271" s="7"/>
      <c r="B271" s="68">
        <f t="shared" si="13"/>
        <v>266</v>
      </c>
      <c r="C271" s="607">
        <v>20000.0</v>
      </c>
      <c r="D271" s="6">
        <f t="shared" si="14"/>
        <v>-9156.408813</v>
      </c>
      <c r="E271" s="6">
        <f t="shared" si="1"/>
        <v>29156.40881</v>
      </c>
      <c r="F271" s="6">
        <f t="shared" si="6"/>
        <v>4171288.419</v>
      </c>
      <c r="G271" s="6">
        <f t="shared" si="7"/>
        <v>1148711.581</v>
      </c>
      <c r="H271" s="6">
        <f t="shared" si="8"/>
        <v>5320000</v>
      </c>
      <c r="I271" s="6">
        <f t="shared" si="9"/>
        <v>-1571288.419</v>
      </c>
      <c r="J271" s="610">
        <v>7.125</v>
      </c>
      <c r="K271" s="591"/>
      <c r="L271" s="6"/>
      <c r="M271" s="9">
        <v>20000.0</v>
      </c>
      <c r="N271" s="79">
        <f t="shared" si="10"/>
        <v>5320000</v>
      </c>
      <c r="O271" s="6">
        <f t="shared" si="2"/>
        <v>3128568.419</v>
      </c>
      <c r="P271" s="6"/>
      <c r="Q271" s="6">
        <f t="shared" si="11"/>
        <v>25236.40881</v>
      </c>
      <c r="R271" s="6">
        <f t="shared" si="12"/>
        <v>3128568.419</v>
      </c>
      <c r="S271" s="81">
        <f t="shared" si="3"/>
        <v>272.3545642</v>
      </c>
      <c r="T271" s="6"/>
      <c r="U271" s="6"/>
      <c r="V271" s="6"/>
      <c r="W271" s="6"/>
      <c r="X271" s="6"/>
    </row>
    <row r="272" ht="11.25" customHeight="1">
      <c r="A272" s="7"/>
      <c r="B272" s="68">
        <f t="shared" si="13"/>
        <v>267</v>
      </c>
      <c r="C272" s="607">
        <v>20000.0</v>
      </c>
      <c r="D272" s="6">
        <f t="shared" si="14"/>
        <v>-9329.52499</v>
      </c>
      <c r="E272" s="6">
        <f t="shared" si="1"/>
        <v>29329.52499</v>
      </c>
      <c r="F272" s="6">
        <f t="shared" si="6"/>
        <v>4200617.944</v>
      </c>
      <c r="G272" s="6">
        <f t="shared" si="7"/>
        <v>1139382.056</v>
      </c>
      <c r="H272" s="6">
        <f t="shared" si="8"/>
        <v>5340000</v>
      </c>
      <c r="I272" s="6">
        <f t="shared" si="9"/>
        <v>-1600617.944</v>
      </c>
      <c r="J272" s="610">
        <v>7.125</v>
      </c>
      <c r="K272" s="591"/>
      <c r="L272" s="6"/>
      <c r="M272" s="9">
        <v>20000.0</v>
      </c>
      <c r="N272" s="79">
        <f t="shared" si="10"/>
        <v>5340000</v>
      </c>
      <c r="O272" s="6">
        <f t="shared" si="2"/>
        <v>3153977.944</v>
      </c>
      <c r="P272" s="6"/>
      <c r="Q272" s="6">
        <f t="shared" si="11"/>
        <v>25409.52499</v>
      </c>
      <c r="R272" s="6">
        <f t="shared" si="12"/>
        <v>3153977.944</v>
      </c>
      <c r="S272" s="81">
        <f t="shared" si="3"/>
        <v>276.8147812</v>
      </c>
      <c r="T272" s="6"/>
      <c r="U272" s="6"/>
      <c r="V272" s="6"/>
      <c r="W272" s="6"/>
      <c r="X272" s="6"/>
    </row>
    <row r="273" ht="11.25" customHeight="1">
      <c r="A273" s="7"/>
      <c r="B273" s="68">
        <f t="shared" si="13"/>
        <v>268</v>
      </c>
      <c r="C273" s="607">
        <v>20000.0</v>
      </c>
      <c r="D273" s="6">
        <f t="shared" si="14"/>
        <v>-9503.669045</v>
      </c>
      <c r="E273" s="6">
        <f t="shared" si="1"/>
        <v>29503.66904</v>
      </c>
      <c r="F273" s="6">
        <f t="shared" si="6"/>
        <v>4230121.613</v>
      </c>
      <c r="G273" s="6">
        <f t="shared" si="7"/>
        <v>1129878.387</v>
      </c>
      <c r="H273" s="6">
        <f t="shared" si="8"/>
        <v>5360000</v>
      </c>
      <c r="I273" s="6">
        <f t="shared" si="9"/>
        <v>-1630121.613</v>
      </c>
      <c r="J273" s="610">
        <v>7.125</v>
      </c>
      <c r="K273" s="591"/>
      <c r="L273" s="6"/>
      <c r="M273" s="9">
        <v>20000.0</v>
      </c>
      <c r="N273" s="79">
        <f t="shared" si="10"/>
        <v>5360000</v>
      </c>
      <c r="O273" s="6">
        <f t="shared" si="2"/>
        <v>3179561.613</v>
      </c>
      <c r="P273" s="6"/>
      <c r="Q273" s="6">
        <f t="shared" si="11"/>
        <v>25583.66904</v>
      </c>
      <c r="R273" s="6">
        <f t="shared" si="12"/>
        <v>3179561.613</v>
      </c>
      <c r="S273" s="81">
        <f t="shared" si="3"/>
        <v>281.4074197</v>
      </c>
      <c r="T273" s="6"/>
      <c r="U273" s="6"/>
      <c r="V273" s="6"/>
      <c r="W273" s="6"/>
      <c r="X273" s="6"/>
    </row>
    <row r="274" ht="11.25" customHeight="1">
      <c r="A274" s="7"/>
      <c r="B274" s="68">
        <f t="shared" si="13"/>
        <v>269</v>
      </c>
      <c r="C274" s="607">
        <v>20000.0</v>
      </c>
      <c r="D274" s="6">
        <f t="shared" si="14"/>
        <v>-9678.84708</v>
      </c>
      <c r="E274" s="6">
        <f t="shared" si="1"/>
        <v>29678.84708</v>
      </c>
      <c r="F274" s="6">
        <f t="shared" si="6"/>
        <v>4259800.461</v>
      </c>
      <c r="G274" s="6">
        <f t="shared" si="7"/>
        <v>1120199.539</v>
      </c>
      <c r="H274" s="6">
        <f t="shared" si="8"/>
        <v>5380000</v>
      </c>
      <c r="I274" s="6">
        <f t="shared" si="9"/>
        <v>-1659800.461</v>
      </c>
      <c r="J274" s="610">
        <v>7.125</v>
      </c>
      <c r="K274" s="591"/>
      <c r="L274" s="6"/>
      <c r="M274" s="9">
        <v>20000.0</v>
      </c>
      <c r="N274" s="79">
        <f t="shared" si="10"/>
        <v>5380000</v>
      </c>
      <c r="O274" s="6">
        <f t="shared" si="2"/>
        <v>3205320.461</v>
      </c>
      <c r="P274" s="6"/>
      <c r="Q274" s="6">
        <f t="shared" si="11"/>
        <v>25758.84708</v>
      </c>
      <c r="R274" s="6">
        <f t="shared" si="12"/>
        <v>3205320.461</v>
      </c>
      <c r="S274" s="81">
        <f t="shared" si="3"/>
        <v>286.1383483</v>
      </c>
      <c r="T274" s="6"/>
      <c r="U274" s="6"/>
      <c r="V274" s="6"/>
      <c r="W274" s="6"/>
      <c r="X274" s="6"/>
    </row>
    <row r="275" ht="11.25" customHeight="1">
      <c r="A275" s="7"/>
      <c r="B275" s="68">
        <f t="shared" si="13"/>
        <v>270</v>
      </c>
      <c r="C275" s="607">
        <v>20000.0</v>
      </c>
      <c r="D275" s="6">
        <f t="shared" si="14"/>
        <v>-9855.065234</v>
      </c>
      <c r="E275" s="6">
        <f t="shared" si="1"/>
        <v>29855.06523</v>
      </c>
      <c r="F275" s="6">
        <f t="shared" si="6"/>
        <v>4289655.526</v>
      </c>
      <c r="G275" s="6">
        <f t="shared" si="7"/>
        <v>1110344.474</v>
      </c>
      <c r="H275" s="6">
        <f t="shared" si="8"/>
        <v>5400000</v>
      </c>
      <c r="I275" s="6">
        <f t="shared" si="9"/>
        <v>-1689655.526</v>
      </c>
      <c r="J275" s="610">
        <v>7.125</v>
      </c>
      <c r="K275" s="591"/>
      <c r="L275" s="6"/>
      <c r="M275" s="9">
        <v>20000.0</v>
      </c>
      <c r="N275" s="79">
        <f t="shared" si="10"/>
        <v>5400000</v>
      </c>
      <c r="O275" s="6">
        <f t="shared" si="2"/>
        <v>3231255.526</v>
      </c>
      <c r="P275" s="6"/>
      <c r="Q275" s="6">
        <f t="shared" si="11"/>
        <v>25935.06523</v>
      </c>
      <c r="R275" s="6">
        <f t="shared" si="12"/>
        <v>3231255.526</v>
      </c>
      <c r="S275" s="81">
        <f t="shared" si="3"/>
        <v>291.013789</v>
      </c>
      <c r="T275" s="6"/>
      <c r="U275" s="6"/>
      <c r="V275" s="6"/>
      <c r="W275" s="6"/>
      <c r="X275" s="6"/>
    </row>
    <row r="276" ht="11.25" customHeight="1">
      <c r="A276" s="7"/>
      <c r="B276" s="68">
        <f t="shared" si="13"/>
        <v>271</v>
      </c>
      <c r="C276" s="607">
        <v>20000.0</v>
      </c>
      <c r="D276" s="6">
        <f t="shared" si="14"/>
        <v>-10032.32968</v>
      </c>
      <c r="E276" s="6">
        <f t="shared" si="1"/>
        <v>30032.32968</v>
      </c>
      <c r="F276" s="6">
        <f t="shared" si="6"/>
        <v>4319687.855</v>
      </c>
      <c r="G276" s="6">
        <f t="shared" si="7"/>
        <v>1100312.145</v>
      </c>
      <c r="H276" s="6">
        <f t="shared" si="8"/>
        <v>5420000</v>
      </c>
      <c r="I276" s="6">
        <f t="shared" si="9"/>
        <v>-1719687.855</v>
      </c>
      <c r="J276" s="610">
        <v>7.125</v>
      </c>
      <c r="K276" s="591"/>
      <c r="L276" s="6"/>
      <c r="M276" s="9">
        <v>20000.0</v>
      </c>
      <c r="N276" s="79">
        <f t="shared" si="10"/>
        <v>5420000</v>
      </c>
      <c r="O276" s="6">
        <f t="shared" si="2"/>
        <v>3257367.855</v>
      </c>
      <c r="P276" s="6"/>
      <c r="Q276" s="6">
        <f t="shared" si="11"/>
        <v>26112.32968</v>
      </c>
      <c r="R276" s="6">
        <f t="shared" si="12"/>
        <v>3257367.855</v>
      </c>
      <c r="S276" s="81">
        <f t="shared" si="3"/>
        <v>296.0403438</v>
      </c>
      <c r="T276" s="6"/>
      <c r="U276" s="6"/>
      <c r="V276" s="6"/>
      <c r="W276" s="6"/>
      <c r="X276" s="6"/>
    </row>
    <row r="277" ht="11.25" customHeight="1">
      <c r="A277" s="7"/>
      <c r="B277" s="68">
        <f t="shared" si="13"/>
        <v>272</v>
      </c>
      <c r="C277" s="607">
        <v>20000.0</v>
      </c>
      <c r="D277" s="6">
        <f t="shared" si="14"/>
        <v>-10210.64664</v>
      </c>
      <c r="E277" s="6">
        <f t="shared" si="1"/>
        <v>30210.64664</v>
      </c>
      <c r="F277" s="6">
        <f t="shared" si="6"/>
        <v>4349898.502</v>
      </c>
      <c r="G277" s="6">
        <f t="shared" si="7"/>
        <v>1090101.498</v>
      </c>
      <c r="H277" s="6">
        <f t="shared" si="8"/>
        <v>5440000</v>
      </c>
      <c r="I277" s="6">
        <f t="shared" si="9"/>
        <v>-1749898.502</v>
      </c>
      <c r="J277" s="610">
        <v>7.125</v>
      </c>
      <c r="K277" s="591"/>
      <c r="L277" s="6"/>
      <c r="M277" s="9">
        <v>20000.0</v>
      </c>
      <c r="N277" s="79">
        <f t="shared" si="10"/>
        <v>5440000</v>
      </c>
      <c r="O277" s="6">
        <f t="shared" si="2"/>
        <v>3283658.502</v>
      </c>
      <c r="P277" s="6"/>
      <c r="Q277" s="6">
        <f t="shared" si="11"/>
        <v>26290.64664</v>
      </c>
      <c r="R277" s="6">
        <f t="shared" si="12"/>
        <v>3283658.502</v>
      </c>
      <c r="S277" s="81">
        <f t="shared" si="3"/>
        <v>301.2250243</v>
      </c>
      <c r="T277" s="6"/>
      <c r="U277" s="6"/>
      <c r="V277" s="6"/>
      <c r="W277" s="6"/>
      <c r="X277" s="6"/>
    </row>
    <row r="278" ht="11.25" customHeight="1">
      <c r="A278" s="7"/>
      <c r="B278" s="68">
        <f t="shared" si="13"/>
        <v>273</v>
      </c>
      <c r="C278" s="607">
        <v>20000.0</v>
      </c>
      <c r="D278" s="6">
        <f t="shared" si="14"/>
        <v>-10390.02236</v>
      </c>
      <c r="E278" s="6">
        <f t="shared" si="1"/>
        <v>30390.02236</v>
      </c>
      <c r="F278" s="6">
        <f t="shared" si="6"/>
        <v>4380288.524</v>
      </c>
      <c r="G278" s="6">
        <f t="shared" si="7"/>
        <v>1079711.476</v>
      </c>
      <c r="H278" s="6">
        <f t="shared" si="8"/>
        <v>5460000</v>
      </c>
      <c r="I278" s="6">
        <f t="shared" si="9"/>
        <v>-1780288.524</v>
      </c>
      <c r="J278" s="610">
        <v>7.125</v>
      </c>
      <c r="K278" s="591"/>
      <c r="L278" s="6"/>
      <c r="M278" s="9">
        <v>20000.0</v>
      </c>
      <c r="N278" s="79">
        <f t="shared" si="10"/>
        <v>5460000</v>
      </c>
      <c r="O278" s="6">
        <f t="shared" si="2"/>
        <v>3310128.524</v>
      </c>
      <c r="P278" s="6"/>
      <c r="Q278" s="6">
        <f t="shared" si="11"/>
        <v>26470.02236</v>
      </c>
      <c r="R278" s="6">
        <f t="shared" si="12"/>
        <v>3310128.524</v>
      </c>
      <c r="S278" s="81">
        <f t="shared" si="3"/>
        <v>306.5752842</v>
      </c>
      <c r="T278" s="6"/>
      <c r="U278" s="6"/>
      <c r="V278" s="6"/>
      <c r="W278" s="6"/>
      <c r="X278" s="6"/>
    </row>
    <row r="279" ht="11.25" customHeight="1">
      <c r="A279" s="7"/>
      <c r="B279" s="68">
        <f t="shared" si="13"/>
        <v>274</v>
      </c>
      <c r="C279" s="607">
        <v>20000.0</v>
      </c>
      <c r="D279" s="6">
        <f t="shared" si="14"/>
        <v>-10570.46311</v>
      </c>
      <c r="E279" s="6">
        <f t="shared" si="1"/>
        <v>30570.46311</v>
      </c>
      <c r="F279" s="6">
        <f t="shared" si="6"/>
        <v>4410858.988</v>
      </c>
      <c r="G279" s="6">
        <f t="shared" si="7"/>
        <v>1069141.012</v>
      </c>
      <c r="H279" s="6">
        <f t="shared" si="8"/>
        <v>5480000</v>
      </c>
      <c r="I279" s="6">
        <f t="shared" si="9"/>
        <v>-1810858.988</v>
      </c>
      <c r="J279" s="610">
        <v>7.125</v>
      </c>
      <c r="K279" s="591"/>
      <c r="L279" s="6"/>
      <c r="M279" s="9">
        <v>20000.0</v>
      </c>
      <c r="N279" s="79">
        <f t="shared" si="10"/>
        <v>5480000</v>
      </c>
      <c r="O279" s="6">
        <f t="shared" si="2"/>
        <v>3336778.988</v>
      </c>
      <c r="P279" s="6"/>
      <c r="Q279" s="6">
        <f t="shared" si="11"/>
        <v>26650.46311</v>
      </c>
      <c r="R279" s="6">
        <f t="shared" si="12"/>
        <v>3336778.988</v>
      </c>
      <c r="S279" s="81">
        <f t="shared" si="3"/>
        <v>312.0990542</v>
      </c>
      <c r="T279" s="6"/>
      <c r="U279" s="6"/>
      <c r="V279" s="6"/>
      <c r="W279" s="6"/>
      <c r="X279" s="6"/>
    </row>
    <row r="280" ht="11.25" customHeight="1">
      <c r="A280" s="7"/>
      <c r="B280" s="68">
        <f t="shared" si="13"/>
        <v>275</v>
      </c>
      <c r="C280" s="607">
        <v>20000.0</v>
      </c>
      <c r="D280" s="6">
        <f t="shared" si="14"/>
        <v>-10751.97524</v>
      </c>
      <c r="E280" s="6">
        <f t="shared" si="1"/>
        <v>30751.97524</v>
      </c>
      <c r="F280" s="6">
        <f t="shared" si="6"/>
        <v>4441610.963</v>
      </c>
      <c r="G280" s="6">
        <f t="shared" si="7"/>
        <v>1058389.037</v>
      </c>
      <c r="H280" s="6">
        <f t="shared" si="8"/>
        <v>5500000</v>
      </c>
      <c r="I280" s="6">
        <f t="shared" si="9"/>
        <v>-1841610.963</v>
      </c>
      <c r="J280" s="610">
        <v>7.125</v>
      </c>
      <c r="K280" s="591"/>
      <c r="L280" s="6"/>
      <c r="M280" s="9">
        <v>20000.0</v>
      </c>
      <c r="N280" s="79">
        <f t="shared" si="10"/>
        <v>5500000</v>
      </c>
      <c r="O280" s="6">
        <f t="shared" si="2"/>
        <v>3363610.963</v>
      </c>
      <c r="P280" s="6"/>
      <c r="Q280" s="6">
        <f t="shared" si="11"/>
        <v>26831.97524</v>
      </c>
      <c r="R280" s="6">
        <f t="shared" si="12"/>
        <v>3363610.963</v>
      </c>
      <c r="S280" s="81">
        <f t="shared" si="3"/>
        <v>317.8047811</v>
      </c>
      <c r="T280" s="6"/>
      <c r="U280" s="6"/>
      <c r="V280" s="6"/>
      <c r="W280" s="6"/>
      <c r="X280" s="6"/>
    </row>
    <row r="281" ht="11.25" customHeight="1">
      <c r="A281" s="71"/>
      <c r="B281" s="72">
        <f t="shared" si="13"/>
        <v>276</v>
      </c>
      <c r="C281" s="607">
        <v>20000.0</v>
      </c>
      <c r="D281" s="10">
        <f t="shared" si="14"/>
        <v>-10934.56509</v>
      </c>
      <c r="E281" s="10">
        <f t="shared" si="1"/>
        <v>30934.56509</v>
      </c>
      <c r="F281" s="10">
        <f t="shared" si="6"/>
        <v>4472545.528</v>
      </c>
      <c r="G281" s="10">
        <f t="shared" si="7"/>
        <v>1047454.472</v>
      </c>
      <c r="H281" s="10">
        <f t="shared" si="8"/>
        <v>5520000</v>
      </c>
      <c r="I281" s="10">
        <f t="shared" si="9"/>
        <v>-1872545.528</v>
      </c>
      <c r="J281" s="610">
        <v>7.125</v>
      </c>
      <c r="K281" s="591"/>
      <c r="L281" s="6"/>
      <c r="M281" s="9">
        <v>20000.0</v>
      </c>
      <c r="N281" s="79">
        <f t="shared" si="10"/>
        <v>5520000</v>
      </c>
      <c r="O281" s="6">
        <f t="shared" si="2"/>
        <v>3390625.528</v>
      </c>
      <c r="P281" s="6"/>
      <c r="Q281" s="6">
        <f t="shared" si="11"/>
        <v>27014.56509</v>
      </c>
      <c r="R281" s="6">
        <f t="shared" si="12"/>
        <v>3390625.528</v>
      </c>
      <c r="S281" s="81">
        <f t="shared" si="3"/>
        <v>323.7014704</v>
      </c>
      <c r="T281" s="6"/>
      <c r="U281" s="6"/>
      <c r="V281" s="6"/>
      <c r="W281" s="6"/>
      <c r="X281" s="6"/>
    </row>
    <row r="282" ht="11.25" customHeight="1">
      <c r="A282" s="100">
        <v>24.0</v>
      </c>
      <c r="B282" s="66">
        <f t="shared" si="13"/>
        <v>277</v>
      </c>
      <c r="C282" s="607">
        <v>20000.0</v>
      </c>
      <c r="D282" s="617">
        <f t="shared" si="14"/>
        <v>-11118.23907</v>
      </c>
      <c r="E282" s="617">
        <f t="shared" si="1"/>
        <v>31118.23907</v>
      </c>
      <c r="F282" s="617">
        <f t="shared" si="6"/>
        <v>4503663.767</v>
      </c>
      <c r="G282" s="617">
        <f t="shared" si="7"/>
        <v>1036336.233</v>
      </c>
      <c r="H282" s="617">
        <f t="shared" si="8"/>
        <v>5540000</v>
      </c>
      <c r="I282" s="617">
        <f t="shared" si="9"/>
        <v>-1903663.767</v>
      </c>
      <c r="J282" s="610">
        <v>7.125</v>
      </c>
      <c r="K282" s="591"/>
      <c r="L282" s="6"/>
      <c r="M282" s="9">
        <v>20000.0</v>
      </c>
      <c r="N282" s="79">
        <f t="shared" si="10"/>
        <v>5540000</v>
      </c>
      <c r="O282" s="6">
        <f t="shared" si="2"/>
        <v>3417823.767</v>
      </c>
      <c r="P282" s="6"/>
      <c r="Q282" s="6">
        <f t="shared" si="11"/>
        <v>27198.23907</v>
      </c>
      <c r="R282" s="6">
        <f t="shared" si="12"/>
        <v>3417823.767</v>
      </c>
      <c r="S282" s="81">
        <f t="shared" si="3"/>
        <v>329.7987331</v>
      </c>
      <c r="T282" s="6"/>
      <c r="U282" s="6"/>
      <c r="V282" s="6"/>
      <c r="W282" s="6"/>
      <c r="X282" s="6"/>
    </row>
    <row r="283" ht="11.25" customHeight="1">
      <c r="A283" s="7"/>
      <c r="B283" s="68">
        <f t="shared" si="13"/>
        <v>278</v>
      </c>
      <c r="C283" s="607">
        <v>20000.0</v>
      </c>
      <c r="D283" s="6">
        <f t="shared" si="14"/>
        <v>-11303.00362</v>
      </c>
      <c r="E283" s="6">
        <f t="shared" si="1"/>
        <v>31303.00362</v>
      </c>
      <c r="F283" s="6">
        <f t="shared" si="6"/>
        <v>4534966.771</v>
      </c>
      <c r="G283" s="6">
        <f t="shared" si="7"/>
        <v>1025033.229</v>
      </c>
      <c r="H283" s="6">
        <f t="shared" si="8"/>
        <v>5560000</v>
      </c>
      <c r="I283" s="6">
        <f t="shared" si="9"/>
        <v>-1934966.771</v>
      </c>
      <c r="J283" s="610">
        <v>7.125</v>
      </c>
      <c r="K283" s="591"/>
      <c r="L283" s="6"/>
      <c r="M283" s="9">
        <v>20000.0</v>
      </c>
      <c r="N283" s="79">
        <f t="shared" si="10"/>
        <v>5560000</v>
      </c>
      <c r="O283" s="6">
        <f t="shared" si="2"/>
        <v>3445206.771</v>
      </c>
      <c r="P283" s="6"/>
      <c r="Q283" s="6">
        <f t="shared" si="11"/>
        <v>27383.00362</v>
      </c>
      <c r="R283" s="6">
        <f t="shared" si="12"/>
        <v>3445206.771</v>
      </c>
      <c r="S283" s="81">
        <f t="shared" si="3"/>
        <v>336.1068375</v>
      </c>
      <c r="T283" s="6"/>
      <c r="U283" s="6"/>
      <c r="V283" s="6"/>
      <c r="W283" s="6"/>
      <c r="X283" s="6"/>
    </row>
    <row r="284" ht="11.25" customHeight="1">
      <c r="A284" s="7"/>
      <c r="B284" s="68">
        <f t="shared" si="13"/>
        <v>279</v>
      </c>
      <c r="C284" s="607">
        <v>20000.0</v>
      </c>
      <c r="D284" s="6">
        <f t="shared" si="14"/>
        <v>-11488.8652</v>
      </c>
      <c r="E284" s="6">
        <f t="shared" si="1"/>
        <v>31488.8652</v>
      </c>
      <c r="F284" s="6">
        <f t="shared" si="6"/>
        <v>4566455.636</v>
      </c>
      <c r="G284" s="6">
        <f t="shared" si="7"/>
        <v>1013544.364</v>
      </c>
      <c r="H284" s="6">
        <f t="shared" si="8"/>
        <v>5580000</v>
      </c>
      <c r="I284" s="6">
        <f t="shared" si="9"/>
        <v>-1966455.636</v>
      </c>
      <c r="J284" s="610">
        <v>7.125</v>
      </c>
      <c r="K284" s="591"/>
      <c r="L284" s="6"/>
      <c r="M284" s="9">
        <v>20000.0</v>
      </c>
      <c r="N284" s="79">
        <f t="shared" si="10"/>
        <v>5580000</v>
      </c>
      <c r="O284" s="6">
        <f t="shared" si="2"/>
        <v>3472775.636</v>
      </c>
      <c r="P284" s="6"/>
      <c r="Q284" s="6">
        <f t="shared" si="11"/>
        <v>27568.8652</v>
      </c>
      <c r="R284" s="6">
        <f t="shared" si="12"/>
        <v>3472775.636</v>
      </c>
      <c r="S284" s="81">
        <f t="shared" si="3"/>
        <v>342.6367664</v>
      </c>
      <c r="T284" s="6"/>
      <c r="U284" s="6"/>
      <c r="V284" s="6"/>
      <c r="W284" s="6"/>
      <c r="X284" s="6"/>
    </row>
    <row r="285" ht="11.25" customHeight="1">
      <c r="A285" s="7"/>
      <c r="B285" s="68">
        <f t="shared" si="13"/>
        <v>280</v>
      </c>
      <c r="C285" s="607">
        <v>20000.0</v>
      </c>
      <c r="D285" s="6">
        <f t="shared" si="14"/>
        <v>-11675.83034</v>
      </c>
      <c r="E285" s="6">
        <f t="shared" si="1"/>
        <v>31675.83034</v>
      </c>
      <c r="F285" s="6">
        <f t="shared" si="6"/>
        <v>4598131.466</v>
      </c>
      <c r="G285" s="6">
        <f t="shared" si="7"/>
        <v>1001868.534</v>
      </c>
      <c r="H285" s="6">
        <f t="shared" si="8"/>
        <v>5600000</v>
      </c>
      <c r="I285" s="6">
        <f t="shared" si="9"/>
        <v>-1998131.466</v>
      </c>
      <c r="J285" s="610">
        <v>7.125</v>
      </c>
      <c r="K285" s="591"/>
      <c r="L285" s="6"/>
      <c r="M285" s="9">
        <v>20000.0</v>
      </c>
      <c r="N285" s="79">
        <f t="shared" si="10"/>
        <v>5600000</v>
      </c>
      <c r="O285" s="6">
        <f t="shared" si="2"/>
        <v>3500531.466</v>
      </c>
      <c r="P285" s="6"/>
      <c r="Q285" s="6">
        <f t="shared" si="11"/>
        <v>27755.83034</v>
      </c>
      <c r="R285" s="6">
        <f t="shared" si="12"/>
        <v>3500531.466</v>
      </c>
      <c r="S285" s="81">
        <f t="shared" si="3"/>
        <v>349.4002803</v>
      </c>
      <c r="T285" s="6"/>
      <c r="U285" s="6"/>
      <c r="V285" s="6"/>
      <c r="W285" s="6"/>
      <c r="X285" s="6"/>
    </row>
    <row r="286" ht="11.25" customHeight="1">
      <c r="A286" s="7"/>
      <c r="B286" s="68">
        <f t="shared" si="13"/>
        <v>281</v>
      </c>
      <c r="C286" s="607">
        <v>20000.0</v>
      </c>
      <c r="D286" s="6">
        <f t="shared" si="14"/>
        <v>-11863.90558</v>
      </c>
      <c r="E286" s="6">
        <f t="shared" si="1"/>
        <v>31863.90558</v>
      </c>
      <c r="F286" s="6">
        <f t="shared" si="6"/>
        <v>4629995.372</v>
      </c>
      <c r="G286" s="6">
        <f t="shared" si="7"/>
        <v>990004.6283</v>
      </c>
      <c r="H286" s="6">
        <f t="shared" si="8"/>
        <v>5620000</v>
      </c>
      <c r="I286" s="6">
        <f t="shared" si="9"/>
        <v>-2029995.372</v>
      </c>
      <c r="J286" s="610">
        <v>7.125</v>
      </c>
      <c r="K286" s="591"/>
      <c r="L286" s="6"/>
      <c r="M286" s="9">
        <v>20000.0</v>
      </c>
      <c r="N286" s="79">
        <f t="shared" si="10"/>
        <v>5620000</v>
      </c>
      <c r="O286" s="6">
        <f t="shared" si="2"/>
        <v>3528475.372</v>
      </c>
      <c r="P286" s="6"/>
      <c r="Q286" s="6">
        <f t="shared" si="11"/>
        <v>27943.90558</v>
      </c>
      <c r="R286" s="6">
        <f t="shared" si="12"/>
        <v>3528475.372</v>
      </c>
      <c r="S286" s="81">
        <f t="shared" si="3"/>
        <v>356.4099875</v>
      </c>
      <c r="T286" s="6"/>
      <c r="U286" s="6"/>
      <c r="V286" s="6"/>
      <c r="W286" s="6"/>
      <c r="X286" s="6"/>
    </row>
    <row r="287" ht="11.25" customHeight="1">
      <c r="A287" s="7"/>
      <c r="B287" s="68">
        <f t="shared" si="13"/>
        <v>282</v>
      </c>
      <c r="C287" s="607">
        <v>20000.0</v>
      </c>
      <c r="D287" s="6">
        <f t="shared" si="14"/>
        <v>-12053.09752</v>
      </c>
      <c r="E287" s="6">
        <f t="shared" si="1"/>
        <v>32053.09752</v>
      </c>
      <c r="F287" s="6">
        <f t="shared" si="6"/>
        <v>4662048.469</v>
      </c>
      <c r="G287" s="6">
        <f t="shared" si="7"/>
        <v>977951.5308</v>
      </c>
      <c r="H287" s="6">
        <f t="shared" si="8"/>
        <v>5640000</v>
      </c>
      <c r="I287" s="6">
        <f t="shared" si="9"/>
        <v>-2062048.469</v>
      </c>
      <c r="J287" s="610">
        <v>7.125</v>
      </c>
      <c r="K287" s="591"/>
      <c r="L287" s="6"/>
      <c r="M287" s="9">
        <v>20000.0</v>
      </c>
      <c r="N287" s="79">
        <f t="shared" si="10"/>
        <v>5640000</v>
      </c>
      <c r="O287" s="6">
        <f t="shared" si="2"/>
        <v>3556608.469</v>
      </c>
      <c r="P287" s="6"/>
      <c r="Q287" s="6">
        <f t="shared" si="11"/>
        <v>28133.09752</v>
      </c>
      <c r="R287" s="6">
        <f t="shared" si="12"/>
        <v>3556608.469</v>
      </c>
      <c r="S287" s="81">
        <f t="shared" si="3"/>
        <v>363.6794214</v>
      </c>
      <c r="T287" s="6"/>
      <c r="U287" s="6"/>
      <c r="V287" s="6"/>
      <c r="W287" s="6"/>
      <c r="X287" s="6"/>
    </row>
    <row r="288" ht="11.25" customHeight="1">
      <c r="A288" s="7"/>
      <c r="B288" s="68">
        <f t="shared" si="13"/>
        <v>283</v>
      </c>
      <c r="C288" s="607">
        <v>20000.0</v>
      </c>
      <c r="D288" s="6">
        <f t="shared" si="14"/>
        <v>-12243.41279</v>
      </c>
      <c r="E288" s="6">
        <f t="shared" si="1"/>
        <v>32243.41279</v>
      </c>
      <c r="F288" s="6">
        <f t="shared" si="6"/>
        <v>4694291.882</v>
      </c>
      <c r="G288" s="6">
        <f t="shared" si="7"/>
        <v>965708.118</v>
      </c>
      <c r="H288" s="6">
        <f t="shared" si="8"/>
        <v>5660000</v>
      </c>
      <c r="I288" s="6">
        <f t="shared" si="9"/>
        <v>-2094291.882</v>
      </c>
      <c r="J288" s="610">
        <v>7.125</v>
      </c>
      <c r="K288" s="591"/>
      <c r="L288" s="6"/>
      <c r="M288" s="9">
        <v>20000.0</v>
      </c>
      <c r="N288" s="79">
        <f t="shared" si="10"/>
        <v>5660000</v>
      </c>
      <c r="O288" s="6">
        <f t="shared" si="2"/>
        <v>3584931.882</v>
      </c>
      <c r="P288" s="6"/>
      <c r="Q288" s="6">
        <f t="shared" si="11"/>
        <v>28323.41279</v>
      </c>
      <c r="R288" s="6">
        <f t="shared" si="12"/>
        <v>3584931.882</v>
      </c>
      <c r="S288" s="81">
        <f t="shared" si="3"/>
        <v>371.2231279</v>
      </c>
      <c r="T288" s="6"/>
      <c r="U288" s="6"/>
      <c r="V288" s="6"/>
      <c r="W288" s="6"/>
      <c r="X288" s="6"/>
    </row>
    <row r="289" ht="11.25" customHeight="1">
      <c r="A289" s="7"/>
      <c r="B289" s="68">
        <f t="shared" si="13"/>
        <v>284</v>
      </c>
      <c r="C289" s="607">
        <v>20000.0</v>
      </c>
      <c r="D289" s="6">
        <f t="shared" si="14"/>
        <v>-12434.85805</v>
      </c>
      <c r="E289" s="6">
        <f t="shared" si="1"/>
        <v>32434.85805</v>
      </c>
      <c r="F289" s="6">
        <f t="shared" si="6"/>
        <v>4726726.74</v>
      </c>
      <c r="G289" s="6">
        <f t="shared" si="7"/>
        <v>953273.26</v>
      </c>
      <c r="H289" s="6">
        <f t="shared" si="8"/>
        <v>5680000</v>
      </c>
      <c r="I289" s="6">
        <f t="shared" si="9"/>
        <v>-2126726.74</v>
      </c>
      <c r="J289" s="610">
        <v>7.125</v>
      </c>
      <c r="K289" s="591"/>
      <c r="L289" s="6"/>
      <c r="M289" s="9">
        <v>20000.0</v>
      </c>
      <c r="N289" s="79">
        <f t="shared" si="10"/>
        <v>5680000</v>
      </c>
      <c r="O289" s="6">
        <f t="shared" si="2"/>
        <v>3613446.74</v>
      </c>
      <c r="P289" s="6"/>
      <c r="Q289" s="6">
        <f t="shared" si="11"/>
        <v>28514.85805</v>
      </c>
      <c r="R289" s="6">
        <f t="shared" si="12"/>
        <v>3613446.74</v>
      </c>
      <c r="S289" s="81">
        <f t="shared" si="3"/>
        <v>379.0567607</v>
      </c>
      <c r="T289" s="6"/>
      <c r="U289" s="6"/>
      <c r="V289" s="6"/>
      <c r="W289" s="6"/>
      <c r="X289" s="6"/>
    </row>
    <row r="290" ht="11.25" customHeight="1">
      <c r="A290" s="7"/>
      <c r="B290" s="68">
        <f t="shared" si="13"/>
        <v>285</v>
      </c>
      <c r="C290" s="607">
        <v>20000.0</v>
      </c>
      <c r="D290" s="6">
        <f t="shared" si="14"/>
        <v>-12627.44002</v>
      </c>
      <c r="E290" s="6">
        <f t="shared" si="1"/>
        <v>32627.44002</v>
      </c>
      <c r="F290" s="6">
        <f t="shared" si="6"/>
        <v>4759354.18</v>
      </c>
      <c r="G290" s="6">
        <f t="shared" si="7"/>
        <v>940645.82</v>
      </c>
      <c r="H290" s="6">
        <f t="shared" si="8"/>
        <v>5700000</v>
      </c>
      <c r="I290" s="6">
        <f t="shared" si="9"/>
        <v>-2159354.18</v>
      </c>
      <c r="J290" s="610">
        <v>7.125</v>
      </c>
      <c r="K290" s="591"/>
      <c r="L290" s="6"/>
      <c r="M290" s="9">
        <v>20000.0</v>
      </c>
      <c r="N290" s="79">
        <f t="shared" si="10"/>
        <v>5700000</v>
      </c>
      <c r="O290" s="6">
        <f t="shared" si="2"/>
        <v>3642154.18</v>
      </c>
      <c r="P290" s="6"/>
      <c r="Q290" s="6">
        <f t="shared" si="11"/>
        <v>28707.44002</v>
      </c>
      <c r="R290" s="6">
        <f t="shared" si="12"/>
        <v>3642154.18</v>
      </c>
      <c r="S290" s="81">
        <f t="shared" si="3"/>
        <v>387.1971897</v>
      </c>
      <c r="T290" s="6"/>
      <c r="U290" s="6"/>
      <c r="V290" s="6"/>
      <c r="W290" s="6"/>
      <c r="X290" s="6"/>
    </row>
    <row r="291" ht="11.25" customHeight="1">
      <c r="A291" s="7"/>
      <c r="B291" s="68">
        <f t="shared" si="13"/>
        <v>286</v>
      </c>
      <c r="C291" s="607">
        <v>20000.0</v>
      </c>
      <c r="D291" s="6">
        <f t="shared" si="14"/>
        <v>-12821.16544</v>
      </c>
      <c r="E291" s="6">
        <f t="shared" si="1"/>
        <v>32821.16544</v>
      </c>
      <c r="F291" s="6">
        <f t="shared" si="6"/>
        <v>4792175.345</v>
      </c>
      <c r="G291" s="6">
        <f t="shared" si="7"/>
        <v>927824.6545</v>
      </c>
      <c r="H291" s="6">
        <f t="shared" si="8"/>
        <v>5720000</v>
      </c>
      <c r="I291" s="6">
        <f t="shared" si="9"/>
        <v>-2192175.345</v>
      </c>
      <c r="J291" s="610">
        <v>7.125</v>
      </c>
      <c r="K291" s="591"/>
      <c r="L291" s="6"/>
      <c r="M291" s="9">
        <v>20000.0</v>
      </c>
      <c r="N291" s="79">
        <f t="shared" si="10"/>
        <v>5720000</v>
      </c>
      <c r="O291" s="6">
        <f t="shared" si="2"/>
        <v>3671055.345</v>
      </c>
      <c r="P291" s="6"/>
      <c r="Q291" s="6">
        <f t="shared" si="11"/>
        <v>28901.16544</v>
      </c>
      <c r="R291" s="6">
        <f t="shared" si="12"/>
        <v>3671055.345</v>
      </c>
      <c r="S291" s="81">
        <f t="shared" si="3"/>
        <v>395.6626209</v>
      </c>
      <c r="T291" s="6"/>
      <c r="U291" s="6"/>
      <c r="V291" s="6"/>
      <c r="W291" s="6"/>
      <c r="X291" s="6"/>
    </row>
    <row r="292" ht="11.25" customHeight="1">
      <c r="A292" s="7"/>
      <c r="B292" s="68">
        <f t="shared" si="13"/>
        <v>287</v>
      </c>
      <c r="C292" s="607">
        <v>20000.0</v>
      </c>
      <c r="D292" s="6">
        <f t="shared" si="14"/>
        <v>-13016.04111</v>
      </c>
      <c r="E292" s="6">
        <f t="shared" si="1"/>
        <v>33016.04111</v>
      </c>
      <c r="F292" s="6">
        <f t="shared" si="6"/>
        <v>4825191.387</v>
      </c>
      <c r="G292" s="6">
        <f t="shared" si="7"/>
        <v>914808.6134</v>
      </c>
      <c r="H292" s="6">
        <f t="shared" si="8"/>
        <v>5740000</v>
      </c>
      <c r="I292" s="6">
        <f t="shared" si="9"/>
        <v>-2225191.387</v>
      </c>
      <c r="J292" s="610">
        <v>7.125</v>
      </c>
      <c r="K292" s="591"/>
      <c r="L292" s="6"/>
      <c r="M292" s="9">
        <v>20000.0</v>
      </c>
      <c r="N292" s="79">
        <f t="shared" si="10"/>
        <v>5740000</v>
      </c>
      <c r="O292" s="6">
        <f t="shared" si="2"/>
        <v>3700151.387</v>
      </c>
      <c r="P292" s="6"/>
      <c r="Q292" s="6">
        <f t="shared" si="11"/>
        <v>29096.04111</v>
      </c>
      <c r="R292" s="6">
        <f t="shared" si="12"/>
        <v>3700151.387</v>
      </c>
      <c r="S292" s="81">
        <f t="shared" si="3"/>
        <v>404.4727315</v>
      </c>
      <c r="T292" s="6"/>
      <c r="U292" s="6"/>
      <c r="V292" s="6"/>
      <c r="W292" s="6"/>
      <c r="X292" s="6"/>
    </row>
    <row r="293" ht="11.25" customHeight="1">
      <c r="A293" s="71"/>
      <c r="B293" s="72">
        <f t="shared" si="13"/>
        <v>288</v>
      </c>
      <c r="C293" s="607">
        <v>20000.0</v>
      </c>
      <c r="D293" s="10">
        <f t="shared" si="14"/>
        <v>-13212.07386</v>
      </c>
      <c r="E293" s="10">
        <f t="shared" si="1"/>
        <v>33212.07386</v>
      </c>
      <c r="F293" s="10">
        <f t="shared" si="6"/>
        <v>4858403.46</v>
      </c>
      <c r="G293" s="10">
        <f t="shared" si="7"/>
        <v>901596.5395</v>
      </c>
      <c r="H293" s="10">
        <f t="shared" si="8"/>
        <v>5760000</v>
      </c>
      <c r="I293" s="10">
        <f t="shared" si="9"/>
        <v>-2258403.46</v>
      </c>
      <c r="J293" s="610">
        <v>7.125</v>
      </c>
      <c r="K293" s="591"/>
      <c r="L293" s="6"/>
      <c r="M293" s="9">
        <v>20000.0</v>
      </c>
      <c r="N293" s="79">
        <f t="shared" si="10"/>
        <v>5760000</v>
      </c>
      <c r="O293" s="6">
        <f t="shared" si="2"/>
        <v>3729443.46</v>
      </c>
      <c r="P293" s="6"/>
      <c r="Q293" s="6">
        <f t="shared" si="11"/>
        <v>29292.07386</v>
      </c>
      <c r="R293" s="6">
        <f t="shared" si="12"/>
        <v>3729443.46</v>
      </c>
      <c r="S293" s="81">
        <f t="shared" si="3"/>
        <v>413.6488215</v>
      </c>
      <c r="T293" s="6"/>
      <c r="U293" s="6"/>
      <c r="V293" s="6"/>
      <c r="W293" s="6"/>
      <c r="X293" s="6"/>
    </row>
    <row r="294" ht="11.25" customHeight="1">
      <c r="A294" s="100">
        <v>25.0</v>
      </c>
      <c r="B294" s="66">
        <f t="shared" si="13"/>
        <v>289</v>
      </c>
      <c r="C294" s="607">
        <v>20000.0</v>
      </c>
      <c r="D294" s="617">
        <f t="shared" si="14"/>
        <v>-13409.27055</v>
      </c>
      <c r="E294" s="617">
        <f t="shared" si="1"/>
        <v>33409.27055</v>
      </c>
      <c r="F294" s="617">
        <f t="shared" si="6"/>
        <v>4891812.731</v>
      </c>
      <c r="G294" s="617">
        <f t="shared" si="7"/>
        <v>888187.269</v>
      </c>
      <c r="H294" s="617">
        <f t="shared" si="8"/>
        <v>5780000</v>
      </c>
      <c r="I294" s="617">
        <f t="shared" si="9"/>
        <v>-2291812.731</v>
      </c>
      <c r="J294" s="610">
        <v>7.125</v>
      </c>
      <c r="K294" s="591"/>
      <c r="L294" s="6"/>
      <c r="M294" s="9">
        <v>20000.0</v>
      </c>
      <c r="N294" s="79">
        <f t="shared" si="10"/>
        <v>5780000</v>
      </c>
      <c r="O294" s="6">
        <f t="shared" si="2"/>
        <v>3758932.731</v>
      </c>
      <c r="P294" s="6"/>
      <c r="Q294" s="6">
        <f t="shared" si="11"/>
        <v>29489.27055</v>
      </c>
      <c r="R294" s="6">
        <f t="shared" si="12"/>
        <v>3758932.731</v>
      </c>
      <c r="S294" s="81">
        <f t="shared" si="3"/>
        <v>423.2139845</v>
      </c>
      <c r="T294" s="6"/>
      <c r="U294" s="6"/>
      <c r="V294" s="6"/>
      <c r="W294" s="6"/>
      <c r="X294" s="6"/>
    </row>
    <row r="295" ht="11.25" customHeight="1">
      <c r="A295" s="7"/>
      <c r="B295" s="68">
        <f t="shared" si="13"/>
        <v>290</v>
      </c>
      <c r="C295" s="607">
        <v>20000.0</v>
      </c>
      <c r="D295" s="6">
        <f t="shared" si="14"/>
        <v>-13607.63809</v>
      </c>
      <c r="E295" s="6">
        <f t="shared" si="1"/>
        <v>33607.63809</v>
      </c>
      <c r="F295" s="6">
        <f t="shared" si="6"/>
        <v>4925420.369</v>
      </c>
      <c r="G295" s="6">
        <f t="shared" si="7"/>
        <v>874579.6309</v>
      </c>
      <c r="H295" s="6">
        <f t="shared" si="8"/>
        <v>5800000</v>
      </c>
      <c r="I295" s="6">
        <f t="shared" si="9"/>
        <v>-2325420.369</v>
      </c>
      <c r="J295" s="610">
        <v>7.125</v>
      </c>
      <c r="K295" s="591"/>
      <c r="L295" s="6"/>
      <c r="M295" s="9">
        <v>20000.0</v>
      </c>
      <c r="N295" s="79">
        <f t="shared" si="10"/>
        <v>5800000</v>
      </c>
      <c r="O295" s="6">
        <f t="shared" si="2"/>
        <v>3788620.369</v>
      </c>
      <c r="P295" s="6"/>
      <c r="Q295" s="6">
        <f t="shared" si="11"/>
        <v>29687.63809</v>
      </c>
      <c r="R295" s="6">
        <f t="shared" si="12"/>
        <v>3788620.369</v>
      </c>
      <c r="S295" s="81">
        <f t="shared" si="3"/>
        <v>433.1933006</v>
      </c>
      <c r="T295" s="6"/>
      <c r="U295" s="6"/>
      <c r="V295" s="6"/>
      <c r="W295" s="6"/>
      <c r="X295" s="6"/>
    </row>
    <row r="296" ht="11.25" customHeight="1">
      <c r="A296" s="7"/>
      <c r="B296" s="68">
        <f t="shared" si="13"/>
        <v>291</v>
      </c>
      <c r="C296" s="607">
        <v>20000.0</v>
      </c>
      <c r="D296" s="6">
        <f t="shared" si="14"/>
        <v>-13807.18344</v>
      </c>
      <c r="E296" s="6">
        <f t="shared" si="1"/>
        <v>33807.18344</v>
      </c>
      <c r="F296" s="6">
        <f t="shared" si="6"/>
        <v>4959227.553</v>
      </c>
      <c r="G296" s="6">
        <f t="shared" si="7"/>
        <v>860772.4475</v>
      </c>
      <c r="H296" s="6">
        <f t="shared" si="8"/>
        <v>5820000</v>
      </c>
      <c r="I296" s="6">
        <f t="shared" si="9"/>
        <v>-2359227.553</v>
      </c>
      <c r="J296" s="610">
        <v>7.125</v>
      </c>
      <c r="K296" s="591"/>
      <c r="L296" s="6"/>
      <c r="M296" s="9">
        <v>20000.0</v>
      </c>
      <c r="N296" s="79">
        <f t="shared" si="10"/>
        <v>5820000</v>
      </c>
      <c r="O296" s="6">
        <f t="shared" si="2"/>
        <v>3818507.553</v>
      </c>
      <c r="P296" s="6"/>
      <c r="Q296" s="6">
        <f t="shared" si="11"/>
        <v>29887.18344</v>
      </c>
      <c r="R296" s="6">
        <f t="shared" si="12"/>
        <v>3818507.553</v>
      </c>
      <c r="S296" s="81">
        <f t="shared" si="3"/>
        <v>443.6140543</v>
      </c>
      <c r="T296" s="6"/>
      <c r="U296" s="6"/>
      <c r="V296" s="6"/>
      <c r="W296" s="6"/>
      <c r="X296" s="6"/>
    </row>
    <row r="297" ht="11.25" customHeight="1">
      <c r="A297" s="7"/>
      <c r="B297" s="68">
        <f t="shared" si="13"/>
        <v>292</v>
      </c>
      <c r="C297" s="607">
        <v>20000.0</v>
      </c>
      <c r="D297" s="6">
        <f t="shared" si="14"/>
        <v>-14007.91359</v>
      </c>
      <c r="E297" s="6">
        <f t="shared" si="1"/>
        <v>34007.91359</v>
      </c>
      <c r="F297" s="6">
        <f t="shared" si="6"/>
        <v>4993235.466</v>
      </c>
      <c r="G297" s="6">
        <f t="shared" si="7"/>
        <v>846764.5339</v>
      </c>
      <c r="H297" s="6">
        <f t="shared" si="8"/>
        <v>5840000</v>
      </c>
      <c r="I297" s="6">
        <f t="shared" si="9"/>
        <v>-2393235.466</v>
      </c>
      <c r="J297" s="610">
        <v>7.125</v>
      </c>
      <c r="K297" s="591"/>
      <c r="L297" s="6"/>
      <c r="M297" s="9">
        <v>20000.0</v>
      </c>
      <c r="N297" s="79">
        <f t="shared" si="10"/>
        <v>5840000</v>
      </c>
      <c r="O297" s="6">
        <f t="shared" si="2"/>
        <v>3848595.466</v>
      </c>
      <c r="P297" s="6"/>
      <c r="Q297" s="6">
        <f t="shared" si="11"/>
        <v>30087.91359</v>
      </c>
      <c r="R297" s="6">
        <f t="shared" si="12"/>
        <v>3848595.466</v>
      </c>
      <c r="S297" s="81">
        <f t="shared" si="3"/>
        <v>454.5059827</v>
      </c>
      <c r="T297" s="6"/>
      <c r="U297" s="6"/>
      <c r="V297" s="6"/>
      <c r="W297" s="6"/>
      <c r="X297" s="6"/>
    </row>
    <row r="298" ht="11.25" customHeight="1">
      <c r="A298" s="7"/>
      <c r="B298" s="68">
        <f t="shared" si="13"/>
        <v>293</v>
      </c>
      <c r="C298" s="607">
        <v>20000.0</v>
      </c>
      <c r="D298" s="6">
        <f t="shared" si="14"/>
        <v>-14209.83558</v>
      </c>
      <c r="E298" s="6">
        <f t="shared" si="1"/>
        <v>34209.83558</v>
      </c>
      <c r="F298" s="6">
        <f t="shared" si="6"/>
        <v>5027445.302</v>
      </c>
      <c r="G298" s="6">
        <f t="shared" si="7"/>
        <v>832554.6983</v>
      </c>
      <c r="H298" s="6">
        <f t="shared" si="8"/>
        <v>5860000</v>
      </c>
      <c r="I298" s="6">
        <f t="shared" si="9"/>
        <v>-2427445.302</v>
      </c>
      <c r="J298" s="610">
        <v>7.125</v>
      </c>
      <c r="K298" s="591"/>
      <c r="L298" s="6"/>
      <c r="M298" s="9">
        <v>20000.0</v>
      </c>
      <c r="N298" s="79">
        <f t="shared" si="10"/>
        <v>5860000</v>
      </c>
      <c r="O298" s="6">
        <f t="shared" si="2"/>
        <v>3878885.302</v>
      </c>
      <c r="P298" s="6"/>
      <c r="Q298" s="6">
        <f t="shared" si="11"/>
        <v>30289.83558</v>
      </c>
      <c r="R298" s="6">
        <f t="shared" si="12"/>
        <v>3878885.302</v>
      </c>
      <c r="S298" s="81">
        <f t="shared" si="3"/>
        <v>465.9015569</v>
      </c>
      <c r="T298" s="6"/>
      <c r="U298" s="6"/>
      <c r="V298" s="6"/>
      <c r="W298" s="6"/>
      <c r="X298" s="6"/>
    </row>
    <row r="299" ht="11.25" customHeight="1">
      <c r="A299" s="7"/>
      <c r="B299" s="68">
        <f t="shared" si="13"/>
        <v>294</v>
      </c>
      <c r="C299" s="607">
        <v>20000.0</v>
      </c>
      <c r="D299" s="6">
        <f t="shared" si="14"/>
        <v>-14412.95648</v>
      </c>
      <c r="E299" s="6">
        <f t="shared" si="1"/>
        <v>34412.95648</v>
      </c>
      <c r="F299" s="6">
        <f t="shared" si="6"/>
        <v>5061858.258</v>
      </c>
      <c r="G299" s="6">
        <f t="shared" si="7"/>
        <v>818141.7418</v>
      </c>
      <c r="H299" s="6">
        <f t="shared" si="8"/>
        <v>5880000</v>
      </c>
      <c r="I299" s="6">
        <f t="shared" si="9"/>
        <v>-2461858.258</v>
      </c>
      <c r="J299" s="610">
        <v>7.125</v>
      </c>
      <c r="K299" s="591"/>
      <c r="L299" s="6"/>
      <c r="M299" s="9">
        <v>20000.0</v>
      </c>
      <c r="N299" s="79">
        <f t="shared" si="10"/>
        <v>5880000</v>
      </c>
      <c r="O299" s="6">
        <f t="shared" si="2"/>
        <v>3909378.258</v>
      </c>
      <c r="P299" s="6"/>
      <c r="Q299" s="6">
        <f t="shared" si="11"/>
        <v>30492.95648</v>
      </c>
      <c r="R299" s="6">
        <f t="shared" si="12"/>
        <v>3909378.258</v>
      </c>
      <c r="S299" s="81">
        <f t="shared" si="3"/>
        <v>477.8363037</v>
      </c>
      <c r="T299" s="6"/>
      <c r="U299" s="6"/>
      <c r="V299" s="6"/>
      <c r="W299" s="6"/>
      <c r="X299" s="6"/>
    </row>
    <row r="300" ht="11.25" customHeight="1">
      <c r="A300" s="7"/>
      <c r="B300" s="68">
        <f t="shared" si="13"/>
        <v>295</v>
      </c>
      <c r="C300" s="607">
        <v>20000.0</v>
      </c>
      <c r="D300" s="6">
        <f t="shared" si="14"/>
        <v>-14617.28341</v>
      </c>
      <c r="E300" s="6">
        <f t="shared" si="1"/>
        <v>34617.28341</v>
      </c>
      <c r="F300" s="6">
        <f t="shared" si="6"/>
        <v>5096475.542</v>
      </c>
      <c r="G300" s="6">
        <f t="shared" si="7"/>
        <v>803524.4584</v>
      </c>
      <c r="H300" s="6">
        <f t="shared" si="8"/>
        <v>5900000</v>
      </c>
      <c r="I300" s="6">
        <f t="shared" si="9"/>
        <v>-2496475.542</v>
      </c>
      <c r="J300" s="610">
        <v>7.125</v>
      </c>
      <c r="K300" s="591"/>
      <c r="L300" s="6"/>
      <c r="M300" s="9">
        <v>20000.0</v>
      </c>
      <c r="N300" s="79">
        <f t="shared" si="10"/>
        <v>5900000</v>
      </c>
      <c r="O300" s="6">
        <f t="shared" si="2"/>
        <v>3940075.542</v>
      </c>
      <c r="P300" s="6"/>
      <c r="Q300" s="6">
        <f t="shared" si="11"/>
        <v>30697.28341</v>
      </c>
      <c r="R300" s="6">
        <f t="shared" si="12"/>
        <v>3940075.542</v>
      </c>
      <c r="S300" s="81">
        <f t="shared" si="3"/>
        <v>490.3491736</v>
      </c>
      <c r="T300" s="6"/>
      <c r="U300" s="6"/>
      <c r="V300" s="6"/>
      <c r="W300" s="6"/>
      <c r="X300" s="6"/>
    </row>
    <row r="301" ht="11.25" customHeight="1">
      <c r="A301" s="7"/>
      <c r="B301" s="68">
        <f t="shared" si="13"/>
        <v>296</v>
      </c>
      <c r="C301" s="607">
        <v>20000.0</v>
      </c>
      <c r="D301" s="6">
        <f t="shared" si="14"/>
        <v>-14822.82353</v>
      </c>
      <c r="E301" s="6">
        <f t="shared" si="1"/>
        <v>34822.82353</v>
      </c>
      <c r="F301" s="6">
        <f t="shared" si="6"/>
        <v>5131298.365</v>
      </c>
      <c r="G301" s="6">
        <f t="shared" si="7"/>
        <v>788701.6349</v>
      </c>
      <c r="H301" s="6">
        <f t="shared" si="8"/>
        <v>5920000</v>
      </c>
      <c r="I301" s="6">
        <f t="shared" si="9"/>
        <v>-2531298.365</v>
      </c>
      <c r="J301" s="610">
        <v>7.125</v>
      </c>
      <c r="K301" s="591"/>
      <c r="L301" s="6"/>
      <c r="M301" s="9">
        <v>20000.0</v>
      </c>
      <c r="N301" s="79">
        <f t="shared" si="10"/>
        <v>5920000</v>
      </c>
      <c r="O301" s="6">
        <f t="shared" si="2"/>
        <v>3970978.365</v>
      </c>
      <c r="P301" s="6"/>
      <c r="Q301" s="6">
        <f t="shared" si="11"/>
        <v>30902.82353</v>
      </c>
      <c r="R301" s="6">
        <f t="shared" si="12"/>
        <v>3970978.365</v>
      </c>
      <c r="S301" s="81">
        <f t="shared" si="3"/>
        <v>503.4829636</v>
      </c>
      <c r="T301" s="6"/>
      <c r="U301" s="6"/>
      <c r="V301" s="6"/>
      <c r="W301" s="6"/>
      <c r="X301" s="6"/>
    </row>
    <row r="302" ht="11.25" customHeight="1">
      <c r="A302" s="7"/>
      <c r="B302" s="68">
        <f t="shared" si="13"/>
        <v>297</v>
      </c>
      <c r="C302" s="607">
        <v>20000.0</v>
      </c>
      <c r="D302" s="6">
        <f t="shared" si="14"/>
        <v>-15029.58404</v>
      </c>
      <c r="E302" s="6">
        <f t="shared" si="1"/>
        <v>35029.58404</v>
      </c>
      <c r="F302" s="6">
        <f t="shared" si="6"/>
        <v>5166327.949</v>
      </c>
      <c r="G302" s="6">
        <f t="shared" si="7"/>
        <v>773672.0508</v>
      </c>
      <c r="H302" s="6">
        <f t="shared" si="8"/>
        <v>5940000</v>
      </c>
      <c r="I302" s="6">
        <f t="shared" si="9"/>
        <v>-2566327.949</v>
      </c>
      <c r="J302" s="610">
        <v>7.125</v>
      </c>
      <c r="K302" s="591"/>
      <c r="L302" s="6"/>
      <c r="M302" s="9">
        <v>20000.0</v>
      </c>
      <c r="N302" s="79">
        <f t="shared" si="10"/>
        <v>5940000</v>
      </c>
      <c r="O302" s="6">
        <f t="shared" si="2"/>
        <v>4002087.949</v>
      </c>
      <c r="P302" s="6"/>
      <c r="Q302" s="6">
        <f t="shared" si="11"/>
        <v>31109.58404</v>
      </c>
      <c r="R302" s="6">
        <f t="shared" si="12"/>
        <v>4002087.949</v>
      </c>
      <c r="S302" s="81">
        <f t="shared" si="3"/>
        <v>517.2848037</v>
      </c>
      <c r="T302" s="6"/>
      <c r="U302" s="6"/>
      <c r="V302" s="6"/>
      <c r="W302" s="6"/>
      <c r="X302" s="6"/>
    </row>
    <row r="303" ht="11.25" customHeight="1">
      <c r="A303" s="7"/>
      <c r="B303" s="68">
        <f t="shared" si="13"/>
        <v>298</v>
      </c>
      <c r="C303" s="607">
        <v>20000.0</v>
      </c>
      <c r="D303" s="6">
        <f t="shared" si="14"/>
        <v>-15237.5722</v>
      </c>
      <c r="E303" s="6">
        <f t="shared" si="1"/>
        <v>35237.5722</v>
      </c>
      <c r="F303" s="6">
        <f t="shared" si="6"/>
        <v>5201565.521</v>
      </c>
      <c r="G303" s="6">
        <f t="shared" si="7"/>
        <v>758434.4786</v>
      </c>
      <c r="H303" s="6">
        <f t="shared" si="8"/>
        <v>5960000</v>
      </c>
      <c r="I303" s="6">
        <f t="shared" si="9"/>
        <v>-2601565.521</v>
      </c>
      <c r="J303" s="610">
        <v>7.125</v>
      </c>
      <c r="K303" s="591"/>
      <c r="L303" s="6"/>
      <c r="M303" s="9">
        <v>20000.0</v>
      </c>
      <c r="N303" s="79">
        <f t="shared" si="10"/>
        <v>5960000</v>
      </c>
      <c r="O303" s="6">
        <f t="shared" si="2"/>
        <v>4033405.521</v>
      </c>
      <c r="P303" s="6"/>
      <c r="Q303" s="6">
        <f t="shared" si="11"/>
        <v>31317.5722</v>
      </c>
      <c r="R303" s="6">
        <f t="shared" si="12"/>
        <v>4033405.521</v>
      </c>
      <c r="S303" s="81">
        <f t="shared" si="3"/>
        <v>531.8067196</v>
      </c>
      <c r="T303" s="6"/>
      <c r="U303" s="6"/>
      <c r="V303" s="6"/>
      <c r="W303" s="6"/>
      <c r="X303" s="6"/>
    </row>
    <row r="304" ht="11.25" customHeight="1">
      <c r="A304" s="7"/>
      <c r="B304" s="68">
        <f t="shared" si="13"/>
        <v>299</v>
      </c>
      <c r="C304" s="607">
        <v>20000.0</v>
      </c>
      <c r="D304" s="6">
        <f t="shared" si="14"/>
        <v>-15446.79528</v>
      </c>
      <c r="E304" s="6">
        <f t="shared" si="1"/>
        <v>35446.79528</v>
      </c>
      <c r="F304" s="6">
        <f t="shared" si="6"/>
        <v>5237012.317</v>
      </c>
      <c r="G304" s="6">
        <f t="shared" si="7"/>
        <v>742987.6833</v>
      </c>
      <c r="H304" s="6">
        <f t="shared" si="8"/>
        <v>5980000</v>
      </c>
      <c r="I304" s="6">
        <f t="shared" si="9"/>
        <v>-2637012.317</v>
      </c>
      <c r="J304" s="610">
        <v>7.125</v>
      </c>
      <c r="K304" s="591"/>
      <c r="L304" s="6"/>
      <c r="M304" s="9">
        <v>20000.0</v>
      </c>
      <c r="N304" s="79">
        <f t="shared" si="10"/>
        <v>5980000</v>
      </c>
      <c r="O304" s="6">
        <f t="shared" si="2"/>
        <v>4064932.317</v>
      </c>
      <c r="P304" s="6"/>
      <c r="Q304" s="6">
        <f t="shared" si="11"/>
        <v>31526.79528</v>
      </c>
      <c r="R304" s="6">
        <f t="shared" si="12"/>
        <v>4064932.317</v>
      </c>
      <c r="S304" s="81">
        <f t="shared" si="3"/>
        <v>547.1062856</v>
      </c>
      <c r="T304" s="6"/>
      <c r="U304" s="6"/>
      <c r="V304" s="6"/>
      <c r="W304" s="6"/>
      <c r="X304" s="6"/>
    </row>
    <row r="305" ht="11.25" customHeight="1">
      <c r="A305" s="71"/>
      <c r="B305" s="72">
        <f t="shared" si="13"/>
        <v>300</v>
      </c>
      <c r="C305" s="607">
        <v>20000.0</v>
      </c>
      <c r="D305" s="10">
        <f t="shared" si="14"/>
        <v>-15657.26063</v>
      </c>
      <c r="E305" s="10">
        <f t="shared" si="1"/>
        <v>35657.26063</v>
      </c>
      <c r="F305" s="10">
        <f t="shared" si="6"/>
        <v>5272669.577</v>
      </c>
      <c r="G305" s="10">
        <f t="shared" si="7"/>
        <v>727330.4227</v>
      </c>
      <c r="H305" s="10">
        <f t="shared" si="8"/>
        <v>6000000</v>
      </c>
      <c r="I305" s="10">
        <f t="shared" si="9"/>
        <v>-2672669.577</v>
      </c>
      <c r="J305" s="610">
        <v>7.125</v>
      </c>
      <c r="K305" s="591"/>
      <c r="L305" s="6"/>
      <c r="M305" s="9">
        <v>20000.0</v>
      </c>
      <c r="N305" s="79">
        <f t="shared" si="10"/>
        <v>6000000</v>
      </c>
      <c r="O305" s="6">
        <f t="shared" si="2"/>
        <v>4096669.577</v>
      </c>
      <c r="P305" s="6"/>
      <c r="Q305" s="6">
        <f t="shared" si="11"/>
        <v>31737.26063</v>
      </c>
      <c r="R305" s="6">
        <f t="shared" si="12"/>
        <v>4096669.577</v>
      </c>
      <c r="S305" s="81">
        <f t="shared" si="3"/>
        <v>563.2473838</v>
      </c>
      <c r="T305" s="6"/>
      <c r="U305" s="6"/>
      <c r="V305" s="6"/>
      <c r="W305" s="6"/>
      <c r="X305" s="6"/>
    </row>
    <row r="306" ht="11.25" customHeight="1">
      <c r="A306" s="100">
        <v>26.0</v>
      </c>
      <c r="B306" s="66">
        <f t="shared" si="13"/>
        <v>301</v>
      </c>
      <c r="C306" s="607">
        <v>20000.0</v>
      </c>
      <c r="D306" s="617">
        <f t="shared" si="14"/>
        <v>-15868.97562</v>
      </c>
      <c r="E306" s="617">
        <f t="shared" si="1"/>
        <v>35868.97562</v>
      </c>
      <c r="F306" s="617">
        <f t="shared" si="6"/>
        <v>5308538.553</v>
      </c>
      <c r="G306" s="617">
        <f t="shared" si="7"/>
        <v>711461.4471</v>
      </c>
      <c r="H306" s="617">
        <f t="shared" si="8"/>
        <v>6020000</v>
      </c>
      <c r="I306" s="617">
        <f t="shared" si="9"/>
        <v>-2708538.553</v>
      </c>
      <c r="J306" s="610">
        <v>7.125</v>
      </c>
      <c r="K306" s="591"/>
      <c r="L306" s="6"/>
      <c r="M306" s="9">
        <v>20000.0</v>
      </c>
      <c r="N306" s="79">
        <f t="shared" si="10"/>
        <v>6020000</v>
      </c>
      <c r="O306" s="6">
        <f t="shared" si="2"/>
        <v>4128618.553</v>
      </c>
      <c r="P306" s="6"/>
      <c r="Q306" s="6">
        <f t="shared" si="11"/>
        <v>31948.97562</v>
      </c>
      <c r="R306" s="6">
        <f t="shared" si="12"/>
        <v>4128618.553</v>
      </c>
      <c r="S306" s="81">
        <f t="shared" si="3"/>
        <v>580.3010929</v>
      </c>
      <c r="T306" s="6"/>
      <c r="U306" s="6"/>
      <c r="V306" s="6"/>
      <c r="W306" s="6"/>
      <c r="X306" s="6"/>
    </row>
    <row r="307" ht="11.25" customHeight="1">
      <c r="A307" s="7"/>
      <c r="B307" s="68">
        <f t="shared" si="13"/>
        <v>302</v>
      </c>
      <c r="C307" s="607">
        <v>20000.0</v>
      </c>
      <c r="D307" s="6">
        <f t="shared" si="14"/>
        <v>-16081.94766</v>
      </c>
      <c r="E307" s="6">
        <f t="shared" si="1"/>
        <v>36081.94766</v>
      </c>
      <c r="F307" s="6">
        <f t="shared" si="6"/>
        <v>5344620.501</v>
      </c>
      <c r="G307" s="6">
        <f t="shared" si="7"/>
        <v>695379.4994</v>
      </c>
      <c r="H307" s="6">
        <f t="shared" si="8"/>
        <v>6040000</v>
      </c>
      <c r="I307" s="6">
        <f t="shared" si="9"/>
        <v>-2744620.501</v>
      </c>
      <c r="J307" s="610">
        <v>7.125</v>
      </c>
      <c r="K307" s="591"/>
      <c r="L307" s="6"/>
      <c r="M307" s="9">
        <v>20000.0</v>
      </c>
      <c r="N307" s="79">
        <f t="shared" si="10"/>
        <v>6040000</v>
      </c>
      <c r="O307" s="6">
        <f t="shared" si="2"/>
        <v>4160780.501</v>
      </c>
      <c r="P307" s="6"/>
      <c r="Q307" s="6">
        <f t="shared" si="11"/>
        <v>32161.94766</v>
      </c>
      <c r="R307" s="6">
        <f t="shared" si="12"/>
        <v>4160780.501</v>
      </c>
      <c r="S307" s="81">
        <f t="shared" si="3"/>
        <v>598.3467307</v>
      </c>
      <c r="T307" s="6"/>
      <c r="U307" s="6"/>
      <c r="V307" s="6"/>
      <c r="W307" s="6"/>
      <c r="X307" s="6"/>
    </row>
    <row r="308" ht="11.25" customHeight="1">
      <c r="A308" s="7"/>
      <c r="B308" s="68">
        <f t="shared" si="13"/>
        <v>303</v>
      </c>
      <c r="C308" s="607">
        <v>20000.0</v>
      </c>
      <c r="D308" s="6">
        <f t="shared" si="14"/>
        <v>-16296.18422</v>
      </c>
      <c r="E308" s="6">
        <f t="shared" si="1"/>
        <v>36296.18422</v>
      </c>
      <c r="F308" s="6">
        <f t="shared" si="6"/>
        <v>5380916.685</v>
      </c>
      <c r="G308" s="6">
        <f t="shared" si="7"/>
        <v>679083.3152</v>
      </c>
      <c r="H308" s="6">
        <f t="shared" si="8"/>
        <v>6060000</v>
      </c>
      <c r="I308" s="6">
        <f t="shared" si="9"/>
        <v>-2780916.685</v>
      </c>
      <c r="J308" s="610">
        <v>7.125</v>
      </c>
      <c r="K308" s="591"/>
      <c r="L308" s="6"/>
      <c r="M308" s="9">
        <v>20000.0</v>
      </c>
      <c r="N308" s="79">
        <f t="shared" si="10"/>
        <v>6060000</v>
      </c>
      <c r="O308" s="6">
        <f t="shared" si="2"/>
        <v>4193156.685</v>
      </c>
      <c r="P308" s="6"/>
      <c r="Q308" s="6">
        <f t="shared" si="11"/>
        <v>32376.18422</v>
      </c>
      <c r="R308" s="6">
        <f t="shared" si="12"/>
        <v>4193156.685</v>
      </c>
      <c r="S308" s="81">
        <f t="shared" si="3"/>
        <v>617.4730833</v>
      </c>
      <c r="T308" s="6"/>
      <c r="U308" s="6"/>
      <c r="V308" s="6"/>
      <c r="W308" s="6"/>
      <c r="X308" s="6"/>
    </row>
    <row r="309" ht="11.25" customHeight="1">
      <c r="A309" s="7"/>
      <c r="B309" s="68">
        <f t="shared" si="13"/>
        <v>304</v>
      </c>
      <c r="C309" s="607">
        <v>20000.0</v>
      </c>
      <c r="D309" s="6">
        <f t="shared" si="14"/>
        <v>-16511.69282</v>
      </c>
      <c r="E309" s="6">
        <f t="shared" si="1"/>
        <v>36511.69282</v>
      </c>
      <c r="F309" s="6">
        <f t="shared" si="6"/>
        <v>5417428.378</v>
      </c>
      <c r="G309" s="6">
        <f t="shared" si="7"/>
        <v>662571.6224</v>
      </c>
      <c r="H309" s="6">
        <f t="shared" si="8"/>
        <v>6080000</v>
      </c>
      <c r="I309" s="6">
        <f t="shared" si="9"/>
        <v>-2817428.378</v>
      </c>
      <c r="J309" s="610">
        <v>7.125</v>
      </c>
      <c r="K309" s="591"/>
      <c r="L309" s="6"/>
      <c r="M309" s="9">
        <v>20000.0</v>
      </c>
      <c r="N309" s="79">
        <f t="shared" si="10"/>
        <v>6080000</v>
      </c>
      <c r="O309" s="6">
        <f t="shared" si="2"/>
        <v>4225748.378</v>
      </c>
      <c r="P309" s="6"/>
      <c r="Q309" s="6">
        <f t="shared" si="11"/>
        <v>32591.69282</v>
      </c>
      <c r="R309" s="6">
        <f t="shared" si="12"/>
        <v>4225748.378</v>
      </c>
      <c r="S309" s="81">
        <f t="shared" si="3"/>
        <v>637.7798618</v>
      </c>
      <c r="T309" s="6"/>
      <c r="U309" s="6"/>
      <c r="V309" s="6"/>
      <c r="W309" s="6"/>
      <c r="X309" s="6"/>
    </row>
    <row r="310" ht="11.25" customHeight="1">
      <c r="A310" s="7"/>
      <c r="B310" s="68">
        <f t="shared" si="13"/>
        <v>305</v>
      </c>
      <c r="C310" s="607">
        <v>20000.0</v>
      </c>
      <c r="D310" s="6">
        <f t="shared" si="14"/>
        <v>-16728.48099</v>
      </c>
      <c r="E310" s="6">
        <f t="shared" si="1"/>
        <v>36728.48099</v>
      </c>
      <c r="F310" s="6">
        <f t="shared" si="6"/>
        <v>5454156.859</v>
      </c>
      <c r="G310" s="6">
        <f t="shared" si="7"/>
        <v>645843.1414</v>
      </c>
      <c r="H310" s="6">
        <f t="shared" si="8"/>
        <v>6100000</v>
      </c>
      <c r="I310" s="6">
        <f t="shared" si="9"/>
        <v>-2854156.859</v>
      </c>
      <c r="J310" s="610">
        <v>7.125</v>
      </c>
      <c r="K310" s="591"/>
      <c r="L310" s="6"/>
      <c r="M310" s="9">
        <v>20000.0</v>
      </c>
      <c r="N310" s="79">
        <f t="shared" si="10"/>
        <v>6100000</v>
      </c>
      <c r="O310" s="6">
        <f t="shared" si="2"/>
        <v>4258556.859</v>
      </c>
      <c r="P310" s="6"/>
      <c r="Q310" s="6">
        <f t="shared" si="11"/>
        <v>32808.48099</v>
      </c>
      <c r="R310" s="6">
        <f t="shared" si="12"/>
        <v>4258556.859</v>
      </c>
      <c r="S310" s="81">
        <f t="shared" si="3"/>
        <v>659.3794353</v>
      </c>
      <c r="T310" s="6"/>
      <c r="U310" s="6"/>
      <c r="V310" s="6"/>
      <c r="W310" s="6"/>
      <c r="X310" s="6"/>
    </row>
    <row r="311" ht="11.25" customHeight="1">
      <c r="A311" s="7"/>
      <c r="B311" s="68">
        <f t="shared" si="13"/>
        <v>306</v>
      </c>
      <c r="C311" s="607">
        <v>20000.0</v>
      </c>
      <c r="D311" s="6">
        <f t="shared" si="14"/>
        <v>-16946.55635</v>
      </c>
      <c r="E311" s="6">
        <f t="shared" si="1"/>
        <v>36946.55635</v>
      </c>
      <c r="F311" s="6">
        <f t="shared" si="6"/>
        <v>5491103.415</v>
      </c>
      <c r="G311" s="6">
        <f t="shared" si="7"/>
        <v>628896.5851</v>
      </c>
      <c r="H311" s="6">
        <f t="shared" si="8"/>
        <v>6120000</v>
      </c>
      <c r="I311" s="6">
        <f t="shared" si="9"/>
        <v>-2891103.415</v>
      </c>
      <c r="J311" s="610">
        <v>7.125</v>
      </c>
      <c r="K311" s="591"/>
      <c r="L311" s="6"/>
      <c r="M311" s="9">
        <v>20000.0</v>
      </c>
      <c r="N311" s="79">
        <f t="shared" si="10"/>
        <v>6120000</v>
      </c>
      <c r="O311" s="6">
        <f t="shared" si="2"/>
        <v>4291583.415</v>
      </c>
      <c r="P311" s="6"/>
      <c r="Q311" s="6">
        <f t="shared" si="11"/>
        <v>33026.55635</v>
      </c>
      <c r="R311" s="6">
        <f t="shared" si="12"/>
        <v>4291583.415</v>
      </c>
      <c r="S311" s="81">
        <f t="shared" si="3"/>
        <v>682.3989058</v>
      </c>
      <c r="T311" s="6"/>
      <c r="U311" s="6"/>
      <c r="V311" s="6"/>
      <c r="W311" s="6"/>
      <c r="X311" s="6"/>
    </row>
    <row r="312" ht="11.25" customHeight="1">
      <c r="A312" s="7"/>
      <c r="B312" s="68">
        <f t="shared" si="13"/>
        <v>307</v>
      </c>
      <c r="C312" s="607">
        <v>20000.0</v>
      </c>
      <c r="D312" s="6">
        <f t="shared" si="14"/>
        <v>-17165.92653</v>
      </c>
      <c r="E312" s="6">
        <f t="shared" si="1"/>
        <v>37165.92653</v>
      </c>
      <c r="F312" s="6">
        <f t="shared" si="6"/>
        <v>5528269.341</v>
      </c>
      <c r="G312" s="6">
        <f t="shared" si="7"/>
        <v>611730.6585</v>
      </c>
      <c r="H312" s="6">
        <f t="shared" si="8"/>
        <v>6140000</v>
      </c>
      <c r="I312" s="6">
        <f t="shared" si="9"/>
        <v>-2928269.341</v>
      </c>
      <c r="J312" s="610">
        <v>7.125</v>
      </c>
      <c r="K312" s="591"/>
      <c r="L312" s="6"/>
      <c r="M312" s="9">
        <v>20000.0</v>
      </c>
      <c r="N312" s="79">
        <f t="shared" si="10"/>
        <v>6140000</v>
      </c>
      <c r="O312" s="6">
        <f t="shared" si="2"/>
        <v>4324829.341</v>
      </c>
      <c r="P312" s="6"/>
      <c r="Q312" s="6">
        <f t="shared" si="11"/>
        <v>33245.92653</v>
      </c>
      <c r="R312" s="6">
        <f t="shared" si="12"/>
        <v>4324829.341</v>
      </c>
      <c r="S312" s="81">
        <f t="shared" si="3"/>
        <v>706.9826044</v>
      </c>
      <c r="T312" s="6"/>
      <c r="U312" s="6"/>
      <c r="V312" s="6"/>
      <c r="W312" s="6"/>
      <c r="X312" s="6"/>
    </row>
    <row r="313" ht="11.25" customHeight="1">
      <c r="A313" s="7"/>
      <c r="B313" s="68">
        <f t="shared" si="13"/>
        <v>308</v>
      </c>
      <c r="C313" s="607">
        <v>20000.0</v>
      </c>
      <c r="D313" s="6">
        <f t="shared" si="14"/>
        <v>-17386.59921</v>
      </c>
      <c r="E313" s="6">
        <f t="shared" si="1"/>
        <v>37386.59921</v>
      </c>
      <c r="F313" s="6">
        <f t="shared" si="6"/>
        <v>5565655.941</v>
      </c>
      <c r="G313" s="6">
        <f t="shared" si="7"/>
        <v>594344.0593</v>
      </c>
      <c r="H313" s="6">
        <f t="shared" si="8"/>
        <v>6160000</v>
      </c>
      <c r="I313" s="6">
        <f t="shared" si="9"/>
        <v>-2965655.941</v>
      </c>
      <c r="J313" s="610">
        <v>7.125</v>
      </c>
      <c r="K313" s="591"/>
      <c r="L313" s="6"/>
      <c r="M313" s="9">
        <v>20000.0</v>
      </c>
      <c r="N313" s="79">
        <f t="shared" si="10"/>
        <v>6160000</v>
      </c>
      <c r="O313" s="6">
        <f t="shared" si="2"/>
        <v>4358295.941</v>
      </c>
      <c r="P313" s="6"/>
      <c r="Q313" s="6">
        <f t="shared" si="11"/>
        <v>33466.59921</v>
      </c>
      <c r="R313" s="6">
        <f t="shared" si="12"/>
        <v>4358295.941</v>
      </c>
      <c r="S313" s="81">
        <f t="shared" si="3"/>
        <v>733.2951129</v>
      </c>
      <c r="T313" s="6"/>
      <c r="U313" s="6"/>
      <c r="V313" s="6"/>
      <c r="W313" s="6"/>
      <c r="X313" s="6"/>
    </row>
    <row r="314" ht="11.25" customHeight="1">
      <c r="A314" s="7"/>
      <c r="B314" s="68">
        <f t="shared" si="13"/>
        <v>309</v>
      </c>
      <c r="C314" s="607">
        <v>20000.0</v>
      </c>
      <c r="D314" s="6">
        <f t="shared" si="14"/>
        <v>-17608.58215</v>
      </c>
      <c r="E314" s="6">
        <f t="shared" si="1"/>
        <v>37608.58215</v>
      </c>
      <c r="F314" s="6">
        <f t="shared" si="6"/>
        <v>5603264.523</v>
      </c>
      <c r="G314" s="6">
        <f t="shared" si="7"/>
        <v>576735.4772</v>
      </c>
      <c r="H314" s="6">
        <f t="shared" si="8"/>
        <v>6180000</v>
      </c>
      <c r="I314" s="6">
        <f t="shared" si="9"/>
        <v>-3003264.523</v>
      </c>
      <c r="J314" s="610">
        <v>7.125</v>
      </c>
      <c r="K314" s="591"/>
      <c r="L314" s="6"/>
      <c r="M314" s="9">
        <v>20000.0</v>
      </c>
      <c r="N314" s="79">
        <f t="shared" si="10"/>
        <v>6180000</v>
      </c>
      <c r="O314" s="6">
        <f t="shared" si="2"/>
        <v>4391984.523</v>
      </c>
      <c r="P314" s="6"/>
      <c r="Q314" s="6">
        <f t="shared" si="11"/>
        <v>33688.58215</v>
      </c>
      <c r="R314" s="6">
        <f t="shared" si="12"/>
        <v>4391984.523</v>
      </c>
      <c r="S314" s="81">
        <f t="shared" si="3"/>
        <v>761.5249446</v>
      </c>
      <c r="T314" s="6"/>
      <c r="U314" s="6"/>
      <c r="V314" s="6"/>
      <c r="W314" s="6"/>
      <c r="X314" s="6"/>
    </row>
    <row r="315" ht="11.25" customHeight="1">
      <c r="A315" s="7"/>
      <c r="B315" s="68">
        <f t="shared" si="13"/>
        <v>310</v>
      </c>
      <c r="C315" s="607">
        <v>20000.0</v>
      </c>
      <c r="D315" s="6">
        <f t="shared" si="14"/>
        <v>-17831.8831</v>
      </c>
      <c r="E315" s="6">
        <f t="shared" si="1"/>
        <v>37831.8831</v>
      </c>
      <c r="F315" s="6">
        <f t="shared" si="6"/>
        <v>5641096.406</v>
      </c>
      <c r="G315" s="6">
        <f t="shared" si="7"/>
        <v>558903.5941</v>
      </c>
      <c r="H315" s="6">
        <f t="shared" si="8"/>
        <v>6200000</v>
      </c>
      <c r="I315" s="6">
        <f t="shared" si="9"/>
        <v>-3041096.406</v>
      </c>
      <c r="J315" s="610">
        <v>7.125</v>
      </c>
      <c r="K315" s="591"/>
      <c r="L315" s="6"/>
      <c r="M315" s="9">
        <v>20000.0</v>
      </c>
      <c r="N315" s="79">
        <f t="shared" si="10"/>
        <v>6200000</v>
      </c>
      <c r="O315" s="6">
        <f t="shared" si="2"/>
        <v>4425896.406</v>
      </c>
      <c r="P315" s="6"/>
      <c r="Q315" s="6">
        <f t="shared" si="11"/>
        <v>33911.8831</v>
      </c>
      <c r="R315" s="6">
        <f t="shared" si="12"/>
        <v>4425896.406</v>
      </c>
      <c r="S315" s="81">
        <f t="shared" si="3"/>
        <v>791.8890579</v>
      </c>
      <c r="T315" s="6"/>
      <c r="U315" s="6"/>
      <c r="V315" s="6"/>
      <c r="W315" s="6"/>
      <c r="X315" s="6"/>
    </row>
    <row r="316" ht="11.25" customHeight="1">
      <c r="A316" s="7"/>
      <c r="B316" s="68">
        <f t="shared" si="13"/>
        <v>311</v>
      </c>
      <c r="C316" s="607">
        <v>20000.0</v>
      </c>
      <c r="D316" s="6">
        <f t="shared" si="14"/>
        <v>-18056.50991</v>
      </c>
      <c r="E316" s="6">
        <f t="shared" si="1"/>
        <v>38056.50991</v>
      </c>
      <c r="F316" s="6">
        <f t="shared" si="6"/>
        <v>5679152.916</v>
      </c>
      <c r="G316" s="6">
        <f t="shared" si="7"/>
        <v>540847.0842</v>
      </c>
      <c r="H316" s="6">
        <f t="shared" si="8"/>
        <v>6220000</v>
      </c>
      <c r="I316" s="6">
        <f t="shared" si="9"/>
        <v>-3079152.916</v>
      </c>
      <c r="J316" s="610">
        <v>7.125</v>
      </c>
      <c r="K316" s="591"/>
      <c r="L316" s="6"/>
      <c r="M316" s="9">
        <v>20000.0</v>
      </c>
      <c r="N316" s="79">
        <f t="shared" si="10"/>
        <v>6220000</v>
      </c>
      <c r="O316" s="6">
        <f t="shared" si="2"/>
        <v>4460032.916</v>
      </c>
      <c r="P316" s="6"/>
      <c r="Q316" s="6">
        <f t="shared" si="11"/>
        <v>34136.50991</v>
      </c>
      <c r="R316" s="6">
        <f t="shared" si="12"/>
        <v>4460032.916</v>
      </c>
      <c r="S316" s="81">
        <f t="shared" si="3"/>
        <v>824.6384323</v>
      </c>
      <c r="T316" s="6"/>
      <c r="U316" s="6"/>
      <c r="V316" s="6"/>
      <c r="W316" s="6"/>
      <c r="X316" s="6"/>
    </row>
    <row r="317" ht="11.25" customHeight="1">
      <c r="A317" s="71"/>
      <c r="B317" s="72">
        <f t="shared" si="13"/>
        <v>312</v>
      </c>
      <c r="C317" s="607">
        <v>20000.0</v>
      </c>
      <c r="D317" s="10">
        <f t="shared" si="14"/>
        <v>-18282.47044</v>
      </c>
      <c r="E317" s="10">
        <f t="shared" si="1"/>
        <v>38282.47044</v>
      </c>
      <c r="F317" s="10">
        <f t="shared" si="6"/>
        <v>5717435.386</v>
      </c>
      <c r="G317" s="10">
        <f t="shared" si="7"/>
        <v>522564.6137</v>
      </c>
      <c r="H317" s="10">
        <f t="shared" si="8"/>
        <v>6240000</v>
      </c>
      <c r="I317" s="10">
        <f t="shared" si="9"/>
        <v>-3117435.386</v>
      </c>
      <c r="J317" s="610">
        <v>7.125</v>
      </c>
      <c r="K317" s="591"/>
      <c r="L317" s="6"/>
      <c r="M317" s="9">
        <v>20000.0</v>
      </c>
      <c r="N317" s="79">
        <f t="shared" si="10"/>
        <v>6240000</v>
      </c>
      <c r="O317" s="6">
        <f t="shared" si="2"/>
        <v>4494395.386</v>
      </c>
      <c r="P317" s="6"/>
      <c r="Q317" s="6">
        <f t="shared" si="11"/>
        <v>34362.47044</v>
      </c>
      <c r="R317" s="6">
        <f t="shared" si="12"/>
        <v>4494395.386</v>
      </c>
      <c r="S317" s="81">
        <f t="shared" si="3"/>
        <v>860.0650079</v>
      </c>
      <c r="T317" s="6"/>
      <c r="U317" s="6"/>
      <c r="V317" s="6"/>
      <c r="W317" s="6"/>
      <c r="X317" s="6"/>
    </row>
    <row r="318" ht="11.25" customHeight="1">
      <c r="A318" s="100">
        <v>27.0</v>
      </c>
      <c r="B318" s="66">
        <f t="shared" si="13"/>
        <v>313</v>
      </c>
      <c r="C318" s="607">
        <v>20000.0</v>
      </c>
      <c r="D318" s="617">
        <f t="shared" si="14"/>
        <v>-18509.77261</v>
      </c>
      <c r="E318" s="617">
        <f t="shared" si="1"/>
        <v>38509.77261</v>
      </c>
      <c r="F318" s="617">
        <f t="shared" si="6"/>
        <v>5755945.159</v>
      </c>
      <c r="G318" s="617">
        <f t="shared" si="7"/>
        <v>504054.8411</v>
      </c>
      <c r="H318" s="617">
        <f t="shared" si="8"/>
        <v>6260000</v>
      </c>
      <c r="I318" s="617">
        <f t="shared" si="9"/>
        <v>-3155945.159</v>
      </c>
      <c r="J318" s="610">
        <v>7.125</v>
      </c>
      <c r="K318" s="591"/>
      <c r="L318" s="6"/>
      <c r="M318" s="9">
        <v>20000.0</v>
      </c>
      <c r="N318" s="79">
        <f t="shared" si="10"/>
        <v>6260000</v>
      </c>
      <c r="O318" s="6">
        <f t="shared" si="2"/>
        <v>4528985.159</v>
      </c>
      <c r="P318" s="6"/>
      <c r="Q318" s="6">
        <f t="shared" si="11"/>
        <v>34589.77261</v>
      </c>
      <c r="R318" s="6">
        <f t="shared" si="12"/>
        <v>4528985.159</v>
      </c>
      <c r="S318" s="81">
        <f t="shared" si="3"/>
        <v>898.510398</v>
      </c>
      <c r="T318" s="6"/>
      <c r="U318" s="6"/>
      <c r="V318" s="6"/>
      <c r="W318" s="6"/>
      <c r="X318" s="6"/>
    </row>
    <row r="319" ht="11.25" customHeight="1">
      <c r="A319" s="7"/>
      <c r="B319" s="68">
        <f t="shared" si="13"/>
        <v>314</v>
      </c>
      <c r="C319" s="607">
        <v>20000.0</v>
      </c>
      <c r="D319" s="6">
        <f t="shared" si="14"/>
        <v>-18738.42438</v>
      </c>
      <c r="E319" s="6">
        <f t="shared" si="1"/>
        <v>38738.42438</v>
      </c>
      <c r="F319" s="6">
        <f t="shared" si="6"/>
        <v>5794683.583</v>
      </c>
      <c r="G319" s="6">
        <f t="shared" si="7"/>
        <v>485316.4167</v>
      </c>
      <c r="H319" s="6">
        <f t="shared" si="8"/>
        <v>6280000</v>
      </c>
      <c r="I319" s="6">
        <f t="shared" si="9"/>
        <v>-3194683.583</v>
      </c>
      <c r="J319" s="610">
        <v>7.125</v>
      </c>
      <c r="K319" s="591"/>
      <c r="L319" s="6"/>
      <c r="M319" s="9">
        <v>20000.0</v>
      </c>
      <c r="N319" s="79">
        <f t="shared" si="10"/>
        <v>6280000</v>
      </c>
      <c r="O319" s="6">
        <f t="shared" si="2"/>
        <v>4563803.583</v>
      </c>
      <c r="P319" s="6"/>
      <c r="Q319" s="6">
        <f t="shared" si="11"/>
        <v>34818.42438</v>
      </c>
      <c r="R319" s="6">
        <f t="shared" si="12"/>
        <v>4563803.583</v>
      </c>
      <c r="S319" s="81">
        <f t="shared" si="3"/>
        <v>940.3769223</v>
      </c>
      <c r="T319" s="6"/>
      <c r="U319" s="6"/>
      <c r="V319" s="6"/>
      <c r="W319" s="6"/>
      <c r="X319" s="6"/>
    </row>
    <row r="320" ht="11.25" customHeight="1">
      <c r="A320" s="7"/>
      <c r="B320" s="68">
        <f t="shared" si="13"/>
        <v>315</v>
      </c>
      <c r="C320" s="607">
        <v>20000.0</v>
      </c>
      <c r="D320" s="6">
        <f t="shared" si="14"/>
        <v>-18968.43378</v>
      </c>
      <c r="E320" s="6">
        <f t="shared" si="1"/>
        <v>38968.43378</v>
      </c>
      <c r="F320" s="6">
        <f t="shared" si="6"/>
        <v>5833652.017</v>
      </c>
      <c r="G320" s="6">
        <f t="shared" si="7"/>
        <v>466347.983</v>
      </c>
      <c r="H320" s="6">
        <f t="shared" si="8"/>
        <v>6300000</v>
      </c>
      <c r="I320" s="6">
        <f t="shared" si="9"/>
        <v>-3233652.017</v>
      </c>
      <c r="J320" s="610">
        <v>7.125</v>
      </c>
      <c r="K320" s="591"/>
      <c r="L320" s="6"/>
      <c r="M320" s="9">
        <v>20000.0</v>
      </c>
      <c r="N320" s="79">
        <f t="shared" si="10"/>
        <v>6300000</v>
      </c>
      <c r="O320" s="6">
        <f t="shared" si="2"/>
        <v>4598852.017</v>
      </c>
      <c r="P320" s="6"/>
      <c r="Q320" s="6">
        <f t="shared" si="11"/>
        <v>35048.43378</v>
      </c>
      <c r="R320" s="6">
        <f t="shared" si="12"/>
        <v>4598852.017</v>
      </c>
      <c r="S320" s="81">
        <f t="shared" si="3"/>
        <v>986.1417193</v>
      </c>
      <c r="T320" s="6"/>
      <c r="U320" s="6"/>
      <c r="V320" s="6"/>
      <c r="W320" s="6"/>
      <c r="X320" s="6"/>
    </row>
    <row r="321" ht="11.25" customHeight="1">
      <c r="A321" s="7"/>
      <c r="B321" s="68">
        <f t="shared" si="13"/>
        <v>316</v>
      </c>
      <c r="C321" s="607">
        <v>20000.0</v>
      </c>
      <c r="D321" s="6">
        <f t="shared" si="14"/>
        <v>-19199.80885</v>
      </c>
      <c r="E321" s="6">
        <f t="shared" si="1"/>
        <v>39199.80885</v>
      </c>
      <c r="F321" s="6">
        <f t="shared" si="6"/>
        <v>5872851.826</v>
      </c>
      <c r="G321" s="6">
        <f t="shared" si="7"/>
        <v>447148.1741</v>
      </c>
      <c r="H321" s="6">
        <f t="shared" si="8"/>
        <v>6320000</v>
      </c>
      <c r="I321" s="6">
        <f t="shared" si="9"/>
        <v>-3272851.826</v>
      </c>
      <c r="J321" s="610">
        <v>7.125</v>
      </c>
      <c r="K321" s="591"/>
      <c r="L321" s="6"/>
      <c r="M321" s="9">
        <v>20000.0</v>
      </c>
      <c r="N321" s="79">
        <f t="shared" si="10"/>
        <v>6320000</v>
      </c>
      <c r="O321" s="6">
        <f t="shared" si="2"/>
        <v>4634131.826</v>
      </c>
      <c r="P321" s="6"/>
      <c r="Q321" s="6">
        <f t="shared" si="11"/>
        <v>35279.80885</v>
      </c>
      <c r="R321" s="6">
        <f t="shared" si="12"/>
        <v>4634131.826</v>
      </c>
      <c r="S321" s="81">
        <f t="shared" si="3"/>
        <v>1036.374986</v>
      </c>
      <c r="T321" s="6"/>
      <c r="U321" s="6"/>
      <c r="V321" s="6"/>
      <c r="W321" s="6"/>
      <c r="X321" s="6"/>
    </row>
    <row r="322" ht="11.25" customHeight="1">
      <c r="A322" s="7"/>
      <c r="B322" s="68">
        <f t="shared" si="13"/>
        <v>317</v>
      </c>
      <c r="C322" s="607">
        <v>20000.0</v>
      </c>
      <c r="D322" s="6">
        <f t="shared" si="14"/>
        <v>-19432.55772</v>
      </c>
      <c r="E322" s="6">
        <f t="shared" si="1"/>
        <v>39432.55772</v>
      </c>
      <c r="F322" s="6">
        <f t="shared" si="6"/>
        <v>5912284.384</v>
      </c>
      <c r="G322" s="6">
        <f t="shared" si="7"/>
        <v>427715.6164</v>
      </c>
      <c r="H322" s="6">
        <f t="shared" si="8"/>
        <v>6340000</v>
      </c>
      <c r="I322" s="6">
        <f t="shared" si="9"/>
        <v>-3312284.384</v>
      </c>
      <c r="J322" s="610">
        <v>7.125</v>
      </c>
      <c r="K322" s="591"/>
      <c r="L322" s="6"/>
      <c r="M322" s="9">
        <v>20000.0</v>
      </c>
      <c r="N322" s="79">
        <f t="shared" si="10"/>
        <v>6340000</v>
      </c>
      <c r="O322" s="6">
        <f t="shared" si="2"/>
        <v>4669644.384</v>
      </c>
      <c r="P322" s="6"/>
      <c r="Q322" s="6">
        <f t="shared" si="11"/>
        <v>35512.55772</v>
      </c>
      <c r="R322" s="6">
        <f t="shared" si="12"/>
        <v>4669644.384</v>
      </c>
      <c r="S322" s="81">
        <f t="shared" si="3"/>
        <v>1091.763827</v>
      </c>
      <c r="T322" s="6"/>
      <c r="U322" s="6"/>
      <c r="V322" s="6"/>
      <c r="W322" s="6"/>
      <c r="X322" s="6"/>
    </row>
    <row r="323" ht="11.25" customHeight="1">
      <c r="A323" s="7"/>
      <c r="B323" s="68">
        <f t="shared" si="13"/>
        <v>318</v>
      </c>
      <c r="C323" s="607">
        <v>20000.0</v>
      </c>
      <c r="D323" s="6">
        <f t="shared" si="14"/>
        <v>-19666.68853</v>
      </c>
      <c r="E323" s="6">
        <f t="shared" si="1"/>
        <v>39666.68853</v>
      </c>
      <c r="F323" s="6">
        <f t="shared" si="6"/>
        <v>5951951.072</v>
      </c>
      <c r="G323" s="6">
        <f t="shared" si="7"/>
        <v>408048.9279</v>
      </c>
      <c r="H323" s="6">
        <f t="shared" si="8"/>
        <v>6360000</v>
      </c>
      <c r="I323" s="6">
        <f t="shared" si="9"/>
        <v>-3351951.072</v>
      </c>
      <c r="J323" s="610">
        <v>7.125</v>
      </c>
      <c r="K323" s="591"/>
      <c r="L323" s="6"/>
      <c r="M323" s="9">
        <v>20000.0</v>
      </c>
      <c r="N323" s="79">
        <f t="shared" si="10"/>
        <v>6360000</v>
      </c>
      <c r="O323" s="6">
        <f t="shared" si="2"/>
        <v>4705391.072</v>
      </c>
      <c r="P323" s="6"/>
      <c r="Q323" s="6">
        <f t="shared" si="11"/>
        <v>35746.68853</v>
      </c>
      <c r="R323" s="6">
        <f t="shared" si="12"/>
        <v>4705391.072</v>
      </c>
      <c r="S323" s="81">
        <f t="shared" si="3"/>
        <v>1153.143839</v>
      </c>
      <c r="T323" s="6"/>
      <c r="U323" s="6"/>
      <c r="V323" s="6"/>
      <c r="W323" s="6"/>
      <c r="X323" s="6"/>
    </row>
    <row r="324" ht="11.25" customHeight="1">
      <c r="A324" s="7"/>
      <c r="B324" s="68">
        <f t="shared" si="13"/>
        <v>319</v>
      </c>
      <c r="C324" s="607">
        <v>20000.0</v>
      </c>
      <c r="D324" s="6">
        <f t="shared" si="14"/>
        <v>-19902.20949</v>
      </c>
      <c r="E324" s="6">
        <f t="shared" si="1"/>
        <v>39902.20949</v>
      </c>
      <c r="F324" s="6">
        <f t="shared" si="6"/>
        <v>5991853.282</v>
      </c>
      <c r="G324" s="6">
        <f t="shared" si="7"/>
        <v>388146.7184</v>
      </c>
      <c r="H324" s="6">
        <f t="shared" si="8"/>
        <v>6380000</v>
      </c>
      <c r="I324" s="6">
        <f t="shared" si="9"/>
        <v>-3391853.282</v>
      </c>
      <c r="J324" s="610">
        <v>7.125</v>
      </c>
      <c r="K324" s="591"/>
      <c r="L324" s="6"/>
      <c r="M324" s="9">
        <v>20000.0</v>
      </c>
      <c r="N324" s="79">
        <f t="shared" si="10"/>
        <v>6380000</v>
      </c>
      <c r="O324" s="6">
        <f t="shared" si="2"/>
        <v>4741373.282</v>
      </c>
      <c r="P324" s="6"/>
      <c r="Q324" s="6">
        <f t="shared" si="11"/>
        <v>35982.20949</v>
      </c>
      <c r="R324" s="6">
        <f t="shared" si="12"/>
        <v>4741373.282</v>
      </c>
      <c r="S324" s="81">
        <f t="shared" si="3"/>
        <v>1221.541509</v>
      </c>
      <c r="T324" s="6"/>
      <c r="U324" s="6"/>
      <c r="V324" s="6"/>
      <c r="W324" s="6"/>
      <c r="X324" s="6"/>
    </row>
    <row r="325" ht="11.25" customHeight="1">
      <c r="A325" s="7"/>
      <c r="B325" s="68">
        <f t="shared" si="13"/>
        <v>320</v>
      </c>
      <c r="C325" s="607">
        <v>20000.0</v>
      </c>
      <c r="D325" s="6">
        <f t="shared" si="14"/>
        <v>-20139.12886</v>
      </c>
      <c r="E325" s="6">
        <f t="shared" si="1"/>
        <v>40139.12886</v>
      </c>
      <c r="F325" s="6">
        <f t="shared" si="6"/>
        <v>6031992.41</v>
      </c>
      <c r="G325" s="6">
        <f t="shared" si="7"/>
        <v>368007.5895</v>
      </c>
      <c r="H325" s="6">
        <f t="shared" si="8"/>
        <v>6400000</v>
      </c>
      <c r="I325" s="6">
        <f t="shared" si="9"/>
        <v>-3431992.41</v>
      </c>
      <c r="J325" s="610">
        <v>7.125</v>
      </c>
      <c r="K325" s="591"/>
      <c r="L325" s="6"/>
      <c r="M325" s="9">
        <v>20000.0</v>
      </c>
      <c r="N325" s="79">
        <f t="shared" si="10"/>
        <v>6400000</v>
      </c>
      <c r="O325" s="6">
        <f t="shared" si="2"/>
        <v>4777592.41</v>
      </c>
      <c r="P325" s="6"/>
      <c r="Q325" s="6">
        <f t="shared" si="11"/>
        <v>36219.12886</v>
      </c>
      <c r="R325" s="6">
        <f t="shared" si="12"/>
        <v>4777592.41</v>
      </c>
      <c r="S325" s="81">
        <f t="shared" si="3"/>
        <v>1298.232033</v>
      </c>
      <c r="T325" s="6"/>
      <c r="U325" s="6"/>
      <c r="V325" s="6"/>
      <c r="W325" s="6"/>
      <c r="X325" s="6"/>
    </row>
    <row r="326" ht="11.25" customHeight="1">
      <c r="A326" s="7"/>
      <c r="B326" s="68">
        <f t="shared" si="13"/>
        <v>321</v>
      </c>
      <c r="C326" s="607">
        <v>20000.0</v>
      </c>
      <c r="D326" s="6">
        <f t="shared" si="14"/>
        <v>-20377.45494</v>
      </c>
      <c r="E326" s="6">
        <f t="shared" si="1"/>
        <v>40377.45494</v>
      </c>
      <c r="F326" s="6">
        <f t="shared" si="6"/>
        <v>6072369.865</v>
      </c>
      <c r="G326" s="6">
        <f t="shared" si="7"/>
        <v>347630.1346</v>
      </c>
      <c r="H326" s="6">
        <f t="shared" si="8"/>
        <v>6420000</v>
      </c>
      <c r="I326" s="6">
        <f t="shared" si="9"/>
        <v>-3472369.865</v>
      </c>
      <c r="J326" s="610">
        <v>7.125</v>
      </c>
      <c r="K326" s="591"/>
      <c r="L326" s="6"/>
      <c r="M326" s="9">
        <v>20000.0</v>
      </c>
      <c r="N326" s="79">
        <f t="shared" si="10"/>
        <v>6420000</v>
      </c>
      <c r="O326" s="6">
        <f t="shared" si="2"/>
        <v>4814049.865</v>
      </c>
      <c r="P326" s="6"/>
      <c r="Q326" s="6">
        <f t="shared" si="11"/>
        <v>36457.45494</v>
      </c>
      <c r="R326" s="6">
        <f t="shared" si="12"/>
        <v>4814049.865</v>
      </c>
      <c r="S326" s="81">
        <f t="shared" si="3"/>
        <v>1384.819492</v>
      </c>
      <c r="T326" s="6"/>
      <c r="U326" s="6"/>
      <c r="V326" s="6"/>
      <c r="W326" s="6"/>
      <c r="X326" s="6"/>
    </row>
    <row r="327" ht="11.25" customHeight="1">
      <c r="A327" s="7"/>
      <c r="B327" s="68">
        <f t="shared" si="13"/>
        <v>322</v>
      </c>
      <c r="C327" s="607">
        <v>20000.0</v>
      </c>
      <c r="D327" s="6">
        <f t="shared" si="14"/>
        <v>-20617.19608</v>
      </c>
      <c r="E327" s="6">
        <f t="shared" si="1"/>
        <v>40617.19608</v>
      </c>
      <c r="F327" s="6">
        <f t="shared" si="6"/>
        <v>6112987.061</v>
      </c>
      <c r="G327" s="6">
        <f t="shared" si="7"/>
        <v>327012.9385</v>
      </c>
      <c r="H327" s="6">
        <f t="shared" si="8"/>
        <v>6440000</v>
      </c>
      <c r="I327" s="6">
        <f t="shared" si="9"/>
        <v>-3512987.061</v>
      </c>
      <c r="J327" s="610">
        <v>7.125</v>
      </c>
      <c r="K327" s="591"/>
      <c r="L327" s="6"/>
      <c r="M327" s="9">
        <v>20000.0</v>
      </c>
      <c r="N327" s="79">
        <f t="shared" si="10"/>
        <v>6440000</v>
      </c>
      <c r="O327" s="6">
        <f t="shared" si="2"/>
        <v>4850747.061</v>
      </c>
      <c r="P327" s="6"/>
      <c r="Q327" s="6">
        <f t="shared" si="11"/>
        <v>36697.19608</v>
      </c>
      <c r="R327" s="6">
        <f t="shared" si="12"/>
        <v>4850747.061</v>
      </c>
      <c r="S327" s="81">
        <f t="shared" si="3"/>
        <v>1483.350195</v>
      </c>
      <c r="T327" s="6"/>
      <c r="U327" s="6"/>
      <c r="V327" s="6"/>
      <c r="W327" s="6"/>
      <c r="X327" s="6"/>
    </row>
    <row r="328" ht="11.25" customHeight="1">
      <c r="A328" s="7"/>
      <c r="B328" s="68">
        <f t="shared" si="13"/>
        <v>323</v>
      </c>
      <c r="C328" s="607">
        <v>20000.0</v>
      </c>
      <c r="D328" s="6">
        <f t="shared" si="14"/>
        <v>-20858.36068</v>
      </c>
      <c r="E328" s="6">
        <f t="shared" si="1"/>
        <v>40858.36068</v>
      </c>
      <c r="F328" s="6">
        <f t="shared" si="6"/>
        <v>6153845.422</v>
      </c>
      <c r="G328" s="6">
        <f t="shared" si="7"/>
        <v>306154.5778</v>
      </c>
      <c r="H328" s="6">
        <f t="shared" si="8"/>
        <v>6460000</v>
      </c>
      <c r="I328" s="6">
        <f t="shared" si="9"/>
        <v>-3553845.422</v>
      </c>
      <c r="J328" s="610">
        <v>7.125</v>
      </c>
      <c r="K328" s="591"/>
      <c r="L328" s="6"/>
      <c r="M328" s="9">
        <v>20000.0</v>
      </c>
      <c r="N328" s="79">
        <f t="shared" si="10"/>
        <v>6460000</v>
      </c>
      <c r="O328" s="6">
        <f t="shared" si="2"/>
        <v>4887685.422</v>
      </c>
      <c r="P328" s="6"/>
      <c r="Q328" s="6">
        <f t="shared" si="11"/>
        <v>36938.36068</v>
      </c>
      <c r="R328" s="6">
        <f t="shared" si="12"/>
        <v>4887685.422</v>
      </c>
      <c r="S328" s="81">
        <f t="shared" si="3"/>
        <v>1596.476348</v>
      </c>
      <c r="T328" s="6"/>
      <c r="U328" s="6"/>
      <c r="V328" s="6"/>
      <c r="W328" s="6"/>
      <c r="X328" s="6"/>
    </row>
    <row r="329" ht="11.25" customHeight="1">
      <c r="A329" s="71"/>
      <c r="B329" s="72">
        <f t="shared" si="13"/>
        <v>324</v>
      </c>
      <c r="C329" s="607">
        <v>20000.0</v>
      </c>
      <c r="D329" s="10">
        <f t="shared" si="14"/>
        <v>-21100.95719</v>
      </c>
      <c r="E329" s="10">
        <f t="shared" si="1"/>
        <v>41100.95719</v>
      </c>
      <c r="F329" s="10">
        <f t="shared" si="6"/>
        <v>6194946.379</v>
      </c>
      <c r="G329" s="10">
        <f t="shared" si="7"/>
        <v>285053.6206</v>
      </c>
      <c r="H329" s="10">
        <f t="shared" si="8"/>
        <v>6480000</v>
      </c>
      <c r="I329" s="10">
        <f t="shared" si="9"/>
        <v>-3594946.379</v>
      </c>
      <c r="J329" s="610">
        <v>7.125</v>
      </c>
      <c r="K329" s="591"/>
      <c r="L329" s="6"/>
      <c r="M329" s="9">
        <v>20000.0</v>
      </c>
      <c r="N329" s="79">
        <f t="shared" si="10"/>
        <v>6480000</v>
      </c>
      <c r="O329" s="6">
        <f t="shared" si="2"/>
        <v>4924866.379</v>
      </c>
      <c r="P329" s="6"/>
      <c r="Q329" s="6">
        <f t="shared" si="11"/>
        <v>37180.95719</v>
      </c>
      <c r="R329" s="6">
        <f t="shared" si="12"/>
        <v>4924866.379</v>
      </c>
      <c r="S329" s="81">
        <f t="shared" si="3"/>
        <v>1727.698237</v>
      </c>
      <c r="T329" s="6"/>
      <c r="U329" s="6"/>
      <c r="V329" s="6"/>
      <c r="W329" s="6"/>
      <c r="X329" s="6"/>
    </row>
    <row r="330" ht="11.25" customHeight="1">
      <c r="A330" s="100">
        <v>28.0</v>
      </c>
      <c r="B330" s="66">
        <f t="shared" si="13"/>
        <v>325</v>
      </c>
      <c r="C330" s="607">
        <v>20000.0</v>
      </c>
      <c r="D330" s="617">
        <f t="shared" si="14"/>
        <v>-21344.99413</v>
      </c>
      <c r="E330" s="617">
        <f t="shared" si="1"/>
        <v>41344.99413</v>
      </c>
      <c r="F330" s="617">
        <f t="shared" si="6"/>
        <v>6236291.373</v>
      </c>
      <c r="G330" s="617">
        <f t="shared" si="7"/>
        <v>263708.6265</v>
      </c>
      <c r="H330" s="617">
        <f t="shared" si="8"/>
        <v>6500000</v>
      </c>
      <c r="I330" s="617">
        <f t="shared" si="9"/>
        <v>-3636291.373</v>
      </c>
      <c r="J330" s="610">
        <v>7.125</v>
      </c>
      <c r="K330" s="591"/>
      <c r="L330" s="6"/>
      <c r="M330" s="9">
        <v>20000.0</v>
      </c>
      <c r="N330" s="79">
        <f t="shared" si="10"/>
        <v>6500000</v>
      </c>
      <c r="O330" s="6">
        <f t="shared" si="2"/>
        <v>4962291.373</v>
      </c>
      <c r="P330" s="6"/>
      <c r="Q330" s="6">
        <f t="shared" si="11"/>
        <v>37424.99413</v>
      </c>
      <c r="R330" s="6">
        <f t="shared" si="12"/>
        <v>4962291.373</v>
      </c>
      <c r="S330" s="81">
        <f t="shared" si="3"/>
        <v>1881.732668</v>
      </c>
      <c r="T330" s="6"/>
      <c r="U330" s="6"/>
      <c r="V330" s="6"/>
      <c r="W330" s="6"/>
      <c r="X330" s="6"/>
    </row>
    <row r="331" ht="11.25" customHeight="1">
      <c r="A331" s="7"/>
      <c r="B331" s="68">
        <f t="shared" si="13"/>
        <v>326</v>
      </c>
      <c r="C331" s="607">
        <v>20000.0</v>
      </c>
      <c r="D331" s="6">
        <f t="shared" si="14"/>
        <v>-21590.48003</v>
      </c>
      <c r="E331" s="6">
        <f t="shared" si="1"/>
        <v>41590.48003</v>
      </c>
      <c r="F331" s="6">
        <f t="shared" si="6"/>
        <v>6277881.854</v>
      </c>
      <c r="G331" s="6">
        <f t="shared" si="7"/>
        <v>242118.1465</v>
      </c>
      <c r="H331" s="6">
        <f t="shared" si="8"/>
        <v>6520000</v>
      </c>
      <c r="I331" s="6">
        <f t="shared" si="9"/>
        <v>-3677881.854</v>
      </c>
      <c r="J331" s="610">
        <v>7.125</v>
      </c>
      <c r="K331" s="591"/>
      <c r="L331" s="6"/>
      <c r="M331" s="9">
        <v>20000.0</v>
      </c>
      <c r="N331" s="79">
        <f t="shared" si="10"/>
        <v>6520000</v>
      </c>
      <c r="O331" s="6">
        <f t="shared" si="2"/>
        <v>4999961.854</v>
      </c>
      <c r="P331" s="6"/>
      <c r="Q331" s="6">
        <f t="shared" si="11"/>
        <v>37670.48003</v>
      </c>
      <c r="R331" s="6">
        <f t="shared" si="12"/>
        <v>4999961.854</v>
      </c>
      <c r="S331" s="81">
        <f t="shared" si="3"/>
        <v>2065.091744</v>
      </c>
      <c r="T331" s="6"/>
      <c r="U331" s="6"/>
      <c r="V331" s="6"/>
      <c r="W331" s="6"/>
      <c r="X331" s="6"/>
    </row>
    <row r="332" ht="11.25" customHeight="1">
      <c r="A332" s="7"/>
      <c r="B332" s="68">
        <f t="shared" si="13"/>
        <v>327</v>
      </c>
      <c r="C332" s="607">
        <v>20000.0</v>
      </c>
      <c r="D332" s="6">
        <f t="shared" si="14"/>
        <v>-21837.42351</v>
      </c>
      <c r="E332" s="6">
        <f t="shared" si="1"/>
        <v>41837.42351</v>
      </c>
      <c r="F332" s="6">
        <f t="shared" si="6"/>
        <v>6319719.277</v>
      </c>
      <c r="G332" s="6">
        <f t="shared" si="7"/>
        <v>220280.723</v>
      </c>
      <c r="H332" s="6">
        <f t="shared" si="8"/>
        <v>6540000</v>
      </c>
      <c r="I332" s="6">
        <f t="shared" si="9"/>
        <v>-3719719.277</v>
      </c>
      <c r="J332" s="610">
        <v>7.125</v>
      </c>
      <c r="K332" s="591"/>
      <c r="L332" s="6"/>
      <c r="M332" s="9">
        <v>20000.0</v>
      </c>
      <c r="N332" s="79">
        <f t="shared" si="10"/>
        <v>6540000</v>
      </c>
      <c r="O332" s="6">
        <f t="shared" si="2"/>
        <v>5037879.277</v>
      </c>
      <c r="P332" s="6"/>
      <c r="Q332" s="6">
        <f t="shared" si="11"/>
        <v>37917.42351</v>
      </c>
      <c r="R332" s="6">
        <f t="shared" si="12"/>
        <v>5037879.277</v>
      </c>
      <c r="S332" s="81">
        <f t="shared" si="3"/>
        <v>2287.026849</v>
      </c>
      <c r="T332" s="6"/>
      <c r="U332" s="6"/>
      <c r="V332" s="6"/>
      <c r="W332" s="6"/>
      <c r="X332" s="6"/>
    </row>
    <row r="333" ht="11.25" customHeight="1">
      <c r="A333" s="7"/>
      <c r="B333" s="68">
        <f t="shared" si="13"/>
        <v>328</v>
      </c>
      <c r="C333" s="607">
        <v>20000.0</v>
      </c>
      <c r="D333" s="6">
        <f t="shared" si="14"/>
        <v>-22085.83321</v>
      </c>
      <c r="E333" s="6">
        <f t="shared" si="1"/>
        <v>42085.83321</v>
      </c>
      <c r="F333" s="6">
        <f t="shared" si="6"/>
        <v>6361805.11</v>
      </c>
      <c r="G333" s="6">
        <f t="shared" si="7"/>
        <v>198194.8898</v>
      </c>
      <c r="H333" s="6">
        <f t="shared" si="8"/>
        <v>6560000</v>
      </c>
      <c r="I333" s="6">
        <f t="shared" si="9"/>
        <v>-3761805.11</v>
      </c>
      <c r="J333" s="610">
        <v>7.125</v>
      </c>
      <c r="K333" s="591"/>
      <c r="L333" s="6"/>
      <c r="M333" s="9">
        <v>20000.0</v>
      </c>
      <c r="N333" s="79">
        <f t="shared" si="10"/>
        <v>6560000</v>
      </c>
      <c r="O333" s="6">
        <f t="shared" si="2"/>
        <v>5076045.11</v>
      </c>
      <c r="P333" s="6"/>
      <c r="Q333" s="6">
        <f t="shared" si="11"/>
        <v>38165.83321</v>
      </c>
      <c r="R333" s="6">
        <f t="shared" si="12"/>
        <v>5076045.11</v>
      </c>
      <c r="S333" s="81">
        <f t="shared" si="3"/>
        <v>2561.138239</v>
      </c>
      <c r="T333" s="6"/>
      <c r="U333" s="6"/>
      <c r="V333" s="6"/>
      <c r="W333" s="6"/>
      <c r="X333" s="6"/>
    </row>
    <row r="334" ht="11.25" customHeight="1">
      <c r="A334" s="7"/>
      <c r="B334" s="68">
        <f t="shared" si="13"/>
        <v>329</v>
      </c>
      <c r="C334" s="607">
        <v>20000.0</v>
      </c>
      <c r="D334" s="6">
        <f t="shared" si="14"/>
        <v>-22335.71784</v>
      </c>
      <c r="E334" s="6">
        <f t="shared" si="1"/>
        <v>42335.71784</v>
      </c>
      <c r="F334" s="6">
        <f t="shared" si="6"/>
        <v>6404140.828</v>
      </c>
      <c r="G334" s="6">
        <f t="shared" si="7"/>
        <v>175859.1719</v>
      </c>
      <c r="H334" s="6">
        <f t="shared" si="8"/>
        <v>6580000</v>
      </c>
      <c r="I334" s="6">
        <f t="shared" si="9"/>
        <v>-3804140.828</v>
      </c>
      <c r="J334" s="610">
        <v>7.125</v>
      </c>
      <c r="K334" s="591"/>
      <c r="L334" s="6"/>
      <c r="M334" s="9">
        <v>20000.0</v>
      </c>
      <c r="N334" s="79">
        <f t="shared" si="10"/>
        <v>6580000</v>
      </c>
      <c r="O334" s="6">
        <f t="shared" si="2"/>
        <v>5114460.828</v>
      </c>
      <c r="P334" s="6"/>
      <c r="Q334" s="6">
        <f t="shared" si="11"/>
        <v>38415.71784</v>
      </c>
      <c r="R334" s="6">
        <f t="shared" si="12"/>
        <v>5114460.828</v>
      </c>
      <c r="S334" s="81">
        <f t="shared" si="3"/>
        <v>2908.270733</v>
      </c>
      <c r="T334" s="6"/>
      <c r="U334" s="6"/>
      <c r="V334" s="6"/>
      <c r="W334" s="6"/>
      <c r="X334" s="6"/>
    </row>
    <row r="335" ht="11.25" customHeight="1">
      <c r="A335" s="7"/>
      <c r="B335" s="68">
        <f t="shared" si="13"/>
        <v>330</v>
      </c>
      <c r="C335" s="607">
        <v>20000.0</v>
      </c>
      <c r="D335" s="6">
        <f t="shared" si="14"/>
        <v>-22587.08617</v>
      </c>
      <c r="E335" s="6">
        <f t="shared" si="1"/>
        <v>42587.08617</v>
      </c>
      <c r="F335" s="6">
        <f t="shared" si="6"/>
        <v>6446727.914</v>
      </c>
      <c r="G335" s="6">
        <f t="shared" si="7"/>
        <v>153272.0858</v>
      </c>
      <c r="H335" s="6">
        <f t="shared" si="8"/>
        <v>6600000</v>
      </c>
      <c r="I335" s="6">
        <f t="shared" si="9"/>
        <v>-3846727.914</v>
      </c>
      <c r="J335" s="610">
        <v>7.125</v>
      </c>
      <c r="K335" s="591"/>
      <c r="L335" s="6"/>
      <c r="M335" s="9">
        <v>20000.0</v>
      </c>
      <c r="N335" s="79">
        <f t="shared" si="10"/>
        <v>6600000</v>
      </c>
      <c r="O335" s="6">
        <f t="shared" si="2"/>
        <v>5153127.914</v>
      </c>
      <c r="P335" s="6"/>
      <c r="Q335" s="6">
        <f t="shared" si="11"/>
        <v>38667.08617</v>
      </c>
      <c r="R335" s="6">
        <f t="shared" si="12"/>
        <v>5153127.914</v>
      </c>
      <c r="S335" s="81">
        <f t="shared" si="3"/>
        <v>3362.078547</v>
      </c>
      <c r="T335" s="6"/>
      <c r="U335" s="6"/>
      <c r="V335" s="6"/>
      <c r="W335" s="6"/>
      <c r="X335" s="6"/>
    </row>
    <row r="336" ht="11.25" customHeight="1">
      <c r="A336" s="7"/>
      <c r="B336" s="68">
        <f t="shared" si="13"/>
        <v>331</v>
      </c>
      <c r="C336" s="607">
        <v>20000.0</v>
      </c>
      <c r="D336" s="6">
        <f t="shared" si="14"/>
        <v>-22839.94699</v>
      </c>
      <c r="E336" s="6">
        <f t="shared" si="1"/>
        <v>42839.94699</v>
      </c>
      <c r="F336" s="6">
        <f t="shared" si="6"/>
        <v>6489567.861</v>
      </c>
      <c r="G336" s="6">
        <f t="shared" si="7"/>
        <v>130432.1388</v>
      </c>
      <c r="H336" s="6">
        <f t="shared" si="8"/>
        <v>6620000</v>
      </c>
      <c r="I336" s="6">
        <f t="shared" si="9"/>
        <v>-3889567.861</v>
      </c>
      <c r="J336" s="610">
        <v>7.125</v>
      </c>
      <c r="K336" s="591"/>
      <c r="L336" s="6"/>
      <c r="M336" s="9">
        <v>20000.0</v>
      </c>
      <c r="N336" s="79">
        <f t="shared" si="10"/>
        <v>6620000</v>
      </c>
      <c r="O336" s="6">
        <f t="shared" si="2"/>
        <v>5192047.861</v>
      </c>
      <c r="P336" s="6"/>
      <c r="Q336" s="6">
        <f t="shared" si="11"/>
        <v>38919.94699</v>
      </c>
      <c r="R336" s="6">
        <f t="shared" si="12"/>
        <v>5192047.861</v>
      </c>
      <c r="S336" s="81">
        <f t="shared" si="3"/>
        <v>3980.650713</v>
      </c>
      <c r="T336" s="6"/>
      <c r="U336" s="6"/>
      <c r="V336" s="6"/>
      <c r="W336" s="6"/>
      <c r="X336" s="6"/>
    </row>
    <row r="337" ht="11.25" customHeight="1">
      <c r="A337" s="7"/>
      <c r="B337" s="68">
        <f t="shared" si="13"/>
        <v>332</v>
      </c>
      <c r="C337" s="607">
        <v>20000.0</v>
      </c>
      <c r="D337" s="6">
        <f t="shared" si="14"/>
        <v>-23094.30918</v>
      </c>
      <c r="E337" s="6">
        <f t="shared" si="1"/>
        <v>43094.30918</v>
      </c>
      <c r="F337" s="6">
        <f t="shared" si="6"/>
        <v>6532662.17</v>
      </c>
      <c r="G337" s="6">
        <f t="shared" si="7"/>
        <v>107337.8296</v>
      </c>
      <c r="H337" s="6">
        <f t="shared" si="8"/>
        <v>6640000</v>
      </c>
      <c r="I337" s="6">
        <f t="shared" si="9"/>
        <v>-3932662.17</v>
      </c>
      <c r="J337" s="610">
        <v>7.125</v>
      </c>
      <c r="K337" s="591"/>
      <c r="L337" s="6"/>
      <c r="M337" s="9">
        <v>20000.0</v>
      </c>
      <c r="N337" s="79">
        <f t="shared" si="10"/>
        <v>6640000</v>
      </c>
      <c r="O337" s="6">
        <f t="shared" si="2"/>
        <v>5231222.17</v>
      </c>
      <c r="P337" s="6"/>
      <c r="Q337" s="6">
        <f t="shared" si="11"/>
        <v>39174.30918</v>
      </c>
      <c r="R337" s="6">
        <f t="shared" si="12"/>
        <v>5231222.17</v>
      </c>
      <c r="S337" s="81">
        <f t="shared" si="3"/>
        <v>4873.605318</v>
      </c>
      <c r="T337" s="6"/>
      <c r="U337" s="6"/>
      <c r="V337" s="6"/>
      <c r="W337" s="6"/>
      <c r="X337" s="6"/>
    </row>
    <row r="338" ht="11.25" customHeight="1">
      <c r="A338" s="7"/>
      <c r="B338" s="68">
        <f t="shared" si="13"/>
        <v>333</v>
      </c>
      <c r="C338" s="607">
        <v>20000.0</v>
      </c>
      <c r="D338" s="6">
        <f t="shared" si="14"/>
        <v>-23350.18164</v>
      </c>
      <c r="E338" s="6">
        <f t="shared" si="1"/>
        <v>43350.18164</v>
      </c>
      <c r="F338" s="6">
        <f t="shared" si="6"/>
        <v>6576012.352</v>
      </c>
      <c r="G338" s="6">
        <f t="shared" si="7"/>
        <v>83987.64795</v>
      </c>
      <c r="H338" s="6">
        <f t="shared" si="8"/>
        <v>6660000</v>
      </c>
      <c r="I338" s="6">
        <f t="shared" si="9"/>
        <v>-3976012.352</v>
      </c>
      <c r="J338" s="610">
        <v>7.125</v>
      </c>
      <c r="K338" s="591"/>
      <c r="L338" s="6"/>
      <c r="M338" s="9">
        <v>20000.0</v>
      </c>
      <c r="N338" s="79">
        <f t="shared" si="10"/>
        <v>6660000</v>
      </c>
      <c r="O338" s="6">
        <f t="shared" si="2"/>
        <v>5270652.352</v>
      </c>
      <c r="P338" s="6"/>
      <c r="Q338" s="6">
        <f t="shared" si="11"/>
        <v>39430.18164</v>
      </c>
      <c r="R338" s="6">
        <f t="shared" si="12"/>
        <v>5270652.352</v>
      </c>
      <c r="S338" s="81">
        <f t="shared" si="3"/>
        <v>6275.508936</v>
      </c>
      <c r="T338" s="6"/>
      <c r="U338" s="6"/>
      <c r="V338" s="6"/>
      <c r="W338" s="6"/>
      <c r="X338" s="6"/>
    </row>
    <row r="339" ht="11.25" customHeight="1">
      <c r="A339" s="7"/>
      <c r="B339" s="68">
        <f t="shared" si="13"/>
        <v>334</v>
      </c>
      <c r="C339" s="607">
        <v>20000.0</v>
      </c>
      <c r="D339" s="6">
        <f t="shared" si="14"/>
        <v>-23607.57334</v>
      </c>
      <c r="E339" s="6">
        <f t="shared" si="1"/>
        <v>43607.57334</v>
      </c>
      <c r="F339" s="6">
        <f t="shared" si="6"/>
        <v>6619619.925</v>
      </c>
      <c r="G339" s="6">
        <f t="shared" si="7"/>
        <v>60380.07461</v>
      </c>
      <c r="H339" s="6">
        <f t="shared" si="8"/>
        <v>6680000</v>
      </c>
      <c r="I339" s="6">
        <f t="shared" si="9"/>
        <v>-4019619.925</v>
      </c>
      <c r="J339" s="610">
        <v>7.125</v>
      </c>
      <c r="K339" s="591"/>
      <c r="L339" s="6"/>
      <c r="M339" s="9">
        <v>20000.0</v>
      </c>
      <c r="N339" s="79">
        <f t="shared" si="10"/>
        <v>6680000</v>
      </c>
      <c r="O339" s="6">
        <f t="shared" si="2"/>
        <v>5310339.925</v>
      </c>
      <c r="P339" s="6"/>
      <c r="Q339" s="6">
        <f t="shared" si="11"/>
        <v>39687.57334</v>
      </c>
      <c r="R339" s="6">
        <f t="shared" si="12"/>
        <v>5310339.925</v>
      </c>
      <c r="S339" s="81">
        <f t="shared" si="3"/>
        <v>8794.854859</v>
      </c>
      <c r="T339" s="6"/>
      <c r="U339" s="6"/>
      <c r="V339" s="6"/>
      <c r="W339" s="6"/>
      <c r="X339" s="6"/>
    </row>
    <row r="340" ht="11.25" customHeight="1">
      <c r="A340" s="7"/>
      <c r="B340" s="68">
        <f t="shared" si="13"/>
        <v>335</v>
      </c>
      <c r="C340" s="607">
        <v>20000.0</v>
      </c>
      <c r="D340" s="6">
        <f t="shared" si="14"/>
        <v>-23866.49331</v>
      </c>
      <c r="E340" s="6">
        <f t="shared" si="1"/>
        <v>43866.49331</v>
      </c>
      <c r="F340" s="6">
        <f t="shared" si="6"/>
        <v>6663486.419</v>
      </c>
      <c r="G340" s="6">
        <f t="shared" si="7"/>
        <v>36513.5813</v>
      </c>
      <c r="H340" s="6">
        <f t="shared" si="8"/>
        <v>6700000</v>
      </c>
      <c r="I340" s="6">
        <f t="shared" si="9"/>
        <v>-4063486.419</v>
      </c>
      <c r="J340" s="610">
        <v>7.125</v>
      </c>
      <c r="K340" s="591"/>
      <c r="L340" s="6"/>
      <c r="M340" s="9">
        <v>20000.0</v>
      </c>
      <c r="N340" s="79">
        <f t="shared" si="10"/>
        <v>6700000</v>
      </c>
      <c r="O340" s="6">
        <f t="shared" si="2"/>
        <v>5350286.419</v>
      </c>
      <c r="P340" s="6"/>
      <c r="Q340" s="6">
        <f t="shared" si="11"/>
        <v>39946.49331</v>
      </c>
      <c r="R340" s="6">
        <f t="shared" si="12"/>
        <v>5350286.419</v>
      </c>
      <c r="S340" s="81">
        <f t="shared" si="3"/>
        <v>14652.86676</v>
      </c>
      <c r="T340" s="6"/>
      <c r="U340" s="6"/>
      <c r="V340" s="6"/>
      <c r="W340" s="6"/>
      <c r="X340" s="6"/>
    </row>
    <row r="341" ht="11.25" customHeight="1">
      <c r="A341" s="71"/>
      <c r="B341" s="72">
        <f t="shared" si="13"/>
        <v>336</v>
      </c>
      <c r="C341" s="607">
        <v>20000.0</v>
      </c>
      <c r="D341" s="10">
        <f t="shared" si="14"/>
        <v>-24126.95061</v>
      </c>
      <c r="E341" s="10">
        <f t="shared" si="1"/>
        <v>44126.95061</v>
      </c>
      <c r="F341" s="10">
        <f t="shared" si="6"/>
        <v>6707613.369</v>
      </c>
      <c r="G341" s="10">
        <f t="shared" si="7"/>
        <v>12386.63069</v>
      </c>
      <c r="H341" s="10">
        <f t="shared" si="8"/>
        <v>6720000</v>
      </c>
      <c r="I341" s="10">
        <f t="shared" si="9"/>
        <v>-4107613.369</v>
      </c>
      <c r="J341" s="610">
        <v>7.125</v>
      </c>
      <c r="K341" s="591"/>
      <c r="L341" s="6"/>
      <c r="M341" s="9">
        <v>20000.0</v>
      </c>
      <c r="N341" s="79">
        <f t="shared" si="10"/>
        <v>6720000</v>
      </c>
      <c r="O341" s="6">
        <f t="shared" si="2"/>
        <v>5390493.369</v>
      </c>
      <c r="P341" s="6"/>
      <c r="Q341" s="6">
        <f t="shared" si="11"/>
        <v>40206.95061</v>
      </c>
      <c r="R341" s="6">
        <f t="shared" si="12"/>
        <v>5390493.369</v>
      </c>
      <c r="S341" s="81">
        <f t="shared" si="3"/>
        <v>43518.64122</v>
      </c>
      <c r="T341" s="6"/>
      <c r="U341" s="6"/>
      <c r="V341" s="6"/>
      <c r="W341" s="6"/>
      <c r="X341" s="6"/>
    </row>
    <row r="342" ht="11.25" customHeight="1">
      <c r="A342" s="100">
        <v>29.0</v>
      </c>
      <c r="B342" s="66">
        <f t="shared" si="13"/>
        <v>337</v>
      </c>
      <c r="C342" s="607">
        <v>20000.0</v>
      </c>
      <c r="D342" s="617">
        <f t="shared" si="14"/>
        <v>-24388.95438</v>
      </c>
      <c r="E342" s="617">
        <f t="shared" si="1"/>
        <v>44388.95438</v>
      </c>
      <c r="F342" s="617">
        <f t="shared" si="6"/>
        <v>6752002.324</v>
      </c>
      <c r="G342" s="617">
        <f t="shared" si="7"/>
        <v>-12002.32369</v>
      </c>
      <c r="H342" s="617">
        <f t="shared" si="8"/>
        <v>6740000</v>
      </c>
      <c r="I342" s="617">
        <f t="shared" si="9"/>
        <v>-4152002.324</v>
      </c>
      <c r="J342" s="610">
        <v>7.125</v>
      </c>
      <c r="K342" s="591"/>
      <c r="L342" s="6"/>
      <c r="M342" s="9">
        <v>20000.0</v>
      </c>
      <c r="N342" s="79">
        <f t="shared" si="10"/>
        <v>6740000</v>
      </c>
      <c r="O342" s="6">
        <f t="shared" si="2"/>
        <v>5430962.324</v>
      </c>
      <c r="P342" s="6"/>
      <c r="Q342" s="6">
        <f t="shared" si="11"/>
        <v>40468.95438</v>
      </c>
      <c r="R342" s="6">
        <f t="shared" si="12"/>
        <v>5430962.324</v>
      </c>
      <c r="S342" s="81">
        <f t="shared" si="3"/>
        <v>-45249.25726</v>
      </c>
      <c r="T342" s="6"/>
      <c r="U342" s="6"/>
      <c r="V342" s="6"/>
      <c r="W342" s="6"/>
      <c r="X342" s="6"/>
    </row>
    <row r="343" ht="11.25" customHeight="1">
      <c r="A343" s="7"/>
      <c r="B343" s="68">
        <f t="shared" si="13"/>
        <v>338</v>
      </c>
      <c r="C343" s="607">
        <v>20000.0</v>
      </c>
      <c r="D343" s="6">
        <f t="shared" si="14"/>
        <v>-24652.5138</v>
      </c>
      <c r="E343" s="6">
        <f t="shared" si="1"/>
        <v>44652.5138</v>
      </c>
      <c r="F343" s="6">
        <f t="shared" si="6"/>
        <v>6796654.837</v>
      </c>
      <c r="G343" s="6">
        <f t="shared" si="7"/>
        <v>-36654.83749</v>
      </c>
      <c r="H343" s="6">
        <f t="shared" si="8"/>
        <v>6760000</v>
      </c>
      <c r="I343" s="6">
        <f t="shared" si="9"/>
        <v>-4196654.837</v>
      </c>
      <c r="J343" s="610">
        <v>7.125</v>
      </c>
      <c r="K343" s="591"/>
      <c r="L343" s="6"/>
      <c r="M343" s="9">
        <v>20000.0</v>
      </c>
      <c r="N343" s="79">
        <f t="shared" si="10"/>
        <v>6760000</v>
      </c>
      <c r="O343" s="6">
        <f t="shared" si="2"/>
        <v>5471694.837</v>
      </c>
      <c r="P343" s="6"/>
      <c r="Q343" s="6">
        <f t="shared" si="11"/>
        <v>40732.5138</v>
      </c>
      <c r="R343" s="6">
        <f t="shared" si="12"/>
        <v>5471694.837</v>
      </c>
      <c r="S343" s="81">
        <f t="shared" si="3"/>
        <v>-14927.61996</v>
      </c>
      <c r="T343" s="6"/>
      <c r="U343" s="6"/>
      <c r="V343" s="6"/>
      <c r="W343" s="6"/>
      <c r="X343" s="6"/>
    </row>
    <row r="344" ht="11.25" customHeight="1">
      <c r="A344" s="7"/>
      <c r="B344" s="68">
        <f t="shared" si="13"/>
        <v>339</v>
      </c>
      <c r="C344" s="607">
        <v>20000.0</v>
      </c>
      <c r="D344" s="6">
        <f t="shared" si="14"/>
        <v>-24917.6381</v>
      </c>
      <c r="E344" s="6">
        <f t="shared" si="1"/>
        <v>44917.6381</v>
      </c>
      <c r="F344" s="6">
        <f t="shared" si="6"/>
        <v>6841572.476</v>
      </c>
      <c r="G344" s="6">
        <f t="shared" si="7"/>
        <v>-61572.47558</v>
      </c>
      <c r="H344" s="6">
        <f t="shared" si="8"/>
        <v>6780000</v>
      </c>
      <c r="I344" s="6">
        <f t="shared" si="9"/>
        <v>-4241572.476</v>
      </c>
      <c r="J344" s="610">
        <v>7.125</v>
      </c>
      <c r="K344" s="591"/>
      <c r="L344" s="6"/>
      <c r="M344" s="9">
        <v>20000.0</v>
      </c>
      <c r="N344" s="79">
        <f t="shared" si="10"/>
        <v>6780000</v>
      </c>
      <c r="O344" s="6">
        <f t="shared" si="2"/>
        <v>5512692.476</v>
      </c>
      <c r="P344" s="6"/>
      <c r="Q344" s="6">
        <f t="shared" si="11"/>
        <v>40997.6381</v>
      </c>
      <c r="R344" s="6">
        <f t="shared" si="12"/>
        <v>5512692.476</v>
      </c>
      <c r="S344" s="81">
        <f t="shared" si="3"/>
        <v>-8953.176599</v>
      </c>
      <c r="T344" s="6"/>
      <c r="U344" s="6"/>
      <c r="V344" s="6"/>
      <c r="W344" s="6"/>
      <c r="X344" s="6"/>
    </row>
    <row r="345" ht="11.25" customHeight="1">
      <c r="A345" s="7"/>
      <c r="B345" s="68">
        <f t="shared" si="13"/>
        <v>340</v>
      </c>
      <c r="C345" s="607">
        <v>20000.0</v>
      </c>
      <c r="D345" s="6">
        <f t="shared" si="14"/>
        <v>-25184.33657</v>
      </c>
      <c r="E345" s="6">
        <f t="shared" si="1"/>
        <v>45184.33657</v>
      </c>
      <c r="F345" s="6">
        <f t="shared" si="6"/>
        <v>6886756.812</v>
      </c>
      <c r="G345" s="6">
        <f t="shared" si="7"/>
        <v>-86756.81216</v>
      </c>
      <c r="H345" s="6">
        <f t="shared" si="8"/>
        <v>6800000</v>
      </c>
      <c r="I345" s="6">
        <f t="shared" si="9"/>
        <v>-4286756.812</v>
      </c>
      <c r="J345" s="610">
        <v>7.125</v>
      </c>
      <c r="K345" s="591"/>
      <c r="L345" s="6"/>
      <c r="M345" s="9">
        <v>20000.0</v>
      </c>
      <c r="N345" s="79">
        <f t="shared" si="10"/>
        <v>6800000</v>
      </c>
      <c r="O345" s="6">
        <f t="shared" si="2"/>
        <v>5553956.812</v>
      </c>
      <c r="P345" s="6"/>
      <c r="Q345" s="6">
        <f t="shared" si="11"/>
        <v>41264.33657</v>
      </c>
      <c r="R345" s="6">
        <f t="shared" si="12"/>
        <v>5553956.812</v>
      </c>
      <c r="S345" s="81">
        <f t="shared" si="3"/>
        <v>-6401.752985</v>
      </c>
      <c r="T345" s="6"/>
      <c r="U345" s="6"/>
      <c r="V345" s="6"/>
      <c r="W345" s="6"/>
      <c r="X345" s="6"/>
    </row>
    <row r="346" ht="11.25" customHeight="1">
      <c r="A346" s="7"/>
      <c r="B346" s="68">
        <f t="shared" si="13"/>
        <v>341</v>
      </c>
      <c r="C346" s="607">
        <v>20000.0</v>
      </c>
      <c r="D346" s="6">
        <f t="shared" si="14"/>
        <v>-25452.61857</v>
      </c>
      <c r="E346" s="6">
        <f t="shared" si="1"/>
        <v>45452.61857</v>
      </c>
      <c r="F346" s="6">
        <f t="shared" si="6"/>
        <v>6932209.431</v>
      </c>
      <c r="G346" s="6">
        <f t="shared" si="7"/>
        <v>-112209.4307</v>
      </c>
      <c r="H346" s="6">
        <f t="shared" si="8"/>
        <v>6820000</v>
      </c>
      <c r="I346" s="6">
        <f t="shared" si="9"/>
        <v>-4332209.431</v>
      </c>
      <c r="J346" s="610">
        <v>7.125</v>
      </c>
      <c r="K346" s="591"/>
      <c r="L346" s="6"/>
      <c r="M346" s="9">
        <v>20000.0</v>
      </c>
      <c r="N346" s="79">
        <f t="shared" si="10"/>
        <v>6820000</v>
      </c>
      <c r="O346" s="6">
        <f t="shared" si="2"/>
        <v>5595489.431</v>
      </c>
      <c r="P346" s="6"/>
      <c r="Q346" s="6">
        <f t="shared" si="11"/>
        <v>41532.61857</v>
      </c>
      <c r="R346" s="6">
        <f t="shared" si="12"/>
        <v>5595489.431</v>
      </c>
      <c r="S346" s="81">
        <f t="shared" si="3"/>
        <v>-4986.648087</v>
      </c>
      <c r="T346" s="6"/>
      <c r="U346" s="6"/>
      <c r="V346" s="6"/>
      <c r="W346" s="6"/>
      <c r="X346" s="6"/>
    </row>
    <row r="347" ht="11.25" customHeight="1">
      <c r="A347" s="7"/>
      <c r="B347" s="68">
        <f t="shared" si="13"/>
        <v>342</v>
      </c>
      <c r="C347" s="607">
        <v>20000.0</v>
      </c>
      <c r="D347" s="6">
        <f t="shared" si="14"/>
        <v>-25722.49349</v>
      </c>
      <c r="E347" s="6">
        <f t="shared" si="1"/>
        <v>45722.49349</v>
      </c>
      <c r="F347" s="6">
        <f t="shared" si="6"/>
        <v>6977931.924</v>
      </c>
      <c r="G347" s="6">
        <f t="shared" si="7"/>
        <v>-137931.9242</v>
      </c>
      <c r="H347" s="6">
        <f t="shared" si="8"/>
        <v>6840000</v>
      </c>
      <c r="I347" s="6">
        <f t="shared" si="9"/>
        <v>-4377931.924</v>
      </c>
      <c r="J347" s="610">
        <v>7.125</v>
      </c>
      <c r="K347" s="591"/>
      <c r="L347" s="6"/>
      <c r="M347" s="9">
        <v>20000.0</v>
      </c>
      <c r="N347" s="79">
        <f t="shared" si="10"/>
        <v>6840000</v>
      </c>
      <c r="O347" s="6">
        <f t="shared" si="2"/>
        <v>5637291.924</v>
      </c>
      <c r="P347" s="6"/>
      <c r="Q347" s="6">
        <f t="shared" si="11"/>
        <v>41802.49349</v>
      </c>
      <c r="R347" s="6">
        <f t="shared" si="12"/>
        <v>5637291.924</v>
      </c>
      <c r="S347" s="81">
        <f t="shared" si="3"/>
        <v>-4087.010281</v>
      </c>
      <c r="T347" s="6"/>
      <c r="U347" s="6"/>
      <c r="V347" s="6"/>
      <c r="W347" s="6"/>
      <c r="X347" s="6"/>
    </row>
    <row r="348" ht="11.25" customHeight="1">
      <c r="A348" s="7"/>
      <c r="B348" s="68">
        <f t="shared" si="13"/>
        <v>343</v>
      </c>
      <c r="C348" s="607">
        <v>20000.0</v>
      </c>
      <c r="D348" s="6">
        <f t="shared" si="14"/>
        <v>-25993.9708</v>
      </c>
      <c r="E348" s="6">
        <f t="shared" si="1"/>
        <v>45993.9708</v>
      </c>
      <c r="F348" s="6">
        <f t="shared" si="6"/>
        <v>7023925.895</v>
      </c>
      <c r="G348" s="6">
        <f t="shared" si="7"/>
        <v>-163925.895</v>
      </c>
      <c r="H348" s="6">
        <f t="shared" si="8"/>
        <v>6860000</v>
      </c>
      <c r="I348" s="6">
        <f t="shared" si="9"/>
        <v>-4423925.895</v>
      </c>
      <c r="J348" s="610">
        <v>7.125</v>
      </c>
      <c r="K348" s="591"/>
      <c r="L348" s="6"/>
      <c r="M348" s="9">
        <v>20000.0</v>
      </c>
      <c r="N348" s="79">
        <f t="shared" si="10"/>
        <v>6860000</v>
      </c>
      <c r="O348" s="6">
        <f t="shared" si="2"/>
        <v>5679365.895</v>
      </c>
      <c r="P348" s="6"/>
      <c r="Q348" s="6">
        <f t="shared" si="11"/>
        <v>42073.9708</v>
      </c>
      <c r="R348" s="6">
        <f t="shared" si="12"/>
        <v>5679365.895</v>
      </c>
      <c r="S348" s="81">
        <f t="shared" si="3"/>
        <v>-3464.593495</v>
      </c>
      <c r="T348" s="6"/>
      <c r="U348" s="6"/>
      <c r="V348" s="6"/>
      <c r="W348" s="6"/>
      <c r="X348" s="6"/>
    </row>
    <row r="349" ht="11.25" customHeight="1">
      <c r="A349" s="7"/>
      <c r="B349" s="68">
        <f t="shared" si="13"/>
        <v>344</v>
      </c>
      <c r="C349" s="607">
        <v>20000.0</v>
      </c>
      <c r="D349" s="6">
        <f t="shared" si="14"/>
        <v>-26267.06</v>
      </c>
      <c r="E349" s="6">
        <f t="shared" si="1"/>
        <v>46267.06</v>
      </c>
      <c r="F349" s="6">
        <f t="shared" si="6"/>
        <v>7070192.955</v>
      </c>
      <c r="G349" s="6">
        <f t="shared" si="7"/>
        <v>-190192.955</v>
      </c>
      <c r="H349" s="6">
        <f t="shared" si="8"/>
        <v>6880000</v>
      </c>
      <c r="I349" s="6">
        <f t="shared" si="9"/>
        <v>-4470192.955</v>
      </c>
      <c r="J349" s="610">
        <v>7.125</v>
      </c>
      <c r="K349" s="591"/>
      <c r="L349" s="6"/>
      <c r="M349" s="9">
        <v>20000.0</v>
      </c>
      <c r="N349" s="79">
        <f t="shared" si="10"/>
        <v>6880000</v>
      </c>
      <c r="O349" s="6">
        <f t="shared" si="2"/>
        <v>5721712.955</v>
      </c>
      <c r="P349" s="6"/>
      <c r="Q349" s="6">
        <f t="shared" si="11"/>
        <v>42347.06</v>
      </c>
      <c r="R349" s="6">
        <f t="shared" si="12"/>
        <v>5721712.955</v>
      </c>
      <c r="S349" s="81">
        <f t="shared" si="3"/>
        <v>-3008.37271</v>
      </c>
      <c r="T349" s="6"/>
      <c r="U349" s="6"/>
      <c r="V349" s="6"/>
      <c r="W349" s="6"/>
      <c r="X349" s="6"/>
    </row>
    <row r="350" ht="11.25" customHeight="1">
      <c r="A350" s="7"/>
      <c r="B350" s="68">
        <f t="shared" si="13"/>
        <v>345</v>
      </c>
      <c r="C350" s="607">
        <v>20000.0</v>
      </c>
      <c r="D350" s="6">
        <f t="shared" si="14"/>
        <v>-26541.77067</v>
      </c>
      <c r="E350" s="6">
        <f t="shared" si="1"/>
        <v>46541.77067</v>
      </c>
      <c r="F350" s="6">
        <f t="shared" si="6"/>
        <v>7116734.726</v>
      </c>
      <c r="G350" s="6">
        <f t="shared" si="7"/>
        <v>-216734.7257</v>
      </c>
      <c r="H350" s="6">
        <f t="shared" si="8"/>
        <v>6900000</v>
      </c>
      <c r="I350" s="6">
        <f t="shared" si="9"/>
        <v>-4516734.726</v>
      </c>
      <c r="J350" s="610">
        <v>7.125</v>
      </c>
      <c r="K350" s="591"/>
      <c r="L350" s="6"/>
      <c r="M350" s="9">
        <v>20000.0</v>
      </c>
      <c r="N350" s="79">
        <f t="shared" si="10"/>
        <v>6900000</v>
      </c>
      <c r="O350" s="6">
        <f t="shared" si="2"/>
        <v>5764334.726</v>
      </c>
      <c r="P350" s="6"/>
      <c r="Q350" s="6">
        <f t="shared" si="11"/>
        <v>42621.77067</v>
      </c>
      <c r="R350" s="6">
        <f t="shared" si="12"/>
        <v>5764334.726</v>
      </c>
      <c r="S350" s="81">
        <f t="shared" si="3"/>
        <v>-2659.626743</v>
      </c>
      <c r="T350" s="6"/>
      <c r="U350" s="6"/>
      <c r="V350" s="6"/>
      <c r="W350" s="6"/>
      <c r="X350" s="6"/>
    </row>
    <row r="351" ht="11.25" customHeight="1">
      <c r="A351" s="7"/>
      <c r="B351" s="68">
        <f t="shared" si="13"/>
        <v>346</v>
      </c>
      <c r="C351" s="607">
        <v>20000.0</v>
      </c>
      <c r="D351" s="6">
        <f t="shared" si="14"/>
        <v>-26818.11243</v>
      </c>
      <c r="E351" s="6">
        <f t="shared" si="1"/>
        <v>46818.11243</v>
      </c>
      <c r="F351" s="6">
        <f t="shared" si="6"/>
        <v>7163552.838</v>
      </c>
      <c r="G351" s="6">
        <f t="shared" si="7"/>
        <v>-243552.8381</v>
      </c>
      <c r="H351" s="6">
        <f t="shared" si="8"/>
        <v>6920000</v>
      </c>
      <c r="I351" s="6">
        <f t="shared" si="9"/>
        <v>-4563552.838</v>
      </c>
      <c r="J351" s="610">
        <v>7.125</v>
      </c>
      <c r="K351" s="591"/>
      <c r="L351" s="6"/>
      <c r="M351" s="9">
        <v>20000.0</v>
      </c>
      <c r="N351" s="79">
        <f t="shared" si="10"/>
        <v>6920000</v>
      </c>
      <c r="O351" s="6">
        <f t="shared" si="2"/>
        <v>5807232.838</v>
      </c>
      <c r="P351" s="6"/>
      <c r="Q351" s="6">
        <f t="shared" si="11"/>
        <v>42898.11243</v>
      </c>
      <c r="R351" s="6">
        <f t="shared" si="12"/>
        <v>5807232.838</v>
      </c>
      <c r="S351" s="81">
        <f t="shared" si="3"/>
        <v>-2384.383152</v>
      </c>
      <c r="T351" s="6"/>
      <c r="U351" s="6"/>
      <c r="V351" s="6"/>
      <c r="W351" s="6"/>
      <c r="X351" s="6"/>
    </row>
    <row r="352" ht="11.25" customHeight="1">
      <c r="A352" s="7"/>
      <c r="B352" s="68">
        <f t="shared" si="13"/>
        <v>347</v>
      </c>
      <c r="C352" s="607">
        <v>20000.0</v>
      </c>
      <c r="D352" s="6">
        <f t="shared" si="14"/>
        <v>-27096.09498</v>
      </c>
      <c r="E352" s="6">
        <f t="shared" si="1"/>
        <v>47096.09498</v>
      </c>
      <c r="F352" s="6">
        <f t="shared" si="6"/>
        <v>7210648.933</v>
      </c>
      <c r="G352" s="6">
        <f t="shared" si="7"/>
        <v>-270648.9331</v>
      </c>
      <c r="H352" s="6">
        <f t="shared" si="8"/>
        <v>6940000</v>
      </c>
      <c r="I352" s="6">
        <f t="shared" si="9"/>
        <v>-4610648.933</v>
      </c>
      <c r="J352" s="610">
        <v>7.125</v>
      </c>
      <c r="K352" s="591"/>
      <c r="L352" s="6"/>
      <c r="M352" s="9">
        <v>20000.0</v>
      </c>
      <c r="N352" s="79">
        <f t="shared" si="10"/>
        <v>6940000</v>
      </c>
      <c r="O352" s="6">
        <f t="shared" si="2"/>
        <v>5850408.933</v>
      </c>
      <c r="P352" s="6"/>
      <c r="Q352" s="6">
        <f t="shared" si="11"/>
        <v>43176.09498</v>
      </c>
      <c r="R352" s="6">
        <f t="shared" si="12"/>
        <v>5850408.933</v>
      </c>
      <c r="S352" s="81">
        <f t="shared" si="3"/>
        <v>-2161.622758</v>
      </c>
      <c r="T352" s="6"/>
      <c r="U352" s="6"/>
      <c r="V352" s="6"/>
      <c r="W352" s="6"/>
      <c r="X352" s="6"/>
    </row>
    <row r="353" ht="11.25" customHeight="1">
      <c r="A353" s="71"/>
      <c r="B353" s="72">
        <f t="shared" si="13"/>
        <v>348</v>
      </c>
      <c r="C353" s="607">
        <v>20000.0</v>
      </c>
      <c r="D353" s="10">
        <f t="shared" si="14"/>
        <v>-27375.72804</v>
      </c>
      <c r="E353" s="10">
        <f t="shared" si="1"/>
        <v>47375.72804</v>
      </c>
      <c r="F353" s="10">
        <f t="shared" si="6"/>
        <v>7258024.661</v>
      </c>
      <c r="G353" s="10">
        <f t="shared" si="7"/>
        <v>-298024.6611</v>
      </c>
      <c r="H353" s="10">
        <f t="shared" si="8"/>
        <v>6960000</v>
      </c>
      <c r="I353" s="10">
        <f t="shared" si="9"/>
        <v>-4658024.661</v>
      </c>
      <c r="J353" s="610">
        <v>7.125</v>
      </c>
      <c r="K353" s="591"/>
      <c r="L353" s="6"/>
      <c r="M353" s="9">
        <v>20000.0</v>
      </c>
      <c r="N353" s="79">
        <f t="shared" si="10"/>
        <v>6960000</v>
      </c>
      <c r="O353" s="6">
        <f t="shared" si="2"/>
        <v>5893864.661</v>
      </c>
      <c r="P353" s="6"/>
      <c r="Q353" s="6">
        <f t="shared" si="11"/>
        <v>43455.72804</v>
      </c>
      <c r="R353" s="6">
        <f t="shared" si="12"/>
        <v>5893864.661</v>
      </c>
      <c r="S353" s="81">
        <f t="shared" si="3"/>
        <v>-1977.643272</v>
      </c>
      <c r="T353" s="6"/>
      <c r="U353" s="6"/>
      <c r="V353" s="6"/>
      <c r="W353" s="6"/>
      <c r="X353" s="6"/>
    </row>
    <row r="354" ht="11.25" customHeight="1">
      <c r="A354" s="7">
        <v>30.0</v>
      </c>
      <c r="B354" s="68">
        <f t="shared" si="13"/>
        <v>349</v>
      </c>
      <c r="C354" s="607">
        <v>20000.0</v>
      </c>
      <c r="D354" s="6">
        <f t="shared" si="14"/>
        <v>-27657.02143</v>
      </c>
      <c r="E354" s="6">
        <f t="shared" si="1"/>
        <v>47657.02143</v>
      </c>
      <c r="F354" s="6">
        <f t="shared" si="6"/>
        <v>7305681.683</v>
      </c>
      <c r="G354" s="6">
        <f t="shared" si="7"/>
        <v>-325681.6826</v>
      </c>
      <c r="H354" s="6">
        <f t="shared" si="8"/>
        <v>6980000</v>
      </c>
      <c r="I354" s="6">
        <f t="shared" si="9"/>
        <v>-4705681.683</v>
      </c>
      <c r="J354" s="610">
        <v>7.125</v>
      </c>
      <c r="K354" s="591"/>
      <c r="L354" s="6"/>
      <c r="M354" s="9">
        <v>20000.0</v>
      </c>
      <c r="N354" s="79">
        <f t="shared" si="10"/>
        <v>6980000</v>
      </c>
      <c r="O354" s="6">
        <f t="shared" si="2"/>
        <v>5937601.683</v>
      </c>
      <c r="P354" s="6"/>
      <c r="Q354" s="6">
        <f t="shared" si="11"/>
        <v>43737.02143</v>
      </c>
      <c r="R354" s="6">
        <f t="shared" si="12"/>
        <v>5937601.683</v>
      </c>
      <c r="S354" s="81">
        <f t="shared" si="3"/>
        <v>-1823.130376</v>
      </c>
      <c r="T354" s="6"/>
      <c r="U354" s="6"/>
      <c r="V354" s="6"/>
      <c r="W354" s="6"/>
      <c r="X354" s="6"/>
    </row>
    <row r="355" ht="11.25" customHeight="1">
      <c r="A355" s="7"/>
      <c r="B355" s="68">
        <f t="shared" si="13"/>
        <v>350</v>
      </c>
      <c r="C355" s="607">
        <v>20000.0</v>
      </c>
      <c r="D355" s="6">
        <f t="shared" si="14"/>
        <v>-27939.98499</v>
      </c>
      <c r="E355" s="6">
        <f t="shared" si="1"/>
        <v>47939.98499</v>
      </c>
      <c r="F355" s="6">
        <f t="shared" si="6"/>
        <v>7353621.668</v>
      </c>
      <c r="G355" s="6">
        <f t="shared" si="7"/>
        <v>-353621.6676</v>
      </c>
      <c r="H355" s="6">
        <f t="shared" si="8"/>
        <v>7000000</v>
      </c>
      <c r="I355" s="6">
        <f t="shared" si="9"/>
        <v>-4753621.668</v>
      </c>
      <c r="J355" s="610">
        <v>7.125</v>
      </c>
      <c r="K355" s="591"/>
      <c r="L355" s="6"/>
      <c r="M355" s="9">
        <v>20000.0</v>
      </c>
      <c r="N355" s="79">
        <f t="shared" si="10"/>
        <v>7000000</v>
      </c>
      <c r="O355" s="6">
        <f t="shared" si="2"/>
        <v>5981621.668</v>
      </c>
      <c r="P355" s="6"/>
      <c r="Q355" s="6">
        <f t="shared" si="11"/>
        <v>44019.98499</v>
      </c>
      <c r="R355" s="6">
        <f t="shared" si="12"/>
        <v>5981621.668</v>
      </c>
      <c r="S355" s="81">
        <f t="shared" si="3"/>
        <v>-1691.531435</v>
      </c>
      <c r="T355" s="6"/>
      <c r="U355" s="6"/>
      <c r="V355" s="6"/>
      <c r="W355" s="6"/>
      <c r="X355" s="6"/>
    </row>
    <row r="356" ht="11.25" customHeight="1">
      <c r="A356" s="7"/>
      <c r="B356" s="68">
        <f t="shared" si="13"/>
        <v>351</v>
      </c>
      <c r="C356" s="607">
        <v>20000.0</v>
      </c>
      <c r="D356" s="6">
        <f t="shared" si="14"/>
        <v>-28224.62865</v>
      </c>
      <c r="E356" s="6">
        <f t="shared" si="1"/>
        <v>48224.62865</v>
      </c>
      <c r="F356" s="6">
        <f t="shared" si="6"/>
        <v>7401846.296</v>
      </c>
      <c r="G356" s="6">
        <f t="shared" si="7"/>
        <v>-381846.2962</v>
      </c>
      <c r="H356" s="6">
        <f t="shared" si="8"/>
        <v>7020000</v>
      </c>
      <c r="I356" s="6">
        <f t="shared" si="9"/>
        <v>-4801846.296</v>
      </c>
      <c r="J356" s="610">
        <v>7.125</v>
      </c>
      <c r="K356" s="591"/>
      <c r="L356" s="6"/>
      <c r="M356" s="9">
        <v>20000.0</v>
      </c>
      <c r="N356" s="79">
        <f t="shared" si="10"/>
        <v>7020000</v>
      </c>
      <c r="O356" s="6">
        <f t="shared" si="2"/>
        <v>6025926.296</v>
      </c>
      <c r="P356" s="6"/>
      <c r="Q356" s="6">
        <f t="shared" si="11"/>
        <v>44304.62865</v>
      </c>
      <c r="R356" s="6">
        <f t="shared" si="12"/>
        <v>6025926.296</v>
      </c>
      <c r="S356" s="81">
        <f t="shared" si="3"/>
        <v>-1578.102592</v>
      </c>
      <c r="T356" s="6"/>
      <c r="U356" s="6"/>
      <c r="V356" s="6"/>
      <c r="W356" s="6"/>
      <c r="X356" s="6"/>
    </row>
    <row r="357" ht="11.25" customHeight="1">
      <c r="A357" s="7"/>
      <c r="B357" s="68">
        <f t="shared" si="13"/>
        <v>352</v>
      </c>
      <c r="C357" s="607">
        <v>20000.0</v>
      </c>
      <c r="D357" s="6">
        <f t="shared" si="14"/>
        <v>-28510.96238</v>
      </c>
      <c r="E357" s="6">
        <f t="shared" si="1"/>
        <v>48510.96238</v>
      </c>
      <c r="F357" s="6">
        <f t="shared" si="6"/>
        <v>7450357.259</v>
      </c>
      <c r="G357" s="6">
        <f t="shared" si="7"/>
        <v>-410357.2586</v>
      </c>
      <c r="H357" s="6">
        <f t="shared" si="8"/>
        <v>7040000</v>
      </c>
      <c r="I357" s="6">
        <f t="shared" si="9"/>
        <v>-4850357.259</v>
      </c>
      <c r="J357" s="610">
        <v>7.125</v>
      </c>
      <c r="K357" s="591"/>
      <c r="L357" s="6"/>
      <c r="M357" s="9">
        <v>20000.0</v>
      </c>
      <c r="N357" s="79">
        <f t="shared" si="10"/>
        <v>7040000</v>
      </c>
      <c r="O357" s="6">
        <f t="shared" si="2"/>
        <v>6070517.259</v>
      </c>
      <c r="P357" s="6"/>
      <c r="Q357" s="6">
        <f t="shared" si="11"/>
        <v>44590.96238</v>
      </c>
      <c r="R357" s="6">
        <f t="shared" si="12"/>
        <v>6070517.259</v>
      </c>
      <c r="S357" s="81">
        <f t="shared" si="3"/>
        <v>-1479.324937</v>
      </c>
      <c r="T357" s="6"/>
      <c r="U357" s="6"/>
      <c r="V357" s="6"/>
      <c r="W357" s="6"/>
      <c r="X357" s="6"/>
    </row>
    <row r="358" ht="11.25" customHeight="1">
      <c r="A358" s="7"/>
      <c r="B358" s="68">
        <f t="shared" si="13"/>
        <v>353</v>
      </c>
      <c r="C358" s="607">
        <v>20000.0</v>
      </c>
      <c r="D358" s="6">
        <f t="shared" si="14"/>
        <v>-28798.99622</v>
      </c>
      <c r="E358" s="6">
        <f t="shared" si="1"/>
        <v>48798.99622</v>
      </c>
      <c r="F358" s="6">
        <f t="shared" si="6"/>
        <v>7499156.255</v>
      </c>
      <c r="G358" s="6">
        <f t="shared" si="7"/>
        <v>-439156.2548</v>
      </c>
      <c r="H358" s="6">
        <f t="shared" si="8"/>
        <v>7060000</v>
      </c>
      <c r="I358" s="6">
        <f t="shared" si="9"/>
        <v>-4899156.255</v>
      </c>
      <c r="J358" s="610">
        <v>7.125</v>
      </c>
      <c r="K358" s="591"/>
      <c r="L358" s="6"/>
      <c r="M358" s="9">
        <v>20000.0</v>
      </c>
      <c r="N358" s="79">
        <f t="shared" si="10"/>
        <v>7060000</v>
      </c>
      <c r="O358" s="6">
        <f t="shared" si="2"/>
        <v>6115396.255</v>
      </c>
      <c r="P358" s="6"/>
      <c r="Q358" s="6">
        <f t="shared" si="11"/>
        <v>44878.99622</v>
      </c>
      <c r="R358" s="6">
        <f t="shared" si="12"/>
        <v>6115396.255</v>
      </c>
      <c r="S358" s="81">
        <f t="shared" si="3"/>
        <v>-1392.53311</v>
      </c>
      <c r="T358" s="6"/>
      <c r="U358" s="6"/>
      <c r="V358" s="6"/>
      <c r="W358" s="6"/>
      <c r="X358" s="6"/>
    </row>
    <row r="359" ht="11.25" customHeight="1">
      <c r="A359" s="7"/>
      <c r="B359" s="68">
        <f t="shared" si="13"/>
        <v>354</v>
      </c>
      <c r="C359" s="607">
        <v>20000.0</v>
      </c>
      <c r="D359" s="6">
        <f t="shared" si="14"/>
        <v>-29088.74026</v>
      </c>
      <c r="E359" s="6">
        <f t="shared" si="1"/>
        <v>49088.74026</v>
      </c>
      <c r="F359" s="6">
        <f t="shared" si="6"/>
        <v>7548244.995</v>
      </c>
      <c r="G359" s="6">
        <f t="shared" si="7"/>
        <v>-468244.9951</v>
      </c>
      <c r="H359" s="6">
        <f t="shared" si="8"/>
        <v>7080000</v>
      </c>
      <c r="I359" s="6">
        <f t="shared" si="9"/>
        <v>-4948244.995</v>
      </c>
      <c r="J359" s="610">
        <v>7.125</v>
      </c>
      <c r="K359" s="591"/>
      <c r="L359" s="6"/>
      <c r="M359" s="9">
        <v>20000.0</v>
      </c>
      <c r="N359" s="79">
        <f t="shared" si="10"/>
        <v>7080000</v>
      </c>
      <c r="O359" s="6">
        <f t="shared" si="2"/>
        <v>6160564.995</v>
      </c>
      <c r="P359" s="6"/>
      <c r="Q359" s="6">
        <f t="shared" si="11"/>
        <v>45168.74026</v>
      </c>
      <c r="R359" s="6">
        <f t="shared" si="12"/>
        <v>6160564.995</v>
      </c>
      <c r="S359" s="81">
        <f t="shared" si="3"/>
        <v>-1315.671296</v>
      </c>
      <c r="T359" s="6"/>
      <c r="U359" s="6"/>
      <c r="V359" s="6"/>
      <c r="W359" s="6"/>
      <c r="X359" s="6"/>
    </row>
    <row r="360" ht="11.25" customHeight="1">
      <c r="A360" s="7"/>
      <c r="B360" s="68">
        <f t="shared" si="13"/>
        <v>355</v>
      </c>
      <c r="C360" s="607">
        <v>20000.0</v>
      </c>
      <c r="D360" s="6">
        <f t="shared" si="14"/>
        <v>-29380.20466</v>
      </c>
      <c r="E360" s="6">
        <f t="shared" si="1"/>
        <v>49380.20466</v>
      </c>
      <c r="F360" s="6">
        <f t="shared" si="6"/>
        <v>7597625.2</v>
      </c>
      <c r="G360" s="6">
        <f t="shared" si="7"/>
        <v>-497625.1997</v>
      </c>
      <c r="H360" s="6">
        <f t="shared" si="8"/>
        <v>7100000</v>
      </c>
      <c r="I360" s="6">
        <f t="shared" si="9"/>
        <v>-4997625.2</v>
      </c>
      <c r="J360" s="610">
        <v>7.125</v>
      </c>
      <c r="K360" s="591"/>
      <c r="L360" s="6"/>
      <c r="M360" s="9">
        <v>20000.0</v>
      </c>
      <c r="N360" s="79">
        <f t="shared" si="10"/>
        <v>7100000</v>
      </c>
      <c r="O360" s="6">
        <f t="shared" si="2"/>
        <v>6206025.2</v>
      </c>
      <c r="P360" s="6"/>
      <c r="Q360" s="6">
        <f t="shared" si="11"/>
        <v>45460.20466</v>
      </c>
      <c r="R360" s="6">
        <f t="shared" si="12"/>
        <v>6206025.2</v>
      </c>
      <c r="S360" s="81">
        <f t="shared" si="3"/>
        <v>-1247.128402</v>
      </c>
      <c r="T360" s="6"/>
      <c r="U360" s="6"/>
      <c r="V360" s="6"/>
      <c r="W360" s="6"/>
      <c r="X360" s="6"/>
    </row>
    <row r="361" ht="11.25" customHeight="1">
      <c r="A361" s="7"/>
      <c r="B361" s="68">
        <f t="shared" si="13"/>
        <v>356</v>
      </c>
      <c r="C361" s="607">
        <v>20000.0</v>
      </c>
      <c r="D361" s="6">
        <f t="shared" si="14"/>
        <v>-29673.39962</v>
      </c>
      <c r="E361" s="6">
        <f t="shared" si="1"/>
        <v>49673.39962</v>
      </c>
      <c r="F361" s="6">
        <f t="shared" si="6"/>
        <v>7647298.599</v>
      </c>
      <c r="G361" s="6">
        <f t="shared" si="7"/>
        <v>-527298.5994</v>
      </c>
      <c r="H361" s="6">
        <f t="shared" si="8"/>
        <v>7120000</v>
      </c>
      <c r="I361" s="6">
        <f t="shared" si="9"/>
        <v>-5047298.599</v>
      </c>
      <c r="J361" s="610">
        <v>7.125</v>
      </c>
      <c r="K361" s="591"/>
      <c r="L361" s="6"/>
      <c r="M361" s="9">
        <v>20000.0</v>
      </c>
      <c r="N361" s="79">
        <f t="shared" si="10"/>
        <v>7120000</v>
      </c>
      <c r="O361" s="6">
        <f t="shared" si="2"/>
        <v>6251778.599</v>
      </c>
      <c r="P361" s="6"/>
      <c r="Q361" s="6">
        <f t="shared" si="11"/>
        <v>45753.39962</v>
      </c>
      <c r="R361" s="6">
        <f t="shared" si="12"/>
        <v>6251778.599</v>
      </c>
      <c r="S361" s="81">
        <f t="shared" si="3"/>
        <v>-1185.623972</v>
      </c>
      <c r="T361" s="6"/>
      <c r="U361" s="6"/>
      <c r="V361" s="6"/>
      <c r="W361" s="6"/>
      <c r="X361" s="6"/>
    </row>
    <row r="362" ht="11.25" customHeight="1">
      <c r="A362" s="7"/>
      <c r="B362" s="68">
        <f t="shared" si="13"/>
        <v>357</v>
      </c>
      <c r="C362" s="607">
        <v>20000.0</v>
      </c>
      <c r="D362" s="6">
        <f t="shared" si="14"/>
        <v>-29968.33543</v>
      </c>
      <c r="E362" s="6">
        <f t="shared" si="1"/>
        <v>49968.33543</v>
      </c>
      <c r="F362" s="6">
        <f t="shared" si="6"/>
        <v>7697266.935</v>
      </c>
      <c r="G362" s="6">
        <f t="shared" si="7"/>
        <v>-557266.9348</v>
      </c>
      <c r="H362" s="6">
        <f t="shared" si="8"/>
        <v>7140000</v>
      </c>
      <c r="I362" s="6">
        <f t="shared" si="9"/>
        <v>-5097266.935</v>
      </c>
      <c r="J362" s="610">
        <v>7.125</v>
      </c>
      <c r="K362" s="591"/>
      <c r="L362" s="6"/>
      <c r="M362" s="9">
        <v>20000.0</v>
      </c>
      <c r="N362" s="79">
        <f t="shared" si="10"/>
        <v>7140000</v>
      </c>
      <c r="O362" s="6">
        <f t="shared" si="2"/>
        <v>6297826.935</v>
      </c>
      <c r="P362" s="6"/>
      <c r="Q362" s="6">
        <f t="shared" si="11"/>
        <v>46048.33543</v>
      </c>
      <c r="R362" s="6">
        <f t="shared" si="12"/>
        <v>6297826.935</v>
      </c>
      <c r="S362" s="81">
        <f t="shared" si="3"/>
        <v>-1130.12751</v>
      </c>
      <c r="T362" s="6"/>
      <c r="U362" s="6"/>
      <c r="V362" s="6"/>
      <c r="W362" s="6"/>
      <c r="X362" s="6"/>
    </row>
    <row r="363" ht="11.25" customHeight="1">
      <c r="A363" s="7"/>
      <c r="B363" s="68">
        <f t="shared" si="13"/>
        <v>358</v>
      </c>
      <c r="C363" s="607">
        <v>20000.0</v>
      </c>
      <c r="D363" s="6">
        <f t="shared" si="14"/>
        <v>-30265.02243</v>
      </c>
      <c r="E363" s="6">
        <f t="shared" si="1"/>
        <v>50265.02243</v>
      </c>
      <c r="F363" s="6">
        <f t="shared" si="6"/>
        <v>7747531.957</v>
      </c>
      <c r="G363" s="6">
        <f t="shared" si="7"/>
        <v>-587531.9572</v>
      </c>
      <c r="H363" s="6">
        <f t="shared" si="8"/>
        <v>7160000</v>
      </c>
      <c r="I363" s="6">
        <f t="shared" si="9"/>
        <v>-5147531.957</v>
      </c>
      <c r="J363" s="610">
        <v>7.125</v>
      </c>
      <c r="K363" s="591"/>
      <c r="L363" s="6"/>
      <c r="M363" s="9">
        <v>20000.0</v>
      </c>
      <c r="N363" s="79">
        <f t="shared" si="10"/>
        <v>7160000</v>
      </c>
      <c r="O363" s="6">
        <f t="shared" si="2"/>
        <v>6344171.957</v>
      </c>
      <c r="P363" s="6"/>
      <c r="Q363" s="6">
        <f t="shared" si="11"/>
        <v>46345.02243</v>
      </c>
      <c r="R363" s="6">
        <f t="shared" si="12"/>
        <v>6344171.957</v>
      </c>
      <c r="S363" s="81">
        <f t="shared" si="3"/>
        <v>-1079.800321</v>
      </c>
      <c r="T363" s="6"/>
      <c r="U363" s="6"/>
      <c r="V363" s="6"/>
      <c r="W363" s="6"/>
      <c r="X363" s="6"/>
    </row>
    <row r="364" ht="11.25" customHeight="1">
      <c r="A364" s="7"/>
      <c r="B364" s="68">
        <f t="shared" si="13"/>
        <v>359</v>
      </c>
      <c r="C364" s="607">
        <v>20000.0</v>
      </c>
      <c r="D364" s="6">
        <f t="shared" si="14"/>
        <v>-30563.471</v>
      </c>
      <c r="E364" s="6">
        <f t="shared" si="1"/>
        <v>50563.471</v>
      </c>
      <c r="F364" s="6">
        <f t="shared" si="6"/>
        <v>7798095.428</v>
      </c>
      <c r="G364" s="6">
        <f t="shared" si="7"/>
        <v>-618095.4282</v>
      </c>
      <c r="H364" s="6">
        <f t="shared" si="8"/>
        <v>7180000</v>
      </c>
      <c r="I364" s="6">
        <f t="shared" si="9"/>
        <v>-5198095.428</v>
      </c>
      <c r="J364" s="610">
        <v>7.125</v>
      </c>
      <c r="K364" s="591"/>
      <c r="L364" s="6"/>
      <c r="M364" s="9">
        <v>20000.0</v>
      </c>
      <c r="N364" s="79">
        <f t="shared" si="10"/>
        <v>7180000</v>
      </c>
      <c r="O364" s="6">
        <f t="shared" si="2"/>
        <v>6390815.428</v>
      </c>
      <c r="P364" s="6"/>
      <c r="Q364" s="6">
        <f t="shared" si="11"/>
        <v>46643.471</v>
      </c>
      <c r="R364" s="6">
        <f t="shared" si="12"/>
        <v>6390815.428</v>
      </c>
      <c r="S364" s="81">
        <f t="shared" si="3"/>
        <v>-1033.952871</v>
      </c>
      <c r="T364" s="6"/>
      <c r="U364" s="6"/>
      <c r="V364" s="6"/>
      <c r="W364" s="6"/>
      <c r="X364" s="6"/>
    </row>
    <row r="365" ht="12.0" customHeight="1">
      <c r="A365" s="7"/>
      <c r="B365" s="106">
        <f t="shared" si="13"/>
        <v>360</v>
      </c>
      <c r="C365" s="607">
        <v>20000.0</v>
      </c>
      <c r="D365" s="113">
        <f t="shared" si="14"/>
        <v>-30863.69161</v>
      </c>
      <c r="E365" s="113">
        <f t="shared" si="1"/>
        <v>50863.69161</v>
      </c>
      <c r="F365" s="113">
        <f t="shared" si="6"/>
        <v>7848959.12</v>
      </c>
      <c r="G365" s="113">
        <f t="shared" si="7"/>
        <v>-648959.1198</v>
      </c>
      <c r="H365" s="113">
        <f t="shared" si="8"/>
        <v>7200000</v>
      </c>
      <c r="I365" s="113">
        <f t="shared" si="9"/>
        <v>-5248959.12</v>
      </c>
      <c r="J365" s="610">
        <v>7.125</v>
      </c>
      <c r="K365" s="591"/>
      <c r="L365" s="6"/>
      <c r="M365" s="9">
        <v>20000.0</v>
      </c>
      <c r="N365" s="79">
        <f t="shared" si="10"/>
        <v>7200000</v>
      </c>
      <c r="O365" s="6">
        <f t="shared" si="2"/>
        <v>6437759.12</v>
      </c>
      <c r="P365" s="6"/>
      <c r="Q365" s="6">
        <f t="shared" si="11"/>
        <v>46943.69161</v>
      </c>
      <c r="R365" s="6">
        <f t="shared" si="12"/>
        <v>6437759.12</v>
      </c>
      <c r="S365" s="81">
        <f t="shared" si="3"/>
        <v>-992.0130441</v>
      </c>
      <c r="T365" s="6"/>
      <c r="U365" s="6"/>
      <c r="V365" s="6"/>
      <c r="W365" s="6"/>
      <c r="X365" s="6"/>
    </row>
    <row r="366" ht="11.25" customHeight="1">
      <c r="A366" s="7"/>
      <c r="B366" s="5"/>
      <c r="C366" s="6"/>
      <c r="D366" s="6"/>
      <c r="E366" s="6"/>
      <c r="F366" s="6"/>
      <c r="G366" s="6"/>
      <c r="H366" s="6"/>
      <c r="I366" s="6"/>
      <c r="J366" s="11"/>
      <c r="K366" s="591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 ht="11.25" customHeight="1">
      <c r="A367" s="7"/>
      <c r="B367" s="5"/>
      <c r="C367" s="6"/>
      <c r="D367" s="6"/>
      <c r="E367" s="6"/>
      <c r="F367" s="6"/>
      <c r="G367" s="6"/>
      <c r="H367" s="6"/>
      <c r="I367" s="6"/>
      <c r="J367" s="11"/>
      <c r="K367" s="591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 ht="11.25" customHeight="1">
      <c r="A368" s="7"/>
      <c r="B368" s="5"/>
      <c r="C368" s="6"/>
      <c r="D368" s="6"/>
      <c r="E368" s="6"/>
      <c r="F368" s="6"/>
      <c r="G368" s="6"/>
      <c r="H368" s="6"/>
      <c r="I368" s="6"/>
      <c r="J368" s="11"/>
      <c r="K368" s="591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 ht="11.25" customHeight="1">
      <c r="A369" s="7"/>
      <c r="B369" s="5"/>
      <c r="C369" s="6"/>
      <c r="D369" s="6"/>
      <c r="E369" s="6"/>
      <c r="F369" s="6"/>
      <c r="G369" s="6"/>
      <c r="H369" s="6"/>
      <c r="I369" s="6"/>
      <c r="J369" s="11"/>
      <c r="K369" s="591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 ht="11.25" customHeight="1">
      <c r="A370" s="7"/>
      <c r="B370" s="5"/>
      <c r="C370" s="6"/>
      <c r="D370" s="6"/>
      <c r="E370" s="6"/>
      <c r="F370" s="6"/>
      <c r="G370" s="6"/>
      <c r="H370" s="6"/>
      <c r="I370" s="6"/>
      <c r="J370" s="11"/>
      <c r="K370" s="591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 ht="11.25" customHeight="1">
      <c r="A371" s="7"/>
      <c r="B371" s="5"/>
      <c r="C371" s="6"/>
      <c r="D371" s="6"/>
      <c r="E371" s="6"/>
      <c r="F371" s="6"/>
      <c r="G371" s="6"/>
      <c r="H371" s="6"/>
      <c r="I371" s="6"/>
      <c r="J371" s="11"/>
      <c r="K371" s="591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 ht="11.25" customHeight="1">
      <c r="A372" s="7"/>
      <c r="B372" s="5"/>
      <c r="C372" s="6"/>
      <c r="D372" s="6"/>
      <c r="E372" s="6"/>
      <c r="F372" s="6"/>
      <c r="G372" s="6"/>
      <c r="H372" s="6"/>
      <c r="I372" s="6"/>
      <c r="J372" s="11"/>
      <c r="K372" s="591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 ht="11.25" customHeight="1">
      <c r="A373" s="7"/>
      <c r="B373" s="5"/>
      <c r="C373" s="6"/>
      <c r="D373" s="6"/>
      <c r="E373" s="6"/>
      <c r="F373" s="6"/>
      <c r="G373" s="6"/>
      <c r="H373" s="6"/>
      <c r="I373" s="6"/>
      <c r="J373" s="11"/>
      <c r="K373" s="591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 ht="11.25" customHeight="1">
      <c r="A374" s="7"/>
      <c r="B374" s="5"/>
      <c r="C374" s="6"/>
      <c r="D374" s="6"/>
      <c r="E374" s="6"/>
      <c r="F374" s="6"/>
      <c r="G374" s="6"/>
      <c r="H374" s="6"/>
      <c r="I374" s="6"/>
      <c r="J374" s="11"/>
      <c r="K374" s="591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 ht="11.25" customHeight="1">
      <c r="A375" s="7"/>
      <c r="B375" s="5"/>
      <c r="C375" s="6"/>
      <c r="D375" s="6"/>
      <c r="E375" s="6"/>
      <c r="F375" s="6"/>
      <c r="G375" s="6"/>
      <c r="H375" s="6"/>
      <c r="I375" s="6"/>
      <c r="J375" s="11"/>
      <c r="K375" s="591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 ht="11.25" customHeight="1">
      <c r="A376" s="7"/>
      <c r="B376" s="5"/>
      <c r="C376" s="6"/>
      <c r="D376" s="6"/>
      <c r="E376" s="6"/>
      <c r="F376" s="6"/>
      <c r="G376" s="6"/>
      <c r="H376" s="6"/>
      <c r="I376" s="6"/>
      <c r="J376" s="11"/>
      <c r="K376" s="591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 ht="11.25" customHeight="1">
      <c r="A377" s="7"/>
      <c r="B377" s="5"/>
      <c r="C377" s="6"/>
      <c r="D377" s="6"/>
      <c r="E377" s="6"/>
      <c r="F377" s="6"/>
      <c r="G377" s="6"/>
      <c r="H377" s="6"/>
      <c r="I377" s="6"/>
      <c r="J377" s="11"/>
      <c r="K377" s="591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 ht="11.25" customHeight="1">
      <c r="A378" s="7"/>
      <c r="B378" s="5"/>
      <c r="C378" s="6"/>
      <c r="D378" s="6"/>
      <c r="E378" s="6"/>
      <c r="F378" s="6"/>
      <c r="G378" s="6"/>
      <c r="H378" s="6"/>
      <c r="I378" s="6"/>
      <c r="J378" s="11"/>
      <c r="K378" s="591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 ht="11.25" customHeight="1">
      <c r="A379" s="7"/>
      <c r="B379" s="5"/>
      <c r="C379" s="6"/>
      <c r="D379" s="6"/>
      <c r="E379" s="6"/>
      <c r="F379" s="6"/>
      <c r="G379" s="6"/>
      <c r="H379" s="6"/>
      <c r="I379" s="6"/>
      <c r="J379" s="11"/>
      <c r="K379" s="591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 ht="11.25" customHeight="1">
      <c r="A380" s="7"/>
      <c r="B380" s="5"/>
      <c r="C380" s="6"/>
      <c r="D380" s="6"/>
      <c r="E380" s="6"/>
      <c r="F380" s="6"/>
      <c r="G380" s="6"/>
      <c r="H380" s="6"/>
      <c r="I380" s="6"/>
      <c r="J380" s="11"/>
      <c r="K380" s="591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 ht="11.25" customHeight="1">
      <c r="A381" s="7"/>
      <c r="B381" s="5"/>
      <c r="C381" s="6"/>
      <c r="D381" s="6"/>
      <c r="E381" s="6"/>
      <c r="F381" s="6"/>
      <c r="G381" s="6"/>
      <c r="H381" s="6"/>
      <c r="I381" s="6"/>
      <c r="J381" s="11"/>
      <c r="K381" s="591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 ht="11.25" customHeight="1">
      <c r="A382" s="7"/>
      <c r="B382" s="5"/>
      <c r="C382" s="6"/>
      <c r="D382" s="6"/>
      <c r="E382" s="6"/>
      <c r="F382" s="6"/>
      <c r="G382" s="6"/>
      <c r="H382" s="6"/>
      <c r="I382" s="6"/>
      <c r="J382" s="11"/>
      <c r="K382" s="591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 ht="11.25" customHeight="1">
      <c r="A383" s="7"/>
      <c r="B383" s="5"/>
      <c r="C383" s="6"/>
      <c r="D383" s="6"/>
      <c r="E383" s="6"/>
      <c r="F383" s="6"/>
      <c r="G383" s="6"/>
      <c r="H383" s="6"/>
      <c r="I383" s="6"/>
      <c r="J383" s="11"/>
      <c r="K383" s="591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 ht="11.25" customHeight="1">
      <c r="A384" s="7"/>
      <c r="B384" s="5"/>
      <c r="C384" s="6"/>
      <c r="D384" s="6"/>
      <c r="E384" s="6"/>
      <c r="F384" s="6"/>
      <c r="G384" s="6"/>
      <c r="H384" s="6"/>
      <c r="I384" s="6"/>
      <c r="J384" s="11"/>
      <c r="K384" s="591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 ht="11.25" customHeight="1">
      <c r="A385" s="7"/>
      <c r="B385" s="5"/>
      <c r="C385" s="6"/>
      <c r="D385" s="6"/>
      <c r="E385" s="6"/>
      <c r="F385" s="6"/>
      <c r="G385" s="6"/>
      <c r="H385" s="6"/>
      <c r="I385" s="6"/>
      <c r="J385" s="11"/>
      <c r="K385" s="591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 ht="11.25" customHeight="1">
      <c r="A386" s="7"/>
      <c r="B386" s="5"/>
      <c r="C386" s="6"/>
      <c r="D386" s="6"/>
      <c r="E386" s="6"/>
      <c r="F386" s="6"/>
      <c r="G386" s="6"/>
      <c r="H386" s="6"/>
      <c r="I386" s="6"/>
      <c r="J386" s="11"/>
      <c r="K386" s="591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 ht="11.25" customHeight="1">
      <c r="A387" s="7"/>
      <c r="B387" s="5"/>
      <c r="C387" s="6"/>
      <c r="D387" s="6"/>
      <c r="E387" s="6"/>
      <c r="F387" s="6"/>
      <c r="G387" s="6"/>
      <c r="H387" s="6"/>
      <c r="I387" s="6"/>
      <c r="J387" s="11"/>
      <c r="K387" s="591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 ht="11.25" customHeight="1">
      <c r="A388" s="7"/>
      <c r="B388" s="5"/>
      <c r="C388" s="6"/>
      <c r="D388" s="6"/>
      <c r="E388" s="6"/>
      <c r="F388" s="6"/>
      <c r="G388" s="6"/>
      <c r="H388" s="6"/>
      <c r="I388" s="6"/>
      <c r="J388" s="11"/>
      <c r="K388" s="591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 ht="11.25" customHeight="1">
      <c r="A389" s="7"/>
      <c r="B389" s="5"/>
      <c r="C389" s="6"/>
      <c r="D389" s="6"/>
      <c r="E389" s="6"/>
      <c r="F389" s="6"/>
      <c r="G389" s="6"/>
      <c r="H389" s="6"/>
      <c r="I389" s="6"/>
      <c r="J389" s="11"/>
      <c r="K389" s="591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 ht="11.25" customHeight="1">
      <c r="A390" s="7"/>
      <c r="B390" s="5"/>
      <c r="C390" s="6"/>
      <c r="D390" s="6"/>
      <c r="E390" s="6"/>
      <c r="F390" s="6"/>
      <c r="G390" s="6"/>
      <c r="H390" s="6"/>
      <c r="I390" s="6"/>
      <c r="J390" s="11"/>
      <c r="K390" s="591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 ht="11.25" customHeight="1">
      <c r="A391" s="7"/>
      <c r="B391" s="5"/>
      <c r="C391" s="6"/>
      <c r="D391" s="6"/>
      <c r="E391" s="6"/>
      <c r="F391" s="6"/>
      <c r="G391" s="6"/>
      <c r="H391" s="6"/>
      <c r="I391" s="6"/>
      <c r="J391" s="11"/>
      <c r="K391" s="591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 ht="11.25" customHeight="1">
      <c r="A392" s="7"/>
      <c r="B392" s="5"/>
      <c r="C392" s="6"/>
      <c r="D392" s="6"/>
      <c r="E392" s="6"/>
      <c r="F392" s="6"/>
      <c r="G392" s="6"/>
      <c r="H392" s="6"/>
      <c r="I392" s="6"/>
      <c r="J392" s="11"/>
      <c r="K392" s="591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 ht="11.25" customHeight="1">
      <c r="A393" s="7"/>
      <c r="B393" s="5"/>
      <c r="C393" s="6"/>
      <c r="D393" s="6"/>
      <c r="E393" s="6"/>
      <c r="F393" s="6"/>
      <c r="G393" s="6"/>
      <c r="H393" s="6"/>
      <c r="I393" s="6"/>
      <c r="J393" s="11"/>
      <c r="K393" s="591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 ht="11.25" customHeight="1">
      <c r="A394" s="7"/>
      <c r="B394" s="5"/>
      <c r="C394" s="6"/>
      <c r="D394" s="6"/>
      <c r="E394" s="6"/>
      <c r="F394" s="6"/>
      <c r="G394" s="6"/>
      <c r="H394" s="6"/>
      <c r="I394" s="6"/>
      <c r="J394" s="11"/>
      <c r="K394" s="591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 ht="11.25" customHeight="1">
      <c r="A395" s="7"/>
      <c r="B395" s="5"/>
      <c r="C395" s="6"/>
      <c r="D395" s="6"/>
      <c r="E395" s="6"/>
      <c r="F395" s="6"/>
      <c r="G395" s="6"/>
      <c r="H395" s="6"/>
      <c r="I395" s="6"/>
      <c r="J395" s="11"/>
      <c r="K395" s="591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 ht="11.25" customHeight="1">
      <c r="A396" s="7"/>
      <c r="B396" s="5"/>
      <c r="C396" s="6"/>
      <c r="D396" s="6"/>
      <c r="E396" s="6"/>
      <c r="F396" s="6"/>
      <c r="G396" s="6"/>
      <c r="H396" s="6"/>
      <c r="I396" s="6"/>
      <c r="J396" s="11"/>
      <c r="K396" s="591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 ht="11.25" customHeight="1">
      <c r="A397" s="7"/>
      <c r="B397" s="5"/>
      <c r="C397" s="6"/>
      <c r="D397" s="6"/>
      <c r="E397" s="6"/>
      <c r="F397" s="6"/>
      <c r="G397" s="6"/>
      <c r="H397" s="6"/>
      <c r="I397" s="6"/>
      <c r="J397" s="11"/>
      <c r="K397" s="591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 ht="11.25" customHeight="1">
      <c r="A398" s="7"/>
      <c r="B398" s="5"/>
      <c r="C398" s="6"/>
      <c r="D398" s="6"/>
      <c r="E398" s="6"/>
      <c r="F398" s="6"/>
      <c r="G398" s="6"/>
      <c r="H398" s="6"/>
      <c r="I398" s="6"/>
      <c r="J398" s="11"/>
      <c r="K398" s="591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 ht="11.25" customHeight="1">
      <c r="A399" s="7"/>
      <c r="B399" s="5"/>
      <c r="C399" s="6"/>
      <c r="D399" s="6"/>
      <c r="E399" s="6"/>
      <c r="F399" s="6"/>
      <c r="G399" s="6"/>
      <c r="H399" s="6"/>
      <c r="I399" s="6"/>
      <c r="J399" s="11"/>
      <c r="K399" s="591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 ht="11.25" customHeight="1">
      <c r="A400" s="7"/>
      <c r="B400" s="5"/>
      <c r="C400" s="6"/>
      <c r="D400" s="6"/>
      <c r="E400" s="6"/>
      <c r="F400" s="6"/>
      <c r="G400" s="6"/>
      <c r="H400" s="6"/>
      <c r="I400" s="6"/>
      <c r="J400" s="11"/>
      <c r="K400" s="591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 ht="11.25" customHeight="1">
      <c r="A401" s="7"/>
      <c r="B401" s="5"/>
      <c r="C401" s="6"/>
      <c r="D401" s="6"/>
      <c r="E401" s="6"/>
      <c r="F401" s="6"/>
      <c r="G401" s="6"/>
      <c r="H401" s="6"/>
      <c r="I401" s="6"/>
      <c r="J401" s="11"/>
      <c r="K401" s="591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 ht="11.25" customHeight="1">
      <c r="A402" s="7"/>
      <c r="B402" s="5"/>
      <c r="C402" s="6"/>
      <c r="D402" s="6"/>
      <c r="E402" s="6"/>
      <c r="F402" s="6"/>
      <c r="G402" s="6"/>
      <c r="H402" s="6"/>
      <c r="I402" s="6"/>
      <c r="J402" s="11"/>
      <c r="K402" s="591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 ht="11.25" customHeight="1">
      <c r="A403" s="7"/>
      <c r="B403" s="5"/>
      <c r="C403" s="6"/>
      <c r="D403" s="6"/>
      <c r="E403" s="6"/>
      <c r="F403" s="6"/>
      <c r="G403" s="6"/>
      <c r="H403" s="6"/>
      <c r="I403" s="6"/>
      <c r="J403" s="11"/>
      <c r="K403" s="591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 ht="11.25" customHeight="1">
      <c r="A404" s="7"/>
      <c r="B404" s="5"/>
      <c r="C404" s="6"/>
      <c r="D404" s="6"/>
      <c r="E404" s="6"/>
      <c r="F404" s="6"/>
      <c r="G404" s="6"/>
      <c r="H404" s="6"/>
      <c r="I404" s="6"/>
      <c r="J404" s="11"/>
      <c r="K404" s="591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 ht="11.25" customHeight="1">
      <c r="A405" s="7"/>
      <c r="B405" s="5"/>
      <c r="C405" s="6"/>
      <c r="D405" s="6"/>
      <c r="E405" s="6"/>
      <c r="F405" s="6"/>
      <c r="G405" s="6"/>
      <c r="H405" s="6"/>
      <c r="I405" s="6"/>
      <c r="J405" s="11"/>
      <c r="K405" s="591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 ht="11.25" customHeight="1">
      <c r="A406" s="7"/>
      <c r="B406" s="5"/>
      <c r="C406" s="6"/>
      <c r="D406" s="6"/>
      <c r="E406" s="6"/>
      <c r="F406" s="6"/>
      <c r="G406" s="6"/>
      <c r="H406" s="6"/>
      <c r="I406" s="6"/>
      <c r="J406" s="11"/>
      <c r="K406" s="591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 ht="11.25" customHeight="1">
      <c r="A407" s="7"/>
      <c r="B407" s="5"/>
      <c r="C407" s="6"/>
      <c r="D407" s="6"/>
      <c r="E407" s="6"/>
      <c r="F407" s="6"/>
      <c r="G407" s="6"/>
      <c r="H407" s="6"/>
      <c r="I407" s="6"/>
      <c r="J407" s="11"/>
      <c r="K407" s="591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 ht="11.25" customHeight="1">
      <c r="A408" s="7"/>
      <c r="B408" s="5"/>
      <c r="C408" s="6"/>
      <c r="D408" s="6"/>
      <c r="E408" s="6"/>
      <c r="F408" s="6"/>
      <c r="G408" s="6"/>
      <c r="H408" s="6"/>
      <c r="I408" s="6"/>
      <c r="J408" s="11"/>
      <c r="K408" s="591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 ht="11.25" customHeight="1">
      <c r="A409" s="7"/>
      <c r="B409" s="5"/>
      <c r="C409" s="6"/>
      <c r="D409" s="6"/>
      <c r="E409" s="6"/>
      <c r="F409" s="6"/>
      <c r="G409" s="6"/>
      <c r="H409" s="6"/>
      <c r="I409" s="6"/>
      <c r="J409" s="11"/>
      <c r="K409" s="591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 ht="11.25" customHeight="1">
      <c r="A410" s="7"/>
      <c r="B410" s="5"/>
      <c r="C410" s="6"/>
      <c r="D410" s="6"/>
      <c r="E410" s="6"/>
      <c r="F410" s="6"/>
      <c r="G410" s="6"/>
      <c r="H410" s="6"/>
      <c r="I410" s="6"/>
      <c r="J410" s="11"/>
      <c r="K410" s="591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 ht="11.25" customHeight="1">
      <c r="A411" s="7"/>
      <c r="B411" s="5"/>
      <c r="C411" s="6"/>
      <c r="D411" s="6"/>
      <c r="E411" s="6"/>
      <c r="F411" s="6"/>
      <c r="G411" s="6"/>
      <c r="H411" s="6"/>
      <c r="I411" s="6"/>
      <c r="J411" s="11"/>
      <c r="K411" s="591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 ht="11.25" customHeight="1">
      <c r="A412" s="7"/>
      <c r="B412" s="5"/>
      <c r="C412" s="6"/>
      <c r="D412" s="6"/>
      <c r="E412" s="6"/>
      <c r="F412" s="6"/>
      <c r="G412" s="6"/>
      <c r="H412" s="6"/>
      <c r="I412" s="6"/>
      <c r="J412" s="11"/>
      <c r="K412" s="591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 ht="11.25" customHeight="1">
      <c r="A413" s="7"/>
      <c r="B413" s="5"/>
      <c r="C413" s="6"/>
      <c r="D413" s="6"/>
      <c r="E413" s="6"/>
      <c r="F413" s="6"/>
      <c r="G413" s="6"/>
      <c r="H413" s="6"/>
      <c r="I413" s="6"/>
      <c r="J413" s="11"/>
      <c r="K413" s="591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 ht="11.25" customHeight="1">
      <c r="A414" s="7"/>
      <c r="B414" s="5"/>
      <c r="C414" s="6"/>
      <c r="D414" s="6"/>
      <c r="E414" s="6"/>
      <c r="F414" s="6"/>
      <c r="G414" s="6"/>
      <c r="H414" s="6"/>
      <c r="I414" s="6"/>
      <c r="J414" s="11"/>
      <c r="K414" s="591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 ht="11.25" customHeight="1">
      <c r="A415" s="7"/>
      <c r="B415" s="5"/>
      <c r="C415" s="6"/>
      <c r="D415" s="6"/>
      <c r="E415" s="6"/>
      <c r="F415" s="6"/>
      <c r="G415" s="6"/>
      <c r="H415" s="6"/>
      <c r="I415" s="6"/>
      <c r="J415" s="11"/>
      <c r="K415" s="591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 ht="11.25" customHeight="1">
      <c r="A416" s="7"/>
      <c r="B416" s="5"/>
      <c r="C416" s="6"/>
      <c r="D416" s="6"/>
      <c r="E416" s="6"/>
      <c r="F416" s="6"/>
      <c r="G416" s="6"/>
      <c r="H416" s="6"/>
      <c r="I416" s="6"/>
      <c r="J416" s="11"/>
      <c r="K416" s="591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 ht="11.25" customHeight="1">
      <c r="A417" s="7"/>
      <c r="B417" s="5"/>
      <c r="C417" s="6"/>
      <c r="D417" s="6"/>
      <c r="E417" s="6"/>
      <c r="F417" s="6"/>
      <c r="G417" s="6"/>
      <c r="H417" s="6"/>
      <c r="I417" s="6"/>
      <c r="J417" s="11"/>
      <c r="K417" s="591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 ht="11.25" customHeight="1">
      <c r="A418" s="7"/>
      <c r="B418" s="5"/>
      <c r="C418" s="6"/>
      <c r="D418" s="6"/>
      <c r="E418" s="6"/>
      <c r="F418" s="6"/>
      <c r="G418" s="6"/>
      <c r="H418" s="6"/>
      <c r="I418" s="6"/>
      <c r="J418" s="11"/>
      <c r="K418" s="591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 ht="11.25" customHeight="1">
      <c r="A419" s="7"/>
      <c r="B419" s="5"/>
      <c r="C419" s="6"/>
      <c r="D419" s="6"/>
      <c r="E419" s="6"/>
      <c r="F419" s="6"/>
      <c r="G419" s="6"/>
      <c r="H419" s="6"/>
      <c r="I419" s="6"/>
      <c r="J419" s="11"/>
      <c r="K419" s="591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 ht="11.25" customHeight="1">
      <c r="A420" s="7"/>
      <c r="B420" s="5"/>
      <c r="C420" s="6"/>
      <c r="D420" s="6"/>
      <c r="E420" s="6"/>
      <c r="F420" s="6"/>
      <c r="G420" s="6"/>
      <c r="H420" s="6"/>
      <c r="I420" s="6"/>
      <c r="J420" s="11"/>
      <c r="K420" s="591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 ht="11.25" customHeight="1">
      <c r="A421" s="7"/>
      <c r="B421" s="5"/>
      <c r="C421" s="6"/>
      <c r="D421" s="6"/>
      <c r="E421" s="6"/>
      <c r="F421" s="6"/>
      <c r="G421" s="6"/>
      <c r="H421" s="6"/>
      <c r="I421" s="6"/>
      <c r="J421" s="11"/>
      <c r="K421" s="591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 ht="11.25" customHeight="1">
      <c r="A422" s="7"/>
      <c r="B422" s="5"/>
      <c r="C422" s="6"/>
      <c r="D422" s="6"/>
      <c r="E422" s="6"/>
      <c r="F422" s="6"/>
      <c r="G422" s="6"/>
      <c r="H422" s="6"/>
      <c r="I422" s="6"/>
      <c r="J422" s="11"/>
      <c r="K422" s="591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 ht="11.25" customHeight="1">
      <c r="A423" s="7"/>
      <c r="B423" s="5"/>
      <c r="C423" s="6"/>
      <c r="D423" s="6"/>
      <c r="E423" s="6"/>
      <c r="F423" s="6"/>
      <c r="G423" s="6"/>
      <c r="H423" s="6"/>
      <c r="I423" s="6"/>
      <c r="J423" s="11"/>
      <c r="K423" s="591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 ht="11.25" customHeight="1">
      <c r="A424" s="7"/>
      <c r="B424" s="5"/>
      <c r="C424" s="6"/>
      <c r="D424" s="6"/>
      <c r="E424" s="6"/>
      <c r="F424" s="6"/>
      <c r="G424" s="6"/>
      <c r="H424" s="6"/>
      <c r="I424" s="6"/>
      <c r="J424" s="11"/>
      <c r="K424" s="591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 ht="11.25" customHeight="1">
      <c r="A425" s="7"/>
      <c r="B425" s="5"/>
      <c r="C425" s="6"/>
      <c r="D425" s="6"/>
      <c r="E425" s="6"/>
      <c r="F425" s="6"/>
      <c r="G425" s="6"/>
      <c r="H425" s="6"/>
      <c r="I425" s="6"/>
      <c r="J425" s="11"/>
      <c r="K425" s="591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 ht="11.25" customHeight="1">
      <c r="A426" s="7"/>
      <c r="B426" s="5"/>
      <c r="C426" s="6"/>
      <c r="D426" s="6"/>
      <c r="E426" s="6"/>
      <c r="F426" s="6"/>
      <c r="G426" s="6"/>
      <c r="H426" s="6"/>
      <c r="I426" s="6"/>
      <c r="J426" s="11"/>
      <c r="K426" s="591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 ht="11.25" customHeight="1">
      <c r="A427" s="7"/>
      <c r="B427" s="5"/>
      <c r="C427" s="6"/>
      <c r="D427" s="6"/>
      <c r="E427" s="6"/>
      <c r="F427" s="6"/>
      <c r="G427" s="6"/>
      <c r="H427" s="6"/>
      <c r="I427" s="6"/>
      <c r="J427" s="11"/>
      <c r="K427" s="591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 ht="11.25" customHeight="1">
      <c r="A428" s="7"/>
      <c r="B428" s="5"/>
      <c r="C428" s="6"/>
      <c r="D428" s="6"/>
      <c r="E428" s="6"/>
      <c r="F428" s="6"/>
      <c r="G428" s="6"/>
      <c r="H428" s="6"/>
      <c r="I428" s="6"/>
      <c r="J428" s="11"/>
      <c r="K428" s="591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 ht="11.25" customHeight="1">
      <c r="A429" s="7"/>
      <c r="B429" s="5"/>
      <c r="C429" s="6"/>
      <c r="D429" s="6"/>
      <c r="E429" s="6"/>
      <c r="F429" s="6"/>
      <c r="G429" s="6"/>
      <c r="H429" s="6"/>
      <c r="I429" s="6"/>
      <c r="J429" s="11"/>
      <c r="K429" s="591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 ht="11.25" customHeight="1">
      <c r="A430" s="7"/>
      <c r="B430" s="5"/>
      <c r="C430" s="6"/>
      <c r="D430" s="6"/>
      <c r="E430" s="6"/>
      <c r="F430" s="6"/>
      <c r="G430" s="6"/>
      <c r="H430" s="6"/>
      <c r="I430" s="6"/>
      <c r="J430" s="11"/>
      <c r="K430" s="591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 ht="11.25" customHeight="1">
      <c r="A431" s="7"/>
      <c r="B431" s="5"/>
      <c r="C431" s="6"/>
      <c r="D431" s="6"/>
      <c r="E431" s="6"/>
      <c r="F431" s="6"/>
      <c r="G431" s="6"/>
      <c r="H431" s="6"/>
      <c r="I431" s="6"/>
      <c r="J431" s="11"/>
      <c r="K431" s="591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 ht="11.25" customHeight="1">
      <c r="A432" s="7"/>
      <c r="B432" s="5"/>
      <c r="C432" s="6"/>
      <c r="D432" s="6"/>
      <c r="E432" s="6"/>
      <c r="F432" s="6"/>
      <c r="G432" s="6"/>
      <c r="H432" s="6"/>
      <c r="I432" s="6"/>
      <c r="J432" s="11"/>
      <c r="K432" s="591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 ht="11.25" customHeight="1">
      <c r="A433" s="7"/>
      <c r="B433" s="5"/>
      <c r="C433" s="6"/>
      <c r="D433" s="6"/>
      <c r="E433" s="6"/>
      <c r="F433" s="6"/>
      <c r="G433" s="6"/>
      <c r="H433" s="6"/>
      <c r="I433" s="6"/>
      <c r="J433" s="11"/>
      <c r="K433" s="591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 ht="11.25" customHeight="1">
      <c r="A434" s="7"/>
      <c r="B434" s="5"/>
      <c r="C434" s="6"/>
      <c r="D434" s="6"/>
      <c r="E434" s="6"/>
      <c r="F434" s="6"/>
      <c r="G434" s="6"/>
      <c r="H434" s="6"/>
      <c r="I434" s="6"/>
      <c r="J434" s="11"/>
      <c r="K434" s="591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 ht="11.25" customHeight="1">
      <c r="A435" s="7"/>
      <c r="B435" s="5"/>
      <c r="C435" s="6"/>
      <c r="D435" s="6"/>
      <c r="E435" s="6"/>
      <c r="F435" s="6"/>
      <c r="G435" s="6"/>
      <c r="H435" s="6"/>
      <c r="I435" s="6"/>
      <c r="J435" s="11"/>
      <c r="K435" s="591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 ht="11.25" customHeight="1">
      <c r="A436" s="7"/>
      <c r="B436" s="5"/>
      <c r="C436" s="6"/>
      <c r="D436" s="6"/>
      <c r="E436" s="6"/>
      <c r="F436" s="6"/>
      <c r="G436" s="6"/>
      <c r="H436" s="6"/>
      <c r="I436" s="6"/>
      <c r="J436" s="11"/>
      <c r="K436" s="591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 ht="11.25" customHeight="1">
      <c r="A437" s="7"/>
      <c r="B437" s="5"/>
      <c r="C437" s="6"/>
      <c r="D437" s="6"/>
      <c r="E437" s="6"/>
      <c r="F437" s="6"/>
      <c r="G437" s="6"/>
      <c r="H437" s="6"/>
      <c r="I437" s="6"/>
      <c r="J437" s="11"/>
      <c r="K437" s="591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 ht="11.25" customHeight="1">
      <c r="A438" s="7"/>
      <c r="B438" s="5"/>
      <c r="C438" s="6"/>
      <c r="D438" s="6"/>
      <c r="E438" s="6"/>
      <c r="F438" s="6"/>
      <c r="G438" s="6"/>
      <c r="H438" s="6"/>
      <c r="I438" s="6"/>
      <c r="J438" s="11"/>
      <c r="K438" s="591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 ht="11.25" customHeight="1">
      <c r="A439" s="7"/>
      <c r="B439" s="5"/>
      <c r="C439" s="6"/>
      <c r="D439" s="6"/>
      <c r="E439" s="6"/>
      <c r="F439" s="6"/>
      <c r="G439" s="6"/>
      <c r="H439" s="6"/>
      <c r="I439" s="6"/>
      <c r="J439" s="11"/>
      <c r="K439" s="591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 ht="11.25" customHeight="1">
      <c r="A440" s="7"/>
      <c r="B440" s="5"/>
      <c r="C440" s="6"/>
      <c r="D440" s="6"/>
      <c r="E440" s="6"/>
      <c r="F440" s="6"/>
      <c r="G440" s="6"/>
      <c r="H440" s="6"/>
      <c r="I440" s="6"/>
      <c r="J440" s="11"/>
      <c r="K440" s="591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 ht="11.25" customHeight="1">
      <c r="A441" s="7"/>
      <c r="B441" s="5"/>
      <c r="C441" s="6"/>
      <c r="D441" s="6"/>
      <c r="E441" s="6"/>
      <c r="F441" s="6"/>
      <c r="G441" s="6"/>
      <c r="H441" s="6"/>
      <c r="I441" s="6"/>
      <c r="J441" s="11"/>
      <c r="K441" s="591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 ht="11.25" customHeight="1">
      <c r="A442" s="7"/>
      <c r="B442" s="5"/>
      <c r="C442" s="6"/>
      <c r="D442" s="6"/>
      <c r="E442" s="6"/>
      <c r="F442" s="6"/>
      <c r="G442" s="6"/>
      <c r="H442" s="6"/>
      <c r="I442" s="6"/>
      <c r="J442" s="11"/>
      <c r="K442" s="591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 ht="11.25" customHeight="1">
      <c r="A443" s="7"/>
      <c r="B443" s="5"/>
      <c r="C443" s="6"/>
      <c r="D443" s="6"/>
      <c r="E443" s="6"/>
      <c r="F443" s="6"/>
      <c r="G443" s="6"/>
      <c r="H443" s="6"/>
      <c r="I443" s="6"/>
      <c r="J443" s="11"/>
      <c r="K443" s="591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 ht="11.25" customHeight="1">
      <c r="A444" s="7"/>
      <c r="B444" s="5"/>
      <c r="C444" s="6"/>
      <c r="D444" s="6"/>
      <c r="E444" s="6"/>
      <c r="F444" s="6"/>
      <c r="G444" s="6"/>
      <c r="H444" s="6"/>
      <c r="I444" s="6"/>
      <c r="J444" s="11"/>
      <c r="K444" s="591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 ht="11.25" customHeight="1">
      <c r="A445" s="7"/>
      <c r="B445" s="5"/>
      <c r="C445" s="6"/>
      <c r="D445" s="6"/>
      <c r="E445" s="6"/>
      <c r="F445" s="6"/>
      <c r="G445" s="6"/>
      <c r="H445" s="6"/>
      <c r="I445" s="6"/>
      <c r="J445" s="11"/>
      <c r="K445" s="591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 ht="11.25" customHeight="1">
      <c r="A446" s="7"/>
      <c r="B446" s="5"/>
      <c r="C446" s="6"/>
      <c r="D446" s="6"/>
      <c r="E446" s="6"/>
      <c r="F446" s="6"/>
      <c r="G446" s="6"/>
      <c r="H446" s="6"/>
      <c r="I446" s="6"/>
      <c r="J446" s="11"/>
      <c r="K446" s="591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 ht="11.25" customHeight="1">
      <c r="A447" s="7"/>
      <c r="B447" s="5"/>
      <c r="C447" s="6"/>
      <c r="D447" s="6"/>
      <c r="E447" s="6"/>
      <c r="F447" s="6"/>
      <c r="G447" s="6"/>
      <c r="H447" s="6"/>
      <c r="I447" s="6"/>
      <c r="J447" s="11"/>
      <c r="K447" s="591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 ht="11.25" customHeight="1">
      <c r="A448" s="7"/>
      <c r="B448" s="5"/>
      <c r="C448" s="6"/>
      <c r="D448" s="6"/>
      <c r="E448" s="6"/>
      <c r="F448" s="6"/>
      <c r="G448" s="6"/>
      <c r="H448" s="6"/>
      <c r="I448" s="6"/>
      <c r="J448" s="11"/>
      <c r="K448" s="591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 ht="11.25" customHeight="1">
      <c r="A449" s="7"/>
      <c r="B449" s="5"/>
      <c r="C449" s="6"/>
      <c r="D449" s="6"/>
      <c r="E449" s="6"/>
      <c r="F449" s="6"/>
      <c r="G449" s="6"/>
      <c r="H449" s="6"/>
      <c r="I449" s="6"/>
      <c r="J449" s="11"/>
      <c r="K449" s="591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 ht="11.25" customHeight="1">
      <c r="A450" s="7"/>
      <c r="B450" s="5"/>
      <c r="C450" s="6"/>
      <c r="D450" s="6"/>
      <c r="E450" s="6"/>
      <c r="F450" s="6"/>
      <c r="G450" s="6"/>
      <c r="H450" s="6"/>
      <c r="I450" s="6"/>
      <c r="J450" s="11"/>
      <c r="K450" s="591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 ht="11.25" customHeight="1">
      <c r="A451" s="7"/>
      <c r="B451" s="5"/>
      <c r="C451" s="6"/>
      <c r="D451" s="6"/>
      <c r="E451" s="6"/>
      <c r="F451" s="6"/>
      <c r="G451" s="6"/>
      <c r="H451" s="6"/>
      <c r="I451" s="6"/>
      <c r="J451" s="11"/>
      <c r="K451" s="591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 ht="11.25" customHeight="1">
      <c r="A452" s="7"/>
      <c r="B452" s="5"/>
      <c r="C452" s="6"/>
      <c r="D452" s="6"/>
      <c r="E452" s="6"/>
      <c r="F452" s="6"/>
      <c r="G452" s="6"/>
      <c r="H452" s="6"/>
      <c r="I452" s="6"/>
      <c r="J452" s="11"/>
      <c r="K452" s="591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 ht="11.25" customHeight="1">
      <c r="A453" s="7"/>
      <c r="B453" s="5"/>
      <c r="C453" s="6"/>
      <c r="D453" s="6"/>
      <c r="E453" s="6"/>
      <c r="F453" s="6"/>
      <c r="G453" s="6"/>
      <c r="H453" s="6"/>
      <c r="I453" s="6"/>
      <c r="J453" s="11"/>
      <c r="K453" s="591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 ht="11.25" customHeight="1">
      <c r="A454" s="7"/>
      <c r="B454" s="5"/>
      <c r="C454" s="6"/>
      <c r="D454" s="6"/>
      <c r="E454" s="6"/>
      <c r="F454" s="6"/>
      <c r="G454" s="6"/>
      <c r="H454" s="6"/>
      <c r="I454" s="6"/>
      <c r="J454" s="11"/>
      <c r="K454" s="591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 ht="11.25" customHeight="1">
      <c r="A455" s="7"/>
      <c r="B455" s="5"/>
      <c r="C455" s="6"/>
      <c r="D455" s="6"/>
      <c r="E455" s="6"/>
      <c r="F455" s="6"/>
      <c r="G455" s="6"/>
      <c r="H455" s="6"/>
      <c r="I455" s="6"/>
      <c r="J455" s="11"/>
      <c r="K455" s="591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 ht="11.25" customHeight="1">
      <c r="A456" s="7"/>
      <c r="B456" s="5"/>
      <c r="C456" s="6"/>
      <c r="D456" s="6"/>
      <c r="E456" s="6"/>
      <c r="F456" s="6"/>
      <c r="G456" s="6"/>
      <c r="H456" s="6"/>
      <c r="I456" s="6"/>
      <c r="J456" s="11"/>
      <c r="K456" s="591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 ht="11.25" customHeight="1">
      <c r="A457" s="7"/>
      <c r="B457" s="5"/>
      <c r="C457" s="6"/>
      <c r="D457" s="6"/>
      <c r="E457" s="6"/>
      <c r="F457" s="6"/>
      <c r="G457" s="6"/>
      <c r="H457" s="6"/>
      <c r="I457" s="6"/>
      <c r="J457" s="11"/>
      <c r="K457" s="591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 ht="11.25" customHeight="1">
      <c r="A458" s="7"/>
      <c r="B458" s="5"/>
      <c r="C458" s="6"/>
      <c r="D458" s="6"/>
      <c r="E458" s="6"/>
      <c r="F458" s="6"/>
      <c r="G458" s="6"/>
      <c r="H458" s="6"/>
      <c r="I458" s="6"/>
      <c r="J458" s="11"/>
      <c r="K458" s="591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 ht="11.25" customHeight="1">
      <c r="A459" s="7"/>
      <c r="B459" s="5"/>
      <c r="C459" s="6"/>
      <c r="D459" s="6"/>
      <c r="E459" s="6"/>
      <c r="F459" s="6"/>
      <c r="G459" s="6"/>
      <c r="H459" s="6"/>
      <c r="I459" s="6"/>
      <c r="J459" s="11"/>
      <c r="K459" s="591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 ht="11.25" customHeight="1">
      <c r="A460" s="7"/>
      <c r="B460" s="5"/>
      <c r="C460" s="6"/>
      <c r="D460" s="6"/>
      <c r="E460" s="6"/>
      <c r="F460" s="6"/>
      <c r="G460" s="6"/>
      <c r="H460" s="6"/>
      <c r="I460" s="6"/>
      <c r="J460" s="11"/>
      <c r="K460" s="591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 ht="11.25" customHeight="1">
      <c r="A461" s="7"/>
      <c r="B461" s="5"/>
      <c r="C461" s="6"/>
      <c r="D461" s="6"/>
      <c r="E461" s="6"/>
      <c r="F461" s="6"/>
      <c r="G461" s="6"/>
      <c r="H461" s="6"/>
      <c r="I461" s="6"/>
      <c r="J461" s="11"/>
      <c r="K461" s="591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 ht="11.25" customHeight="1">
      <c r="A462" s="7"/>
      <c r="B462" s="5"/>
      <c r="C462" s="6"/>
      <c r="D462" s="6"/>
      <c r="E462" s="6"/>
      <c r="F462" s="6"/>
      <c r="G462" s="6"/>
      <c r="H462" s="6"/>
      <c r="I462" s="6"/>
      <c r="J462" s="11"/>
      <c r="K462" s="591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 ht="11.25" customHeight="1">
      <c r="A463" s="7"/>
      <c r="B463" s="5"/>
      <c r="C463" s="6"/>
      <c r="D463" s="6"/>
      <c r="E463" s="6"/>
      <c r="F463" s="6"/>
      <c r="G463" s="6"/>
      <c r="H463" s="6"/>
      <c r="I463" s="6"/>
      <c r="J463" s="11"/>
      <c r="K463" s="591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 ht="11.25" customHeight="1">
      <c r="A464" s="7"/>
      <c r="B464" s="5"/>
      <c r="C464" s="6"/>
      <c r="D464" s="6"/>
      <c r="E464" s="6"/>
      <c r="F464" s="6"/>
      <c r="G464" s="6"/>
      <c r="H464" s="6"/>
      <c r="I464" s="6"/>
      <c r="J464" s="11"/>
      <c r="K464" s="591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 ht="11.25" customHeight="1">
      <c r="A465" s="7"/>
      <c r="B465" s="5"/>
      <c r="C465" s="6"/>
      <c r="D465" s="6"/>
      <c r="E465" s="6"/>
      <c r="F465" s="6"/>
      <c r="G465" s="6"/>
      <c r="H465" s="6"/>
      <c r="I465" s="6"/>
      <c r="J465" s="11"/>
      <c r="K465" s="591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 ht="11.25" customHeight="1">
      <c r="A466" s="7"/>
      <c r="B466" s="5"/>
      <c r="C466" s="6"/>
      <c r="D466" s="6"/>
      <c r="E466" s="6"/>
      <c r="F466" s="6"/>
      <c r="G466" s="6"/>
      <c r="H466" s="6"/>
      <c r="I466" s="6"/>
      <c r="J466" s="11"/>
      <c r="K466" s="591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 ht="11.25" customHeight="1">
      <c r="A467" s="7"/>
      <c r="B467" s="5"/>
      <c r="C467" s="6"/>
      <c r="D467" s="6"/>
      <c r="E467" s="6"/>
      <c r="F467" s="6"/>
      <c r="G467" s="6"/>
      <c r="H467" s="6"/>
      <c r="I467" s="6"/>
      <c r="J467" s="11"/>
      <c r="K467" s="591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 ht="11.25" customHeight="1">
      <c r="A468" s="7"/>
      <c r="B468" s="5"/>
      <c r="C468" s="6"/>
      <c r="D468" s="6"/>
      <c r="E468" s="6"/>
      <c r="F468" s="6"/>
      <c r="G468" s="6"/>
      <c r="H468" s="6"/>
      <c r="I468" s="6"/>
      <c r="J468" s="11"/>
      <c r="K468" s="591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 ht="11.25" customHeight="1">
      <c r="A469" s="7"/>
      <c r="B469" s="5"/>
      <c r="C469" s="6"/>
      <c r="D469" s="6"/>
      <c r="E469" s="6"/>
      <c r="F469" s="6"/>
      <c r="G469" s="6"/>
      <c r="H469" s="6"/>
      <c r="I469" s="6"/>
      <c r="J469" s="11"/>
      <c r="K469" s="591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 ht="11.25" customHeight="1">
      <c r="A470" s="7"/>
      <c r="B470" s="5"/>
      <c r="C470" s="6"/>
      <c r="D470" s="6"/>
      <c r="E470" s="6"/>
      <c r="F470" s="6"/>
      <c r="G470" s="6"/>
      <c r="H470" s="6"/>
      <c r="I470" s="6"/>
      <c r="J470" s="11"/>
      <c r="K470" s="591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 ht="11.25" customHeight="1">
      <c r="A471" s="7"/>
      <c r="B471" s="5"/>
      <c r="C471" s="6"/>
      <c r="D471" s="6"/>
      <c r="E471" s="6"/>
      <c r="F471" s="6"/>
      <c r="G471" s="6"/>
      <c r="H471" s="6"/>
      <c r="I471" s="6"/>
      <c r="J471" s="11"/>
      <c r="K471" s="591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 ht="11.25" customHeight="1">
      <c r="A472" s="7"/>
      <c r="B472" s="5"/>
      <c r="C472" s="6"/>
      <c r="D472" s="6"/>
      <c r="E472" s="6"/>
      <c r="F472" s="6"/>
      <c r="G472" s="6"/>
      <c r="H472" s="6"/>
      <c r="I472" s="6"/>
      <c r="J472" s="11"/>
      <c r="K472" s="591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 ht="11.25" customHeight="1">
      <c r="A473" s="7"/>
      <c r="B473" s="5"/>
      <c r="C473" s="6"/>
      <c r="D473" s="6"/>
      <c r="E473" s="6"/>
      <c r="F473" s="6"/>
      <c r="G473" s="6"/>
      <c r="H473" s="6"/>
      <c r="I473" s="6"/>
      <c r="J473" s="11"/>
      <c r="K473" s="591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 ht="11.25" customHeight="1">
      <c r="A474" s="7"/>
      <c r="B474" s="5"/>
      <c r="C474" s="6"/>
      <c r="D474" s="6"/>
      <c r="E474" s="6"/>
      <c r="F474" s="6"/>
      <c r="G474" s="6"/>
      <c r="H474" s="6"/>
      <c r="I474" s="6"/>
      <c r="J474" s="11"/>
      <c r="K474" s="591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 ht="11.25" customHeight="1">
      <c r="A475" s="7"/>
      <c r="B475" s="5"/>
      <c r="C475" s="6"/>
      <c r="D475" s="6"/>
      <c r="E475" s="6"/>
      <c r="F475" s="6"/>
      <c r="G475" s="6"/>
      <c r="H475" s="6"/>
      <c r="I475" s="6"/>
      <c r="J475" s="11"/>
      <c r="K475" s="591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 ht="11.25" customHeight="1">
      <c r="A476" s="7"/>
      <c r="B476" s="5"/>
      <c r="C476" s="6"/>
      <c r="D476" s="6"/>
      <c r="E476" s="6"/>
      <c r="F476" s="6"/>
      <c r="G476" s="6"/>
      <c r="H476" s="6"/>
      <c r="I476" s="6"/>
      <c r="J476" s="11"/>
      <c r="K476" s="591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 ht="11.25" customHeight="1">
      <c r="A477" s="7"/>
      <c r="B477" s="5"/>
      <c r="C477" s="6"/>
      <c r="D477" s="6"/>
      <c r="E477" s="6"/>
      <c r="F477" s="6"/>
      <c r="G477" s="6"/>
      <c r="H477" s="6"/>
      <c r="I477" s="6"/>
      <c r="J477" s="11"/>
      <c r="K477" s="591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 ht="11.25" customHeight="1">
      <c r="A478" s="7"/>
      <c r="B478" s="5"/>
      <c r="C478" s="6"/>
      <c r="D478" s="6"/>
      <c r="E478" s="6"/>
      <c r="F478" s="6"/>
      <c r="G478" s="6"/>
      <c r="H478" s="6"/>
      <c r="I478" s="6"/>
      <c r="J478" s="11"/>
      <c r="K478" s="591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 ht="11.25" customHeight="1">
      <c r="A479" s="7"/>
      <c r="B479" s="5"/>
      <c r="C479" s="6"/>
      <c r="D479" s="6"/>
      <c r="E479" s="6"/>
      <c r="F479" s="6"/>
      <c r="G479" s="6"/>
      <c r="H479" s="6"/>
      <c r="I479" s="6"/>
      <c r="J479" s="11"/>
      <c r="K479" s="591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 ht="11.25" customHeight="1">
      <c r="A480" s="7"/>
      <c r="B480" s="5"/>
      <c r="C480" s="6"/>
      <c r="D480" s="6"/>
      <c r="E480" s="6"/>
      <c r="F480" s="6"/>
      <c r="G480" s="6"/>
      <c r="H480" s="6"/>
      <c r="I480" s="6"/>
      <c r="J480" s="11"/>
      <c r="K480" s="591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 ht="11.25" customHeight="1">
      <c r="A481" s="7"/>
      <c r="B481" s="5"/>
      <c r="C481" s="6"/>
      <c r="D481" s="6"/>
      <c r="E481" s="6"/>
      <c r="F481" s="6"/>
      <c r="G481" s="6"/>
      <c r="H481" s="6"/>
      <c r="I481" s="6"/>
      <c r="J481" s="11"/>
      <c r="K481" s="591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 ht="11.25" customHeight="1">
      <c r="A482" s="7"/>
      <c r="B482" s="5"/>
      <c r="C482" s="6"/>
      <c r="D482" s="6"/>
      <c r="E482" s="6"/>
      <c r="F482" s="6"/>
      <c r="G482" s="6"/>
      <c r="H482" s="6"/>
      <c r="I482" s="6"/>
      <c r="J482" s="11"/>
      <c r="K482" s="591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 ht="11.25" customHeight="1">
      <c r="A483" s="7"/>
      <c r="B483" s="5"/>
      <c r="C483" s="6"/>
      <c r="D483" s="6"/>
      <c r="E483" s="6"/>
      <c r="F483" s="6"/>
      <c r="G483" s="6"/>
      <c r="H483" s="6"/>
      <c r="I483" s="6"/>
      <c r="J483" s="11"/>
      <c r="K483" s="591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 ht="11.25" customHeight="1">
      <c r="A484" s="7"/>
      <c r="B484" s="5"/>
      <c r="C484" s="6"/>
      <c r="D484" s="6"/>
      <c r="E484" s="6"/>
      <c r="F484" s="6"/>
      <c r="G484" s="6"/>
      <c r="H484" s="6"/>
      <c r="I484" s="6"/>
      <c r="J484" s="11"/>
      <c r="K484" s="591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 ht="11.25" customHeight="1">
      <c r="A485" s="7"/>
      <c r="B485" s="5"/>
      <c r="C485" s="6"/>
      <c r="D485" s="6"/>
      <c r="E485" s="6"/>
      <c r="F485" s="6"/>
      <c r="G485" s="6"/>
      <c r="H485" s="6"/>
      <c r="I485" s="6"/>
      <c r="J485" s="11"/>
      <c r="K485" s="591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 ht="11.25" customHeight="1">
      <c r="A486" s="7"/>
      <c r="B486" s="5"/>
      <c r="C486" s="6"/>
      <c r="D486" s="6"/>
      <c r="E486" s="6"/>
      <c r="F486" s="6"/>
      <c r="G486" s="6"/>
      <c r="H486" s="6"/>
      <c r="I486" s="6"/>
      <c r="J486" s="11"/>
      <c r="K486" s="591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 ht="11.25" customHeight="1">
      <c r="A487" s="7"/>
      <c r="B487" s="5"/>
      <c r="C487" s="6"/>
      <c r="D487" s="6"/>
      <c r="E487" s="6"/>
      <c r="F487" s="6"/>
      <c r="G487" s="6"/>
      <c r="H487" s="6"/>
      <c r="I487" s="6"/>
      <c r="J487" s="11"/>
      <c r="K487" s="591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 ht="11.25" customHeight="1">
      <c r="A488" s="7"/>
      <c r="B488" s="5"/>
      <c r="C488" s="6"/>
      <c r="D488" s="6"/>
      <c r="E488" s="6"/>
      <c r="F488" s="6"/>
      <c r="G488" s="6"/>
      <c r="H488" s="6"/>
      <c r="I488" s="6"/>
      <c r="J488" s="11"/>
      <c r="K488" s="591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 ht="11.25" customHeight="1">
      <c r="A489" s="7"/>
      <c r="B489" s="5"/>
      <c r="C489" s="6"/>
      <c r="D489" s="6"/>
      <c r="E489" s="6"/>
      <c r="F489" s="6"/>
      <c r="G489" s="6"/>
      <c r="H489" s="6"/>
      <c r="I489" s="6"/>
      <c r="J489" s="11"/>
      <c r="K489" s="591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 ht="11.25" customHeight="1">
      <c r="A490" s="7"/>
      <c r="B490" s="5"/>
      <c r="C490" s="6"/>
      <c r="D490" s="6"/>
      <c r="E490" s="6"/>
      <c r="F490" s="6"/>
      <c r="G490" s="6"/>
      <c r="H490" s="6"/>
      <c r="I490" s="6"/>
      <c r="J490" s="11"/>
      <c r="K490" s="591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 ht="11.25" customHeight="1">
      <c r="A491" s="7"/>
      <c r="B491" s="5"/>
      <c r="C491" s="6"/>
      <c r="D491" s="6"/>
      <c r="E491" s="6"/>
      <c r="F491" s="6"/>
      <c r="G491" s="6"/>
      <c r="H491" s="6"/>
      <c r="I491" s="6"/>
      <c r="J491" s="11"/>
      <c r="K491" s="591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 ht="11.25" customHeight="1">
      <c r="A492" s="7"/>
      <c r="B492" s="5"/>
      <c r="C492" s="6"/>
      <c r="D492" s="6"/>
      <c r="E492" s="6"/>
      <c r="F492" s="6"/>
      <c r="G492" s="6"/>
      <c r="H492" s="6"/>
      <c r="I492" s="6"/>
      <c r="J492" s="11"/>
      <c r="K492" s="591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 ht="11.25" customHeight="1">
      <c r="A493" s="7"/>
      <c r="B493" s="5"/>
      <c r="C493" s="6"/>
      <c r="D493" s="6"/>
      <c r="E493" s="6"/>
      <c r="F493" s="6"/>
      <c r="G493" s="6"/>
      <c r="H493" s="6"/>
      <c r="I493" s="6"/>
      <c r="J493" s="11"/>
      <c r="K493" s="591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 ht="11.25" customHeight="1">
      <c r="A494" s="7"/>
      <c r="B494" s="5"/>
      <c r="C494" s="6"/>
      <c r="D494" s="6"/>
      <c r="E494" s="6"/>
      <c r="F494" s="6"/>
      <c r="G494" s="6"/>
      <c r="H494" s="6"/>
      <c r="I494" s="6"/>
      <c r="J494" s="11"/>
      <c r="K494" s="591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 ht="11.25" customHeight="1">
      <c r="A495" s="7"/>
      <c r="B495" s="5"/>
      <c r="C495" s="6"/>
      <c r="D495" s="6"/>
      <c r="E495" s="6"/>
      <c r="F495" s="6"/>
      <c r="G495" s="6"/>
      <c r="H495" s="6"/>
      <c r="I495" s="6"/>
      <c r="J495" s="11"/>
      <c r="K495" s="591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 ht="11.25" customHeight="1">
      <c r="A496" s="7"/>
      <c r="B496" s="5"/>
      <c r="C496" s="6"/>
      <c r="D496" s="6"/>
      <c r="E496" s="6"/>
      <c r="F496" s="6"/>
      <c r="G496" s="6"/>
      <c r="H496" s="6"/>
      <c r="I496" s="6"/>
      <c r="J496" s="11"/>
      <c r="K496" s="591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 ht="11.25" customHeight="1">
      <c r="A497" s="7"/>
      <c r="B497" s="5"/>
      <c r="C497" s="6"/>
      <c r="D497" s="6"/>
      <c r="E497" s="6"/>
      <c r="F497" s="6"/>
      <c r="G497" s="6"/>
      <c r="H497" s="6"/>
      <c r="I497" s="6"/>
      <c r="J497" s="11"/>
      <c r="K497" s="591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 ht="11.25" customHeight="1">
      <c r="A498" s="7"/>
      <c r="B498" s="5"/>
      <c r="C498" s="6"/>
      <c r="D498" s="6"/>
      <c r="E498" s="6"/>
      <c r="F498" s="6"/>
      <c r="G498" s="6"/>
      <c r="H498" s="6"/>
      <c r="I498" s="6"/>
      <c r="J498" s="11"/>
      <c r="K498" s="591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 ht="11.25" customHeight="1">
      <c r="A499" s="7"/>
      <c r="B499" s="5"/>
      <c r="C499" s="6"/>
      <c r="D499" s="6"/>
      <c r="E499" s="6"/>
      <c r="F499" s="6"/>
      <c r="G499" s="6"/>
      <c r="H499" s="6"/>
      <c r="I499" s="6"/>
      <c r="J499" s="11"/>
      <c r="K499" s="591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 ht="11.25" customHeight="1">
      <c r="A500" s="7"/>
      <c r="B500" s="5"/>
      <c r="C500" s="6"/>
      <c r="D500" s="6"/>
      <c r="E500" s="6"/>
      <c r="F500" s="6"/>
      <c r="G500" s="6"/>
      <c r="H500" s="6"/>
      <c r="I500" s="6"/>
      <c r="J500" s="11"/>
      <c r="K500" s="591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 ht="11.25" customHeight="1">
      <c r="A501" s="7"/>
      <c r="B501" s="5"/>
      <c r="C501" s="6"/>
      <c r="D501" s="6"/>
      <c r="E501" s="6"/>
      <c r="F501" s="6"/>
      <c r="G501" s="6"/>
      <c r="H501" s="6"/>
      <c r="I501" s="6"/>
      <c r="J501" s="11"/>
      <c r="K501" s="591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 ht="11.25" customHeight="1">
      <c r="A502" s="7"/>
      <c r="B502" s="5"/>
      <c r="C502" s="6"/>
      <c r="D502" s="6"/>
      <c r="E502" s="6"/>
      <c r="F502" s="6"/>
      <c r="G502" s="6"/>
      <c r="H502" s="6"/>
      <c r="I502" s="6"/>
      <c r="J502" s="11"/>
      <c r="K502" s="591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 ht="11.25" customHeight="1">
      <c r="A503" s="7"/>
      <c r="B503" s="5"/>
      <c r="C503" s="6"/>
      <c r="D503" s="6"/>
      <c r="E503" s="6"/>
      <c r="F503" s="6"/>
      <c r="G503" s="6"/>
      <c r="H503" s="6"/>
      <c r="I503" s="6"/>
      <c r="J503" s="11"/>
      <c r="K503" s="591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 ht="11.25" customHeight="1">
      <c r="A504" s="7"/>
      <c r="B504" s="5"/>
      <c r="C504" s="6"/>
      <c r="D504" s="6"/>
      <c r="E504" s="6"/>
      <c r="F504" s="6"/>
      <c r="G504" s="6"/>
      <c r="H504" s="6"/>
      <c r="I504" s="6"/>
      <c r="J504" s="11"/>
      <c r="K504" s="591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 ht="11.25" customHeight="1">
      <c r="A505" s="7"/>
      <c r="B505" s="5"/>
      <c r="C505" s="6"/>
      <c r="D505" s="6"/>
      <c r="E505" s="6"/>
      <c r="F505" s="6"/>
      <c r="G505" s="6"/>
      <c r="H505" s="6"/>
      <c r="I505" s="6"/>
      <c r="J505" s="11"/>
      <c r="K505" s="591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 ht="11.25" customHeight="1">
      <c r="A506" s="7"/>
      <c r="B506" s="5"/>
      <c r="C506" s="6"/>
      <c r="D506" s="6"/>
      <c r="E506" s="6"/>
      <c r="F506" s="6"/>
      <c r="G506" s="6"/>
      <c r="H506" s="6"/>
      <c r="I506" s="6"/>
      <c r="J506" s="11"/>
      <c r="K506" s="591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 ht="11.25" customHeight="1">
      <c r="A507" s="7"/>
      <c r="B507" s="5"/>
      <c r="C507" s="6"/>
      <c r="D507" s="6"/>
      <c r="E507" s="6"/>
      <c r="F507" s="6"/>
      <c r="G507" s="6"/>
      <c r="H507" s="6"/>
      <c r="I507" s="6"/>
      <c r="J507" s="11"/>
      <c r="K507" s="591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 ht="11.25" customHeight="1">
      <c r="A508" s="7"/>
      <c r="B508" s="5"/>
      <c r="C508" s="6"/>
      <c r="D508" s="6"/>
      <c r="E508" s="6"/>
      <c r="F508" s="6"/>
      <c r="G508" s="6"/>
      <c r="H508" s="6"/>
      <c r="I508" s="6"/>
      <c r="J508" s="11"/>
      <c r="K508" s="591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 ht="11.25" customHeight="1">
      <c r="A509" s="7"/>
      <c r="B509" s="5"/>
      <c r="C509" s="6"/>
      <c r="D509" s="6"/>
      <c r="E509" s="6"/>
      <c r="F509" s="6"/>
      <c r="G509" s="6"/>
      <c r="H509" s="6"/>
      <c r="I509" s="6"/>
      <c r="J509" s="11"/>
      <c r="K509" s="591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 ht="11.25" customHeight="1">
      <c r="A510" s="7"/>
      <c r="B510" s="5"/>
      <c r="C510" s="6"/>
      <c r="D510" s="6"/>
      <c r="E510" s="6"/>
      <c r="F510" s="6"/>
      <c r="G510" s="6"/>
      <c r="H510" s="6"/>
      <c r="I510" s="6"/>
      <c r="J510" s="11"/>
      <c r="K510" s="591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 ht="11.25" customHeight="1">
      <c r="A511" s="7"/>
      <c r="B511" s="5"/>
      <c r="C511" s="6"/>
      <c r="D511" s="6"/>
      <c r="E511" s="6"/>
      <c r="F511" s="6"/>
      <c r="G511" s="6"/>
      <c r="H511" s="6"/>
      <c r="I511" s="6"/>
      <c r="J511" s="11"/>
      <c r="K511" s="591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 ht="11.25" customHeight="1">
      <c r="A512" s="7"/>
      <c r="B512" s="5"/>
      <c r="C512" s="6"/>
      <c r="D512" s="6"/>
      <c r="E512" s="6"/>
      <c r="F512" s="6"/>
      <c r="G512" s="6"/>
      <c r="H512" s="6"/>
      <c r="I512" s="6"/>
      <c r="J512" s="11"/>
      <c r="K512" s="591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 ht="11.25" customHeight="1">
      <c r="A513" s="7"/>
      <c r="B513" s="5"/>
      <c r="C513" s="6"/>
      <c r="D513" s="6"/>
      <c r="E513" s="6"/>
      <c r="F513" s="6"/>
      <c r="G513" s="6"/>
      <c r="H513" s="6"/>
      <c r="I513" s="6"/>
      <c r="J513" s="11"/>
      <c r="K513" s="591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 ht="11.25" customHeight="1">
      <c r="A514" s="7"/>
      <c r="B514" s="5"/>
      <c r="C514" s="6"/>
      <c r="D514" s="6"/>
      <c r="E514" s="6"/>
      <c r="F514" s="6"/>
      <c r="G514" s="6"/>
      <c r="H514" s="6"/>
      <c r="I514" s="6"/>
      <c r="J514" s="11"/>
      <c r="K514" s="591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 ht="11.25" customHeight="1">
      <c r="A515" s="7"/>
      <c r="B515" s="5"/>
      <c r="C515" s="6"/>
      <c r="D515" s="6"/>
      <c r="E515" s="6"/>
      <c r="F515" s="6"/>
      <c r="G515" s="6"/>
      <c r="H515" s="6"/>
      <c r="I515" s="6"/>
      <c r="J515" s="11"/>
      <c r="K515" s="591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 ht="11.25" customHeight="1">
      <c r="A516" s="7"/>
      <c r="B516" s="5"/>
      <c r="C516" s="6"/>
      <c r="D516" s="6"/>
      <c r="E516" s="6"/>
      <c r="F516" s="6"/>
      <c r="G516" s="6"/>
      <c r="H516" s="6"/>
      <c r="I516" s="6"/>
      <c r="J516" s="11"/>
      <c r="K516" s="591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 ht="11.25" customHeight="1">
      <c r="A517" s="7"/>
      <c r="B517" s="5"/>
      <c r="C517" s="6"/>
      <c r="D517" s="6"/>
      <c r="E517" s="6"/>
      <c r="F517" s="6"/>
      <c r="G517" s="6"/>
      <c r="H517" s="6"/>
      <c r="I517" s="6"/>
      <c r="J517" s="11"/>
      <c r="K517" s="591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 ht="11.25" customHeight="1">
      <c r="A518" s="7"/>
      <c r="B518" s="5"/>
      <c r="C518" s="6"/>
      <c r="D518" s="6"/>
      <c r="E518" s="6"/>
      <c r="F518" s="6"/>
      <c r="G518" s="6"/>
      <c r="H518" s="6"/>
      <c r="I518" s="6"/>
      <c r="J518" s="11"/>
      <c r="K518" s="591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 ht="11.25" customHeight="1">
      <c r="A519" s="7"/>
      <c r="B519" s="5"/>
      <c r="C519" s="6"/>
      <c r="D519" s="6"/>
      <c r="E519" s="6"/>
      <c r="F519" s="6"/>
      <c r="G519" s="6"/>
      <c r="H519" s="6"/>
      <c r="I519" s="6"/>
      <c r="J519" s="11"/>
      <c r="K519" s="591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 ht="11.25" customHeight="1">
      <c r="A520" s="7"/>
      <c r="B520" s="5"/>
      <c r="C520" s="6"/>
      <c r="D520" s="6"/>
      <c r="E520" s="6"/>
      <c r="F520" s="6"/>
      <c r="G520" s="6"/>
      <c r="H520" s="6"/>
      <c r="I520" s="6"/>
      <c r="J520" s="11"/>
      <c r="K520" s="591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 ht="11.25" customHeight="1">
      <c r="A521" s="7"/>
      <c r="B521" s="5"/>
      <c r="C521" s="6"/>
      <c r="D521" s="6"/>
      <c r="E521" s="6"/>
      <c r="F521" s="6"/>
      <c r="G521" s="6"/>
      <c r="H521" s="6"/>
      <c r="I521" s="6"/>
      <c r="J521" s="11"/>
      <c r="K521" s="591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 ht="11.25" customHeight="1">
      <c r="A522" s="7"/>
      <c r="B522" s="5"/>
      <c r="C522" s="6"/>
      <c r="D522" s="6"/>
      <c r="E522" s="6"/>
      <c r="F522" s="6"/>
      <c r="G522" s="6"/>
      <c r="H522" s="6"/>
      <c r="I522" s="6"/>
      <c r="J522" s="11"/>
      <c r="K522" s="591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 ht="11.25" customHeight="1">
      <c r="A523" s="7"/>
      <c r="B523" s="5"/>
      <c r="C523" s="6"/>
      <c r="D523" s="6"/>
      <c r="E523" s="6"/>
      <c r="F523" s="6"/>
      <c r="G523" s="6"/>
      <c r="H523" s="6"/>
      <c r="I523" s="6"/>
      <c r="J523" s="11"/>
      <c r="K523" s="591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 ht="11.25" customHeight="1">
      <c r="A524" s="7"/>
      <c r="B524" s="5"/>
      <c r="C524" s="6"/>
      <c r="D524" s="6"/>
      <c r="E524" s="6"/>
      <c r="F524" s="6"/>
      <c r="G524" s="6"/>
      <c r="H524" s="6"/>
      <c r="I524" s="6"/>
      <c r="J524" s="11"/>
      <c r="K524" s="591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 ht="11.25" customHeight="1">
      <c r="A525" s="7"/>
      <c r="B525" s="5"/>
      <c r="C525" s="6"/>
      <c r="D525" s="6"/>
      <c r="E525" s="6"/>
      <c r="F525" s="6"/>
      <c r="G525" s="6"/>
      <c r="H525" s="6"/>
      <c r="I525" s="6"/>
      <c r="J525" s="11"/>
      <c r="K525" s="591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 ht="11.25" customHeight="1">
      <c r="A526" s="7"/>
      <c r="B526" s="5"/>
      <c r="C526" s="6"/>
      <c r="D526" s="6"/>
      <c r="E526" s="6"/>
      <c r="F526" s="6"/>
      <c r="G526" s="6"/>
      <c r="H526" s="6"/>
      <c r="I526" s="6"/>
      <c r="J526" s="11"/>
      <c r="K526" s="591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 ht="11.25" customHeight="1">
      <c r="A527" s="7"/>
      <c r="B527" s="5"/>
      <c r="C527" s="6"/>
      <c r="D527" s="6"/>
      <c r="E527" s="6"/>
      <c r="F527" s="6"/>
      <c r="G527" s="6"/>
      <c r="H527" s="6"/>
      <c r="I527" s="6"/>
      <c r="J527" s="11"/>
      <c r="K527" s="591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 ht="11.25" customHeight="1">
      <c r="A528" s="7"/>
      <c r="B528" s="5"/>
      <c r="C528" s="6"/>
      <c r="D528" s="6"/>
      <c r="E528" s="6"/>
      <c r="F528" s="6"/>
      <c r="G528" s="6"/>
      <c r="H528" s="6"/>
      <c r="I528" s="6"/>
      <c r="J528" s="11"/>
      <c r="K528" s="591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 ht="11.25" customHeight="1">
      <c r="A529" s="7"/>
      <c r="B529" s="5"/>
      <c r="C529" s="6"/>
      <c r="D529" s="6"/>
      <c r="E529" s="6"/>
      <c r="F529" s="6"/>
      <c r="G529" s="6"/>
      <c r="H529" s="6"/>
      <c r="I529" s="6"/>
      <c r="J529" s="11"/>
      <c r="K529" s="591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 ht="11.25" customHeight="1">
      <c r="A530" s="7"/>
      <c r="B530" s="5"/>
      <c r="C530" s="6"/>
      <c r="D530" s="6"/>
      <c r="E530" s="6"/>
      <c r="F530" s="6"/>
      <c r="G530" s="6"/>
      <c r="H530" s="6"/>
      <c r="I530" s="6"/>
      <c r="J530" s="11"/>
      <c r="K530" s="591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 ht="11.25" customHeight="1">
      <c r="A531" s="7"/>
      <c r="B531" s="5"/>
      <c r="C531" s="6"/>
      <c r="D531" s="6"/>
      <c r="E531" s="6"/>
      <c r="F531" s="6"/>
      <c r="G531" s="6"/>
      <c r="H531" s="6"/>
      <c r="I531" s="6"/>
      <c r="J531" s="11"/>
      <c r="K531" s="591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 ht="11.25" customHeight="1">
      <c r="A532" s="7"/>
      <c r="B532" s="5"/>
      <c r="C532" s="6"/>
      <c r="D532" s="6"/>
      <c r="E532" s="6"/>
      <c r="F532" s="6"/>
      <c r="G532" s="6"/>
      <c r="H532" s="6"/>
      <c r="I532" s="6"/>
      <c r="J532" s="11"/>
      <c r="K532" s="591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 ht="11.25" customHeight="1">
      <c r="A533" s="7"/>
      <c r="B533" s="5"/>
      <c r="C533" s="6"/>
      <c r="D533" s="6"/>
      <c r="E533" s="6"/>
      <c r="F533" s="6"/>
      <c r="G533" s="6"/>
      <c r="H533" s="6"/>
      <c r="I533" s="6"/>
      <c r="J533" s="11"/>
      <c r="K533" s="591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 ht="11.25" customHeight="1">
      <c r="A534" s="7"/>
      <c r="B534" s="5"/>
      <c r="C534" s="6"/>
      <c r="D534" s="6"/>
      <c r="E534" s="6"/>
      <c r="F534" s="6"/>
      <c r="G534" s="6"/>
      <c r="H534" s="6"/>
      <c r="I534" s="6"/>
      <c r="J534" s="11"/>
      <c r="K534" s="591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 ht="11.25" customHeight="1">
      <c r="A535" s="7"/>
      <c r="B535" s="5"/>
      <c r="C535" s="6"/>
      <c r="D535" s="6"/>
      <c r="E535" s="6"/>
      <c r="F535" s="6"/>
      <c r="G535" s="6"/>
      <c r="H535" s="6"/>
      <c r="I535" s="6"/>
      <c r="J535" s="11"/>
      <c r="K535" s="591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 ht="11.25" customHeight="1">
      <c r="A536" s="7"/>
      <c r="B536" s="5"/>
      <c r="C536" s="6"/>
      <c r="D536" s="6"/>
      <c r="E536" s="6"/>
      <c r="F536" s="6"/>
      <c r="G536" s="6"/>
      <c r="H536" s="6"/>
      <c r="I536" s="6"/>
      <c r="J536" s="11"/>
      <c r="K536" s="591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 ht="11.25" customHeight="1">
      <c r="A537" s="7"/>
      <c r="B537" s="5"/>
      <c r="C537" s="6"/>
      <c r="D537" s="6"/>
      <c r="E537" s="6"/>
      <c r="F537" s="6"/>
      <c r="G537" s="6"/>
      <c r="H537" s="6"/>
      <c r="I537" s="6"/>
      <c r="J537" s="11"/>
      <c r="K537" s="591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 ht="11.25" customHeight="1">
      <c r="A538" s="7"/>
      <c r="B538" s="5"/>
      <c r="C538" s="6"/>
      <c r="D538" s="6"/>
      <c r="E538" s="6"/>
      <c r="F538" s="6"/>
      <c r="G538" s="6"/>
      <c r="H538" s="6"/>
      <c r="I538" s="6"/>
      <c r="J538" s="11"/>
      <c r="K538" s="591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 ht="11.25" customHeight="1">
      <c r="A539" s="7"/>
      <c r="B539" s="5"/>
      <c r="C539" s="6"/>
      <c r="D539" s="6"/>
      <c r="E539" s="6"/>
      <c r="F539" s="6"/>
      <c r="G539" s="6"/>
      <c r="H539" s="6"/>
      <c r="I539" s="6"/>
      <c r="J539" s="11"/>
      <c r="K539" s="591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 ht="11.25" customHeight="1">
      <c r="A540" s="7"/>
      <c r="B540" s="5"/>
      <c r="C540" s="6"/>
      <c r="D540" s="6"/>
      <c r="E540" s="6"/>
      <c r="F540" s="6"/>
      <c r="G540" s="6"/>
      <c r="H540" s="6"/>
      <c r="I540" s="6"/>
      <c r="J540" s="11"/>
      <c r="K540" s="591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 ht="11.25" customHeight="1">
      <c r="A541" s="7"/>
      <c r="B541" s="5"/>
      <c r="C541" s="6"/>
      <c r="D541" s="6"/>
      <c r="E541" s="6"/>
      <c r="F541" s="6"/>
      <c r="G541" s="6"/>
      <c r="H541" s="6"/>
      <c r="I541" s="6"/>
      <c r="J541" s="11"/>
      <c r="K541" s="591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 ht="11.25" customHeight="1">
      <c r="A542" s="7"/>
      <c r="B542" s="5"/>
      <c r="C542" s="6"/>
      <c r="D542" s="6"/>
      <c r="E542" s="6"/>
      <c r="F542" s="6"/>
      <c r="G542" s="6"/>
      <c r="H542" s="6"/>
      <c r="I542" s="6"/>
      <c r="J542" s="11"/>
      <c r="K542" s="591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 ht="11.25" customHeight="1">
      <c r="A543" s="7"/>
      <c r="B543" s="5"/>
      <c r="C543" s="6"/>
      <c r="D543" s="6"/>
      <c r="E543" s="6"/>
      <c r="F543" s="6"/>
      <c r="G543" s="6"/>
      <c r="H543" s="6"/>
      <c r="I543" s="6"/>
      <c r="J543" s="11"/>
      <c r="K543" s="591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 ht="11.25" customHeight="1">
      <c r="A544" s="7"/>
      <c r="B544" s="5"/>
      <c r="C544" s="6"/>
      <c r="D544" s="6"/>
      <c r="E544" s="6"/>
      <c r="F544" s="6"/>
      <c r="G544" s="6"/>
      <c r="H544" s="6"/>
      <c r="I544" s="6"/>
      <c r="J544" s="11"/>
      <c r="K544" s="591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 ht="11.25" customHeight="1">
      <c r="A545" s="7"/>
      <c r="B545" s="5"/>
      <c r="C545" s="6"/>
      <c r="D545" s="6"/>
      <c r="E545" s="6"/>
      <c r="F545" s="6"/>
      <c r="G545" s="6"/>
      <c r="H545" s="6"/>
      <c r="I545" s="6"/>
      <c r="J545" s="11"/>
      <c r="K545" s="591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 ht="11.25" customHeight="1">
      <c r="A546" s="7"/>
      <c r="B546" s="5"/>
      <c r="C546" s="6"/>
      <c r="D546" s="6"/>
      <c r="E546" s="6"/>
      <c r="F546" s="6"/>
      <c r="G546" s="6"/>
      <c r="H546" s="6"/>
      <c r="I546" s="6"/>
      <c r="J546" s="11"/>
      <c r="K546" s="591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 ht="11.25" customHeight="1">
      <c r="A547" s="7"/>
      <c r="B547" s="5"/>
      <c r="C547" s="6"/>
      <c r="D547" s="6"/>
      <c r="E547" s="6"/>
      <c r="F547" s="6"/>
      <c r="G547" s="6"/>
      <c r="H547" s="6"/>
      <c r="I547" s="6"/>
      <c r="J547" s="11"/>
      <c r="K547" s="591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 ht="11.25" customHeight="1">
      <c r="A548" s="7"/>
      <c r="B548" s="5"/>
      <c r="C548" s="6"/>
      <c r="D548" s="6"/>
      <c r="E548" s="6"/>
      <c r="F548" s="6"/>
      <c r="G548" s="6"/>
      <c r="H548" s="6"/>
      <c r="I548" s="6"/>
      <c r="J548" s="11"/>
      <c r="K548" s="591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 ht="11.25" customHeight="1">
      <c r="A549" s="7"/>
      <c r="B549" s="5"/>
      <c r="C549" s="6"/>
      <c r="D549" s="6"/>
      <c r="E549" s="6"/>
      <c r="F549" s="6"/>
      <c r="G549" s="6"/>
      <c r="H549" s="6"/>
      <c r="I549" s="6"/>
      <c r="J549" s="11"/>
      <c r="K549" s="591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 ht="11.25" customHeight="1">
      <c r="A550" s="7"/>
      <c r="B550" s="5"/>
      <c r="C550" s="6"/>
      <c r="D550" s="6"/>
      <c r="E550" s="6"/>
      <c r="F550" s="6"/>
      <c r="G550" s="6"/>
      <c r="H550" s="6"/>
      <c r="I550" s="6"/>
      <c r="J550" s="11"/>
      <c r="K550" s="591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 ht="11.25" customHeight="1">
      <c r="A551" s="7"/>
      <c r="B551" s="5"/>
      <c r="C551" s="6"/>
      <c r="D551" s="6"/>
      <c r="E551" s="6"/>
      <c r="F551" s="6"/>
      <c r="G551" s="6"/>
      <c r="H551" s="6"/>
      <c r="I551" s="6"/>
      <c r="J551" s="11"/>
      <c r="K551" s="591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 ht="11.25" customHeight="1">
      <c r="A552" s="7"/>
      <c r="B552" s="5"/>
      <c r="C552" s="6"/>
      <c r="D552" s="6"/>
      <c r="E552" s="6"/>
      <c r="F552" s="6"/>
      <c r="G552" s="6"/>
      <c r="H552" s="6"/>
      <c r="I552" s="6"/>
      <c r="J552" s="11"/>
      <c r="K552" s="591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 ht="11.25" customHeight="1">
      <c r="A553" s="7"/>
      <c r="B553" s="5"/>
      <c r="C553" s="6"/>
      <c r="D553" s="6"/>
      <c r="E553" s="6"/>
      <c r="F553" s="6"/>
      <c r="G553" s="6"/>
      <c r="H553" s="6"/>
      <c r="I553" s="6"/>
      <c r="J553" s="11"/>
      <c r="K553" s="591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 ht="11.25" customHeight="1">
      <c r="A554" s="7"/>
      <c r="B554" s="5"/>
      <c r="C554" s="6"/>
      <c r="D554" s="6"/>
      <c r="E554" s="6"/>
      <c r="F554" s="6"/>
      <c r="G554" s="6"/>
      <c r="H554" s="6"/>
      <c r="I554" s="6"/>
      <c r="J554" s="11"/>
      <c r="K554" s="591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 ht="11.25" customHeight="1">
      <c r="A555" s="7"/>
      <c r="B555" s="5"/>
      <c r="C555" s="6"/>
      <c r="D555" s="6"/>
      <c r="E555" s="6"/>
      <c r="F555" s="6"/>
      <c r="G555" s="6"/>
      <c r="H555" s="6"/>
      <c r="I555" s="6"/>
      <c r="J555" s="11"/>
      <c r="K555" s="591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 ht="11.25" customHeight="1">
      <c r="A556" s="7"/>
      <c r="B556" s="5"/>
      <c r="C556" s="6"/>
      <c r="D556" s="6"/>
      <c r="E556" s="6"/>
      <c r="F556" s="6"/>
      <c r="G556" s="6"/>
      <c r="H556" s="6"/>
      <c r="I556" s="6"/>
      <c r="J556" s="11"/>
      <c r="K556" s="591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 ht="11.25" customHeight="1">
      <c r="A557" s="7"/>
      <c r="B557" s="5"/>
      <c r="C557" s="6"/>
      <c r="D557" s="6"/>
      <c r="E557" s="6"/>
      <c r="F557" s="6"/>
      <c r="G557" s="6"/>
      <c r="H557" s="6"/>
      <c r="I557" s="6"/>
      <c r="J557" s="11"/>
      <c r="K557" s="591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 ht="11.25" customHeight="1">
      <c r="A558" s="7"/>
      <c r="B558" s="5"/>
      <c r="C558" s="6"/>
      <c r="D558" s="6"/>
      <c r="E558" s="6"/>
      <c r="F558" s="6"/>
      <c r="G558" s="6"/>
      <c r="H558" s="6"/>
      <c r="I558" s="6"/>
      <c r="J558" s="11"/>
      <c r="K558" s="591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 ht="11.25" customHeight="1">
      <c r="A559" s="7"/>
      <c r="B559" s="5"/>
      <c r="C559" s="6"/>
      <c r="D559" s="6"/>
      <c r="E559" s="6"/>
      <c r="F559" s="6"/>
      <c r="G559" s="6"/>
      <c r="H559" s="6"/>
      <c r="I559" s="6"/>
      <c r="J559" s="11"/>
      <c r="K559" s="591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 ht="11.25" customHeight="1">
      <c r="A560" s="7"/>
      <c r="B560" s="5"/>
      <c r="C560" s="6"/>
      <c r="D560" s="6"/>
      <c r="E560" s="6"/>
      <c r="F560" s="6"/>
      <c r="G560" s="6"/>
      <c r="H560" s="6"/>
      <c r="I560" s="6"/>
      <c r="J560" s="11"/>
      <c r="K560" s="591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 ht="11.25" customHeight="1">
      <c r="A561" s="7"/>
      <c r="B561" s="5"/>
      <c r="C561" s="6"/>
      <c r="D561" s="6"/>
      <c r="E561" s="6"/>
      <c r="F561" s="6"/>
      <c r="G561" s="6"/>
      <c r="H561" s="6"/>
      <c r="I561" s="6"/>
      <c r="J561" s="11"/>
      <c r="K561" s="591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 ht="11.25" customHeight="1">
      <c r="A562" s="7"/>
      <c r="B562" s="5"/>
      <c r="C562" s="6"/>
      <c r="D562" s="6"/>
      <c r="E562" s="6"/>
      <c r="F562" s="6"/>
      <c r="G562" s="6"/>
      <c r="H562" s="6"/>
      <c r="I562" s="6"/>
      <c r="J562" s="11"/>
      <c r="K562" s="591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 ht="11.25" customHeight="1">
      <c r="A563" s="7"/>
      <c r="B563" s="5"/>
      <c r="C563" s="6"/>
      <c r="D563" s="6"/>
      <c r="E563" s="6"/>
      <c r="F563" s="6"/>
      <c r="G563" s="6"/>
      <c r="H563" s="6"/>
      <c r="I563" s="6"/>
      <c r="J563" s="11"/>
      <c r="K563" s="591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 ht="11.25" customHeight="1">
      <c r="A564" s="7"/>
      <c r="B564" s="5"/>
      <c r="C564" s="6"/>
      <c r="D564" s="6"/>
      <c r="E564" s="6"/>
      <c r="F564" s="6"/>
      <c r="G564" s="6"/>
      <c r="H564" s="6"/>
      <c r="I564" s="6"/>
      <c r="J564" s="11"/>
      <c r="K564" s="591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 ht="11.25" customHeight="1">
      <c r="A565" s="7"/>
      <c r="B565" s="5"/>
      <c r="C565" s="6"/>
      <c r="D565" s="6"/>
      <c r="E565" s="6"/>
      <c r="F565" s="6"/>
      <c r="G565" s="6"/>
      <c r="H565" s="6"/>
      <c r="I565" s="6"/>
      <c r="J565" s="11"/>
      <c r="K565" s="591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 ht="11.25" customHeight="1">
      <c r="A566" s="7"/>
      <c r="B566" s="5"/>
      <c r="C566" s="6"/>
      <c r="D566" s="6"/>
      <c r="E566" s="6"/>
      <c r="F566" s="6"/>
      <c r="G566" s="6"/>
      <c r="H566" s="6"/>
      <c r="I566" s="6"/>
      <c r="J566" s="11"/>
      <c r="K566" s="591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 ht="11.25" customHeight="1">
      <c r="A567" s="7"/>
      <c r="B567" s="5"/>
      <c r="C567" s="6"/>
      <c r="D567" s="6"/>
      <c r="E567" s="6"/>
      <c r="F567" s="6"/>
      <c r="G567" s="6"/>
      <c r="H567" s="6"/>
      <c r="I567" s="6"/>
      <c r="J567" s="11"/>
      <c r="K567" s="591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 ht="11.25" customHeight="1">
      <c r="A568" s="7"/>
      <c r="B568" s="5"/>
      <c r="C568" s="6"/>
      <c r="D568" s="6"/>
      <c r="E568" s="6"/>
      <c r="F568" s="6"/>
      <c r="G568" s="6"/>
      <c r="H568" s="6"/>
      <c r="I568" s="6"/>
      <c r="J568" s="11"/>
      <c r="K568" s="591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 ht="11.25" customHeight="1">
      <c r="A569" s="7"/>
      <c r="B569" s="5"/>
      <c r="C569" s="6"/>
      <c r="D569" s="6"/>
      <c r="E569" s="6"/>
      <c r="F569" s="6"/>
      <c r="G569" s="6"/>
      <c r="H569" s="6"/>
      <c r="I569" s="6"/>
      <c r="J569" s="11"/>
      <c r="K569" s="591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 ht="11.25" customHeight="1">
      <c r="A570" s="7"/>
      <c r="B570" s="5"/>
      <c r="C570" s="6"/>
      <c r="D570" s="6"/>
      <c r="E570" s="6"/>
      <c r="F570" s="6"/>
      <c r="G570" s="6"/>
      <c r="H570" s="6"/>
      <c r="I570" s="6"/>
      <c r="J570" s="11"/>
      <c r="K570" s="591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 ht="11.25" customHeight="1">
      <c r="A571" s="7"/>
      <c r="B571" s="5"/>
      <c r="C571" s="6"/>
      <c r="D571" s="6"/>
      <c r="E571" s="6"/>
      <c r="F571" s="6"/>
      <c r="G571" s="6"/>
      <c r="H571" s="6"/>
      <c r="I571" s="6"/>
      <c r="J571" s="11"/>
      <c r="K571" s="591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 ht="11.25" customHeight="1">
      <c r="A572" s="7"/>
      <c r="B572" s="5"/>
      <c r="C572" s="6"/>
      <c r="D572" s="6"/>
      <c r="E572" s="6"/>
      <c r="F572" s="6"/>
      <c r="G572" s="6"/>
      <c r="H572" s="6"/>
      <c r="I572" s="6"/>
      <c r="J572" s="11"/>
      <c r="K572" s="591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 ht="11.25" customHeight="1">
      <c r="A573" s="7"/>
      <c r="B573" s="5"/>
      <c r="C573" s="6"/>
      <c r="D573" s="6"/>
      <c r="E573" s="6"/>
      <c r="F573" s="6"/>
      <c r="G573" s="6"/>
      <c r="H573" s="6"/>
      <c r="I573" s="6"/>
      <c r="J573" s="11"/>
      <c r="K573" s="591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 ht="11.25" customHeight="1">
      <c r="A574" s="7"/>
      <c r="B574" s="5"/>
      <c r="C574" s="6"/>
      <c r="D574" s="6"/>
      <c r="E574" s="6"/>
      <c r="F574" s="6"/>
      <c r="G574" s="6"/>
      <c r="H574" s="6"/>
      <c r="I574" s="6"/>
      <c r="J574" s="11"/>
      <c r="K574" s="591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 ht="11.25" customHeight="1">
      <c r="A575" s="7"/>
      <c r="B575" s="5"/>
      <c r="C575" s="6"/>
      <c r="D575" s="6"/>
      <c r="E575" s="6"/>
      <c r="F575" s="6"/>
      <c r="G575" s="6"/>
      <c r="H575" s="6"/>
      <c r="I575" s="6"/>
      <c r="J575" s="11"/>
      <c r="K575" s="591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 ht="11.25" customHeight="1">
      <c r="A576" s="7"/>
      <c r="B576" s="5"/>
      <c r="C576" s="6"/>
      <c r="D576" s="6"/>
      <c r="E576" s="6"/>
      <c r="F576" s="6"/>
      <c r="G576" s="6"/>
      <c r="H576" s="6"/>
      <c r="I576" s="6"/>
      <c r="J576" s="11"/>
      <c r="K576" s="591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 ht="11.25" customHeight="1">
      <c r="A577" s="7"/>
      <c r="B577" s="5"/>
      <c r="C577" s="6"/>
      <c r="D577" s="6"/>
      <c r="E577" s="6"/>
      <c r="F577" s="6"/>
      <c r="G577" s="6"/>
      <c r="H577" s="6"/>
      <c r="I577" s="6"/>
      <c r="J577" s="11"/>
      <c r="K577" s="591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 ht="11.25" customHeight="1">
      <c r="A578" s="7"/>
      <c r="B578" s="5"/>
      <c r="C578" s="6"/>
      <c r="D578" s="6"/>
      <c r="E578" s="6"/>
      <c r="F578" s="6"/>
      <c r="G578" s="6"/>
      <c r="H578" s="6"/>
      <c r="I578" s="6"/>
      <c r="J578" s="11"/>
      <c r="K578" s="591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 ht="11.25" customHeight="1">
      <c r="A579" s="7"/>
      <c r="B579" s="5"/>
      <c r="C579" s="6"/>
      <c r="D579" s="6"/>
      <c r="E579" s="6"/>
      <c r="F579" s="6"/>
      <c r="G579" s="6"/>
      <c r="H579" s="6"/>
      <c r="I579" s="6"/>
      <c r="J579" s="11"/>
      <c r="K579" s="591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 ht="11.25" customHeight="1">
      <c r="A580" s="7"/>
      <c r="B580" s="5"/>
      <c r="C580" s="6"/>
      <c r="D580" s="6"/>
      <c r="E580" s="6"/>
      <c r="F580" s="6"/>
      <c r="G580" s="6"/>
      <c r="H580" s="6"/>
      <c r="I580" s="6"/>
      <c r="J580" s="11"/>
      <c r="K580" s="591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 ht="11.25" customHeight="1">
      <c r="A581" s="7"/>
      <c r="B581" s="5"/>
      <c r="C581" s="6"/>
      <c r="D581" s="6"/>
      <c r="E581" s="6"/>
      <c r="F581" s="6"/>
      <c r="G581" s="6"/>
      <c r="H581" s="6"/>
      <c r="I581" s="6"/>
      <c r="J581" s="11"/>
      <c r="K581" s="591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 ht="11.25" customHeight="1">
      <c r="A582" s="7"/>
      <c r="B582" s="5"/>
      <c r="C582" s="6"/>
      <c r="D582" s="6"/>
      <c r="E582" s="6"/>
      <c r="F582" s="6"/>
      <c r="G582" s="6"/>
      <c r="H582" s="6"/>
      <c r="I582" s="6"/>
      <c r="J582" s="11"/>
      <c r="K582" s="591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 ht="11.25" customHeight="1">
      <c r="A583" s="7"/>
      <c r="B583" s="5"/>
      <c r="C583" s="6"/>
      <c r="D583" s="6"/>
      <c r="E583" s="6"/>
      <c r="F583" s="6"/>
      <c r="G583" s="6"/>
      <c r="H583" s="6"/>
      <c r="I583" s="6"/>
      <c r="J583" s="11"/>
      <c r="K583" s="591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 ht="11.25" customHeight="1">
      <c r="A584" s="7"/>
      <c r="B584" s="5"/>
      <c r="C584" s="6"/>
      <c r="D584" s="6"/>
      <c r="E584" s="6"/>
      <c r="F584" s="6"/>
      <c r="G584" s="6"/>
      <c r="H584" s="6"/>
      <c r="I584" s="6"/>
      <c r="J584" s="11"/>
      <c r="K584" s="591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 ht="11.25" customHeight="1">
      <c r="A585" s="7"/>
      <c r="B585" s="5"/>
      <c r="C585" s="6"/>
      <c r="D585" s="6"/>
      <c r="E585" s="6"/>
      <c r="F585" s="6"/>
      <c r="G585" s="6"/>
      <c r="H585" s="6"/>
      <c r="I585" s="6"/>
      <c r="J585" s="11"/>
      <c r="K585" s="591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 ht="11.25" customHeight="1">
      <c r="A586" s="7"/>
      <c r="B586" s="5"/>
      <c r="C586" s="6"/>
      <c r="D586" s="6"/>
      <c r="E586" s="6"/>
      <c r="F586" s="6"/>
      <c r="G586" s="6"/>
      <c r="H586" s="6"/>
      <c r="I586" s="6"/>
      <c r="J586" s="11"/>
      <c r="K586" s="591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 ht="11.25" customHeight="1">
      <c r="A587" s="7"/>
      <c r="B587" s="5"/>
      <c r="C587" s="6"/>
      <c r="D587" s="6"/>
      <c r="E587" s="6"/>
      <c r="F587" s="6"/>
      <c r="G587" s="6"/>
      <c r="H587" s="6"/>
      <c r="I587" s="6"/>
      <c r="J587" s="11"/>
      <c r="K587" s="591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 ht="11.25" customHeight="1">
      <c r="A588" s="7"/>
      <c r="B588" s="5"/>
      <c r="C588" s="6"/>
      <c r="D588" s="6"/>
      <c r="E588" s="6"/>
      <c r="F588" s="6"/>
      <c r="G588" s="6"/>
      <c r="H588" s="6"/>
      <c r="I588" s="6"/>
      <c r="J588" s="11"/>
      <c r="K588" s="591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 ht="11.25" customHeight="1">
      <c r="A589" s="7"/>
      <c r="B589" s="5"/>
      <c r="C589" s="6"/>
      <c r="D589" s="6"/>
      <c r="E589" s="6"/>
      <c r="F589" s="6"/>
      <c r="G589" s="6"/>
      <c r="H589" s="6"/>
      <c r="I589" s="6"/>
      <c r="J589" s="11"/>
      <c r="K589" s="591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 ht="11.25" customHeight="1">
      <c r="A590" s="7"/>
      <c r="B590" s="5"/>
      <c r="C590" s="6"/>
      <c r="D590" s="6"/>
      <c r="E590" s="6"/>
      <c r="F590" s="6"/>
      <c r="G590" s="6"/>
      <c r="H590" s="6"/>
      <c r="I590" s="6"/>
      <c r="J590" s="11"/>
      <c r="K590" s="591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 ht="11.25" customHeight="1">
      <c r="A591" s="7"/>
      <c r="B591" s="5"/>
      <c r="C591" s="6"/>
      <c r="D591" s="6"/>
      <c r="E591" s="6"/>
      <c r="F591" s="6"/>
      <c r="G591" s="6"/>
      <c r="H591" s="6"/>
      <c r="I591" s="6"/>
      <c r="J591" s="11"/>
      <c r="K591" s="591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 ht="11.25" customHeight="1">
      <c r="A592" s="7"/>
      <c r="B592" s="5"/>
      <c r="C592" s="6"/>
      <c r="D592" s="6"/>
      <c r="E592" s="6"/>
      <c r="F592" s="6"/>
      <c r="G592" s="6"/>
      <c r="H592" s="6"/>
      <c r="I592" s="6"/>
      <c r="J592" s="11"/>
      <c r="K592" s="591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 ht="11.25" customHeight="1">
      <c r="A593" s="7"/>
      <c r="B593" s="5"/>
      <c r="C593" s="6"/>
      <c r="D593" s="6"/>
      <c r="E593" s="6"/>
      <c r="F593" s="6"/>
      <c r="G593" s="6"/>
      <c r="H593" s="6"/>
      <c r="I593" s="6"/>
      <c r="J593" s="11"/>
      <c r="K593" s="591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 ht="11.25" customHeight="1">
      <c r="A594" s="7"/>
      <c r="B594" s="5"/>
      <c r="C594" s="6"/>
      <c r="D594" s="6"/>
      <c r="E594" s="6"/>
      <c r="F594" s="6"/>
      <c r="G594" s="6"/>
      <c r="H594" s="6"/>
      <c r="I594" s="6"/>
      <c r="J594" s="11"/>
      <c r="K594" s="591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 ht="11.25" customHeight="1">
      <c r="A595" s="7"/>
      <c r="B595" s="5"/>
      <c r="C595" s="6"/>
      <c r="D595" s="6"/>
      <c r="E595" s="6"/>
      <c r="F595" s="6"/>
      <c r="G595" s="6"/>
      <c r="H595" s="6"/>
      <c r="I595" s="6"/>
      <c r="J595" s="11"/>
      <c r="K595" s="591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 ht="11.25" customHeight="1">
      <c r="A596" s="7"/>
      <c r="B596" s="5"/>
      <c r="C596" s="6"/>
      <c r="D596" s="6"/>
      <c r="E596" s="6"/>
      <c r="F596" s="6"/>
      <c r="G596" s="6"/>
      <c r="H596" s="6"/>
      <c r="I596" s="6"/>
      <c r="J596" s="11"/>
      <c r="K596" s="591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 ht="11.25" customHeight="1">
      <c r="A597" s="7"/>
      <c r="B597" s="5"/>
      <c r="C597" s="6"/>
      <c r="D597" s="6"/>
      <c r="E597" s="6"/>
      <c r="F597" s="6"/>
      <c r="G597" s="6"/>
      <c r="H597" s="6"/>
      <c r="I597" s="6"/>
      <c r="J597" s="11"/>
      <c r="K597" s="591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 ht="11.25" customHeight="1">
      <c r="A598" s="7"/>
      <c r="B598" s="5"/>
      <c r="C598" s="6"/>
      <c r="D598" s="6"/>
      <c r="E598" s="6"/>
      <c r="F598" s="6"/>
      <c r="G598" s="6"/>
      <c r="H598" s="6"/>
      <c r="I598" s="6"/>
      <c r="J598" s="11"/>
      <c r="K598" s="591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 ht="11.25" customHeight="1">
      <c r="A599" s="7"/>
      <c r="B599" s="5"/>
      <c r="C599" s="6"/>
      <c r="D599" s="6"/>
      <c r="E599" s="6"/>
      <c r="F599" s="6"/>
      <c r="G599" s="6"/>
      <c r="H599" s="6"/>
      <c r="I599" s="6"/>
      <c r="J599" s="11"/>
      <c r="K599" s="591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 ht="11.25" customHeight="1">
      <c r="A600" s="7"/>
      <c r="B600" s="5"/>
      <c r="C600" s="6"/>
      <c r="D600" s="6"/>
      <c r="E600" s="6"/>
      <c r="F600" s="6"/>
      <c r="G600" s="6"/>
      <c r="H600" s="6"/>
      <c r="I600" s="6"/>
      <c r="J600" s="11"/>
      <c r="K600" s="591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 ht="11.25" customHeight="1">
      <c r="A601" s="7"/>
      <c r="B601" s="5"/>
      <c r="C601" s="6"/>
      <c r="D601" s="6"/>
      <c r="E601" s="6"/>
      <c r="F601" s="6"/>
      <c r="G601" s="6"/>
      <c r="H601" s="6"/>
      <c r="I601" s="6"/>
      <c r="J601" s="11"/>
      <c r="K601" s="591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 ht="11.25" customHeight="1">
      <c r="A602" s="7"/>
      <c r="B602" s="5"/>
      <c r="C602" s="6"/>
      <c r="D602" s="6"/>
      <c r="E602" s="6"/>
      <c r="F602" s="6"/>
      <c r="G602" s="6"/>
      <c r="H602" s="6"/>
      <c r="I602" s="6"/>
      <c r="J602" s="11"/>
      <c r="K602" s="591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 ht="11.25" customHeight="1">
      <c r="A603" s="7"/>
      <c r="B603" s="5"/>
      <c r="C603" s="6"/>
      <c r="D603" s="6"/>
      <c r="E603" s="6"/>
      <c r="F603" s="6"/>
      <c r="G603" s="6"/>
      <c r="H603" s="6"/>
      <c r="I603" s="6"/>
      <c r="J603" s="11"/>
      <c r="K603" s="591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 ht="11.25" customHeight="1">
      <c r="A604" s="7"/>
      <c r="B604" s="5"/>
      <c r="C604" s="6"/>
      <c r="D604" s="6"/>
      <c r="E604" s="6"/>
      <c r="F604" s="6"/>
      <c r="G604" s="6"/>
      <c r="H604" s="6"/>
      <c r="I604" s="6"/>
      <c r="J604" s="11"/>
      <c r="K604" s="591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 ht="11.25" customHeight="1">
      <c r="A605" s="7"/>
      <c r="B605" s="5"/>
      <c r="C605" s="6"/>
      <c r="D605" s="6"/>
      <c r="E605" s="6"/>
      <c r="F605" s="6"/>
      <c r="G605" s="6"/>
      <c r="H605" s="6"/>
      <c r="I605" s="6"/>
      <c r="J605" s="11"/>
      <c r="K605" s="591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 ht="11.25" customHeight="1">
      <c r="A606" s="7"/>
      <c r="B606" s="5"/>
      <c r="C606" s="6"/>
      <c r="D606" s="6"/>
      <c r="E606" s="6"/>
      <c r="F606" s="6"/>
      <c r="G606" s="6"/>
      <c r="H606" s="6"/>
      <c r="I606" s="6"/>
      <c r="J606" s="11"/>
      <c r="K606" s="591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 ht="11.25" customHeight="1">
      <c r="A607" s="7"/>
      <c r="B607" s="5"/>
      <c r="C607" s="6"/>
      <c r="D607" s="6"/>
      <c r="E607" s="6"/>
      <c r="F607" s="6"/>
      <c r="G607" s="6"/>
      <c r="H607" s="6"/>
      <c r="I607" s="6"/>
      <c r="J607" s="11"/>
      <c r="K607" s="591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 ht="11.25" customHeight="1">
      <c r="A608" s="7"/>
      <c r="B608" s="5"/>
      <c r="C608" s="6"/>
      <c r="D608" s="6"/>
      <c r="E608" s="6"/>
      <c r="F608" s="6"/>
      <c r="G608" s="6"/>
      <c r="H608" s="6"/>
      <c r="I608" s="6"/>
      <c r="J608" s="11"/>
      <c r="K608" s="591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 ht="11.25" customHeight="1">
      <c r="A609" s="7"/>
      <c r="B609" s="5"/>
      <c r="C609" s="6"/>
      <c r="D609" s="6"/>
      <c r="E609" s="6"/>
      <c r="F609" s="6"/>
      <c r="G609" s="6"/>
      <c r="H609" s="6"/>
      <c r="I609" s="6"/>
      <c r="J609" s="11"/>
      <c r="K609" s="591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 ht="11.25" customHeight="1">
      <c r="A610" s="7"/>
      <c r="B610" s="5"/>
      <c r="C610" s="6"/>
      <c r="D610" s="6"/>
      <c r="E610" s="6"/>
      <c r="F610" s="6"/>
      <c r="G610" s="6"/>
      <c r="H610" s="6"/>
      <c r="I610" s="6"/>
      <c r="J610" s="11"/>
      <c r="K610" s="591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 ht="11.25" customHeight="1">
      <c r="A611" s="7"/>
      <c r="B611" s="5"/>
      <c r="C611" s="6"/>
      <c r="D611" s="6"/>
      <c r="E611" s="6"/>
      <c r="F611" s="6"/>
      <c r="G611" s="6"/>
      <c r="H611" s="6"/>
      <c r="I611" s="6"/>
      <c r="J611" s="11"/>
      <c r="K611" s="591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 ht="11.25" customHeight="1">
      <c r="A612" s="7"/>
      <c r="B612" s="5"/>
      <c r="C612" s="6"/>
      <c r="D612" s="6"/>
      <c r="E612" s="6"/>
      <c r="F612" s="6"/>
      <c r="G612" s="6"/>
      <c r="H612" s="6"/>
      <c r="I612" s="6"/>
      <c r="J612" s="11"/>
      <c r="K612" s="591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 ht="11.25" customHeight="1">
      <c r="A613" s="7"/>
      <c r="B613" s="5"/>
      <c r="C613" s="6"/>
      <c r="D613" s="6"/>
      <c r="E613" s="6"/>
      <c r="F613" s="6"/>
      <c r="G613" s="6"/>
      <c r="H613" s="6"/>
      <c r="I613" s="6"/>
      <c r="J613" s="11"/>
      <c r="K613" s="591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 ht="11.25" customHeight="1">
      <c r="A614" s="7"/>
      <c r="B614" s="5"/>
      <c r="C614" s="6"/>
      <c r="D614" s="6"/>
      <c r="E614" s="6"/>
      <c r="F614" s="6"/>
      <c r="G614" s="6"/>
      <c r="H614" s="6"/>
      <c r="I614" s="6"/>
      <c r="J614" s="11"/>
      <c r="K614" s="591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 ht="11.25" customHeight="1">
      <c r="A615" s="7"/>
      <c r="B615" s="5"/>
      <c r="C615" s="6"/>
      <c r="D615" s="6"/>
      <c r="E615" s="6"/>
      <c r="F615" s="6"/>
      <c r="G615" s="6"/>
      <c r="H615" s="6"/>
      <c r="I615" s="6"/>
      <c r="J615" s="11"/>
      <c r="K615" s="591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 ht="11.25" customHeight="1">
      <c r="A616" s="7"/>
      <c r="B616" s="5"/>
      <c r="C616" s="6"/>
      <c r="D616" s="6"/>
      <c r="E616" s="6"/>
      <c r="F616" s="6"/>
      <c r="G616" s="6"/>
      <c r="H616" s="6"/>
      <c r="I616" s="6"/>
      <c r="J616" s="11"/>
      <c r="K616" s="591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 ht="11.25" customHeight="1">
      <c r="A617" s="7"/>
      <c r="B617" s="5"/>
      <c r="C617" s="6"/>
      <c r="D617" s="6"/>
      <c r="E617" s="6"/>
      <c r="F617" s="6"/>
      <c r="G617" s="6"/>
      <c r="H617" s="6"/>
      <c r="I617" s="6"/>
      <c r="J617" s="11"/>
      <c r="K617" s="591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 ht="11.25" customHeight="1">
      <c r="A618" s="7"/>
      <c r="B618" s="5"/>
      <c r="C618" s="6"/>
      <c r="D618" s="6"/>
      <c r="E618" s="6"/>
      <c r="F618" s="6"/>
      <c r="G618" s="6"/>
      <c r="H618" s="6"/>
      <c r="I618" s="6"/>
      <c r="J618" s="11"/>
      <c r="K618" s="591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 ht="11.25" customHeight="1">
      <c r="A619" s="7"/>
      <c r="B619" s="5"/>
      <c r="C619" s="6"/>
      <c r="D619" s="6"/>
      <c r="E619" s="6"/>
      <c r="F619" s="6"/>
      <c r="G619" s="6"/>
      <c r="H619" s="6"/>
      <c r="I619" s="6"/>
      <c r="J619" s="11"/>
      <c r="K619" s="591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 ht="11.25" customHeight="1">
      <c r="A620" s="7"/>
      <c r="B620" s="5"/>
      <c r="C620" s="6"/>
      <c r="D620" s="6"/>
      <c r="E620" s="6"/>
      <c r="F620" s="6"/>
      <c r="G620" s="6"/>
      <c r="H620" s="6"/>
      <c r="I620" s="6"/>
      <c r="J620" s="11"/>
      <c r="K620" s="591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 ht="11.25" customHeight="1">
      <c r="A621" s="7"/>
      <c r="B621" s="5"/>
      <c r="C621" s="6"/>
      <c r="D621" s="6"/>
      <c r="E621" s="6"/>
      <c r="F621" s="6"/>
      <c r="G621" s="6"/>
      <c r="H621" s="6"/>
      <c r="I621" s="6"/>
      <c r="J621" s="11"/>
      <c r="K621" s="591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 ht="11.25" customHeight="1">
      <c r="A622" s="7"/>
      <c r="B622" s="5"/>
      <c r="C622" s="6"/>
      <c r="D622" s="6"/>
      <c r="E622" s="6"/>
      <c r="F622" s="6"/>
      <c r="G622" s="6"/>
      <c r="H622" s="6"/>
      <c r="I622" s="6"/>
      <c r="J622" s="11"/>
      <c r="K622" s="591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 ht="11.25" customHeight="1">
      <c r="A623" s="7"/>
      <c r="B623" s="5"/>
      <c r="C623" s="6"/>
      <c r="D623" s="6"/>
      <c r="E623" s="6"/>
      <c r="F623" s="6"/>
      <c r="G623" s="6"/>
      <c r="H623" s="6"/>
      <c r="I623" s="6"/>
      <c r="J623" s="11"/>
      <c r="K623" s="591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 ht="11.25" customHeight="1">
      <c r="A624" s="7"/>
      <c r="B624" s="5"/>
      <c r="C624" s="6"/>
      <c r="D624" s="6"/>
      <c r="E624" s="6"/>
      <c r="F624" s="6"/>
      <c r="G624" s="6"/>
      <c r="H624" s="6"/>
      <c r="I624" s="6"/>
      <c r="J624" s="11"/>
      <c r="K624" s="591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 ht="11.25" customHeight="1">
      <c r="A625" s="7"/>
      <c r="B625" s="5"/>
      <c r="C625" s="6"/>
      <c r="D625" s="6"/>
      <c r="E625" s="6"/>
      <c r="F625" s="6"/>
      <c r="G625" s="6"/>
      <c r="H625" s="6"/>
      <c r="I625" s="6"/>
      <c r="J625" s="11"/>
      <c r="K625" s="591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 ht="11.25" customHeight="1">
      <c r="A626" s="7"/>
      <c r="B626" s="5"/>
      <c r="C626" s="6"/>
      <c r="D626" s="6"/>
      <c r="E626" s="6"/>
      <c r="F626" s="6"/>
      <c r="G626" s="6"/>
      <c r="H626" s="6"/>
      <c r="I626" s="6"/>
      <c r="J626" s="11"/>
      <c r="K626" s="591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 ht="11.25" customHeight="1">
      <c r="A627" s="7"/>
      <c r="B627" s="5"/>
      <c r="C627" s="6"/>
      <c r="D627" s="6"/>
      <c r="E627" s="6"/>
      <c r="F627" s="6"/>
      <c r="G627" s="6"/>
      <c r="H627" s="6"/>
      <c r="I627" s="6"/>
      <c r="J627" s="11"/>
      <c r="K627" s="591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 ht="11.25" customHeight="1">
      <c r="A628" s="7"/>
      <c r="B628" s="5"/>
      <c r="C628" s="6"/>
      <c r="D628" s="6"/>
      <c r="E628" s="6"/>
      <c r="F628" s="6"/>
      <c r="G628" s="6"/>
      <c r="H628" s="6"/>
      <c r="I628" s="6"/>
      <c r="J628" s="11"/>
      <c r="K628" s="591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 ht="11.25" customHeight="1">
      <c r="A629" s="7"/>
      <c r="B629" s="5"/>
      <c r="C629" s="6"/>
      <c r="D629" s="6"/>
      <c r="E629" s="6"/>
      <c r="F629" s="6"/>
      <c r="G629" s="6"/>
      <c r="H629" s="6"/>
      <c r="I629" s="6"/>
      <c r="J629" s="11"/>
      <c r="K629" s="591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 ht="11.25" customHeight="1">
      <c r="A630" s="7"/>
      <c r="B630" s="5"/>
      <c r="C630" s="6"/>
      <c r="D630" s="6"/>
      <c r="E630" s="6"/>
      <c r="F630" s="6"/>
      <c r="G630" s="6"/>
      <c r="H630" s="6"/>
      <c r="I630" s="6"/>
      <c r="J630" s="11"/>
      <c r="K630" s="591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 ht="11.25" customHeight="1">
      <c r="A631" s="7"/>
      <c r="B631" s="5"/>
      <c r="C631" s="6"/>
      <c r="D631" s="6"/>
      <c r="E631" s="6"/>
      <c r="F631" s="6"/>
      <c r="G631" s="6"/>
      <c r="H631" s="6"/>
      <c r="I631" s="6"/>
      <c r="J631" s="11"/>
      <c r="K631" s="591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 ht="11.25" customHeight="1">
      <c r="A632" s="7"/>
      <c r="B632" s="5"/>
      <c r="C632" s="6"/>
      <c r="D632" s="6"/>
      <c r="E632" s="6"/>
      <c r="F632" s="6"/>
      <c r="G632" s="6"/>
      <c r="H632" s="6"/>
      <c r="I632" s="6"/>
      <c r="J632" s="11"/>
      <c r="K632" s="591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 ht="11.25" customHeight="1">
      <c r="A633" s="7"/>
      <c r="B633" s="5"/>
      <c r="C633" s="6"/>
      <c r="D633" s="6"/>
      <c r="E633" s="6"/>
      <c r="F633" s="6"/>
      <c r="G633" s="6"/>
      <c r="H633" s="6"/>
      <c r="I633" s="6"/>
      <c r="J633" s="11"/>
      <c r="K633" s="591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 ht="11.25" customHeight="1">
      <c r="A634" s="7"/>
      <c r="B634" s="5"/>
      <c r="C634" s="6"/>
      <c r="D634" s="6"/>
      <c r="E634" s="6"/>
      <c r="F634" s="6"/>
      <c r="G634" s="6"/>
      <c r="H634" s="6"/>
      <c r="I634" s="6"/>
      <c r="J634" s="11"/>
      <c r="K634" s="591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 ht="11.25" customHeight="1">
      <c r="A635" s="7"/>
      <c r="B635" s="5"/>
      <c r="C635" s="6"/>
      <c r="D635" s="6"/>
      <c r="E635" s="6"/>
      <c r="F635" s="6"/>
      <c r="G635" s="6"/>
      <c r="H635" s="6"/>
      <c r="I635" s="6"/>
      <c r="J635" s="11"/>
      <c r="K635" s="591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 ht="11.25" customHeight="1">
      <c r="A636" s="7"/>
      <c r="B636" s="5"/>
      <c r="C636" s="6"/>
      <c r="D636" s="6"/>
      <c r="E636" s="6"/>
      <c r="F636" s="6"/>
      <c r="G636" s="6"/>
      <c r="H636" s="6"/>
      <c r="I636" s="6"/>
      <c r="J636" s="11"/>
      <c r="K636" s="591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 ht="11.25" customHeight="1">
      <c r="A637" s="7"/>
      <c r="B637" s="5"/>
      <c r="C637" s="6"/>
      <c r="D637" s="6"/>
      <c r="E637" s="6"/>
      <c r="F637" s="6"/>
      <c r="G637" s="6"/>
      <c r="H637" s="6"/>
      <c r="I637" s="6"/>
      <c r="J637" s="11"/>
      <c r="K637" s="591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 ht="11.25" customHeight="1">
      <c r="A638" s="7"/>
      <c r="B638" s="5"/>
      <c r="C638" s="6"/>
      <c r="D638" s="6"/>
      <c r="E638" s="6"/>
      <c r="F638" s="6"/>
      <c r="G638" s="6"/>
      <c r="H638" s="6"/>
      <c r="I638" s="6"/>
      <c r="J638" s="11"/>
      <c r="K638" s="591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 ht="11.25" customHeight="1">
      <c r="A639" s="7"/>
      <c r="B639" s="5"/>
      <c r="C639" s="6"/>
      <c r="D639" s="6"/>
      <c r="E639" s="6"/>
      <c r="F639" s="6"/>
      <c r="G639" s="6"/>
      <c r="H639" s="6"/>
      <c r="I639" s="6"/>
      <c r="J639" s="11"/>
      <c r="K639" s="591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 ht="11.25" customHeight="1">
      <c r="A640" s="7"/>
      <c r="B640" s="5"/>
      <c r="C640" s="6"/>
      <c r="D640" s="6"/>
      <c r="E640" s="6"/>
      <c r="F640" s="6"/>
      <c r="G640" s="6"/>
      <c r="H640" s="6"/>
      <c r="I640" s="6"/>
      <c r="J640" s="11"/>
      <c r="K640" s="591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 ht="11.25" customHeight="1">
      <c r="A641" s="7"/>
      <c r="B641" s="5"/>
      <c r="C641" s="6"/>
      <c r="D641" s="6"/>
      <c r="E641" s="6"/>
      <c r="F641" s="6"/>
      <c r="G641" s="6"/>
      <c r="H641" s="6"/>
      <c r="I641" s="6"/>
      <c r="J641" s="11"/>
      <c r="K641" s="591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 ht="11.25" customHeight="1">
      <c r="A642" s="7"/>
      <c r="B642" s="5"/>
      <c r="C642" s="6"/>
      <c r="D642" s="6"/>
      <c r="E642" s="6"/>
      <c r="F642" s="6"/>
      <c r="G642" s="6"/>
      <c r="H642" s="6"/>
      <c r="I642" s="6"/>
      <c r="J642" s="11"/>
      <c r="K642" s="591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 ht="11.25" customHeight="1">
      <c r="A643" s="7"/>
      <c r="B643" s="5"/>
      <c r="C643" s="6"/>
      <c r="D643" s="6"/>
      <c r="E643" s="6"/>
      <c r="F643" s="6"/>
      <c r="G643" s="6"/>
      <c r="H643" s="6"/>
      <c r="I643" s="6"/>
      <c r="J643" s="11"/>
      <c r="K643" s="591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 ht="11.25" customHeight="1">
      <c r="A644" s="7"/>
      <c r="B644" s="5"/>
      <c r="C644" s="6"/>
      <c r="D644" s="6"/>
      <c r="E644" s="6"/>
      <c r="F644" s="6"/>
      <c r="G644" s="6"/>
      <c r="H644" s="6"/>
      <c r="I644" s="6"/>
      <c r="J644" s="11"/>
      <c r="K644" s="591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 ht="11.25" customHeight="1">
      <c r="A645" s="7"/>
      <c r="B645" s="5"/>
      <c r="C645" s="6"/>
      <c r="D645" s="6"/>
      <c r="E645" s="6"/>
      <c r="F645" s="6"/>
      <c r="G645" s="6"/>
      <c r="H645" s="6"/>
      <c r="I645" s="6"/>
      <c r="J645" s="11"/>
      <c r="K645" s="591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 ht="11.25" customHeight="1">
      <c r="A646" s="7"/>
      <c r="B646" s="5"/>
      <c r="C646" s="6"/>
      <c r="D646" s="6"/>
      <c r="E646" s="6"/>
      <c r="F646" s="6"/>
      <c r="G646" s="6"/>
      <c r="H646" s="6"/>
      <c r="I646" s="6"/>
      <c r="J646" s="11"/>
      <c r="K646" s="591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 ht="11.25" customHeight="1">
      <c r="A647" s="7"/>
      <c r="B647" s="5"/>
      <c r="C647" s="6"/>
      <c r="D647" s="6"/>
      <c r="E647" s="6"/>
      <c r="F647" s="6"/>
      <c r="G647" s="6"/>
      <c r="H647" s="6"/>
      <c r="I647" s="6"/>
      <c r="J647" s="11"/>
      <c r="K647" s="591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 ht="11.25" customHeight="1">
      <c r="A648" s="7"/>
      <c r="B648" s="5"/>
      <c r="C648" s="6"/>
      <c r="D648" s="6"/>
      <c r="E648" s="6"/>
      <c r="F648" s="6"/>
      <c r="G648" s="6"/>
      <c r="H648" s="6"/>
      <c r="I648" s="6"/>
      <c r="J648" s="11"/>
      <c r="K648" s="591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 ht="11.25" customHeight="1">
      <c r="A649" s="7"/>
      <c r="B649" s="5"/>
      <c r="C649" s="6"/>
      <c r="D649" s="6"/>
      <c r="E649" s="6"/>
      <c r="F649" s="6"/>
      <c r="G649" s="6"/>
      <c r="H649" s="6"/>
      <c r="I649" s="6"/>
      <c r="J649" s="11"/>
      <c r="K649" s="591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 ht="11.25" customHeight="1">
      <c r="A650" s="7"/>
      <c r="B650" s="5"/>
      <c r="C650" s="6"/>
      <c r="D650" s="6"/>
      <c r="E650" s="6"/>
      <c r="F650" s="6"/>
      <c r="G650" s="6"/>
      <c r="H650" s="6"/>
      <c r="I650" s="6"/>
      <c r="J650" s="11"/>
      <c r="K650" s="591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 ht="11.25" customHeight="1">
      <c r="A651" s="7"/>
      <c r="B651" s="5"/>
      <c r="C651" s="6"/>
      <c r="D651" s="6"/>
      <c r="E651" s="6"/>
      <c r="F651" s="6"/>
      <c r="G651" s="6"/>
      <c r="H651" s="6"/>
      <c r="I651" s="6"/>
      <c r="J651" s="11"/>
      <c r="K651" s="591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 ht="11.25" customHeight="1">
      <c r="A652" s="7"/>
      <c r="B652" s="5"/>
      <c r="C652" s="6"/>
      <c r="D652" s="6"/>
      <c r="E652" s="6"/>
      <c r="F652" s="6"/>
      <c r="G652" s="6"/>
      <c r="H652" s="6"/>
      <c r="I652" s="6"/>
      <c r="J652" s="11"/>
      <c r="K652" s="591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 ht="11.25" customHeight="1">
      <c r="A653" s="7"/>
      <c r="B653" s="5"/>
      <c r="C653" s="6"/>
      <c r="D653" s="6"/>
      <c r="E653" s="6"/>
      <c r="F653" s="6"/>
      <c r="G653" s="6"/>
      <c r="H653" s="6"/>
      <c r="I653" s="6"/>
      <c r="J653" s="11"/>
      <c r="K653" s="591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 ht="11.25" customHeight="1">
      <c r="A654" s="7"/>
      <c r="B654" s="5"/>
      <c r="C654" s="6"/>
      <c r="D654" s="6"/>
      <c r="E654" s="6"/>
      <c r="F654" s="6"/>
      <c r="G654" s="6"/>
      <c r="H654" s="6"/>
      <c r="I654" s="6"/>
      <c r="J654" s="11"/>
      <c r="K654" s="591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 ht="11.25" customHeight="1">
      <c r="A655" s="7"/>
      <c r="B655" s="5"/>
      <c r="C655" s="6"/>
      <c r="D655" s="6"/>
      <c r="E655" s="6"/>
      <c r="F655" s="6"/>
      <c r="G655" s="6"/>
      <c r="H655" s="6"/>
      <c r="I655" s="6"/>
      <c r="J655" s="11"/>
      <c r="K655" s="591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 ht="11.25" customHeight="1">
      <c r="A656" s="7"/>
      <c r="B656" s="5"/>
      <c r="C656" s="6"/>
      <c r="D656" s="6"/>
      <c r="E656" s="6"/>
      <c r="F656" s="6"/>
      <c r="G656" s="6"/>
      <c r="H656" s="6"/>
      <c r="I656" s="6"/>
      <c r="J656" s="11"/>
      <c r="K656" s="591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 ht="11.25" customHeight="1">
      <c r="A657" s="7"/>
      <c r="B657" s="5"/>
      <c r="C657" s="6"/>
      <c r="D657" s="6"/>
      <c r="E657" s="6"/>
      <c r="F657" s="6"/>
      <c r="G657" s="6"/>
      <c r="H657" s="6"/>
      <c r="I657" s="6"/>
      <c r="J657" s="11"/>
      <c r="K657" s="591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 ht="11.25" customHeight="1">
      <c r="A658" s="7"/>
      <c r="B658" s="5"/>
      <c r="C658" s="6"/>
      <c r="D658" s="6"/>
      <c r="E658" s="6"/>
      <c r="F658" s="6"/>
      <c r="G658" s="6"/>
      <c r="H658" s="6"/>
      <c r="I658" s="6"/>
      <c r="J658" s="11"/>
      <c r="K658" s="591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 ht="11.25" customHeight="1">
      <c r="A659" s="7"/>
      <c r="B659" s="5"/>
      <c r="C659" s="6"/>
      <c r="D659" s="6"/>
      <c r="E659" s="6"/>
      <c r="F659" s="6"/>
      <c r="G659" s="6"/>
      <c r="H659" s="6"/>
      <c r="I659" s="6"/>
      <c r="J659" s="11"/>
      <c r="K659" s="591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 ht="11.25" customHeight="1">
      <c r="A660" s="7"/>
      <c r="B660" s="5"/>
      <c r="C660" s="6"/>
      <c r="D660" s="6"/>
      <c r="E660" s="6"/>
      <c r="F660" s="6"/>
      <c r="G660" s="6"/>
      <c r="H660" s="6"/>
      <c r="I660" s="6"/>
      <c r="J660" s="11"/>
      <c r="K660" s="591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 ht="11.25" customHeight="1">
      <c r="A661" s="7"/>
      <c r="B661" s="5"/>
      <c r="C661" s="6"/>
      <c r="D661" s="6"/>
      <c r="E661" s="6"/>
      <c r="F661" s="6"/>
      <c r="G661" s="6"/>
      <c r="H661" s="6"/>
      <c r="I661" s="6"/>
      <c r="J661" s="11"/>
      <c r="K661" s="591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 ht="11.25" customHeight="1">
      <c r="A662" s="7"/>
      <c r="B662" s="5"/>
      <c r="C662" s="6"/>
      <c r="D662" s="6"/>
      <c r="E662" s="6"/>
      <c r="F662" s="6"/>
      <c r="G662" s="6"/>
      <c r="H662" s="6"/>
      <c r="I662" s="6"/>
      <c r="J662" s="11"/>
      <c r="K662" s="591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 ht="11.25" customHeight="1">
      <c r="A663" s="7"/>
      <c r="B663" s="5"/>
      <c r="C663" s="6"/>
      <c r="D663" s="6"/>
      <c r="E663" s="6"/>
      <c r="F663" s="6"/>
      <c r="G663" s="6"/>
      <c r="H663" s="6"/>
      <c r="I663" s="6"/>
      <c r="J663" s="11"/>
      <c r="K663" s="591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 ht="11.25" customHeight="1">
      <c r="A664" s="7"/>
      <c r="B664" s="5"/>
      <c r="C664" s="6"/>
      <c r="D664" s="6"/>
      <c r="E664" s="6"/>
      <c r="F664" s="6"/>
      <c r="G664" s="6"/>
      <c r="H664" s="6"/>
      <c r="I664" s="6"/>
      <c r="J664" s="11"/>
      <c r="K664" s="591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 ht="11.25" customHeight="1">
      <c r="A665" s="7"/>
      <c r="B665" s="5"/>
      <c r="C665" s="6"/>
      <c r="D665" s="6"/>
      <c r="E665" s="6"/>
      <c r="F665" s="6"/>
      <c r="G665" s="6"/>
      <c r="H665" s="6"/>
      <c r="I665" s="6"/>
      <c r="J665" s="11"/>
      <c r="K665" s="591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 ht="11.25" customHeight="1">
      <c r="A666" s="7"/>
      <c r="B666" s="5"/>
      <c r="C666" s="6"/>
      <c r="D666" s="6"/>
      <c r="E666" s="6"/>
      <c r="F666" s="6"/>
      <c r="G666" s="6"/>
      <c r="H666" s="6"/>
      <c r="I666" s="6"/>
      <c r="J666" s="11"/>
      <c r="K666" s="591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 ht="11.25" customHeight="1">
      <c r="A667" s="7"/>
      <c r="B667" s="5"/>
      <c r="C667" s="6"/>
      <c r="D667" s="6"/>
      <c r="E667" s="6"/>
      <c r="F667" s="6"/>
      <c r="G667" s="6"/>
      <c r="H667" s="6"/>
      <c r="I667" s="6"/>
      <c r="J667" s="11"/>
      <c r="K667" s="591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 ht="11.25" customHeight="1">
      <c r="A668" s="7"/>
      <c r="B668" s="5"/>
      <c r="C668" s="6"/>
      <c r="D668" s="6"/>
      <c r="E668" s="6"/>
      <c r="F668" s="6"/>
      <c r="G668" s="6"/>
      <c r="H668" s="6"/>
      <c r="I668" s="6"/>
      <c r="J668" s="11"/>
      <c r="K668" s="591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 ht="11.25" customHeight="1">
      <c r="A669" s="7"/>
      <c r="B669" s="5"/>
      <c r="C669" s="6"/>
      <c r="D669" s="6"/>
      <c r="E669" s="6"/>
      <c r="F669" s="6"/>
      <c r="G669" s="6"/>
      <c r="H669" s="6"/>
      <c r="I669" s="6"/>
      <c r="J669" s="11"/>
      <c r="K669" s="591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 ht="11.25" customHeight="1">
      <c r="A670" s="7"/>
      <c r="B670" s="5"/>
      <c r="C670" s="6"/>
      <c r="D670" s="6"/>
      <c r="E670" s="6"/>
      <c r="F670" s="6"/>
      <c r="G670" s="6"/>
      <c r="H670" s="6"/>
      <c r="I670" s="6"/>
      <c r="J670" s="11"/>
      <c r="K670" s="591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 ht="11.25" customHeight="1">
      <c r="A671" s="7"/>
      <c r="B671" s="5"/>
      <c r="C671" s="6"/>
      <c r="D671" s="6"/>
      <c r="E671" s="6"/>
      <c r="F671" s="6"/>
      <c r="G671" s="6"/>
      <c r="H671" s="6"/>
      <c r="I671" s="6"/>
      <c r="J671" s="11"/>
      <c r="K671" s="591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 ht="11.25" customHeight="1">
      <c r="A672" s="7"/>
      <c r="B672" s="5"/>
      <c r="C672" s="6"/>
      <c r="D672" s="6"/>
      <c r="E672" s="6"/>
      <c r="F672" s="6"/>
      <c r="G672" s="6"/>
      <c r="H672" s="6"/>
      <c r="I672" s="6"/>
      <c r="J672" s="11"/>
      <c r="K672" s="591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 ht="11.25" customHeight="1">
      <c r="A673" s="7"/>
      <c r="B673" s="5"/>
      <c r="C673" s="6"/>
      <c r="D673" s="6"/>
      <c r="E673" s="6"/>
      <c r="F673" s="6"/>
      <c r="G673" s="6"/>
      <c r="H673" s="6"/>
      <c r="I673" s="6"/>
      <c r="J673" s="11"/>
      <c r="K673" s="591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 ht="11.25" customHeight="1">
      <c r="A674" s="7"/>
      <c r="B674" s="5"/>
      <c r="C674" s="6"/>
      <c r="D674" s="6"/>
      <c r="E674" s="6"/>
      <c r="F674" s="6"/>
      <c r="G674" s="6"/>
      <c r="H674" s="6"/>
      <c r="I674" s="6"/>
      <c r="J674" s="11"/>
      <c r="K674" s="591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 ht="11.25" customHeight="1">
      <c r="A675" s="7"/>
      <c r="B675" s="5"/>
      <c r="C675" s="6"/>
      <c r="D675" s="6"/>
      <c r="E675" s="6"/>
      <c r="F675" s="6"/>
      <c r="G675" s="6"/>
      <c r="H675" s="6"/>
      <c r="I675" s="6"/>
      <c r="J675" s="11"/>
      <c r="K675" s="591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 ht="11.25" customHeight="1">
      <c r="A676" s="7"/>
      <c r="B676" s="5"/>
      <c r="C676" s="6"/>
      <c r="D676" s="6"/>
      <c r="E676" s="6"/>
      <c r="F676" s="6"/>
      <c r="G676" s="6"/>
      <c r="H676" s="6"/>
      <c r="I676" s="6"/>
      <c r="J676" s="11"/>
      <c r="K676" s="591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 ht="11.25" customHeight="1">
      <c r="A677" s="7"/>
      <c r="B677" s="5"/>
      <c r="C677" s="6"/>
      <c r="D677" s="6"/>
      <c r="E677" s="6"/>
      <c r="F677" s="6"/>
      <c r="G677" s="6"/>
      <c r="H677" s="6"/>
      <c r="I677" s="6"/>
      <c r="J677" s="11"/>
      <c r="K677" s="591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 ht="11.25" customHeight="1">
      <c r="A678" s="7"/>
      <c r="B678" s="5"/>
      <c r="C678" s="6"/>
      <c r="D678" s="6"/>
      <c r="E678" s="6"/>
      <c r="F678" s="6"/>
      <c r="G678" s="6"/>
      <c r="H678" s="6"/>
      <c r="I678" s="6"/>
      <c r="J678" s="11"/>
      <c r="K678" s="591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 ht="11.25" customHeight="1">
      <c r="A679" s="7"/>
      <c r="B679" s="5"/>
      <c r="C679" s="6"/>
      <c r="D679" s="6"/>
      <c r="E679" s="6"/>
      <c r="F679" s="6"/>
      <c r="G679" s="6"/>
      <c r="H679" s="6"/>
      <c r="I679" s="6"/>
      <c r="J679" s="11"/>
      <c r="K679" s="591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 ht="11.25" customHeight="1">
      <c r="A680" s="7"/>
      <c r="B680" s="5"/>
      <c r="C680" s="6"/>
      <c r="D680" s="6"/>
      <c r="E680" s="6"/>
      <c r="F680" s="6"/>
      <c r="G680" s="6"/>
      <c r="H680" s="6"/>
      <c r="I680" s="6"/>
      <c r="J680" s="11"/>
      <c r="K680" s="591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 ht="11.25" customHeight="1">
      <c r="A681" s="7"/>
      <c r="B681" s="5"/>
      <c r="C681" s="6"/>
      <c r="D681" s="6"/>
      <c r="E681" s="6"/>
      <c r="F681" s="6"/>
      <c r="G681" s="6"/>
      <c r="H681" s="6"/>
      <c r="I681" s="6"/>
      <c r="J681" s="11"/>
      <c r="K681" s="591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 ht="11.25" customHeight="1">
      <c r="A682" s="7"/>
      <c r="B682" s="5"/>
      <c r="C682" s="6"/>
      <c r="D682" s="6"/>
      <c r="E682" s="6"/>
      <c r="F682" s="6"/>
      <c r="G682" s="6"/>
      <c r="H682" s="6"/>
      <c r="I682" s="6"/>
      <c r="J682" s="11"/>
      <c r="K682" s="591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 ht="11.25" customHeight="1">
      <c r="A683" s="7"/>
      <c r="B683" s="5"/>
      <c r="C683" s="6"/>
      <c r="D683" s="6"/>
      <c r="E683" s="6"/>
      <c r="F683" s="6"/>
      <c r="G683" s="6"/>
      <c r="H683" s="6"/>
      <c r="I683" s="6"/>
      <c r="J683" s="11"/>
      <c r="K683" s="591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 ht="11.25" customHeight="1">
      <c r="A684" s="7"/>
      <c r="B684" s="5"/>
      <c r="C684" s="6"/>
      <c r="D684" s="6"/>
      <c r="E684" s="6"/>
      <c r="F684" s="6"/>
      <c r="G684" s="6"/>
      <c r="H684" s="6"/>
      <c r="I684" s="6"/>
      <c r="J684" s="11"/>
      <c r="K684" s="591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 ht="11.25" customHeight="1">
      <c r="A685" s="7"/>
      <c r="B685" s="5"/>
      <c r="C685" s="6"/>
      <c r="D685" s="6"/>
      <c r="E685" s="6"/>
      <c r="F685" s="6"/>
      <c r="G685" s="6"/>
      <c r="H685" s="6"/>
      <c r="I685" s="6"/>
      <c r="J685" s="11"/>
      <c r="K685" s="591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 ht="11.25" customHeight="1">
      <c r="A686" s="7"/>
      <c r="B686" s="5"/>
      <c r="C686" s="6"/>
      <c r="D686" s="6"/>
      <c r="E686" s="6"/>
      <c r="F686" s="6"/>
      <c r="G686" s="6"/>
      <c r="H686" s="6"/>
      <c r="I686" s="6"/>
      <c r="J686" s="11"/>
      <c r="K686" s="591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 ht="11.25" customHeight="1">
      <c r="A687" s="7"/>
      <c r="B687" s="5"/>
      <c r="C687" s="6"/>
      <c r="D687" s="6"/>
      <c r="E687" s="6"/>
      <c r="F687" s="6"/>
      <c r="G687" s="6"/>
      <c r="H687" s="6"/>
      <c r="I687" s="6"/>
      <c r="J687" s="11"/>
      <c r="K687" s="591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 ht="11.25" customHeight="1">
      <c r="A688" s="7"/>
      <c r="B688" s="5"/>
      <c r="C688" s="6"/>
      <c r="D688" s="6"/>
      <c r="E688" s="6"/>
      <c r="F688" s="6"/>
      <c r="G688" s="6"/>
      <c r="H688" s="6"/>
      <c r="I688" s="6"/>
      <c r="J688" s="11"/>
      <c r="K688" s="591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 ht="11.25" customHeight="1">
      <c r="A689" s="7"/>
      <c r="B689" s="5"/>
      <c r="C689" s="6"/>
      <c r="D689" s="6"/>
      <c r="E689" s="6"/>
      <c r="F689" s="6"/>
      <c r="G689" s="6"/>
      <c r="H689" s="6"/>
      <c r="I689" s="6"/>
      <c r="J689" s="11"/>
      <c r="K689" s="591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 ht="11.25" customHeight="1">
      <c r="A690" s="7"/>
      <c r="B690" s="5"/>
      <c r="C690" s="6"/>
      <c r="D690" s="6"/>
      <c r="E690" s="6"/>
      <c r="F690" s="6"/>
      <c r="G690" s="6"/>
      <c r="H690" s="6"/>
      <c r="I690" s="6"/>
      <c r="J690" s="11"/>
      <c r="K690" s="591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 ht="11.25" customHeight="1">
      <c r="A691" s="7"/>
      <c r="B691" s="5"/>
      <c r="C691" s="6"/>
      <c r="D691" s="6"/>
      <c r="E691" s="6"/>
      <c r="F691" s="6"/>
      <c r="G691" s="6"/>
      <c r="H691" s="6"/>
      <c r="I691" s="6"/>
      <c r="J691" s="11"/>
      <c r="K691" s="591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 ht="11.25" customHeight="1">
      <c r="A692" s="7"/>
      <c r="B692" s="5"/>
      <c r="C692" s="6"/>
      <c r="D692" s="6"/>
      <c r="E692" s="6"/>
      <c r="F692" s="6"/>
      <c r="G692" s="6"/>
      <c r="H692" s="6"/>
      <c r="I692" s="6"/>
      <c r="J692" s="11"/>
      <c r="K692" s="591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 ht="11.25" customHeight="1">
      <c r="A693" s="7"/>
      <c r="B693" s="5"/>
      <c r="C693" s="6"/>
      <c r="D693" s="6"/>
      <c r="E693" s="6"/>
      <c r="F693" s="6"/>
      <c r="G693" s="6"/>
      <c r="H693" s="6"/>
      <c r="I693" s="6"/>
      <c r="J693" s="11"/>
      <c r="K693" s="591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 ht="11.25" customHeight="1">
      <c r="A694" s="7"/>
      <c r="B694" s="5"/>
      <c r="C694" s="6"/>
      <c r="D694" s="6"/>
      <c r="E694" s="6"/>
      <c r="F694" s="6"/>
      <c r="G694" s="6"/>
      <c r="H694" s="6"/>
      <c r="I694" s="6"/>
      <c r="J694" s="11"/>
      <c r="K694" s="591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 ht="11.25" customHeight="1">
      <c r="A695" s="7"/>
      <c r="B695" s="5"/>
      <c r="C695" s="6"/>
      <c r="D695" s="6"/>
      <c r="E695" s="6"/>
      <c r="F695" s="6"/>
      <c r="G695" s="6"/>
      <c r="H695" s="6"/>
      <c r="I695" s="6"/>
      <c r="J695" s="11"/>
      <c r="K695" s="591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 ht="11.25" customHeight="1">
      <c r="A696" s="7"/>
      <c r="B696" s="5"/>
      <c r="C696" s="6"/>
      <c r="D696" s="6"/>
      <c r="E696" s="6"/>
      <c r="F696" s="6"/>
      <c r="G696" s="6"/>
      <c r="H696" s="6"/>
      <c r="I696" s="6"/>
      <c r="J696" s="11"/>
      <c r="K696" s="591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 ht="11.25" customHeight="1">
      <c r="A697" s="7"/>
      <c r="B697" s="5"/>
      <c r="C697" s="6"/>
      <c r="D697" s="6"/>
      <c r="E697" s="6"/>
      <c r="F697" s="6"/>
      <c r="G697" s="6"/>
      <c r="H697" s="6"/>
      <c r="I697" s="6"/>
      <c r="J697" s="11"/>
      <c r="K697" s="591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 ht="11.25" customHeight="1">
      <c r="A698" s="7"/>
      <c r="B698" s="5"/>
      <c r="C698" s="6"/>
      <c r="D698" s="6"/>
      <c r="E698" s="6"/>
      <c r="F698" s="6"/>
      <c r="G698" s="6"/>
      <c r="H698" s="6"/>
      <c r="I698" s="6"/>
      <c r="J698" s="11"/>
      <c r="K698" s="591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 ht="11.25" customHeight="1">
      <c r="A699" s="7"/>
      <c r="B699" s="5"/>
      <c r="C699" s="6"/>
      <c r="D699" s="6"/>
      <c r="E699" s="6"/>
      <c r="F699" s="6"/>
      <c r="G699" s="6"/>
      <c r="H699" s="6"/>
      <c r="I699" s="6"/>
      <c r="J699" s="11"/>
      <c r="K699" s="591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 ht="11.25" customHeight="1">
      <c r="A700" s="7"/>
      <c r="B700" s="5"/>
      <c r="C700" s="6"/>
      <c r="D700" s="6"/>
      <c r="E700" s="6"/>
      <c r="F700" s="6"/>
      <c r="G700" s="6"/>
      <c r="H700" s="6"/>
      <c r="I700" s="6"/>
      <c r="J700" s="11"/>
      <c r="K700" s="591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 ht="11.25" customHeight="1">
      <c r="A701" s="7"/>
      <c r="B701" s="5"/>
      <c r="C701" s="6"/>
      <c r="D701" s="6"/>
      <c r="E701" s="6"/>
      <c r="F701" s="6"/>
      <c r="G701" s="6"/>
      <c r="H701" s="6"/>
      <c r="I701" s="6"/>
      <c r="J701" s="11"/>
      <c r="K701" s="591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 ht="11.25" customHeight="1">
      <c r="A702" s="7"/>
      <c r="B702" s="5"/>
      <c r="C702" s="6"/>
      <c r="D702" s="6"/>
      <c r="E702" s="6"/>
      <c r="F702" s="6"/>
      <c r="G702" s="6"/>
      <c r="H702" s="6"/>
      <c r="I702" s="6"/>
      <c r="J702" s="11"/>
      <c r="K702" s="591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 ht="11.25" customHeight="1">
      <c r="A703" s="7"/>
      <c r="B703" s="5"/>
      <c r="C703" s="6"/>
      <c r="D703" s="6"/>
      <c r="E703" s="6"/>
      <c r="F703" s="6"/>
      <c r="G703" s="6"/>
      <c r="H703" s="6"/>
      <c r="I703" s="6"/>
      <c r="J703" s="11"/>
      <c r="K703" s="591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 ht="11.25" customHeight="1">
      <c r="A704" s="7"/>
      <c r="B704" s="5"/>
      <c r="C704" s="6"/>
      <c r="D704" s="6"/>
      <c r="E704" s="6"/>
      <c r="F704" s="6"/>
      <c r="G704" s="6"/>
      <c r="H704" s="6"/>
      <c r="I704" s="6"/>
      <c r="J704" s="11"/>
      <c r="K704" s="591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 ht="11.25" customHeight="1">
      <c r="A705" s="7"/>
      <c r="B705" s="5"/>
      <c r="C705" s="6"/>
      <c r="D705" s="6"/>
      <c r="E705" s="6"/>
      <c r="F705" s="6"/>
      <c r="G705" s="6"/>
      <c r="H705" s="6"/>
      <c r="I705" s="6"/>
      <c r="J705" s="11"/>
      <c r="K705" s="591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 ht="11.25" customHeight="1">
      <c r="A706" s="7"/>
      <c r="B706" s="5"/>
      <c r="C706" s="6"/>
      <c r="D706" s="6"/>
      <c r="E706" s="6"/>
      <c r="F706" s="6"/>
      <c r="G706" s="6"/>
      <c r="H706" s="6"/>
      <c r="I706" s="6"/>
      <c r="J706" s="11"/>
      <c r="K706" s="591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 ht="11.25" customHeight="1">
      <c r="A707" s="7"/>
      <c r="B707" s="5"/>
      <c r="C707" s="6"/>
      <c r="D707" s="6"/>
      <c r="E707" s="6"/>
      <c r="F707" s="6"/>
      <c r="G707" s="6"/>
      <c r="H707" s="6"/>
      <c r="I707" s="6"/>
      <c r="J707" s="11"/>
      <c r="K707" s="591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 ht="11.25" customHeight="1">
      <c r="A708" s="7"/>
      <c r="B708" s="5"/>
      <c r="C708" s="6"/>
      <c r="D708" s="6"/>
      <c r="E708" s="6"/>
      <c r="F708" s="6"/>
      <c r="G708" s="6"/>
      <c r="H708" s="6"/>
      <c r="I708" s="6"/>
      <c r="J708" s="11"/>
      <c r="K708" s="591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 ht="11.25" customHeight="1">
      <c r="A709" s="7"/>
      <c r="B709" s="5"/>
      <c r="C709" s="6"/>
      <c r="D709" s="6"/>
      <c r="E709" s="6"/>
      <c r="F709" s="6"/>
      <c r="G709" s="6"/>
      <c r="H709" s="6"/>
      <c r="I709" s="6"/>
      <c r="J709" s="11"/>
      <c r="K709" s="591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 ht="11.25" customHeight="1">
      <c r="A710" s="7"/>
      <c r="B710" s="5"/>
      <c r="C710" s="6"/>
      <c r="D710" s="6"/>
      <c r="E710" s="6"/>
      <c r="F710" s="6"/>
      <c r="G710" s="6"/>
      <c r="H710" s="6"/>
      <c r="I710" s="6"/>
      <c r="J710" s="11"/>
      <c r="K710" s="591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 ht="11.25" customHeight="1">
      <c r="A711" s="7"/>
      <c r="B711" s="5"/>
      <c r="C711" s="6"/>
      <c r="D711" s="6"/>
      <c r="E711" s="6"/>
      <c r="F711" s="6"/>
      <c r="G711" s="6"/>
      <c r="H711" s="6"/>
      <c r="I711" s="6"/>
      <c r="J711" s="11"/>
      <c r="K711" s="591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 ht="11.25" customHeight="1">
      <c r="A712" s="7"/>
      <c r="B712" s="5"/>
      <c r="C712" s="6"/>
      <c r="D712" s="6"/>
      <c r="E712" s="6"/>
      <c r="F712" s="6"/>
      <c r="G712" s="6"/>
      <c r="H712" s="6"/>
      <c r="I712" s="6"/>
      <c r="J712" s="11"/>
      <c r="K712" s="591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 ht="11.25" customHeight="1">
      <c r="A713" s="7"/>
      <c r="B713" s="5"/>
      <c r="C713" s="6"/>
      <c r="D713" s="6"/>
      <c r="E713" s="6"/>
      <c r="F713" s="6"/>
      <c r="G713" s="6"/>
      <c r="H713" s="6"/>
      <c r="I713" s="6"/>
      <c r="J713" s="11"/>
      <c r="K713" s="591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 ht="11.25" customHeight="1">
      <c r="A714" s="7"/>
      <c r="B714" s="5"/>
      <c r="C714" s="6"/>
      <c r="D714" s="6"/>
      <c r="E714" s="6"/>
      <c r="F714" s="6"/>
      <c r="G714" s="6"/>
      <c r="H714" s="6"/>
      <c r="I714" s="6"/>
      <c r="J714" s="11"/>
      <c r="K714" s="591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 ht="11.25" customHeight="1">
      <c r="A715" s="7"/>
      <c r="B715" s="5"/>
      <c r="C715" s="6"/>
      <c r="D715" s="6"/>
      <c r="E715" s="6"/>
      <c r="F715" s="6"/>
      <c r="G715" s="6"/>
      <c r="H715" s="6"/>
      <c r="I715" s="6"/>
      <c r="J715" s="11"/>
      <c r="K715" s="591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 ht="11.25" customHeight="1">
      <c r="A716" s="7"/>
      <c r="B716" s="5"/>
      <c r="C716" s="6"/>
      <c r="D716" s="6"/>
      <c r="E716" s="6"/>
      <c r="F716" s="6"/>
      <c r="G716" s="6"/>
      <c r="H716" s="6"/>
      <c r="I716" s="6"/>
      <c r="J716" s="11"/>
      <c r="K716" s="591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 ht="11.25" customHeight="1">
      <c r="A717" s="7"/>
      <c r="B717" s="5"/>
      <c r="C717" s="6"/>
      <c r="D717" s="6"/>
      <c r="E717" s="6"/>
      <c r="F717" s="6"/>
      <c r="G717" s="6"/>
      <c r="H717" s="6"/>
      <c r="I717" s="6"/>
      <c r="J717" s="11"/>
      <c r="K717" s="591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 ht="11.25" customHeight="1">
      <c r="A718" s="7"/>
      <c r="B718" s="5"/>
      <c r="C718" s="6"/>
      <c r="D718" s="6"/>
      <c r="E718" s="6"/>
      <c r="F718" s="6"/>
      <c r="G718" s="6"/>
      <c r="H718" s="6"/>
      <c r="I718" s="6"/>
      <c r="J718" s="11"/>
      <c r="K718" s="591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 ht="11.25" customHeight="1">
      <c r="A719" s="7"/>
      <c r="B719" s="5"/>
      <c r="C719" s="6"/>
      <c r="D719" s="6"/>
      <c r="E719" s="6"/>
      <c r="F719" s="6"/>
      <c r="G719" s="6"/>
      <c r="H719" s="6"/>
      <c r="I719" s="6"/>
      <c r="J719" s="11"/>
      <c r="K719" s="591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 ht="11.25" customHeight="1">
      <c r="A720" s="7"/>
      <c r="B720" s="5"/>
      <c r="C720" s="6"/>
      <c r="D720" s="6"/>
      <c r="E720" s="6"/>
      <c r="F720" s="6"/>
      <c r="G720" s="6"/>
      <c r="H720" s="6"/>
      <c r="I720" s="6"/>
      <c r="J720" s="11"/>
      <c r="K720" s="591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 ht="11.25" customHeight="1">
      <c r="A721" s="7"/>
      <c r="B721" s="5"/>
      <c r="C721" s="6"/>
      <c r="D721" s="6"/>
      <c r="E721" s="6"/>
      <c r="F721" s="6"/>
      <c r="G721" s="6"/>
      <c r="H721" s="6"/>
      <c r="I721" s="6"/>
      <c r="J721" s="11"/>
      <c r="K721" s="591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 ht="11.25" customHeight="1">
      <c r="A722" s="7"/>
      <c r="B722" s="5"/>
      <c r="C722" s="6"/>
      <c r="D722" s="6"/>
      <c r="E722" s="6"/>
      <c r="F722" s="6"/>
      <c r="G722" s="6"/>
      <c r="H722" s="6"/>
      <c r="I722" s="6"/>
      <c r="J722" s="11"/>
      <c r="K722" s="591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 ht="11.25" customHeight="1">
      <c r="A723" s="7"/>
      <c r="B723" s="5"/>
      <c r="C723" s="6"/>
      <c r="D723" s="6"/>
      <c r="E723" s="6"/>
      <c r="F723" s="6"/>
      <c r="G723" s="6"/>
      <c r="H723" s="6"/>
      <c r="I723" s="6"/>
      <c r="J723" s="11"/>
      <c r="K723" s="591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 ht="11.25" customHeight="1">
      <c r="A724" s="7"/>
      <c r="B724" s="5"/>
      <c r="C724" s="6"/>
      <c r="D724" s="6"/>
      <c r="E724" s="6"/>
      <c r="F724" s="6"/>
      <c r="G724" s="6"/>
      <c r="H724" s="6"/>
      <c r="I724" s="6"/>
      <c r="J724" s="11"/>
      <c r="K724" s="591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 ht="11.25" customHeight="1">
      <c r="A725" s="7"/>
      <c r="B725" s="5"/>
      <c r="C725" s="6"/>
      <c r="D725" s="6"/>
      <c r="E725" s="6"/>
      <c r="F725" s="6"/>
      <c r="G725" s="6"/>
      <c r="H725" s="6"/>
      <c r="I725" s="6"/>
      <c r="J725" s="11"/>
      <c r="K725" s="591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 ht="11.25" customHeight="1">
      <c r="A726" s="7"/>
      <c r="B726" s="5"/>
      <c r="C726" s="6"/>
      <c r="D726" s="6"/>
      <c r="E726" s="6"/>
      <c r="F726" s="6"/>
      <c r="G726" s="6"/>
      <c r="H726" s="6"/>
      <c r="I726" s="6"/>
      <c r="J726" s="11"/>
      <c r="K726" s="591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 ht="11.25" customHeight="1">
      <c r="A727" s="7"/>
      <c r="B727" s="5"/>
      <c r="C727" s="6"/>
      <c r="D727" s="6"/>
      <c r="E727" s="6"/>
      <c r="F727" s="6"/>
      <c r="G727" s="6"/>
      <c r="H727" s="6"/>
      <c r="I727" s="6"/>
      <c r="J727" s="11"/>
      <c r="K727" s="591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 ht="11.25" customHeight="1">
      <c r="A728" s="7"/>
      <c r="B728" s="5"/>
      <c r="C728" s="6"/>
      <c r="D728" s="6"/>
      <c r="E728" s="6"/>
      <c r="F728" s="6"/>
      <c r="G728" s="6"/>
      <c r="H728" s="6"/>
      <c r="I728" s="6"/>
      <c r="J728" s="11"/>
      <c r="K728" s="591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 ht="11.25" customHeight="1">
      <c r="A729" s="7"/>
      <c r="B729" s="5"/>
      <c r="C729" s="6"/>
      <c r="D729" s="6"/>
      <c r="E729" s="6"/>
      <c r="F729" s="6"/>
      <c r="G729" s="6"/>
      <c r="H729" s="6"/>
      <c r="I729" s="6"/>
      <c r="J729" s="11"/>
      <c r="K729" s="591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 ht="11.25" customHeight="1">
      <c r="A730" s="7"/>
      <c r="B730" s="5"/>
      <c r="C730" s="6"/>
      <c r="D730" s="6"/>
      <c r="E730" s="6"/>
      <c r="F730" s="6"/>
      <c r="G730" s="6"/>
      <c r="H730" s="6"/>
      <c r="I730" s="6"/>
      <c r="J730" s="11"/>
      <c r="K730" s="591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 ht="11.25" customHeight="1">
      <c r="A731" s="7"/>
      <c r="B731" s="5"/>
      <c r="C731" s="6"/>
      <c r="D731" s="6"/>
      <c r="E731" s="6"/>
      <c r="F731" s="6"/>
      <c r="G731" s="6"/>
      <c r="H731" s="6"/>
      <c r="I731" s="6"/>
      <c r="J731" s="11"/>
      <c r="K731" s="591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 ht="11.25" customHeight="1">
      <c r="A732" s="7"/>
      <c r="B732" s="5"/>
      <c r="C732" s="6"/>
      <c r="D732" s="6"/>
      <c r="E732" s="6"/>
      <c r="F732" s="6"/>
      <c r="G732" s="6"/>
      <c r="H732" s="6"/>
      <c r="I732" s="6"/>
      <c r="J732" s="11"/>
      <c r="K732" s="591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 ht="11.25" customHeight="1">
      <c r="A733" s="7"/>
      <c r="B733" s="5"/>
      <c r="C733" s="6"/>
      <c r="D733" s="6"/>
      <c r="E733" s="6"/>
      <c r="F733" s="6"/>
      <c r="G733" s="6"/>
      <c r="H733" s="6"/>
      <c r="I733" s="6"/>
      <c r="J733" s="11"/>
      <c r="K733" s="591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 ht="11.25" customHeight="1">
      <c r="A734" s="7"/>
      <c r="B734" s="5"/>
      <c r="C734" s="6"/>
      <c r="D734" s="6"/>
      <c r="E734" s="6"/>
      <c r="F734" s="6"/>
      <c r="G734" s="6"/>
      <c r="H734" s="6"/>
      <c r="I734" s="6"/>
      <c r="J734" s="11"/>
      <c r="K734" s="591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 ht="11.25" customHeight="1">
      <c r="A735" s="7"/>
      <c r="B735" s="5"/>
      <c r="C735" s="6"/>
      <c r="D735" s="6"/>
      <c r="E735" s="6"/>
      <c r="F735" s="6"/>
      <c r="G735" s="6"/>
      <c r="H735" s="6"/>
      <c r="I735" s="6"/>
      <c r="J735" s="11"/>
      <c r="K735" s="591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 ht="11.25" customHeight="1">
      <c r="A736" s="7"/>
      <c r="B736" s="5"/>
      <c r="C736" s="6"/>
      <c r="D736" s="6"/>
      <c r="E736" s="6"/>
      <c r="F736" s="6"/>
      <c r="G736" s="6"/>
      <c r="H736" s="6"/>
      <c r="I736" s="6"/>
      <c r="J736" s="11"/>
      <c r="K736" s="591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 ht="11.25" customHeight="1">
      <c r="A737" s="7"/>
      <c r="B737" s="5"/>
      <c r="C737" s="6"/>
      <c r="D737" s="6"/>
      <c r="E737" s="6"/>
      <c r="F737" s="6"/>
      <c r="G737" s="6"/>
      <c r="H737" s="6"/>
      <c r="I737" s="6"/>
      <c r="J737" s="11"/>
      <c r="K737" s="591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 ht="11.25" customHeight="1">
      <c r="A738" s="7"/>
      <c r="B738" s="5"/>
      <c r="C738" s="6"/>
      <c r="D738" s="6"/>
      <c r="E738" s="6"/>
      <c r="F738" s="6"/>
      <c r="G738" s="6"/>
      <c r="H738" s="6"/>
      <c r="I738" s="6"/>
      <c r="J738" s="11"/>
      <c r="K738" s="591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 ht="11.25" customHeight="1">
      <c r="A739" s="7"/>
      <c r="B739" s="5"/>
      <c r="C739" s="6"/>
      <c r="D739" s="6"/>
      <c r="E739" s="6"/>
      <c r="F739" s="6"/>
      <c r="G739" s="6"/>
      <c r="H739" s="6"/>
      <c r="I739" s="6"/>
      <c r="J739" s="11"/>
      <c r="K739" s="591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 ht="11.25" customHeight="1">
      <c r="A740" s="7"/>
      <c r="B740" s="5"/>
      <c r="C740" s="6"/>
      <c r="D740" s="6"/>
      <c r="E740" s="6"/>
      <c r="F740" s="6"/>
      <c r="G740" s="6"/>
      <c r="H740" s="6"/>
      <c r="I740" s="6"/>
      <c r="J740" s="11"/>
      <c r="K740" s="591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 ht="11.25" customHeight="1">
      <c r="A741" s="7"/>
      <c r="B741" s="5"/>
      <c r="C741" s="6"/>
      <c r="D741" s="6"/>
      <c r="E741" s="6"/>
      <c r="F741" s="6"/>
      <c r="G741" s="6"/>
      <c r="H741" s="6"/>
      <c r="I741" s="6"/>
      <c r="J741" s="11"/>
      <c r="K741" s="591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 ht="11.25" customHeight="1">
      <c r="A742" s="7"/>
      <c r="B742" s="5"/>
      <c r="C742" s="6"/>
      <c r="D742" s="6"/>
      <c r="E742" s="6"/>
      <c r="F742" s="6"/>
      <c r="G742" s="6"/>
      <c r="H742" s="6"/>
      <c r="I742" s="6"/>
      <c r="J742" s="11"/>
      <c r="K742" s="591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 ht="11.25" customHeight="1">
      <c r="A743" s="7"/>
      <c r="B743" s="5"/>
      <c r="C743" s="6"/>
      <c r="D743" s="6"/>
      <c r="E743" s="6"/>
      <c r="F743" s="6"/>
      <c r="G743" s="6"/>
      <c r="H743" s="6"/>
      <c r="I743" s="6"/>
      <c r="J743" s="11"/>
      <c r="K743" s="591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 ht="11.25" customHeight="1">
      <c r="A744" s="7"/>
      <c r="B744" s="5"/>
      <c r="C744" s="6"/>
      <c r="D744" s="6"/>
      <c r="E744" s="6"/>
      <c r="F744" s="6"/>
      <c r="G744" s="6"/>
      <c r="H744" s="6"/>
      <c r="I744" s="6"/>
      <c r="J744" s="11"/>
      <c r="K744" s="591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 ht="11.25" customHeight="1">
      <c r="A745" s="7"/>
      <c r="B745" s="5"/>
      <c r="C745" s="6"/>
      <c r="D745" s="6"/>
      <c r="E745" s="6"/>
      <c r="F745" s="6"/>
      <c r="G745" s="6"/>
      <c r="H745" s="6"/>
      <c r="I745" s="6"/>
      <c r="J745" s="11"/>
      <c r="K745" s="591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 ht="11.25" customHeight="1">
      <c r="A746" s="7"/>
      <c r="B746" s="5"/>
      <c r="C746" s="6"/>
      <c r="D746" s="6"/>
      <c r="E746" s="6"/>
      <c r="F746" s="6"/>
      <c r="G746" s="6"/>
      <c r="H746" s="6"/>
      <c r="I746" s="6"/>
      <c r="J746" s="11"/>
      <c r="K746" s="591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 ht="11.25" customHeight="1">
      <c r="A747" s="7"/>
      <c r="B747" s="5"/>
      <c r="C747" s="6"/>
      <c r="D747" s="6"/>
      <c r="E747" s="6"/>
      <c r="F747" s="6"/>
      <c r="G747" s="6"/>
      <c r="H747" s="6"/>
      <c r="I747" s="6"/>
      <c r="J747" s="11"/>
      <c r="K747" s="591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 ht="11.25" customHeight="1">
      <c r="A748" s="7"/>
      <c r="B748" s="5"/>
      <c r="C748" s="6"/>
      <c r="D748" s="6"/>
      <c r="E748" s="6"/>
      <c r="F748" s="6"/>
      <c r="G748" s="6"/>
      <c r="H748" s="6"/>
      <c r="I748" s="6"/>
      <c r="J748" s="11"/>
      <c r="K748" s="591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 ht="11.25" customHeight="1">
      <c r="A749" s="7"/>
      <c r="B749" s="5"/>
      <c r="C749" s="6"/>
      <c r="D749" s="6"/>
      <c r="E749" s="6"/>
      <c r="F749" s="6"/>
      <c r="G749" s="6"/>
      <c r="H749" s="6"/>
      <c r="I749" s="6"/>
      <c r="J749" s="11"/>
      <c r="K749" s="591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 ht="11.25" customHeight="1">
      <c r="A750" s="7"/>
      <c r="B750" s="5"/>
      <c r="C750" s="6"/>
      <c r="D750" s="6"/>
      <c r="E750" s="6"/>
      <c r="F750" s="6"/>
      <c r="G750" s="6"/>
      <c r="H750" s="6"/>
      <c r="I750" s="6"/>
      <c r="J750" s="11"/>
      <c r="K750" s="591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 ht="11.25" customHeight="1">
      <c r="A751" s="7"/>
      <c r="B751" s="5"/>
      <c r="C751" s="6"/>
      <c r="D751" s="6"/>
      <c r="E751" s="6"/>
      <c r="F751" s="6"/>
      <c r="G751" s="6"/>
      <c r="H751" s="6"/>
      <c r="I751" s="6"/>
      <c r="J751" s="11"/>
      <c r="K751" s="591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 ht="11.25" customHeight="1">
      <c r="A752" s="7"/>
      <c r="B752" s="5"/>
      <c r="C752" s="6"/>
      <c r="D752" s="6"/>
      <c r="E752" s="6"/>
      <c r="F752" s="6"/>
      <c r="G752" s="6"/>
      <c r="H752" s="6"/>
      <c r="I752" s="6"/>
      <c r="J752" s="11"/>
      <c r="K752" s="591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 ht="11.25" customHeight="1">
      <c r="A753" s="7"/>
      <c r="B753" s="5"/>
      <c r="C753" s="6"/>
      <c r="D753" s="6"/>
      <c r="E753" s="6"/>
      <c r="F753" s="6"/>
      <c r="G753" s="6"/>
      <c r="H753" s="6"/>
      <c r="I753" s="6"/>
      <c r="J753" s="11"/>
      <c r="K753" s="591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 ht="11.25" customHeight="1">
      <c r="A754" s="7"/>
      <c r="B754" s="5"/>
      <c r="C754" s="6"/>
      <c r="D754" s="6"/>
      <c r="E754" s="6"/>
      <c r="F754" s="6"/>
      <c r="G754" s="6"/>
      <c r="H754" s="6"/>
      <c r="I754" s="6"/>
      <c r="J754" s="11"/>
      <c r="K754" s="591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 ht="11.25" customHeight="1">
      <c r="A755" s="7"/>
      <c r="B755" s="5"/>
      <c r="C755" s="6"/>
      <c r="D755" s="6"/>
      <c r="E755" s="6"/>
      <c r="F755" s="6"/>
      <c r="G755" s="6"/>
      <c r="H755" s="6"/>
      <c r="I755" s="6"/>
      <c r="J755" s="11"/>
      <c r="K755" s="591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 ht="11.25" customHeight="1">
      <c r="A756" s="7"/>
      <c r="B756" s="5"/>
      <c r="C756" s="6"/>
      <c r="D756" s="6"/>
      <c r="E756" s="6"/>
      <c r="F756" s="6"/>
      <c r="G756" s="6"/>
      <c r="H756" s="6"/>
      <c r="I756" s="6"/>
      <c r="J756" s="11"/>
      <c r="K756" s="591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 ht="11.25" customHeight="1">
      <c r="A757" s="7"/>
      <c r="B757" s="5"/>
      <c r="C757" s="6"/>
      <c r="D757" s="6"/>
      <c r="E757" s="6"/>
      <c r="F757" s="6"/>
      <c r="G757" s="6"/>
      <c r="H757" s="6"/>
      <c r="I757" s="6"/>
      <c r="J757" s="11"/>
      <c r="K757" s="591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 ht="11.25" customHeight="1">
      <c r="A758" s="7"/>
      <c r="B758" s="5"/>
      <c r="C758" s="6"/>
      <c r="D758" s="6"/>
      <c r="E758" s="6"/>
      <c r="F758" s="6"/>
      <c r="G758" s="6"/>
      <c r="H758" s="6"/>
      <c r="I758" s="6"/>
      <c r="J758" s="11"/>
      <c r="K758" s="591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 ht="11.25" customHeight="1">
      <c r="A759" s="7"/>
      <c r="B759" s="5"/>
      <c r="C759" s="6"/>
      <c r="D759" s="6"/>
      <c r="E759" s="6"/>
      <c r="F759" s="6"/>
      <c r="G759" s="6"/>
      <c r="H759" s="6"/>
      <c r="I759" s="6"/>
      <c r="J759" s="11"/>
      <c r="K759" s="591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 ht="11.25" customHeight="1">
      <c r="A760" s="7"/>
      <c r="B760" s="5"/>
      <c r="C760" s="6"/>
      <c r="D760" s="6"/>
      <c r="E760" s="6"/>
      <c r="F760" s="6"/>
      <c r="G760" s="6"/>
      <c r="H760" s="6"/>
      <c r="I760" s="6"/>
      <c r="J760" s="11"/>
      <c r="K760" s="591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 ht="11.25" customHeight="1">
      <c r="A761" s="7"/>
      <c r="B761" s="5"/>
      <c r="C761" s="6"/>
      <c r="D761" s="6"/>
      <c r="E761" s="6"/>
      <c r="F761" s="6"/>
      <c r="G761" s="6"/>
      <c r="H761" s="6"/>
      <c r="I761" s="6"/>
      <c r="J761" s="11"/>
      <c r="K761" s="591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 ht="11.25" customHeight="1">
      <c r="A762" s="7"/>
      <c r="B762" s="5"/>
      <c r="C762" s="6"/>
      <c r="D762" s="6"/>
      <c r="E762" s="6"/>
      <c r="F762" s="6"/>
      <c r="G762" s="6"/>
      <c r="H762" s="6"/>
      <c r="I762" s="6"/>
      <c r="J762" s="11"/>
      <c r="K762" s="591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 ht="11.25" customHeight="1">
      <c r="A763" s="7"/>
      <c r="B763" s="5"/>
      <c r="C763" s="6"/>
      <c r="D763" s="6"/>
      <c r="E763" s="6"/>
      <c r="F763" s="6"/>
      <c r="G763" s="6"/>
      <c r="H763" s="6"/>
      <c r="I763" s="6"/>
      <c r="J763" s="11"/>
      <c r="K763" s="591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 ht="11.25" customHeight="1">
      <c r="A764" s="7"/>
      <c r="B764" s="5"/>
      <c r="C764" s="6"/>
      <c r="D764" s="6"/>
      <c r="E764" s="6"/>
      <c r="F764" s="6"/>
      <c r="G764" s="6"/>
      <c r="H764" s="6"/>
      <c r="I764" s="6"/>
      <c r="J764" s="11"/>
      <c r="K764" s="591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 ht="11.25" customHeight="1">
      <c r="A765" s="7"/>
      <c r="B765" s="5"/>
      <c r="C765" s="6"/>
      <c r="D765" s="6"/>
      <c r="E765" s="6"/>
      <c r="F765" s="6"/>
      <c r="G765" s="6"/>
      <c r="H765" s="6"/>
      <c r="I765" s="6"/>
      <c r="J765" s="11"/>
      <c r="K765" s="591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 ht="11.25" customHeight="1">
      <c r="A766" s="7"/>
      <c r="B766" s="5"/>
      <c r="C766" s="6"/>
      <c r="D766" s="6"/>
      <c r="E766" s="6"/>
      <c r="F766" s="6"/>
      <c r="G766" s="6"/>
      <c r="H766" s="6"/>
      <c r="I766" s="6"/>
      <c r="J766" s="11"/>
      <c r="K766" s="591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 ht="11.25" customHeight="1">
      <c r="A767" s="7"/>
      <c r="B767" s="5"/>
      <c r="C767" s="6"/>
      <c r="D767" s="6"/>
      <c r="E767" s="6"/>
      <c r="F767" s="6"/>
      <c r="G767" s="6"/>
      <c r="H767" s="6"/>
      <c r="I767" s="6"/>
      <c r="J767" s="11"/>
      <c r="K767" s="591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 ht="11.25" customHeight="1">
      <c r="A768" s="7"/>
      <c r="B768" s="5"/>
      <c r="C768" s="6"/>
      <c r="D768" s="6"/>
      <c r="E768" s="6"/>
      <c r="F768" s="6"/>
      <c r="G768" s="6"/>
      <c r="H768" s="6"/>
      <c r="I768" s="6"/>
      <c r="J768" s="11"/>
      <c r="K768" s="591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 ht="11.25" customHeight="1">
      <c r="A769" s="7"/>
      <c r="B769" s="5"/>
      <c r="C769" s="6"/>
      <c r="D769" s="6"/>
      <c r="E769" s="6"/>
      <c r="F769" s="6"/>
      <c r="G769" s="6"/>
      <c r="H769" s="6"/>
      <c r="I769" s="6"/>
      <c r="J769" s="11"/>
      <c r="K769" s="591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 ht="11.25" customHeight="1">
      <c r="A770" s="7"/>
      <c r="B770" s="5"/>
      <c r="C770" s="6"/>
      <c r="D770" s="6"/>
      <c r="E770" s="6"/>
      <c r="F770" s="6"/>
      <c r="G770" s="6"/>
      <c r="H770" s="6"/>
      <c r="I770" s="6"/>
      <c r="J770" s="11"/>
      <c r="K770" s="591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 ht="11.25" customHeight="1">
      <c r="A771" s="7"/>
      <c r="B771" s="5"/>
      <c r="C771" s="6"/>
      <c r="D771" s="6"/>
      <c r="E771" s="6"/>
      <c r="F771" s="6"/>
      <c r="G771" s="6"/>
      <c r="H771" s="6"/>
      <c r="I771" s="6"/>
      <c r="J771" s="11"/>
      <c r="K771" s="591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 ht="11.25" customHeight="1">
      <c r="A772" s="7"/>
      <c r="B772" s="5"/>
      <c r="C772" s="6"/>
      <c r="D772" s="6"/>
      <c r="E772" s="6"/>
      <c r="F772" s="6"/>
      <c r="G772" s="6"/>
      <c r="H772" s="6"/>
      <c r="I772" s="6"/>
      <c r="J772" s="11"/>
      <c r="K772" s="591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 ht="11.25" customHeight="1">
      <c r="A773" s="7"/>
      <c r="B773" s="5"/>
      <c r="C773" s="6"/>
      <c r="D773" s="6"/>
      <c r="E773" s="6"/>
      <c r="F773" s="6"/>
      <c r="G773" s="6"/>
      <c r="H773" s="6"/>
      <c r="I773" s="6"/>
      <c r="J773" s="11"/>
      <c r="K773" s="591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 ht="11.25" customHeight="1">
      <c r="A774" s="7"/>
      <c r="B774" s="5"/>
      <c r="C774" s="6"/>
      <c r="D774" s="6"/>
      <c r="E774" s="6"/>
      <c r="F774" s="6"/>
      <c r="G774" s="6"/>
      <c r="H774" s="6"/>
      <c r="I774" s="6"/>
      <c r="J774" s="11"/>
      <c r="K774" s="591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 ht="11.25" customHeight="1">
      <c r="A775" s="7"/>
      <c r="B775" s="5"/>
      <c r="C775" s="6"/>
      <c r="D775" s="6"/>
      <c r="E775" s="6"/>
      <c r="F775" s="6"/>
      <c r="G775" s="6"/>
      <c r="H775" s="6"/>
      <c r="I775" s="6"/>
      <c r="J775" s="11"/>
      <c r="K775" s="591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 ht="11.25" customHeight="1">
      <c r="A776" s="7"/>
      <c r="B776" s="5"/>
      <c r="C776" s="6"/>
      <c r="D776" s="6"/>
      <c r="E776" s="6"/>
      <c r="F776" s="6"/>
      <c r="G776" s="6"/>
      <c r="H776" s="6"/>
      <c r="I776" s="6"/>
      <c r="J776" s="11"/>
      <c r="K776" s="591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 ht="11.25" customHeight="1">
      <c r="A777" s="7"/>
      <c r="B777" s="5"/>
      <c r="C777" s="6"/>
      <c r="D777" s="6"/>
      <c r="E777" s="6"/>
      <c r="F777" s="6"/>
      <c r="G777" s="6"/>
      <c r="H777" s="6"/>
      <c r="I777" s="6"/>
      <c r="J777" s="11"/>
      <c r="K777" s="591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 ht="11.25" customHeight="1">
      <c r="A778" s="7"/>
      <c r="B778" s="5"/>
      <c r="C778" s="6"/>
      <c r="D778" s="6"/>
      <c r="E778" s="6"/>
      <c r="F778" s="6"/>
      <c r="G778" s="6"/>
      <c r="H778" s="6"/>
      <c r="I778" s="6"/>
      <c r="J778" s="11"/>
      <c r="K778" s="591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 ht="11.25" customHeight="1">
      <c r="A779" s="7"/>
      <c r="B779" s="5"/>
      <c r="C779" s="6"/>
      <c r="D779" s="6"/>
      <c r="E779" s="6"/>
      <c r="F779" s="6"/>
      <c r="G779" s="6"/>
      <c r="H779" s="6"/>
      <c r="I779" s="6"/>
      <c r="J779" s="11"/>
      <c r="K779" s="591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 ht="11.25" customHeight="1">
      <c r="A780" s="7"/>
      <c r="B780" s="5"/>
      <c r="C780" s="6"/>
      <c r="D780" s="6"/>
      <c r="E780" s="6"/>
      <c r="F780" s="6"/>
      <c r="G780" s="6"/>
      <c r="H780" s="6"/>
      <c r="I780" s="6"/>
      <c r="J780" s="11"/>
      <c r="K780" s="591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 ht="11.25" customHeight="1">
      <c r="A781" s="7"/>
      <c r="B781" s="5"/>
      <c r="C781" s="6"/>
      <c r="D781" s="6"/>
      <c r="E781" s="6"/>
      <c r="F781" s="6"/>
      <c r="G781" s="6"/>
      <c r="H781" s="6"/>
      <c r="I781" s="6"/>
      <c r="J781" s="11"/>
      <c r="K781" s="591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 ht="11.25" customHeight="1">
      <c r="A782" s="7"/>
      <c r="B782" s="5"/>
      <c r="C782" s="6"/>
      <c r="D782" s="6"/>
      <c r="E782" s="6"/>
      <c r="F782" s="6"/>
      <c r="G782" s="6"/>
      <c r="H782" s="6"/>
      <c r="I782" s="6"/>
      <c r="J782" s="11"/>
      <c r="K782" s="591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 ht="11.25" customHeight="1">
      <c r="A783" s="7"/>
      <c r="B783" s="5"/>
      <c r="C783" s="6"/>
      <c r="D783" s="6"/>
      <c r="E783" s="6"/>
      <c r="F783" s="6"/>
      <c r="G783" s="6"/>
      <c r="H783" s="6"/>
      <c r="I783" s="6"/>
      <c r="J783" s="11"/>
      <c r="K783" s="591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 ht="11.25" customHeight="1">
      <c r="A784" s="7"/>
      <c r="B784" s="5"/>
      <c r="C784" s="6"/>
      <c r="D784" s="6"/>
      <c r="E784" s="6"/>
      <c r="F784" s="6"/>
      <c r="G784" s="6"/>
      <c r="H784" s="6"/>
      <c r="I784" s="6"/>
      <c r="J784" s="11"/>
      <c r="K784" s="591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 ht="11.25" customHeight="1">
      <c r="A785" s="7"/>
      <c r="B785" s="5"/>
      <c r="C785" s="6"/>
      <c r="D785" s="6"/>
      <c r="E785" s="6"/>
      <c r="F785" s="6"/>
      <c r="G785" s="6"/>
      <c r="H785" s="6"/>
      <c r="I785" s="6"/>
      <c r="J785" s="11"/>
      <c r="K785" s="591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 ht="11.25" customHeight="1">
      <c r="A786" s="7"/>
      <c r="B786" s="5"/>
      <c r="C786" s="6"/>
      <c r="D786" s="6"/>
      <c r="E786" s="6"/>
      <c r="F786" s="6"/>
      <c r="G786" s="6"/>
      <c r="H786" s="6"/>
      <c r="I786" s="6"/>
      <c r="J786" s="11"/>
      <c r="K786" s="591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 ht="11.25" customHeight="1">
      <c r="A787" s="7"/>
      <c r="B787" s="5"/>
      <c r="C787" s="6"/>
      <c r="D787" s="6"/>
      <c r="E787" s="6"/>
      <c r="F787" s="6"/>
      <c r="G787" s="6"/>
      <c r="H787" s="6"/>
      <c r="I787" s="6"/>
      <c r="J787" s="11"/>
      <c r="K787" s="591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 ht="11.25" customHeight="1">
      <c r="A788" s="7"/>
      <c r="B788" s="5"/>
      <c r="C788" s="6"/>
      <c r="D788" s="6"/>
      <c r="E788" s="6"/>
      <c r="F788" s="6"/>
      <c r="G788" s="6"/>
      <c r="H788" s="6"/>
      <c r="I788" s="6"/>
      <c r="J788" s="11"/>
      <c r="K788" s="591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 ht="11.25" customHeight="1">
      <c r="A789" s="7"/>
      <c r="B789" s="5"/>
      <c r="C789" s="6"/>
      <c r="D789" s="6"/>
      <c r="E789" s="6"/>
      <c r="F789" s="6"/>
      <c r="G789" s="6"/>
      <c r="H789" s="6"/>
      <c r="I789" s="6"/>
      <c r="J789" s="11"/>
      <c r="K789" s="591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 ht="11.25" customHeight="1">
      <c r="A790" s="7"/>
      <c r="B790" s="5"/>
      <c r="C790" s="6"/>
      <c r="D790" s="6"/>
      <c r="E790" s="6"/>
      <c r="F790" s="6"/>
      <c r="G790" s="6"/>
      <c r="H790" s="6"/>
      <c r="I790" s="6"/>
      <c r="J790" s="11"/>
      <c r="K790" s="591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 ht="11.25" customHeight="1">
      <c r="A791" s="7"/>
      <c r="B791" s="5"/>
      <c r="C791" s="6"/>
      <c r="D791" s="6"/>
      <c r="E791" s="6"/>
      <c r="F791" s="6"/>
      <c r="G791" s="6"/>
      <c r="H791" s="6"/>
      <c r="I791" s="6"/>
      <c r="J791" s="11"/>
      <c r="K791" s="591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 ht="11.25" customHeight="1">
      <c r="A792" s="7"/>
      <c r="B792" s="5"/>
      <c r="C792" s="6"/>
      <c r="D792" s="6"/>
      <c r="E792" s="6"/>
      <c r="F792" s="6"/>
      <c r="G792" s="6"/>
      <c r="H792" s="6"/>
      <c r="I792" s="6"/>
      <c r="J792" s="11"/>
      <c r="K792" s="591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 ht="11.25" customHeight="1">
      <c r="A793" s="7"/>
      <c r="B793" s="5"/>
      <c r="C793" s="6"/>
      <c r="D793" s="6"/>
      <c r="E793" s="6"/>
      <c r="F793" s="6"/>
      <c r="G793" s="6"/>
      <c r="H793" s="6"/>
      <c r="I793" s="6"/>
      <c r="J793" s="11"/>
      <c r="K793" s="591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 ht="11.25" customHeight="1">
      <c r="A794" s="7"/>
      <c r="B794" s="5"/>
      <c r="C794" s="6"/>
      <c r="D794" s="6"/>
      <c r="E794" s="6"/>
      <c r="F794" s="6"/>
      <c r="G794" s="6"/>
      <c r="H794" s="6"/>
      <c r="I794" s="6"/>
      <c r="J794" s="11"/>
      <c r="K794" s="591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 ht="11.25" customHeight="1">
      <c r="A795" s="7"/>
      <c r="B795" s="5"/>
      <c r="C795" s="6"/>
      <c r="D795" s="6"/>
      <c r="E795" s="6"/>
      <c r="F795" s="6"/>
      <c r="G795" s="6"/>
      <c r="H795" s="6"/>
      <c r="I795" s="6"/>
      <c r="J795" s="11"/>
      <c r="K795" s="591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 ht="11.25" customHeight="1">
      <c r="A796" s="7"/>
      <c r="B796" s="5"/>
      <c r="C796" s="6"/>
      <c r="D796" s="6"/>
      <c r="E796" s="6"/>
      <c r="F796" s="6"/>
      <c r="G796" s="6"/>
      <c r="H796" s="6"/>
      <c r="I796" s="6"/>
      <c r="J796" s="11"/>
      <c r="K796" s="591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 ht="11.25" customHeight="1">
      <c r="A797" s="7"/>
      <c r="B797" s="5"/>
      <c r="C797" s="6"/>
      <c r="D797" s="6"/>
      <c r="E797" s="6"/>
      <c r="F797" s="6"/>
      <c r="G797" s="6"/>
      <c r="H797" s="6"/>
      <c r="I797" s="6"/>
      <c r="J797" s="11"/>
      <c r="K797" s="591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 ht="11.25" customHeight="1">
      <c r="A798" s="7"/>
      <c r="B798" s="5"/>
      <c r="C798" s="6"/>
      <c r="D798" s="6"/>
      <c r="E798" s="6"/>
      <c r="F798" s="6"/>
      <c r="G798" s="6"/>
      <c r="H798" s="6"/>
      <c r="I798" s="6"/>
      <c r="J798" s="11"/>
      <c r="K798" s="591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 ht="11.25" customHeight="1">
      <c r="A799" s="7"/>
      <c r="B799" s="5"/>
      <c r="C799" s="6"/>
      <c r="D799" s="6"/>
      <c r="E799" s="6"/>
      <c r="F799" s="6"/>
      <c r="G799" s="6"/>
      <c r="H799" s="6"/>
      <c r="I799" s="6"/>
      <c r="J799" s="11"/>
      <c r="K799" s="591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 ht="11.25" customHeight="1">
      <c r="A800" s="7"/>
      <c r="B800" s="5"/>
      <c r="C800" s="6"/>
      <c r="D800" s="6"/>
      <c r="E800" s="6"/>
      <c r="F800" s="6"/>
      <c r="G800" s="6"/>
      <c r="H800" s="6"/>
      <c r="I800" s="6"/>
      <c r="J800" s="11"/>
      <c r="K800" s="591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 ht="11.25" customHeight="1">
      <c r="A801" s="7"/>
      <c r="B801" s="5"/>
      <c r="C801" s="6"/>
      <c r="D801" s="6"/>
      <c r="E801" s="6"/>
      <c r="F801" s="6"/>
      <c r="G801" s="6"/>
      <c r="H801" s="6"/>
      <c r="I801" s="6"/>
      <c r="J801" s="11"/>
      <c r="K801" s="591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 ht="11.25" customHeight="1">
      <c r="A802" s="7"/>
      <c r="B802" s="5"/>
      <c r="C802" s="6"/>
      <c r="D802" s="6"/>
      <c r="E802" s="6"/>
      <c r="F802" s="6"/>
      <c r="G802" s="6"/>
      <c r="H802" s="6"/>
      <c r="I802" s="6"/>
      <c r="J802" s="11"/>
      <c r="K802" s="591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 ht="11.25" customHeight="1">
      <c r="A803" s="7"/>
      <c r="B803" s="5"/>
      <c r="C803" s="6"/>
      <c r="D803" s="6"/>
      <c r="E803" s="6"/>
      <c r="F803" s="6"/>
      <c r="G803" s="6"/>
      <c r="H803" s="6"/>
      <c r="I803" s="6"/>
      <c r="J803" s="11"/>
      <c r="K803" s="591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 ht="11.25" customHeight="1">
      <c r="A804" s="7"/>
      <c r="B804" s="5"/>
      <c r="C804" s="6"/>
      <c r="D804" s="6"/>
      <c r="E804" s="6"/>
      <c r="F804" s="6"/>
      <c r="G804" s="6"/>
      <c r="H804" s="6"/>
      <c r="I804" s="6"/>
      <c r="J804" s="11"/>
      <c r="K804" s="591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 ht="11.25" customHeight="1">
      <c r="A805" s="7"/>
      <c r="B805" s="5"/>
      <c r="C805" s="6"/>
      <c r="D805" s="6"/>
      <c r="E805" s="6"/>
      <c r="F805" s="6"/>
      <c r="G805" s="6"/>
      <c r="H805" s="6"/>
      <c r="I805" s="6"/>
      <c r="J805" s="11"/>
      <c r="K805" s="591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 ht="11.25" customHeight="1">
      <c r="A806" s="7"/>
      <c r="B806" s="5"/>
      <c r="C806" s="6"/>
      <c r="D806" s="6"/>
      <c r="E806" s="6"/>
      <c r="F806" s="6"/>
      <c r="G806" s="6"/>
      <c r="H806" s="6"/>
      <c r="I806" s="6"/>
      <c r="J806" s="11"/>
      <c r="K806" s="591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 ht="11.25" customHeight="1">
      <c r="A807" s="7"/>
      <c r="B807" s="5"/>
      <c r="C807" s="6"/>
      <c r="D807" s="6"/>
      <c r="E807" s="6"/>
      <c r="F807" s="6"/>
      <c r="G807" s="6"/>
      <c r="H807" s="6"/>
      <c r="I807" s="6"/>
      <c r="J807" s="11"/>
      <c r="K807" s="591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 ht="11.25" customHeight="1">
      <c r="A808" s="7"/>
      <c r="B808" s="5"/>
      <c r="C808" s="6"/>
      <c r="D808" s="6"/>
      <c r="E808" s="6"/>
      <c r="F808" s="6"/>
      <c r="G808" s="6"/>
      <c r="H808" s="6"/>
      <c r="I808" s="6"/>
      <c r="J808" s="11"/>
      <c r="K808" s="591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 ht="11.25" customHeight="1">
      <c r="A809" s="7"/>
      <c r="B809" s="5"/>
      <c r="C809" s="6"/>
      <c r="D809" s="6"/>
      <c r="E809" s="6"/>
      <c r="F809" s="6"/>
      <c r="G809" s="6"/>
      <c r="H809" s="6"/>
      <c r="I809" s="6"/>
      <c r="J809" s="11"/>
      <c r="K809" s="591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 ht="11.25" customHeight="1">
      <c r="A810" s="7"/>
      <c r="B810" s="5"/>
      <c r="C810" s="6"/>
      <c r="D810" s="6"/>
      <c r="E810" s="6"/>
      <c r="F810" s="6"/>
      <c r="G810" s="6"/>
      <c r="H810" s="6"/>
      <c r="I810" s="6"/>
      <c r="J810" s="11"/>
      <c r="K810" s="591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 ht="11.25" customHeight="1">
      <c r="A811" s="7"/>
      <c r="B811" s="5"/>
      <c r="C811" s="6"/>
      <c r="D811" s="6"/>
      <c r="E811" s="6"/>
      <c r="F811" s="6"/>
      <c r="G811" s="6"/>
      <c r="H811" s="6"/>
      <c r="I811" s="6"/>
      <c r="J811" s="11"/>
      <c r="K811" s="591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 ht="11.25" customHeight="1">
      <c r="A812" s="7"/>
      <c r="B812" s="5"/>
      <c r="C812" s="6"/>
      <c r="D812" s="6"/>
      <c r="E812" s="6"/>
      <c r="F812" s="6"/>
      <c r="G812" s="6"/>
      <c r="H812" s="6"/>
      <c r="I812" s="6"/>
      <c r="J812" s="11"/>
      <c r="K812" s="591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 ht="11.25" customHeight="1">
      <c r="A813" s="7"/>
      <c r="B813" s="5"/>
      <c r="C813" s="6"/>
      <c r="D813" s="6"/>
      <c r="E813" s="6"/>
      <c r="F813" s="6"/>
      <c r="G813" s="6"/>
      <c r="H813" s="6"/>
      <c r="I813" s="6"/>
      <c r="J813" s="11"/>
      <c r="K813" s="591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 ht="11.25" customHeight="1">
      <c r="A814" s="7"/>
      <c r="B814" s="5"/>
      <c r="C814" s="6"/>
      <c r="D814" s="6"/>
      <c r="E814" s="6"/>
      <c r="F814" s="6"/>
      <c r="G814" s="6"/>
      <c r="H814" s="6"/>
      <c r="I814" s="6"/>
      <c r="J814" s="11"/>
      <c r="K814" s="591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 ht="11.25" customHeight="1">
      <c r="A815" s="7"/>
      <c r="B815" s="5"/>
      <c r="C815" s="6"/>
      <c r="D815" s="6"/>
      <c r="E815" s="6"/>
      <c r="F815" s="6"/>
      <c r="G815" s="6"/>
      <c r="H815" s="6"/>
      <c r="I815" s="6"/>
      <c r="J815" s="11"/>
      <c r="K815" s="591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 ht="11.25" customHeight="1">
      <c r="A816" s="7"/>
      <c r="B816" s="5"/>
      <c r="C816" s="6"/>
      <c r="D816" s="6"/>
      <c r="E816" s="6"/>
      <c r="F816" s="6"/>
      <c r="G816" s="6"/>
      <c r="H816" s="6"/>
      <c r="I816" s="6"/>
      <c r="J816" s="11"/>
      <c r="K816" s="591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 ht="11.25" customHeight="1">
      <c r="A817" s="7"/>
      <c r="B817" s="5"/>
      <c r="C817" s="6"/>
      <c r="D817" s="6"/>
      <c r="E817" s="6"/>
      <c r="F817" s="6"/>
      <c r="G817" s="6"/>
      <c r="H817" s="6"/>
      <c r="I817" s="6"/>
      <c r="J817" s="11"/>
      <c r="K817" s="591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 ht="11.25" customHeight="1">
      <c r="A818" s="7"/>
      <c r="B818" s="5"/>
      <c r="C818" s="6"/>
      <c r="D818" s="6"/>
      <c r="E818" s="6"/>
      <c r="F818" s="6"/>
      <c r="G818" s="6"/>
      <c r="H818" s="6"/>
      <c r="I818" s="6"/>
      <c r="J818" s="11"/>
      <c r="K818" s="591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 ht="11.25" customHeight="1">
      <c r="A819" s="7"/>
      <c r="B819" s="5"/>
      <c r="C819" s="6"/>
      <c r="D819" s="6"/>
      <c r="E819" s="6"/>
      <c r="F819" s="6"/>
      <c r="G819" s="6"/>
      <c r="H819" s="6"/>
      <c r="I819" s="6"/>
      <c r="J819" s="11"/>
      <c r="K819" s="591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 ht="11.25" customHeight="1">
      <c r="A820" s="7"/>
      <c r="B820" s="5"/>
      <c r="C820" s="6"/>
      <c r="D820" s="6"/>
      <c r="E820" s="6"/>
      <c r="F820" s="6"/>
      <c r="G820" s="6"/>
      <c r="H820" s="6"/>
      <c r="I820" s="6"/>
      <c r="J820" s="11"/>
      <c r="K820" s="591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 ht="11.25" customHeight="1">
      <c r="A821" s="7"/>
      <c r="B821" s="5"/>
      <c r="C821" s="6"/>
      <c r="D821" s="6"/>
      <c r="E821" s="6"/>
      <c r="F821" s="6"/>
      <c r="G821" s="6"/>
      <c r="H821" s="6"/>
      <c r="I821" s="6"/>
      <c r="J821" s="11"/>
      <c r="K821" s="591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 ht="11.25" customHeight="1">
      <c r="A822" s="7"/>
      <c r="B822" s="5"/>
      <c r="C822" s="6"/>
      <c r="D822" s="6"/>
      <c r="E822" s="6"/>
      <c r="F822" s="6"/>
      <c r="G822" s="6"/>
      <c r="H822" s="6"/>
      <c r="I822" s="6"/>
      <c r="J822" s="11"/>
      <c r="K822" s="591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 ht="11.25" customHeight="1">
      <c r="A823" s="7"/>
      <c r="B823" s="5"/>
      <c r="C823" s="6"/>
      <c r="D823" s="6"/>
      <c r="E823" s="6"/>
      <c r="F823" s="6"/>
      <c r="G823" s="6"/>
      <c r="H823" s="6"/>
      <c r="I823" s="6"/>
      <c r="J823" s="11"/>
      <c r="K823" s="591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 ht="11.25" customHeight="1">
      <c r="A824" s="7"/>
      <c r="B824" s="5"/>
      <c r="C824" s="6"/>
      <c r="D824" s="6"/>
      <c r="E824" s="6"/>
      <c r="F824" s="6"/>
      <c r="G824" s="6"/>
      <c r="H824" s="6"/>
      <c r="I824" s="6"/>
      <c r="J824" s="11"/>
      <c r="K824" s="591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 ht="11.25" customHeight="1">
      <c r="A825" s="7"/>
      <c r="B825" s="5"/>
      <c r="C825" s="6"/>
      <c r="D825" s="6"/>
      <c r="E825" s="6"/>
      <c r="F825" s="6"/>
      <c r="G825" s="6"/>
      <c r="H825" s="6"/>
      <c r="I825" s="6"/>
      <c r="J825" s="11"/>
      <c r="K825" s="591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 ht="11.25" customHeight="1">
      <c r="A826" s="7"/>
      <c r="B826" s="5"/>
      <c r="C826" s="6"/>
      <c r="D826" s="6"/>
      <c r="E826" s="6"/>
      <c r="F826" s="6"/>
      <c r="G826" s="6"/>
      <c r="H826" s="6"/>
      <c r="I826" s="6"/>
      <c r="J826" s="11"/>
      <c r="K826" s="591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 ht="11.25" customHeight="1">
      <c r="A827" s="7"/>
      <c r="B827" s="5"/>
      <c r="C827" s="6"/>
      <c r="D827" s="6"/>
      <c r="E827" s="6"/>
      <c r="F827" s="6"/>
      <c r="G827" s="6"/>
      <c r="H827" s="6"/>
      <c r="I827" s="6"/>
      <c r="J827" s="11"/>
      <c r="K827" s="591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 ht="11.25" customHeight="1">
      <c r="A828" s="7"/>
      <c r="B828" s="5"/>
      <c r="C828" s="6"/>
      <c r="D828" s="6"/>
      <c r="E828" s="6"/>
      <c r="F828" s="6"/>
      <c r="G828" s="6"/>
      <c r="H828" s="6"/>
      <c r="I828" s="6"/>
      <c r="J828" s="11"/>
      <c r="K828" s="591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 ht="11.25" customHeight="1">
      <c r="A829" s="7"/>
      <c r="B829" s="5"/>
      <c r="C829" s="6"/>
      <c r="D829" s="6"/>
      <c r="E829" s="6"/>
      <c r="F829" s="6"/>
      <c r="G829" s="6"/>
      <c r="H829" s="6"/>
      <c r="I829" s="6"/>
      <c r="J829" s="11"/>
      <c r="K829" s="591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 ht="11.25" customHeight="1">
      <c r="A830" s="7"/>
      <c r="B830" s="5"/>
      <c r="C830" s="6"/>
      <c r="D830" s="6"/>
      <c r="E830" s="6"/>
      <c r="F830" s="6"/>
      <c r="G830" s="6"/>
      <c r="H830" s="6"/>
      <c r="I830" s="6"/>
      <c r="J830" s="11"/>
      <c r="K830" s="591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 ht="11.25" customHeight="1">
      <c r="A831" s="7"/>
      <c r="B831" s="5"/>
      <c r="C831" s="6"/>
      <c r="D831" s="6"/>
      <c r="E831" s="6"/>
      <c r="F831" s="6"/>
      <c r="G831" s="6"/>
      <c r="H831" s="6"/>
      <c r="I831" s="6"/>
      <c r="J831" s="11"/>
      <c r="K831" s="591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 ht="11.25" customHeight="1">
      <c r="A832" s="7"/>
      <c r="B832" s="5"/>
      <c r="C832" s="6"/>
      <c r="D832" s="6"/>
      <c r="E832" s="6"/>
      <c r="F832" s="6"/>
      <c r="G832" s="6"/>
      <c r="H832" s="6"/>
      <c r="I832" s="6"/>
      <c r="J832" s="11"/>
      <c r="K832" s="591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 ht="11.25" customHeight="1">
      <c r="A833" s="7"/>
      <c r="B833" s="5"/>
      <c r="C833" s="6"/>
      <c r="D833" s="6"/>
      <c r="E833" s="6"/>
      <c r="F833" s="6"/>
      <c r="G833" s="6"/>
      <c r="H833" s="6"/>
      <c r="I833" s="6"/>
      <c r="J833" s="11"/>
      <c r="K833" s="591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 ht="11.25" customHeight="1">
      <c r="A834" s="7"/>
      <c r="B834" s="5"/>
      <c r="C834" s="6"/>
      <c r="D834" s="6"/>
      <c r="E834" s="6"/>
      <c r="F834" s="6"/>
      <c r="G834" s="6"/>
      <c r="H834" s="6"/>
      <c r="I834" s="6"/>
      <c r="J834" s="11"/>
      <c r="K834" s="591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 ht="11.25" customHeight="1">
      <c r="A835" s="7"/>
      <c r="B835" s="5"/>
      <c r="C835" s="6"/>
      <c r="D835" s="6"/>
      <c r="E835" s="6"/>
      <c r="F835" s="6"/>
      <c r="G835" s="6"/>
      <c r="H835" s="6"/>
      <c r="I835" s="6"/>
      <c r="J835" s="11"/>
      <c r="K835" s="591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 ht="11.25" customHeight="1">
      <c r="A836" s="7"/>
      <c r="B836" s="5"/>
      <c r="C836" s="6"/>
      <c r="D836" s="6"/>
      <c r="E836" s="6"/>
      <c r="F836" s="6"/>
      <c r="G836" s="6"/>
      <c r="H836" s="6"/>
      <c r="I836" s="6"/>
      <c r="J836" s="11"/>
      <c r="K836" s="591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 ht="11.25" customHeight="1">
      <c r="A837" s="7"/>
      <c r="B837" s="5"/>
      <c r="C837" s="6"/>
      <c r="D837" s="6"/>
      <c r="E837" s="6"/>
      <c r="F837" s="6"/>
      <c r="G837" s="6"/>
      <c r="H837" s="6"/>
      <c r="I837" s="6"/>
      <c r="J837" s="11"/>
      <c r="K837" s="591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 ht="11.25" customHeight="1">
      <c r="A838" s="7"/>
      <c r="B838" s="5"/>
      <c r="C838" s="6"/>
      <c r="D838" s="6"/>
      <c r="E838" s="6"/>
      <c r="F838" s="6"/>
      <c r="G838" s="6"/>
      <c r="H838" s="6"/>
      <c r="I838" s="6"/>
      <c r="J838" s="11"/>
      <c r="K838" s="591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 ht="11.25" customHeight="1">
      <c r="A839" s="7"/>
      <c r="B839" s="5"/>
      <c r="C839" s="6"/>
      <c r="D839" s="6"/>
      <c r="E839" s="6"/>
      <c r="F839" s="6"/>
      <c r="G839" s="6"/>
      <c r="H839" s="6"/>
      <c r="I839" s="6"/>
      <c r="J839" s="11"/>
      <c r="K839" s="591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 ht="11.25" customHeight="1">
      <c r="A840" s="7"/>
      <c r="B840" s="5"/>
      <c r="C840" s="6"/>
      <c r="D840" s="6"/>
      <c r="E840" s="6"/>
      <c r="F840" s="6"/>
      <c r="G840" s="6"/>
      <c r="H840" s="6"/>
      <c r="I840" s="6"/>
      <c r="J840" s="11"/>
      <c r="K840" s="591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 ht="11.25" customHeight="1">
      <c r="A841" s="7"/>
      <c r="B841" s="5"/>
      <c r="C841" s="6"/>
      <c r="D841" s="6"/>
      <c r="E841" s="6"/>
      <c r="F841" s="6"/>
      <c r="G841" s="6"/>
      <c r="H841" s="6"/>
      <c r="I841" s="6"/>
      <c r="J841" s="11"/>
      <c r="K841" s="591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 ht="11.25" customHeight="1">
      <c r="A842" s="7"/>
      <c r="B842" s="5"/>
      <c r="C842" s="6"/>
      <c r="D842" s="6"/>
      <c r="E842" s="6"/>
      <c r="F842" s="6"/>
      <c r="G842" s="6"/>
      <c r="H842" s="6"/>
      <c r="I842" s="6"/>
      <c r="J842" s="11"/>
      <c r="K842" s="591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 ht="11.25" customHeight="1">
      <c r="A843" s="7"/>
      <c r="B843" s="5"/>
      <c r="C843" s="6"/>
      <c r="D843" s="6"/>
      <c r="E843" s="6"/>
      <c r="F843" s="6"/>
      <c r="G843" s="6"/>
      <c r="H843" s="6"/>
      <c r="I843" s="6"/>
      <c r="J843" s="11"/>
      <c r="K843" s="591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 ht="11.25" customHeight="1">
      <c r="A844" s="7"/>
      <c r="B844" s="5"/>
      <c r="C844" s="6"/>
      <c r="D844" s="6"/>
      <c r="E844" s="6"/>
      <c r="F844" s="6"/>
      <c r="G844" s="6"/>
      <c r="H844" s="6"/>
      <c r="I844" s="6"/>
      <c r="J844" s="11"/>
      <c r="K844" s="591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 ht="11.25" customHeight="1">
      <c r="A845" s="7"/>
      <c r="B845" s="5"/>
      <c r="C845" s="6"/>
      <c r="D845" s="6"/>
      <c r="E845" s="6"/>
      <c r="F845" s="6"/>
      <c r="G845" s="6"/>
      <c r="H845" s="6"/>
      <c r="I845" s="6"/>
      <c r="J845" s="11"/>
      <c r="K845" s="591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 ht="11.25" customHeight="1">
      <c r="A846" s="7"/>
      <c r="B846" s="5"/>
      <c r="C846" s="6"/>
      <c r="D846" s="6"/>
      <c r="E846" s="6"/>
      <c r="F846" s="6"/>
      <c r="G846" s="6"/>
      <c r="H846" s="6"/>
      <c r="I846" s="6"/>
      <c r="J846" s="11"/>
      <c r="K846" s="591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 ht="11.25" customHeight="1">
      <c r="A847" s="7"/>
      <c r="B847" s="5"/>
      <c r="C847" s="6"/>
      <c r="D847" s="6"/>
      <c r="E847" s="6"/>
      <c r="F847" s="6"/>
      <c r="G847" s="6"/>
      <c r="H847" s="6"/>
      <c r="I847" s="6"/>
      <c r="J847" s="11"/>
      <c r="K847" s="591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 ht="11.25" customHeight="1">
      <c r="A848" s="7"/>
      <c r="B848" s="5"/>
      <c r="C848" s="6"/>
      <c r="D848" s="6"/>
      <c r="E848" s="6"/>
      <c r="F848" s="6"/>
      <c r="G848" s="6"/>
      <c r="H848" s="6"/>
      <c r="I848" s="6"/>
      <c r="J848" s="11"/>
      <c r="K848" s="591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 ht="11.25" customHeight="1">
      <c r="A849" s="7"/>
      <c r="B849" s="5"/>
      <c r="C849" s="6"/>
      <c r="D849" s="6"/>
      <c r="E849" s="6"/>
      <c r="F849" s="6"/>
      <c r="G849" s="6"/>
      <c r="H849" s="6"/>
      <c r="I849" s="6"/>
      <c r="J849" s="11"/>
      <c r="K849" s="591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 ht="11.25" customHeight="1">
      <c r="A850" s="7"/>
      <c r="B850" s="5"/>
      <c r="C850" s="6"/>
      <c r="D850" s="6"/>
      <c r="E850" s="6"/>
      <c r="F850" s="6"/>
      <c r="G850" s="6"/>
      <c r="H850" s="6"/>
      <c r="I850" s="6"/>
      <c r="J850" s="11"/>
      <c r="K850" s="591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 ht="11.25" customHeight="1">
      <c r="A851" s="7"/>
      <c r="B851" s="5"/>
      <c r="C851" s="6"/>
      <c r="D851" s="6"/>
      <c r="E851" s="6"/>
      <c r="F851" s="6"/>
      <c r="G851" s="6"/>
      <c r="H851" s="6"/>
      <c r="I851" s="6"/>
      <c r="J851" s="11"/>
      <c r="K851" s="591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 ht="11.25" customHeight="1">
      <c r="A852" s="7"/>
      <c r="B852" s="5"/>
      <c r="C852" s="6"/>
      <c r="D852" s="6"/>
      <c r="E852" s="6"/>
      <c r="F852" s="6"/>
      <c r="G852" s="6"/>
      <c r="H852" s="6"/>
      <c r="I852" s="6"/>
      <c r="J852" s="11"/>
      <c r="K852" s="591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 ht="11.25" customHeight="1">
      <c r="A853" s="7"/>
      <c r="B853" s="5"/>
      <c r="C853" s="6"/>
      <c r="D853" s="6"/>
      <c r="E853" s="6"/>
      <c r="F853" s="6"/>
      <c r="G853" s="6"/>
      <c r="H853" s="6"/>
      <c r="I853" s="6"/>
      <c r="J853" s="11"/>
      <c r="K853" s="591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 ht="11.25" customHeight="1">
      <c r="A854" s="7"/>
      <c r="B854" s="5"/>
      <c r="C854" s="6"/>
      <c r="D854" s="6"/>
      <c r="E854" s="6"/>
      <c r="F854" s="6"/>
      <c r="G854" s="6"/>
      <c r="H854" s="6"/>
      <c r="I854" s="6"/>
      <c r="J854" s="11"/>
      <c r="K854" s="591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 ht="11.25" customHeight="1">
      <c r="A855" s="7"/>
      <c r="B855" s="5"/>
      <c r="C855" s="6"/>
      <c r="D855" s="6"/>
      <c r="E855" s="6"/>
      <c r="F855" s="6"/>
      <c r="G855" s="6"/>
      <c r="H855" s="6"/>
      <c r="I855" s="6"/>
      <c r="J855" s="11"/>
      <c r="K855" s="591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 ht="11.25" customHeight="1">
      <c r="A856" s="7"/>
      <c r="B856" s="5"/>
      <c r="C856" s="6"/>
      <c r="D856" s="6"/>
      <c r="E856" s="6"/>
      <c r="F856" s="6"/>
      <c r="G856" s="6"/>
      <c r="H856" s="6"/>
      <c r="I856" s="6"/>
      <c r="J856" s="11"/>
      <c r="K856" s="591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 ht="11.25" customHeight="1">
      <c r="A857" s="7"/>
      <c r="B857" s="5"/>
      <c r="C857" s="6"/>
      <c r="D857" s="6"/>
      <c r="E857" s="6"/>
      <c r="F857" s="6"/>
      <c r="G857" s="6"/>
      <c r="H857" s="6"/>
      <c r="I857" s="6"/>
      <c r="J857" s="11"/>
      <c r="K857" s="591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 ht="11.25" customHeight="1">
      <c r="A858" s="7"/>
      <c r="B858" s="5"/>
      <c r="C858" s="6"/>
      <c r="D858" s="6"/>
      <c r="E858" s="6"/>
      <c r="F858" s="6"/>
      <c r="G858" s="6"/>
      <c r="H858" s="6"/>
      <c r="I858" s="6"/>
      <c r="J858" s="11"/>
      <c r="K858" s="591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 ht="11.25" customHeight="1">
      <c r="A859" s="7"/>
      <c r="B859" s="5"/>
      <c r="C859" s="6"/>
      <c r="D859" s="6"/>
      <c r="E859" s="6"/>
      <c r="F859" s="6"/>
      <c r="G859" s="6"/>
      <c r="H859" s="6"/>
      <c r="I859" s="6"/>
      <c r="J859" s="11"/>
      <c r="K859" s="591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 ht="11.25" customHeight="1">
      <c r="A860" s="7"/>
      <c r="B860" s="5"/>
      <c r="C860" s="6"/>
      <c r="D860" s="6"/>
      <c r="E860" s="6"/>
      <c r="F860" s="6"/>
      <c r="G860" s="6"/>
      <c r="H860" s="6"/>
      <c r="I860" s="6"/>
      <c r="J860" s="11"/>
      <c r="K860" s="591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 ht="11.25" customHeight="1">
      <c r="A861" s="7"/>
      <c r="B861" s="5"/>
      <c r="C861" s="6"/>
      <c r="D861" s="6"/>
      <c r="E861" s="6"/>
      <c r="F861" s="6"/>
      <c r="G861" s="6"/>
      <c r="H861" s="6"/>
      <c r="I861" s="6"/>
      <c r="J861" s="11"/>
      <c r="K861" s="591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 ht="11.25" customHeight="1">
      <c r="A862" s="7"/>
      <c r="B862" s="5"/>
      <c r="C862" s="6"/>
      <c r="D862" s="6"/>
      <c r="E862" s="6"/>
      <c r="F862" s="6"/>
      <c r="G862" s="6"/>
      <c r="H862" s="6"/>
      <c r="I862" s="6"/>
      <c r="J862" s="11"/>
      <c r="K862" s="591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 ht="11.25" customHeight="1">
      <c r="A863" s="7"/>
      <c r="B863" s="5"/>
      <c r="C863" s="6"/>
      <c r="D863" s="6"/>
      <c r="E863" s="6"/>
      <c r="F863" s="6"/>
      <c r="G863" s="6"/>
      <c r="H863" s="6"/>
      <c r="I863" s="6"/>
      <c r="J863" s="11"/>
      <c r="K863" s="591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 ht="11.25" customHeight="1">
      <c r="A864" s="7"/>
      <c r="B864" s="5"/>
      <c r="C864" s="6"/>
      <c r="D864" s="6"/>
      <c r="E864" s="6"/>
      <c r="F864" s="6"/>
      <c r="G864" s="6"/>
      <c r="H864" s="6"/>
      <c r="I864" s="6"/>
      <c r="J864" s="11"/>
      <c r="K864" s="591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 ht="11.25" customHeight="1">
      <c r="A865" s="7"/>
      <c r="B865" s="5"/>
      <c r="C865" s="6"/>
      <c r="D865" s="6"/>
      <c r="E865" s="6"/>
      <c r="F865" s="6"/>
      <c r="G865" s="6"/>
      <c r="H865" s="6"/>
      <c r="I865" s="6"/>
      <c r="J865" s="11"/>
      <c r="K865" s="591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 ht="11.25" customHeight="1">
      <c r="A866" s="7"/>
      <c r="B866" s="5"/>
      <c r="C866" s="6"/>
      <c r="D866" s="6"/>
      <c r="E866" s="6"/>
      <c r="F866" s="6"/>
      <c r="G866" s="6"/>
      <c r="H866" s="6"/>
      <c r="I866" s="6"/>
      <c r="J866" s="11"/>
      <c r="K866" s="591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 ht="11.25" customHeight="1">
      <c r="A867" s="7"/>
      <c r="B867" s="5"/>
      <c r="C867" s="6"/>
      <c r="D867" s="6"/>
      <c r="E867" s="6"/>
      <c r="F867" s="6"/>
      <c r="G867" s="6"/>
      <c r="H867" s="6"/>
      <c r="I867" s="6"/>
      <c r="J867" s="11"/>
      <c r="K867" s="591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 ht="11.25" customHeight="1">
      <c r="A868" s="7"/>
      <c r="B868" s="5"/>
      <c r="C868" s="6"/>
      <c r="D868" s="6"/>
      <c r="E868" s="6"/>
      <c r="F868" s="6"/>
      <c r="G868" s="6"/>
      <c r="H868" s="6"/>
      <c r="I868" s="6"/>
      <c r="J868" s="11"/>
      <c r="K868" s="591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 ht="11.25" customHeight="1">
      <c r="A869" s="7"/>
      <c r="B869" s="5"/>
      <c r="C869" s="6"/>
      <c r="D869" s="6"/>
      <c r="E869" s="6"/>
      <c r="F869" s="6"/>
      <c r="G869" s="6"/>
      <c r="H869" s="6"/>
      <c r="I869" s="6"/>
      <c r="J869" s="11"/>
      <c r="K869" s="591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 ht="11.25" customHeight="1">
      <c r="A870" s="7"/>
      <c r="B870" s="5"/>
      <c r="C870" s="6"/>
      <c r="D870" s="6"/>
      <c r="E870" s="6"/>
      <c r="F870" s="6"/>
      <c r="G870" s="6"/>
      <c r="H870" s="6"/>
      <c r="I870" s="6"/>
      <c r="J870" s="11"/>
      <c r="K870" s="591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 ht="11.25" customHeight="1">
      <c r="A871" s="7"/>
      <c r="B871" s="5"/>
      <c r="C871" s="6"/>
      <c r="D871" s="6"/>
      <c r="E871" s="6"/>
      <c r="F871" s="6"/>
      <c r="G871" s="6"/>
      <c r="H871" s="6"/>
      <c r="I871" s="6"/>
      <c r="J871" s="11"/>
      <c r="K871" s="591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 ht="11.25" customHeight="1">
      <c r="A872" s="7"/>
      <c r="B872" s="5"/>
      <c r="C872" s="6"/>
      <c r="D872" s="6"/>
      <c r="E872" s="6"/>
      <c r="F872" s="6"/>
      <c r="G872" s="6"/>
      <c r="H872" s="6"/>
      <c r="I872" s="6"/>
      <c r="J872" s="11"/>
      <c r="K872" s="591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 ht="11.25" customHeight="1">
      <c r="A873" s="7"/>
      <c r="B873" s="5"/>
      <c r="C873" s="6"/>
      <c r="D873" s="6"/>
      <c r="E873" s="6"/>
      <c r="F873" s="6"/>
      <c r="G873" s="6"/>
      <c r="H873" s="6"/>
      <c r="I873" s="6"/>
      <c r="J873" s="11"/>
      <c r="K873" s="591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 ht="11.25" customHeight="1">
      <c r="A874" s="7"/>
      <c r="B874" s="5"/>
      <c r="C874" s="6"/>
      <c r="D874" s="6"/>
      <c r="E874" s="6"/>
      <c r="F874" s="6"/>
      <c r="G874" s="6"/>
      <c r="H874" s="6"/>
      <c r="I874" s="6"/>
      <c r="J874" s="11"/>
      <c r="K874" s="591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 ht="11.25" customHeight="1">
      <c r="A875" s="7"/>
      <c r="B875" s="5"/>
      <c r="C875" s="6"/>
      <c r="D875" s="6"/>
      <c r="E875" s="6"/>
      <c r="F875" s="6"/>
      <c r="G875" s="6"/>
      <c r="H875" s="6"/>
      <c r="I875" s="6"/>
      <c r="J875" s="11"/>
      <c r="K875" s="591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 ht="11.25" customHeight="1">
      <c r="A876" s="7"/>
      <c r="B876" s="5"/>
      <c r="C876" s="6"/>
      <c r="D876" s="6"/>
      <c r="E876" s="6"/>
      <c r="F876" s="6"/>
      <c r="G876" s="6"/>
      <c r="H876" s="6"/>
      <c r="I876" s="6"/>
      <c r="J876" s="11"/>
      <c r="K876" s="591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 ht="11.25" customHeight="1">
      <c r="A877" s="7"/>
      <c r="B877" s="5"/>
      <c r="C877" s="6"/>
      <c r="D877" s="6"/>
      <c r="E877" s="6"/>
      <c r="F877" s="6"/>
      <c r="G877" s="6"/>
      <c r="H877" s="6"/>
      <c r="I877" s="6"/>
      <c r="J877" s="11"/>
      <c r="K877" s="591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 ht="11.25" customHeight="1">
      <c r="A878" s="7"/>
      <c r="B878" s="5"/>
      <c r="C878" s="6"/>
      <c r="D878" s="6"/>
      <c r="E878" s="6"/>
      <c r="F878" s="6"/>
      <c r="G878" s="6"/>
      <c r="H878" s="6"/>
      <c r="I878" s="6"/>
      <c r="J878" s="11"/>
      <c r="K878" s="591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 ht="11.25" customHeight="1">
      <c r="A879" s="7"/>
      <c r="B879" s="5"/>
      <c r="C879" s="6"/>
      <c r="D879" s="6"/>
      <c r="E879" s="6"/>
      <c r="F879" s="6"/>
      <c r="G879" s="6"/>
      <c r="H879" s="6"/>
      <c r="I879" s="6"/>
      <c r="J879" s="11"/>
      <c r="K879" s="591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 ht="11.25" customHeight="1">
      <c r="A880" s="7"/>
      <c r="B880" s="5"/>
      <c r="C880" s="6"/>
      <c r="D880" s="6"/>
      <c r="E880" s="6"/>
      <c r="F880" s="6"/>
      <c r="G880" s="6"/>
      <c r="H880" s="6"/>
      <c r="I880" s="6"/>
      <c r="J880" s="11"/>
      <c r="K880" s="591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 ht="11.25" customHeight="1">
      <c r="A881" s="7"/>
      <c r="B881" s="5"/>
      <c r="C881" s="6"/>
      <c r="D881" s="6"/>
      <c r="E881" s="6"/>
      <c r="F881" s="6"/>
      <c r="G881" s="6"/>
      <c r="H881" s="6"/>
      <c r="I881" s="6"/>
      <c r="J881" s="11"/>
      <c r="K881" s="591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 ht="11.25" customHeight="1">
      <c r="A882" s="7"/>
      <c r="B882" s="5"/>
      <c r="C882" s="6"/>
      <c r="D882" s="6"/>
      <c r="E882" s="6"/>
      <c r="F882" s="6"/>
      <c r="G882" s="6"/>
      <c r="H882" s="6"/>
      <c r="I882" s="6"/>
      <c r="J882" s="11"/>
      <c r="K882" s="591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 ht="11.25" customHeight="1">
      <c r="A883" s="7"/>
      <c r="B883" s="5"/>
      <c r="C883" s="6"/>
      <c r="D883" s="6"/>
      <c r="E883" s="6"/>
      <c r="F883" s="6"/>
      <c r="G883" s="6"/>
      <c r="H883" s="6"/>
      <c r="I883" s="6"/>
      <c r="J883" s="11"/>
      <c r="K883" s="591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 ht="11.25" customHeight="1">
      <c r="A884" s="7"/>
      <c r="B884" s="5"/>
      <c r="C884" s="6"/>
      <c r="D884" s="6"/>
      <c r="E884" s="6"/>
      <c r="F884" s="6"/>
      <c r="G884" s="6"/>
      <c r="H884" s="6"/>
      <c r="I884" s="6"/>
      <c r="J884" s="11"/>
      <c r="K884" s="591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 ht="11.25" customHeight="1">
      <c r="A885" s="7"/>
      <c r="B885" s="5"/>
      <c r="C885" s="6"/>
      <c r="D885" s="6"/>
      <c r="E885" s="6"/>
      <c r="F885" s="6"/>
      <c r="G885" s="6"/>
      <c r="H885" s="6"/>
      <c r="I885" s="6"/>
      <c r="J885" s="11"/>
      <c r="K885" s="591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 ht="11.25" customHeight="1">
      <c r="A886" s="7"/>
      <c r="B886" s="5"/>
      <c r="C886" s="6"/>
      <c r="D886" s="6"/>
      <c r="E886" s="6"/>
      <c r="F886" s="6"/>
      <c r="G886" s="6"/>
      <c r="H886" s="6"/>
      <c r="I886" s="6"/>
      <c r="J886" s="11"/>
      <c r="K886" s="591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 ht="11.25" customHeight="1">
      <c r="A887" s="7"/>
      <c r="B887" s="5"/>
      <c r="C887" s="6"/>
      <c r="D887" s="6"/>
      <c r="E887" s="6"/>
      <c r="F887" s="6"/>
      <c r="G887" s="6"/>
      <c r="H887" s="6"/>
      <c r="I887" s="6"/>
      <c r="J887" s="11"/>
      <c r="K887" s="591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 ht="11.25" customHeight="1">
      <c r="A888" s="7"/>
      <c r="B888" s="5"/>
      <c r="C888" s="6"/>
      <c r="D888" s="6"/>
      <c r="E888" s="6"/>
      <c r="F888" s="6"/>
      <c r="G888" s="6"/>
      <c r="H888" s="6"/>
      <c r="I888" s="6"/>
      <c r="J888" s="11"/>
      <c r="K888" s="591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 ht="11.25" customHeight="1">
      <c r="A889" s="7"/>
      <c r="B889" s="5"/>
      <c r="C889" s="6"/>
      <c r="D889" s="6"/>
      <c r="E889" s="6"/>
      <c r="F889" s="6"/>
      <c r="G889" s="6"/>
      <c r="H889" s="6"/>
      <c r="I889" s="6"/>
      <c r="J889" s="11"/>
      <c r="K889" s="591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 ht="11.25" customHeight="1">
      <c r="A890" s="7"/>
      <c r="B890" s="5"/>
      <c r="C890" s="6"/>
      <c r="D890" s="6"/>
      <c r="E890" s="6"/>
      <c r="F890" s="6"/>
      <c r="G890" s="6"/>
      <c r="H890" s="6"/>
      <c r="I890" s="6"/>
      <c r="J890" s="11"/>
      <c r="K890" s="591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 ht="11.25" customHeight="1">
      <c r="A891" s="7"/>
      <c r="B891" s="5"/>
      <c r="C891" s="6"/>
      <c r="D891" s="6"/>
      <c r="E891" s="6"/>
      <c r="F891" s="6"/>
      <c r="G891" s="6"/>
      <c r="H891" s="6"/>
      <c r="I891" s="6"/>
      <c r="J891" s="11"/>
      <c r="K891" s="591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 ht="11.25" customHeight="1">
      <c r="A892" s="7"/>
      <c r="B892" s="5"/>
      <c r="C892" s="6"/>
      <c r="D892" s="6"/>
      <c r="E892" s="6"/>
      <c r="F892" s="6"/>
      <c r="G892" s="6"/>
      <c r="H892" s="6"/>
      <c r="I892" s="6"/>
      <c r="J892" s="11"/>
      <c r="K892" s="591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 ht="11.25" customHeight="1">
      <c r="A893" s="7"/>
      <c r="B893" s="5"/>
      <c r="C893" s="6"/>
      <c r="D893" s="6"/>
      <c r="E893" s="6"/>
      <c r="F893" s="6"/>
      <c r="G893" s="6"/>
      <c r="H893" s="6"/>
      <c r="I893" s="6"/>
      <c r="J893" s="11"/>
      <c r="K893" s="591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 ht="11.25" customHeight="1">
      <c r="A894" s="7"/>
      <c r="B894" s="5"/>
      <c r="C894" s="6"/>
      <c r="D894" s="6"/>
      <c r="E894" s="6"/>
      <c r="F894" s="6"/>
      <c r="G894" s="6"/>
      <c r="H894" s="6"/>
      <c r="I894" s="6"/>
      <c r="J894" s="11"/>
      <c r="K894" s="591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 ht="11.25" customHeight="1">
      <c r="A895" s="7"/>
      <c r="B895" s="5"/>
      <c r="C895" s="6"/>
      <c r="D895" s="6"/>
      <c r="E895" s="6"/>
      <c r="F895" s="6"/>
      <c r="G895" s="6"/>
      <c r="H895" s="6"/>
      <c r="I895" s="6"/>
      <c r="J895" s="11"/>
      <c r="K895" s="591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 ht="11.25" customHeight="1">
      <c r="A896" s="7"/>
      <c r="B896" s="5"/>
      <c r="C896" s="6"/>
      <c r="D896" s="6"/>
      <c r="E896" s="6"/>
      <c r="F896" s="6"/>
      <c r="G896" s="6"/>
      <c r="H896" s="6"/>
      <c r="I896" s="6"/>
      <c r="J896" s="11"/>
      <c r="K896" s="591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 ht="11.25" customHeight="1">
      <c r="A897" s="7"/>
      <c r="B897" s="5"/>
      <c r="C897" s="6"/>
      <c r="D897" s="6"/>
      <c r="E897" s="6"/>
      <c r="F897" s="6"/>
      <c r="G897" s="6"/>
      <c r="H897" s="6"/>
      <c r="I897" s="6"/>
      <c r="J897" s="11"/>
      <c r="K897" s="591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 ht="11.25" customHeight="1">
      <c r="A898" s="7"/>
      <c r="B898" s="5"/>
      <c r="C898" s="6"/>
      <c r="D898" s="6"/>
      <c r="E898" s="6"/>
      <c r="F898" s="6"/>
      <c r="G898" s="6"/>
      <c r="H898" s="6"/>
      <c r="I898" s="6"/>
      <c r="J898" s="11"/>
      <c r="K898" s="591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 ht="11.25" customHeight="1">
      <c r="A899" s="7"/>
      <c r="B899" s="5"/>
      <c r="C899" s="6"/>
      <c r="D899" s="6"/>
      <c r="E899" s="6"/>
      <c r="F899" s="6"/>
      <c r="G899" s="6"/>
      <c r="H899" s="6"/>
      <c r="I899" s="6"/>
      <c r="J899" s="11"/>
      <c r="K899" s="591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 ht="11.25" customHeight="1">
      <c r="A900" s="7"/>
      <c r="B900" s="5"/>
      <c r="C900" s="6"/>
      <c r="D900" s="6"/>
      <c r="E900" s="6"/>
      <c r="F900" s="6"/>
      <c r="G900" s="6"/>
      <c r="H900" s="6"/>
      <c r="I900" s="6"/>
      <c r="J900" s="11"/>
      <c r="K900" s="591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 ht="11.25" customHeight="1">
      <c r="A901" s="7"/>
      <c r="B901" s="5"/>
      <c r="C901" s="6"/>
      <c r="D901" s="6"/>
      <c r="E901" s="6"/>
      <c r="F901" s="6"/>
      <c r="G901" s="6"/>
      <c r="H901" s="6"/>
      <c r="I901" s="6"/>
      <c r="J901" s="11"/>
      <c r="K901" s="591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 ht="11.25" customHeight="1">
      <c r="A902" s="7"/>
      <c r="B902" s="5"/>
      <c r="C902" s="6"/>
      <c r="D902" s="6"/>
      <c r="E902" s="6"/>
      <c r="F902" s="6"/>
      <c r="G902" s="6"/>
      <c r="H902" s="6"/>
      <c r="I902" s="6"/>
      <c r="J902" s="11"/>
      <c r="K902" s="591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 ht="11.25" customHeight="1">
      <c r="A903" s="7"/>
      <c r="B903" s="5"/>
      <c r="C903" s="6"/>
      <c r="D903" s="6"/>
      <c r="E903" s="6"/>
      <c r="F903" s="6"/>
      <c r="G903" s="6"/>
      <c r="H903" s="6"/>
      <c r="I903" s="6"/>
      <c r="J903" s="11"/>
      <c r="K903" s="591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 ht="11.25" customHeight="1">
      <c r="A904" s="7"/>
      <c r="B904" s="5"/>
      <c r="C904" s="6"/>
      <c r="D904" s="6"/>
      <c r="E904" s="6"/>
      <c r="F904" s="6"/>
      <c r="G904" s="6"/>
      <c r="H904" s="6"/>
      <c r="I904" s="6"/>
      <c r="J904" s="11"/>
      <c r="K904" s="591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 ht="11.25" customHeight="1">
      <c r="A905" s="7"/>
      <c r="B905" s="5"/>
      <c r="C905" s="6"/>
      <c r="D905" s="6"/>
      <c r="E905" s="6"/>
      <c r="F905" s="6"/>
      <c r="G905" s="6"/>
      <c r="H905" s="6"/>
      <c r="I905" s="6"/>
      <c r="J905" s="11"/>
      <c r="K905" s="591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 ht="11.25" customHeight="1">
      <c r="A906" s="7"/>
      <c r="B906" s="5"/>
      <c r="C906" s="6"/>
      <c r="D906" s="6"/>
      <c r="E906" s="6"/>
      <c r="F906" s="6"/>
      <c r="G906" s="6"/>
      <c r="H906" s="6"/>
      <c r="I906" s="6"/>
      <c r="J906" s="11"/>
      <c r="K906" s="591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 ht="11.25" customHeight="1">
      <c r="A907" s="7"/>
      <c r="B907" s="5"/>
      <c r="C907" s="6"/>
      <c r="D907" s="6"/>
      <c r="E907" s="6"/>
      <c r="F907" s="6"/>
      <c r="G907" s="6"/>
      <c r="H907" s="6"/>
      <c r="I907" s="6"/>
      <c r="J907" s="11"/>
      <c r="K907" s="591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 ht="11.25" customHeight="1">
      <c r="A908" s="7"/>
      <c r="B908" s="5"/>
      <c r="C908" s="6"/>
      <c r="D908" s="6"/>
      <c r="E908" s="6"/>
      <c r="F908" s="6"/>
      <c r="G908" s="6"/>
      <c r="H908" s="6"/>
      <c r="I908" s="6"/>
      <c r="J908" s="11"/>
      <c r="K908" s="591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 ht="11.25" customHeight="1">
      <c r="A909" s="7"/>
      <c r="B909" s="5"/>
      <c r="C909" s="6"/>
      <c r="D909" s="6"/>
      <c r="E909" s="6"/>
      <c r="F909" s="6"/>
      <c r="G909" s="6"/>
      <c r="H909" s="6"/>
      <c r="I909" s="6"/>
      <c r="J909" s="11"/>
      <c r="K909" s="591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 ht="11.25" customHeight="1">
      <c r="A910" s="7"/>
      <c r="B910" s="5"/>
      <c r="C910" s="6"/>
      <c r="D910" s="6"/>
      <c r="E910" s="6"/>
      <c r="F910" s="6"/>
      <c r="G910" s="6"/>
      <c r="H910" s="6"/>
      <c r="I910" s="6"/>
      <c r="J910" s="11"/>
      <c r="K910" s="591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 ht="11.25" customHeight="1">
      <c r="A911" s="7"/>
      <c r="B911" s="5"/>
      <c r="C911" s="6"/>
      <c r="D911" s="6"/>
      <c r="E911" s="6"/>
      <c r="F911" s="6"/>
      <c r="G911" s="6"/>
      <c r="H911" s="6"/>
      <c r="I911" s="6"/>
      <c r="J911" s="11"/>
      <c r="K911" s="591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 ht="11.25" customHeight="1">
      <c r="A912" s="7"/>
      <c r="B912" s="5"/>
      <c r="C912" s="6"/>
      <c r="D912" s="6"/>
      <c r="E912" s="6"/>
      <c r="F912" s="6"/>
      <c r="G912" s="6"/>
      <c r="H912" s="6"/>
      <c r="I912" s="6"/>
      <c r="J912" s="11"/>
      <c r="K912" s="591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 ht="11.25" customHeight="1">
      <c r="A913" s="7"/>
      <c r="B913" s="5"/>
      <c r="C913" s="6"/>
      <c r="D913" s="6"/>
      <c r="E913" s="6"/>
      <c r="F913" s="6"/>
      <c r="G913" s="6"/>
      <c r="H913" s="6"/>
      <c r="I913" s="6"/>
      <c r="J913" s="11"/>
      <c r="K913" s="591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 ht="11.25" customHeight="1">
      <c r="A914" s="7"/>
      <c r="B914" s="5"/>
      <c r="C914" s="6"/>
      <c r="D914" s="6"/>
      <c r="E914" s="6"/>
      <c r="F914" s="6"/>
      <c r="G914" s="6"/>
      <c r="H914" s="6"/>
      <c r="I914" s="6"/>
      <c r="J914" s="11"/>
      <c r="K914" s="591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 ht="11.25" customHeight="1">
      <c r="A915" s="7"/>
      <c r="B915" s="5"/>
      <c r="C915" s="6"/>
      <c r="D915" s="6"/>
      <c r="E915" s="6"/>
      <c r="F915" s="6"/>
      <c r="G915" s="6"/>
      <c r="H915" s="6"/>
      <c r="I915" s="6"/>
      <c r="J915" s="11"/>
      <c r="K915" s="591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 ht="11.25" customHeight="1">
      <c r="A916" s="7"/>
      <c r="B916" s="5"/>
      <c r="C916" s="6"/>
      <c r="D916" s="6"/>
      <c r="E916" s="6"/>
      <c r="F916" s="6"/>
      <c r="G916" s="6"/>
      <c r="H916" s="6"/>
      <c r="I916" s="6"/>
      <c r="J916" s="11"/>
      <c r="K916" s="591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 ht="11.25" customHeight="1">
      <c r="A917" s="7"/>
      <c r="B917" s="5"/>
      <c r="C917" s="6"/>
      <c r="D917" s="6"/>
      <c r="E917" s="6"/>
      <c r="F917" s="6"/>
      <c r="G917" s="6"/>
      <c r="H917" s="6"/>
      <c r="I917" s="6"/>
      <c r="J917" s="11"/>
      <c r="K917" s="591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 ht="11.25" customHeight="1">
      <c r="A918" s="7"/>
      <c r="B918" s="5"/>
      <c r="C918" s="6"/>
      <c r="D918" s="6"/>
      <c r="E918" s="6"/>
      <c r="F918" s="6"/>
      <c r="G918" s="6"/>
      <c r="H918" s="6"/>
      <c r="I918" s="6"/>
      <c r="J918" s="11"/>
      <c r="K918" s="591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 ht="11.25" customHeight="1">
      <c r="A919" s="7"/>
      <c r="B919" s="5"/>
      <c r="C919" s="6"/>
      <c r="D919" s="6"/>
      <c r="E919" s="6"/>
      <c r="F919" s="6"/>
      <c r="G919" s="6"/>
      <c r="H919" s="6"/>
      <c r="I919" s="6"/>
      <c r="J919" s="11"/>
      <c r="K919" s="591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 ht="11.25" customHeight="1">
      <c r="A920" s="7"/>
      <c r="B920" s="5"/>
      <c r="C920" s="6"/>
      <c r="D920" s="6"/>
      <c r="E920" s="6"/>
      <c r="F920" s="6"/>
      <c r="G920" s="6"/>
      <c r="H920" s="6"/>
      <c r="I920" s="6"/>
      <c r="J920" s="11"/>
      <c r="K920" s="591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 ht="11.25" customHeight="1">
      <c r="A921" s="7"/>
      <c r="B921" s="5"/>
      <c r="C921" s="6"/>
      <c r="D921" s="6"/>
      <c r="E921" s="6"/>
      <c r="F921" s="6"/>
      <c r="G921" s="6"/>
      <c r="H921" s="6"/>
      <c r="I921" s="6"/>
      <c r="J921" s="11"/>
      <c r="K921" s="591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 ht="11.25" customHeight="1">
      <c r="A922" s="7"/>
      <c r="B922" s="5"/>
      <c r="C922" s="6"/>
      <c r="D922" s="6"/>
      <c r="E922" s="6"/>
      <c r="F922" s="6"/>
      <c r="G922" s="6"/>
      <c r="H922" s="6"/>
      <c r="I922" s="6"/>
      <c r="J922" s="11"/>
      <c r="K922" s="591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 ht="11.25" customHeight="1">
      <c r="A923" s="7"/>
      <c r="B923" s="5"/>
      <c r="C923" s="6"/>
      <c r="D923" s="6"/>
      <c r="E923" s="6"/>
      <c r="F923" s="6"/>
      <c r="G923" s="6"/>
      <c r="H923" s="6"/>
      <c r="I923" s="6"/>
      <c r="J923" s="11"/>
      <c r="K923" s="591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 ht="11.25" customHeight="1">
      <c r="A924" s="7"/>
      <c r="B924" s="5"/>
      <c r="C924" s="6"/>
      <c r="D924" s="6"/>
      <c r="E924" s="6"/>
      <c r="F924" s="6"/>
      <c r="G924" s="6"/>
      <c r="H924" s="6"/>
      <c r="I924" s="6"/>
      <c r="J924" s="11"/>
      <c r="K924" s="591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 ht="11.25" customHeight="1">
      <c r="A925" s="7"/>
      <c r="B925" s="5"/>
      <c r="C925" s="6"/>
      <c r="D925" s="6"/>
      <c r="E925" s="6"/>
      <c r="F925" s="6"/>
      <c r="G925" s="6"/>
      <c r="H925" s="6"/>
      <c r="I925" s="6"/>
      <c r="J925" s="11"/>
      <c r="K925" s="591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 ht="11.25" customHeight="1">
      <c r="A926" s="7"/>
      <c r="B926" s="5"/>
      <c r="C926" s="6"/>
      <c r="D926" s="6"/>
      <c r="E926" s="6"/>
      <c r="F926" s="6"/>
      <c r="G926" s="6"/>
      <c r="H926" s="6"/>
      <c r="I926" s="6"/>
      <c r="J926" s="11"/>
      <c r="K926" s="591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 ht="11.25" customHeight="1">
      <c r="A927" s="7"/>
      <c r="B927" s="5"/>
      <c r="C927" s="6"/>
      <c r="D927" s="6"/>
      <c r="E927" s="6"/>
      <c r="F927" s="6"/>
      <c r="G927" s="6"/>
      <c r="H927" s="6"/>
      <c r="I927" s="6"/>
      <c r="J927" s="11"/>
      <c r="K927" s="591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 ht="11.25" customHeight="1">
      <c r="A928" s="7"/>
      <c r="B928" s="5"/>
      <c r="C928" s="6"/>
      <c r="D928" s="6"/>
      <c r="E928" s="6"/>
      <c r="F928" s="6"/>
      <c r="G928" s="6"/>
      <c r="H928" s="6"/>
      <c r="I928" s="6"/>
      <c r="J928" s="11"/>
      <c r="K928" s="591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 ht="11.25" customHeight="1">
      <c r="A929" s="7"/>
      <c r="B929" s="5"/>
      <c r="C929" s="6"/>
      <c r="D929" s="6"/>
      <c r="E929" s="6"/>
      <c r="F929" s="6"/>
      <c r="G929" s="6"/>
      <c r="H929" s="6"/>
      <c r="I929" s="6"/>
      <c r="J929" s="11"/>
      <c r="K929" s="591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 ht="11.25" customHeight="1">
      <c r="A930" s="7"/>
      <c r="B930" s="5"/>
      <c r="C930" s="6"/>
      <c r="D930" s="6"/>
      <c r="E930" s="6"/>
      <c r="F930" s="6"/>
      <c r="G930" s="6"/>
      <c r="H930" s="6"/>
      <c r="I930" s="6"/>
      <c r="J930" s="11"/>
      <c r="K930" s="591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 ht="11.25" customHeight="1">
      <c r="A931" s="7"/>
      <c r="B931" s="5"/>
      <c r="C931" s="6"/>
      <c r="D931" s="6"/>
      <c r="E931" s="6"/>
      <c r="F931" s="6"/>
      <c r="G931" s="6"/>
      <c r="H931" s="6"/>
      <c r="I931" s="6"/>
      <c r="J931" s="11"/>
      <c r="K931" s="591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 ht="11.25" customHeight="1">
      <c r="A932" s="7"/>
      <c r="B932" s="5"/>
      <c r="C932" s="6"/>
      <c r="D932" s="6"/>
      <c r="E932" s="6"/>
      <c r="F932" s="6"/>
      <c r="G932" s="6"/>
      <c r="H932" s="6"/>
      <c r="I932" s="6"/>
      <c r="J932" s="11"/>
      <c r="K932" s="591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 ht="11.25" customHeight="1">
      <c r="A933" s="7"/>
      <c r="B933" s="5"/>
      <c r="C933" s="6"/>
      <c r="D933" s="6"/>
      <c r="E933" s="6"/>
      <c r="F933" s="6"/>
      <c r="G933" s="6"/>
      <c r="H933" s="6"/>
      <c r="I933" s="6"/>
      <c r="J933" s="11"/>
      <c r="K933" s="591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 ht="11.25" customHeight="1">
      <c r="A934" s="7"/>
      <c r="B934" s="5"/>
      <c r="C934" s="6"/>
      <c r="D934" s="6"/>
      <c r="E934" s="6"/>
      <c r="F934" s="6"/>
      <c r="G934" s="6"/>
      <c r="H934" s="6"/>
      <c r="I934" s="6"/>
      <c r="J934" s="11"/>
      <c r="K934" s="591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 ht="11.25" customHeight="1">
      <c r="A935" s="7"/>
      <c r="B935" s="5"/>
      <c r="C935" s="6"/>
      <c r="D935" s="6"/>
      <c r="E935" s="6"/>
      <c r="F935" s="6"/>
      <c r="G935" s="6"/>
      <c r="H935" s="6"/>
      <c r="I935" s="6"/>
      <c r="J935" s="11"/>
      <c r="K935" s="591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 ht="11.25" customHeight="1">
      <c r="A936" s="7"/>
      <c r="B936" s="5"/>
      <c r="C936" s="6"/>
      <c r="D936" s="6"/>
      <c r="E936" s="6"/>
      <c r="F936" s="6"/>
      <c r="G936" s="6"/>
      <c r="H936" s="6"/>
      <c r="I936" s="6"/>
      <c r="J936" s="11"/>
      <c r="K936" s="591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 ht="11.25" customHeight="1">
      <c r="A937" s="7"/>
      <c r="B937" s="5"/>
      <c r="C937" s="6"/>
      <c r="D937" s="6"/>
      <c r="E937" s="6"/>
      <c r="F937" s="6"/>
      <c r="G937" s="6"/>
      <c r="H937" s="6"/>
      <c r="I937" s="6"/>
      <c r="J937" s="11"/>
      <c r="K937" s="591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 ht="11.25" customHeight="1">
      <c r="A938" s="7"/>
      <c r="B938" s="5"/>
      <c r="C938" s="6"/>
      <c r="D938" s="6"/>
      <c r="E938" s="6"/>
      <c r="F938" s="6"/>
      <c r="G938" s="6"/>
      <c r="H938" s="6"/>
      <c r="I938" s="6"/>
      <c r="J938" s="11"/>
      <c r="K938" s="591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 ht="11.25" customHeight="1">
      <c r="A939" s="7"/>
      <c r="B939" s="5"/>
      <c r="C939" s="6"/>
      <c r="D939" s="6"/>
      <c r="E939" s="6"/>
      <c r="F939" s="6"/>
      <c r="G939" s="6"/>
      <c r="H939" s="6"/>
      <c r="I939" s="6"/>
      <c r="J939" s="11"/>
      <c r="K939" s="591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 ht="11.25" customHeight="1">
      <c r="A940" s="7"/>
      <c r="B940" s="5"/>
      <c r="C940" s="6"/>
      <c r="D940" s="6"/>
      <c r="E940" s="6"/>
      <c r="F940" s="6"/>
      <c r="G940" s="6"/>
      <c r="H940" s="6"/>
      <c r="I940" s="6"/>
      <c r="J940" s="11"/>
      <c r="K940" s="591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 ht="11.25" customHeight="1">
      <c r="A941" s="7"/>
      <c r="B941" s="5"/>
      <c r="C941" s="6"/>
      <c r="D941" s="6"/>
      <c r="E941" s="6"/>
      <c r="F941" s="6"/>
      <c r="G941" s="6"/>
      <c r="H941" s="6"/>
      <c r="I941" s="6"/>
      <c r="J941" s="11"/>
      <c r="K941" s="591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 ht="11.25" customHeight="1">
      <c r="A942" s="7"/>
      <c r="B942" s="5"/>
      <c r="C942" s="6"/>
      <c r="D942" s="6"/>
      <c r="E942" s="6"/>
      <c r="F942" s="6"/>
      <c r="G942" s="6"/>
      <c r="H942" s="6"/>
      <c r="I942" s="6"/>
      <c r="J942" s="11"/>
      <c r="K942" s="591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 ht="11.25" customHeight="1">
      <c r="A943" s="7"/>
      <c r="B943" s="5"/>
      <c r="C943" s="6"/>
      <c r="D943" s="6"/>
      <c r="E943" s="6"/>
      <c r="F943" s="6"/>
      <c r="G943" s="6"/>
      <c r="H943" s="6"/>
      <c r="I943" s="6"/>
      <c r="J943" s="11"/>
      <c r="K943" s="591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 ht="11.25" customHeight="1">
      <c r="A944" s="7"/>
      <c r="B944" s="5"/>
      <c r="C944" s="6"/>
      <c r="D944" s="6"/>
      <c r="E944" s="6"/>
      <c r="F944" s="6"/>
      <c r="G944" s="6"/>
      <c r="H944" s="6"/>
      <c r="I944" s="6"/>
      <c r="J944" s="11"/>
      <c r="K944" s="591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 ht="11.25" customHeight="1">
      <c r="A945" s="7"/>
      <c r="B945" s="5"/>
      <c r="C945" s="6"/>
      <c r="D945" s="6"/>
      <c r="E945" s="6"/>
      <c r="F945" s="6"/>
      <c r="G945" s="6"/>
      <c r="H945" s="6"/>
      <c r="I945" s="6"/>
      <c r="J945" s="11"/>
      <c r="K945" s="591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 ht="11.25" customHeight="1">
      <c r="A946" s="7"/>
      <c r="B946" s="5"/>
      <c r="C946" s="6"/>
      <c r="D946" s="6"/>
      <c r="E946" s="6"/>
      <c r="F946" s="6"/>
      <c r="G946" s="6"/>
      <c r="H946" s="6"/>
      <c r="I946" s="6"/>
      <c r="J946" s="11"/>
      <c r="K946" s="591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 ht="11.25" customHeight="1">
      <c r="A947" s="7"/>
      <c r="B947" s="5"/>
      <c r="C947" s="6"/>
      <c r="D947" s="6"/>
      <c r="E947" s="6"/>
      <c r="F947" s="6"/>
      <c r="G947" s="6"/>
      <c r="H947" s="6"/>
      <c r="I947" s="6"/>
      <c r="J947" s="11"/>
      <c r="K947" s="591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 ht="11.25" customHeight="1">
      <c r="A948" s="7"/>
      <c r="B948" s="5"/>
      <c r="C948" s="6"/>
      <c r="D948" s="6"/>
      <c r="E948" s="6"/>
      <c r="F948" s="6"/>
      <c r="G948" s="6"/>
      <c r="H948" s="6"/>
      <c r="I948" s="6"/>
      <c r="J948" s="11"/>
      <c r="K948" s="591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 ht="11.25" customHeight="1">
      <c r="A949" s="7"/>
      <c r="B949" s="5"/>
      <c r="C949" s="6"/>
      <c r="D949" s="6"/>
      <c r="E949" s="6"/>
      <c r="F949" s="6"/>
      <c r="G949" s="6"/>
      <c r="H949" s="6"/>
      <c r="I949" s="6"/>
      <c r="J949" s="11"/>
      <c r="K949" s="591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 ht="11.25" customHeight="1">
      <c r="A950" s="7"/>
      <c r="B950" s="5"/>
      <c r="C950" s="6"/>
      <c r="D950" s="6"/>
      <c r="E950" s="6"/>
      <c r="F950" s="6"/>
      <c r="G950" s="6"/>
      <c r="H950" s="6"/>
      <c r="I950" s="6"/>
      <c r="J950" s="11"/>
      <c r="K950" s="591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 ht="11.25" customHeight="1">
      <c r="A951" s="7"/>
      <c r="B951" s="5"/>
      <c r="C951" s="6"/>
      <c r="D951" s="6"/>
      <c r="E951" s="6"/>
      <c r="F951" s="6"/>
      <c r="G951" s="6"/>
      <c r="H951" s="6"/>
      <c r="I951" s="6"/>
      <c r="J951" s="11"/>
      <c r="K951" s="591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 ht="11.25" customHeight="1">
      <c r="A952" s="7"/>
      <c r="B952" s="5"/>
      <c r="C952" s="6"/>
      <c r="D952" s="6"/>
      <c r="E952" s="6"/>
      <c r="F952" s="6"/>
      <c r="G952" s="6"/>
      <c r="H952" s="6"/>
      <c r="I952" s="6"/>
      <c r="J952" s="11"/>
      <c r="K952" s="591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 ht="11.25" customHeight="1">
      <c r="A953" s="7"/>
      <c r="B953" s="5"/>
      <c r="C953" s="6"/>
      <c r="D953" s="6"/>
      <c r="E953" s="6"/>
      <c r="F953" s="6"/>
      <c r="G953" s="6"/>
      <c r="H953" s="6"/>
      <c r="I953" s="6"/>
      <c r="J953" s="11"/>
      <c r="K953" s="591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 ht="11.25" customHeight="1">
      <c r="A954" s="7"/>
      <c r="B954" s="5"/>
      <c r="C954" s="6"/>
      <c r="D954" s="6"/>
      <c r="E954" s="6"/>
      <c r="F954" s="6"/>
      <c r="G954" s="6"/>
      <c r="H954" s="6"/>
      <c r="I954" s="6"/>
      <c r="J954" s="11"/>
      <c r="K954" s="591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 ht="11.25" customHeight="1">
      <c r="A955" s="7"/>
      <c r="B955" s="5"/>
      <c r="C955" s="6"/>
      <c r="D955" s="6"/>
      <c r="E955" s="6"/>
      <c r="F955" s="6"/>
      <c r="G955" s="6"/>
      <c r="H955" s="6"/>
      <c r="I955" s="6"/>
      <c r="J955" s="11"/>
      <c r="K955" s="591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 ht="11.25" customHeight="1">
      <c r="A956" s="7"/>
      <c r="B956" s="5"/>
      <c r="C956" s="6"/>
      <c r="D956" s="6"/>
      <c r="E956" s="6"/>
      <c r="F956" s="6"/>
      <c r="G956" s="6"/>
      <c r="H956" s="6"/>
      <c r="I956" s="6"/>
      <c r="J956" s="11"/>
      <c r="K956" s="591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 ht="11.25" customHeight="1">
      <c r="A957" s="7"/>
      <c r="B957" s="5"/>
      <c r="C957" s="6"/>
      <c r="D957" s="6"/>
      <c r="E957" s="6"/>
      <c r="F957" s="6"/>
      <c r="G957" s="6"/>
      <c r="H957" s="6"/>
      <c r="I957" s="6"/>
      <c r="J957" s="11"/>
      <c r="K957" s="591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 ht="11.25" customHeight="1">
      <c r="A958" s="7"/>
      <c r="B958" s="5"/>
      <c r="C958" s="6"/>
      <c r="D958" s="6"/>
      <c r="E958" s="6"/>
      <c r="F958" s="6"/>
      <c r="G958" s="6"/>
      <c r="H958" s="6"/>
      <c r="I958" s="6"/>
      <c r="J958" s="11"/>
      <c r="K958" s="591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 ht="11.25" customHeight="1">
      <c r="A959" s="7"/>
      <c r="B959" s="5"/>
      <c r="C959" s="6"/>
      <c r="D959" s="6"/>
      <c r="E959" s="6"/>
      <c r="F959" s="6"/>
      <c r="G959" s="6"/>
      <c r="H959" s="6"/>
      <c r="I959" s="6"/>
      <c r="J959" s="11"/>
      <c r="K959" s="591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 ht="11.25" customHeight="1">
      <c r="A960" s="7"/>
      <c r="B960" s="5"/>
      <c r="C960" s="6"/>
      <c r="D960" s="6"/>
      <c r="E960" s="6"/>
      <c r="F960" s="6"/>
      <c r="G960" s="6"/>
      <c r="H960" s="6"/>
      <c r="I960" s="6"/>
      <c r="J960" s="11"/>
      <c r="K960" s="591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 ht="11.25" customHeight="1">
      <c r="A961" s="7"/>
      <c r="B961" s="5"/>
      <c r="C961" s="6"/>
      <c r="D961" s="6"/>
      <c r="E961" s="6"/>
      <c r="F961" s="6"/>
      <c r="G961" s="6"/>
      <c r="H961" s="6"/>
      <c r="I961" s="6"/>
      <c r="J961" s="11"/>
      <c r="K961" s="591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 ht="11.25" customHeight="1">
      <c r="A962" s="7"/>
      <c r="B962" s="5"/>
      <c r="C962" s="6"/>
      <c r="D962" s="6"/>
      <c r="E962" s="6"/>
      <c r="F962" s="6"/>
      <c r="G962" s="6"/>
      <c r="H962" s="6"/>
      <c r="I962" s="6"/>
      <c r="J962" s="11"/>
      <c r="K962" s="591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 ht="11.25" customHeight="1">
      <c r="A963" s="7"/>
      <c r="B963" s="5"/>
      <c r="C963" s="6"/>
      <c r="D963" s="6"/>
      <c r="E963" s="6"/>
      <c r="F963" s="6"/>
      <c r="G963" s="6"/>
      <c r="H963" s="6"/>
      <c r="I963" s="6"/>
      <c r="J963" s="11"/>
      <c r="K963" s="591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 ht="11.25" customHeight="1">
      <c r="A964" s="7"/>
      <c r="B964" s="5"/>
      <c r="C964" s="6"/>
      <c r="D964" s="6"/>
      <c r="E964" s="6"/>
      <c r="F964" s="6"/>
      <c r="G964" s="6"/>
      <c r="H964" s="6"/>
      <c r="I964" s="6"/>
      <c r="J964" s="11"/>
      <c r="K964" s="591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 ht="11.25" customHeight="1">
      <c r="A965" s="7"/>
      <c r="B965" s="5"/>
      <c r="C965" s="6"/>
      <c r="D965" s="6"/>
      <c r="E965" s="6"/>
      <c r="F965" s="6"/>
      <c r="G965" s="6"/>
      <c r="H965" s="6"/>
      <c r="I965" s="6"/>
      <c r="J965" s="11"/>
      <c r="K965" s="591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 ht="11.25" customHeight="1">
      <c r="A966" s="7"/>
      <c r="B966" s="5"/>
      <c r="C966" s="6"/>
      <c r="D966" s="6"/>
      <c r="E966" s="6"/>
      <c r="F966" s="6"/>
      <c r="G966" s="6"/>
      <c r="H966" s="6"/>
      <c r="I966" s="6"/>
      <c r="J966" s="11"/>
      <c r="K966" s="591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 ht="11.25" customHeight="1">
      <c r="A967" s="7"/>
      <c r="B967" s="5"/>
      <c r="C967" s="6"/>
      <c r="D967" s="6"/>
      <c r="E967" s="6"/>
      <c r="F967" s="6"/>
      <c r="G967" s="6"/>
      <c r="H967" s="6"/>
      <c r="I967" s="6"/>
      <c r="J967" s="11"/>
      <c r="K967" s="591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 ht="11.25" customHeight="1">
      <c r="A968" s="7"/>
      <c r="B968" s="5"/>
      <c r="C968" s="6"/>
      <c r="D968" s="6"/>
      <c r="E968" s="6"/>
      <c r="F968" s="6"/>
      <c r="G968" s="6"/>
      <c r="H968" s="6"/>
      <c r="I968" s="6"/>
      <c r="J968" s="11"/>
      <c r="K968" s="591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 ht="11.25" customHeight="1">
      <c r="A969" s="7"/>
      <c r="B969" s="5"/>
      <c r="C969" s="6"/>
      <c r="D969" s="6"/>
      <c r="E969" s="6"/>
      <c r="F969" s="6"/>
      <c r="G969" s="6"/>
      <c r="H969" s="6"/>
      <c r="I969" s="6"/>
      <c r="J969" s="11"/>
      <c r="K969" s="591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 ht="11.25" customHeight="1">
      <c r="A970" s="7"/>
      <c r="B970" s="5"/>
      <c r="C970" s="6"/>
      <c r="D970" s="6"/>
      <c r="E970" s="6"/>
      <c r="F970" s="6"/>
      <c r="G970" s="6"/>
      <c r="H970" s="6"/>
      <c r="I970" s="6"/>
      <c r="J970" s="11"/>
      <c r="K970" s="591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 ht="11.25" customHeight="1">
      <c r="A971" s="7"/>
      <c r="B971" s="5"/>
      <c r="C971" s="6"/>
      <c r="D971" s="6"/>
      <c r="E971" s="6"/>
      <c r="F971" s="6"/>
      <c r="G971" s="6"/>
      <c r="H971" s="6"/>
      <c r="I971" s="6"/>
      <c r="J971" s="11"/>
      <c r="K971" s="591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 ht="11.25" customHeight="1">
      <c r="A972" s="7"/>
      <c r="B972" s="5"/>
      <c r="C972" s="6"/>
      <c r="D972" s="6"/>
      <c r="E972" s="6"/>
      <c r="F972" s="6"/>
      <c r="G972" s="6"/>
      <c r="H972" s="6"/>
      <c r="I972" s="6"/>
      <c r="J972" s="11"/>
      <c r="K972" s="591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 ht="11.25" customHeight="1">
      <c r="A973" s="7"/>
      <c r="B973" s="5"/>
      <c r="C973" s="6"/>
      <c r="D973" s="6"/>
      <c r="E973" s="6"/>
      <c r="F973" s="6"/>
      <c r="G973" s="6"/>
      <c r="H973" s="6"/>
      <c r="I973" s="6"/>
      <c r="J973" s="11"/>
      <c r="K973" s="591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 ht="11.25" customHeight="1">
      <c r="A974" s="7"/>
      <c r="B974" s="5"/>
      <c r="C974" s="6"/>
      <c r="D974" s="6"/>
      <c r="E974" s="6"/>
      <c r="F974" s="6"/>
      <c r="G974" s="6"/>
      <c r="H974" s="6"/>
      <c r="I974" s="6"/>
      <c r="J974" s="11"/>
      <c r="K974" s="591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 ht="11.25" customHeight="1">
      <c r="A975" s="7"/>
      <c r="B975" s="5"/>
      <c r="C975" s="6"/>
      <c r="D975" s="6"/>
      <c r="E975" s="6"/>
      <c r="F975" s="6"/>
      <c r="G975" s="6"/>
      <c r="H975" s="6"/>
      <c r="I975" s="6"/>
      <c r="J975" s="11"/>
      <c r="K975" s="591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 ht="11.25" customHeight="1">
      <c r="A976" s="7"/>
      <c r="B976" s="5"/>
      <c r="C976" s="6"/>
      <c r="D976" s="6"/>
      <c r="E976" s="6"/>
      <c r="F976" s="6"/>
      <c r="G976" s="6"/>
      <c r="H976" s="6"/>
      <c r="I976" s="6"/>
      <c r="J976" s="11"/>
      <c r="K976" s="591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 ht="11.25" customHeight="1">
      <c r="A977" s="7"/>
      <c r="B977" s="5"/>
      <c r="C977" s="6"/>
      <c r="D977" s="6"/>
      <c r="E977" s="6"/>
      <c r="F977" s="6"/>
      <c r="G977" s="6"/>
      <c r="H977" s="6"/>
      <c r="I977" s="6"/>
      <c r="J977" s="11"/>
      <c r="K977" s="591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 ht="11.25" customHeight="1">
      <c r="A978" s="7"/>
      <c r="B978" s="5"/>
      <c r="C978" s="6"/>
      <c r="D978" s="6"/>
      <c r="E978" s="6"/>
      <c r="F978" s="6"/>
      <c r="G978" s="6"/>
      <c r="H978" s="6"/>
      <c r="I978" s="6"/>
      <c r="J978" s="11"/>
      <c r="K978" s="591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 ht="11.25" customHeight="1">
      <c r="A979" s="7"/>
      <c r="B979" s="5"/>
      <c r="C979" s="6"/>
      <c r="D979" s="6"/>
      <c r="E979" s="6"/>
      <c r="F979" s="6"/>
      <c r="G979" s="6"/>
      <c r="H979" s="6"/>
      <c r="I979" s="6"/>
      <c r="J979" s="11"/>
      <c r="K979" s="591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 ht="11.25" customHeight="1">
      <c r="A980" s="7"/>
      <c r="B980" s="5"/>
      <c r="C980" s="6"/>
      <c r="D980" s="6"/>
      <c r="E980" s="6"/>
      <c r="F980" s="6"/>
      <c r="G980" s="6"/>
      <c r="H980" s="6"/>
      <c r="I980" s="6"/>
      <c r="J980" s="11"/>
      <c r="K980" s="591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 ht="11.25" customHeight="1">
      <c r="A981" s="7"/>
      <c r="B981" s="5"/>
      <c r="C981" s="6"/>
      <c r="D981" s="6"/>
      <c r="E981" s="6"/>
      <c r="F981" s="6"/>
      <c r="G981" s="6"/>
      <c r="H981" s="6"/>
      <c r="I981" s="6"/>
      <c r="J981" s="11"/>
      <c r="K981" s="591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 ht="11.25" customHeight="1">
      <c r="A982" s="7"/>
      <c r="B982" s="5"/>
      <c r="C982" s="6"/>
      <c r="D982" s="6"/>
      <c r="E982" s="6"/>
      <c r="F982" s="6"/>
      <c r="G982" s="6"/>
      <c r="H982" s="6"/>
      <c r="I982" s="6"/>
      <c r="J982" s="11"/>
      <c r="K982" s="591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 ht="11.25" customHeight="1">
      <c r="A983" s="7"/>
      <c r="B983" s="5"/>
      <c r="C983" s="6"/>
      <c r="D983" s="6"/>
      <c r="E983" s="6"/>
      <c r="F983" s="6"/>
      <c r="G983" s="6"/>
      <c r="H983" s="6"/>
      <c r="I983" s="6"/>
      <c r="J983" s="11"/>
      <c r="K983" s="591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 ht="11.25" customHeight="1">
      <c r="A984" s="7"/>
      <c r="B984" s="5"/>
      <c r="C984" s="6"/>
      <c r="D984" s="6"/>
      <c r="E984" s="6"/>
      <c r="F984" s="6"/>
      <c r="G984" s="6"/>
      <c r="H984" s="6"/>
      <c r="I984" s="6"/>
      <c r="J984" s="11"/>
      <c r="K984" s="591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 ht="11.25" customHeight="1">
      <c r="A985" s="7"/>
      <c r="B985" s="5"/>
      <c r="C985" s="6"/>
      <c r="D985" s="6"/>
      <c r="E985" s="6"/>
      <c r="F985" s="6"/>
      <c r="G985" s="6"/>
      <c r="H985" s="6"/>
      <c r="I985" s="6"/>
      <c r="J985" s="11"/>
      <c r="K985" s="591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 ht="11.25" customHeight="1">
      <c r="A986" s="7"/>
      <c r="B986" s="5"/>
      <c r="C986" s="6"/>
      <c r="D986" s="6"/>
      <c r="E986" s="6"/>
      <c r="F986" s="6"/>
      <c r="G986" s="6"/>
      <c r="H986" s="6"/>
      <c r="I986" s="6"/>
      <c r="J986" s="11"/>
      <c r="K986" s="591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 ht="11.25" customHeight="1">
      <c r="A987" s="7"/>
      <c r="B987" s="5"/>
      <c r="C987" s="6"/>
      <c r="D987" s="6"/>
      <c r="E987" s="6"/>
      <c r="F987" s="6"/>
      <c r="G987" s="6"/>
      <c r="H987" s="6"/>
      <c r="I987" s="6"/>
      <c r="J987" s="11"/>
      <c r="K987" s="591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 ht="11.25" customHeight="1">
      <c r="A988" s="7"/>
      <c r="B988" s="5"/>
      <c r="C988" s="6"/>
      <c r="D988" s="6"/>
      <c r="E988" s="6"/>
      <c r="F988" s="6"/>
      <c r="G988" s="6"/>
      <c r="H988" s="6"/>
      <c r="I988" s="6"/>
      <c r="J988" s="11"/>
      <c r="K988" s="591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 ht="11.25" customHeight="1">
      <c r="A989" s="7"/>
      <c r="B989" s="5"/>
      <c r="C989" s="6"/>
      <c r="D989" s="6"/>
      <c r="E989" s="6"/>
      <c r="F989" s="6"/>
      <c r="G989" s="6"/>
      <c r="H989" s="6"/>
      <c r="I989" s="6"/>
      <c r="J989" s="11"/>
      <c r="K989" s="591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 ht="11.25" customHeight="1">
      <c r="A990" s="7"/>
      <c r="B990" s="5"/>
      <c r="C990" s="6"/>
      <c r="D990" s="6"/>
      <c r="E990" s="6"/>
      <c r="F990" s="6"/>
      <c r="G990" s="6"/>
      <c r="H990" s="6"/>
      <c r="I990" s="6"/>
      <c r="J990" s="11"/>
      <c r="K990" s="591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 ht="11.25" customHeight="1">
      <c r="A991" s="7"/>
      <c r="B991" s="5"/>
      <c r="C991" s="6"/>
      <c r="D991" s="6"/>
      <c r="E991" s="6"/>
      <c r="F991" s="6"/>
      <c r="G991" s="6"/>
      <c r="H991" s="6"/>
      <c r="I991" s="6"/>
      <c r="J991" s="11"/>
      <c r="K991" s="591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 ht="11.25" customHeight="1">
      <c r="A992" s="7"/>
      <c r="B992" s="5"/>
      <c r="C992" s="6"/>
      <c r="D992" s="6"/>
      <c r="E992" s="6"/>
      <c r="F992" s="6"/>
      <c r="G992" s="6"/>
      <c r="H992" s="6"/>
      <c r="I992" s="6"/>
      <c r="J992" s="11"/>
      <c r="K992" s="591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  <row r="993" ht="11.25" customHeight="1">
      <c r="A993" s="7"/>
      <c r="B993" s="5"/>
      <c r="C993" s="6"/>
      <c r="D993" s="6"/>
      <c r="E993" s="6"/>
      <c r="F993" s="6"/>
      <c r="G993" s="6"/>
      <c r="H993" s="6"/>
      <c r="I993" s="6"/>
      <c r="J993" s="11"/>
      <c r="K993" s="591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</row>
    <row r="994" ht="11.25" customHeight="1">
      <c r="A994" s="7"/>
      <c r="B994" s="5"/>
      <c r="C994" s="6"/>
      <c r="D994" s="6"/>
      <c r="E994" s="6"/>
      <c r="F994" s="6"/>
      <c r="G994" s="6"/>
      <c r="H994" s="6"/>
      <c r="I994" s="6"/>
      <c r="J994" s="11"/>
      <c r="K994" s="591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</row>
    <row r="995" ht="11.25" customHeight="1">
      <c r="A995" s="7"/>
      <c r="B995" s="5"/>
      <c r="C995" s="6"/>
      <c r="D995" s="6"/>
      <c r="E995" s="6"/>
      <c r="F995" s="6"/>
      <c r="G995" s="6"/>
      <c r="H995" s="6"/>
      <c r="I995" s="6"/>
      <c r="J995" s="11"/>
      <c r="K995" s="591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</row>
    <row r="996" ht="11.25" customHeight="1">
      <c r="A996" s="7"/>
      <c r="B996" s="5"/>
      <c r="C996" s="6"/>
      <c r="D996" s="6"/>
      <c r="E996" s="6"/>
      <c r="F996" s="6"/>
      <c r="G996" s="6"/>
      <c r="H996" s="6"/>
      <c r="I996" s="6"/>
      <c r="J996" s="11"/>
      <c r="K996" s="591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</row>
    <row r="997" ht="11.25" customHeight="1">
      <c r="A997" s="7"/>
      <c r="B997" s="5"/>
      <c r="C997" s="6"/>
      <c r="D997" s="6"/>
      <c r="E997" s="6"/>
      <c r="F997" s="6"/>
      <c r="G997" s="6"/>
      <c r="H997" s="6"/>
      <c r="I997" s="6"/>
      <c r="J997" s="11"/>
      <c r="K997" s="591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</row>
    <row r="998" ht="11.25" customHeight="1">
      <c r="A998" s="7"/>
      <c r="B998" s="5"/>
      <c r="C998" s="6"/>
      <c r="D998" s="6"/>
      <c r="E998" s="6"/>
      <c r="F998" s="6"/>
      <c r="G998" s="6"/>
      <c r="H998" s="6"/>
      <c r="I998" s="6"/>
      <c r="J998" s="11"/>
      <c r="K998" s="591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</row>
    <row r="999" ht="11.25" customHeight="1">
      <c r="A999" s="7"/>
      <c r="B999" s="5"/>
      <c r="C999" s="6"/>
      <c r="D999" s="6"/>
      <c r="E999" s="6"/>
      <c r="F999" s="6"/>
      <c r="G999" s="6"/>
      <c r="H999" s="6"/>
      <c r="I999" s="6"/>
      <c r="J999" s="11"/>
      <c r="K999" s="591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</row>
    <row r="1000" ht="11.25" customHeight="1">
      <c r="A1000" s="7"/>
      <c r="B1000" s="5"/>
      <c r="C1000" s="6"/>
      <c r="D1000" s="6"/>
      <c r="E1000" s="6"/>
      <c r="F1000" s="6"/>
      <c r="G1000" s="6"/>
      <c r="H1000" s="6"/>
      <c r="I1000" s="6"/>
      <c r="J1000" s="11"/>
      <c r="K1000" s="591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</row>
  </sheetData>
  <conditionalFormatting sqref="I1:I1000 S6:S365">
    <cfRule type="cellIs" dxfId="0" priority="1" operator="lessThan">
      <formula>0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2.75"/>
  <cols>
    <col customWidth="1" min="1" max="1" width="22.0"/>
    <col customWidth="1" min="2" max="2" width="4.88"/>
    <col customWidth="1" min="3" max="4" width="11.38"/>
    <col customWidth="1" min="5" max="5" width="10.75"/>
    <col customWidth="1" min="6" max="6" width="13.13"/>
    <col customWidth="1" min="7" max="7" width="12.75"/>
    <col customWidth="1" min="8" max="8" width="12.5"/>
    <col customWidth="1" min="9" max="9" width="13.38"/>
    <col customWidth="1" min="10" max="10" width="10.25"/>
    <col customWidth="1" min="11" max="11" width="8.0"/>
    <col customWidth="1" min="12" max="12" width="3.13"/>
    <col customWidth="1" min="13" max="15" width="12.63"/>
    <col customWidth="1" min="16" max="19" width="8.0"/>
    <col customWidth="1" min="20" max="24" width="7.0"/>
  </cols>
  <sheetData>
    <row r="1" ht="13.5" customHeight="1">
      <c r="A1" s="7"/>
      <c r="B1" s="5"/>
      <c r="C1" s="6"/>
      <c r="D1" s="6"/>
      <c r="E1" s="589" t="s">
        <v>2175</v>
      </c>
      <c r="F1" s="590"/>
      <c r="G1" s="6"/>
      <c r="H1" s="6"/>
      <c r="I1" s="6"/>
      <c r="J1" s="11"/>
      <c r="K1" s="591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ht="12.0" customHeight="1">
      <c r="A2" s="7"/>
      <c r="B2" s="5"/>
      <c r="C2" s="6"/>
      <c r="D2" s="6"/>
      <c r="E2" s="6"/>
      <c r="F2" s="6"/>
      <c r="G2" s="6"/>
      <c r="H2" s="6"/>
      <c r="I2" s="6"/>
      <c r="J2" s="11"/>
      <c r="K2" s="591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ht="12.0" customHeight="1">
      <c r="A3" s="7"/>
      <c r="B3" s="5"/>
      <c r="C3" s="6"/>
      <c r="D3" s="592" t="s">
        <v>2176</v>
      </c>
      <c r="E3" s="593">
        <v>1621713.0</v>
      </c>
      <c r="F3" s="594" t="s">
        <v>2188</v>
      </c>
      <c r="G3" s="595" t="s">
        <v>2177</v>
      </c>
      <c r="H3" s="596">
        <f>-PMT(6.875%/12,12*J3,E3)</f>
        <v>10653.49997</v>
      </c>
      <c r="I3" s="597" t="s">
        <v>2178</v>
      </c>
      <c r="J3" s="598">
        <v>30.0</v>
      </c>
      <c r="K3" s="591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ht="12.0" customHeight="1">
      <c r="A4" s="7"/>
      <c r="B4" s="5"/>
      <c r="C4" s="6"/>
      <c r="D4" s="6"/>
      <c r="E4" s="6"/>
      <c r="F4" s="6"/>
      <c r="G4" s="6"/>
      <c r="H4" s="6"/>
      <c r="I4" s="6"/>
      <c r="J4" s="11"/>
      <c r="K4" s="591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ht="12.0" customHeight="1">
      <c r="A5" s="12" t="s">
        <v>16</v>
      </c>
      <c r="B5" s="599" t="s">
        <v>17</v>
      </c>
      <c r="C5" s="600" t="s">
        <v>2179</v>
      </c>
      <c r="D5" s="601" t="s">
        <v>2180</v>
      </c>
      <c r="E5" s="602" t="s">
        <v>2181</v>
      </c>
      <c r="F5" s="602" t="s">
        <v>21</v>
      </c>
      <c r="G5" s="602" t="s">
        <v>2182</v>
      </c>
      <c r="H5" s="602" t="s">
        <v>2183</v>
      </c>
      <c r="I5" s="603" t="s">
        <v>2184</v>
      </c>
      <c r="J5" s="604" t="s">
        <v>2185</v>
      </c>
      <c r="K5" s="591"/>
      <c r="L5" s="6"/>
      <c r="M5" s="605" t="s">
        <v>2186</v>
      </c>
      <c r="N5" s="605" t="s">
        <v>2187</v>
      </c>
      <c r="O5" s="605" t="s">
        <v>2003</v>
      </c>
      <c r="P5" s="6"/>
      <c r="Q5" s="9" t="s">
        <v>31</v>
      </c>
      <c r="R5" s="9" t="s">
        <v>32</v>
      </c>
      <c r="S5" s="19" t="s">
        <v>33</v>
      </c>
      <c r="T5" s="6"/>
      <c r="U5" s="6"/>
      <c r="V5" s="6"/>
      <c r="W5" s="6"/>
      <c r="X5" s="6"/>
    </row>
    <row r="6" ht="11.25" customHeight="1">
      <c r="A6" s="23">
        <v>44871.0</v>
      </c>
      <c r="B6" s="24">
        <v>1.0</v>
      </c>
      <c r="C6" s="40">
        <v>10600.0</v>
      </c>
      <c r="D6" s="608">
        <f>(E3*J6%)/12</f>
        <v>0</v>
      </c>
      <c r="E6" s="608">
        <f t="shared" ref="E6:E365" si="1">C6-D6</f>
        <v>10600</v>
      </c>
      <c r="F6" s="608">
        <f>E6</f>
        <v>10600</v>
      </c>
      <c r="G6" s="608">
        <f>D6</f>
        <v>0</v>
      </c>
      <c r="H6" s="608">
        <f>C6</f>
        <v>10600</v>
      </c>
      <c r="I6" s="609">
        <f>E3-E6</f>
        <v>1611113</v>
      </c>
      <c r="J6" s="610">
        <v>0.0</v>
      </c>
      <c r="K6" s="591"/>
      <c r="L6" s="6"/>
      <c r="M6" s="75">
        <v>12000.0</v>
      </c>
      <c r="N6" s="608">
        <f>M6</f>
        <v>12000</v>
      </c>
      <c r="O6" s="6">
        <f t="shared" ref="O6:O365" si="2">N6-G6-(1221*B6)-(1221*B6)</f>
        <v>9558</v>
      </c>
      <c r="P6" s="6"/>
      <c r="Q6" s="6">
        <f>O6</f>
        <v>9558</v>
      </c>
      <c r="R6" s="6">
        <f>Q6</f>
        <v>9558</v>
      </c>
      <c r="S6" s="81" t="str">
        <f t="shared" ref="S6:S365" si="3">R6/(G6/100)</f>
        <v>#DIV/0!</v>
      </c>
      <c r="T6" s="6"/>
      <c r="U6" s="6"/>
      <c r="V6" s="6"/>
      <c r="W6" s="6"/>
      <c r="X6" s="6"/>
    </row>
    <row r="7" ht="11.25" customHeight="1">
      <c r="A7" s="38"/>
      <c r="B7" s="39">
        <f t="shared" ref="B7:B53" si="4">B6+1</f>
        <v>2</v>
      </c>
      <c r="C7" s="40">
        <v>10600.0</v>
      </c>
      <c r="D7" s="79">
        <f t="shared" ref="D7:D53" si="5">(I6*J7%)/12</f>
        <v>0</v>
      </c>
      <c r="E7" s="79">
        <f t="shared" si="1"/>
        <v>10600</v>
      </c>
      <c r="F7" s="79">
        <f t="shared" ref="F7:F365" si="6">F6+E7</f>
        <v>21200</v>
      </c>
      <c r="G7" s="79">
        <f t="shared" ref="G7:G365" si="7">G6+D7</f>
        <v>0</v>
      </c>
      <c r="H7" s="79">
        <f t="shared" ref="H7:H365" si="8">H6+C7</f>
        <v>21200</v>
      </c>
      <c r="I7" s="611">
        <f t="shared" ref="I7:I365" si="9">I6-E7</f>
        <v>1600513</v>
      </c>
      <c r="J7" s="610">
        <v>0.0</v>
      </c>
      <c r="K7" s="591"/>
      <c r="L7" s="6"/>
      <c r="M7" s="75">
        <v>12000.0</v>
      </c>
      <c r="N7" s="79">
        <f t="shared" ref="N7:N365" si="10">N6+M7</f>
        <v>24000</v>
      </c>
      <c r="O7" s="6">
        <f t="shared" si="2"/>
        <v>19116</v>
      </c>
      <c r="P7" s="6"/>
      <c r="Q7" s="6">
        <f t="shared" ref="Q7:Q365" si="11">SUM(O7-O6)</f>
        <v>9558</v>
      </c>
      <c r="R7" s="6">
        <f t="shared" ref="R7:R365" si="12">R6+Q7</f>
        <v>19116</v>
      </c>
      <c r="S7" s="81" t="str">
        <f t="shared" si="3"/>
        <v>#DIV/0!</v>
      </c>
      <c r="T7" s="6"/>
      <c r="U7" s="6"/>
      <c r="V7" s="6"/>
      <c r="W7" s="6"/>
      <c r="X7" s="6"/>
    </row>
    <row r="8" ht="11.25" customHeight="1">
      <c r="A8" s="38"/>
      <c r="B8" s="39">
        <f t="shared" si="4"/>
        <v>3</v>
      </c>
      <c r="C8" s="40">
        <v>10600.0</v>
      </c>
      <c r="D8" s="79">
        <f t="shared" si="5"/>
        <v>0</v>
      </c>
      <c r="E8" s="79">
        <f t="shared" si="1"/>
        <v>10600</v>
      </c>
      <c r="F8" s="79">
        <f t="shared" si="6"/>
        <v>31800</v>
      </c>
      <c r="G8" s="79">
        <f t="shared" si="7"/>
        <v>0</v>
      </c>
      <c r="H8" s="79">
        <f t="shared" si="8"/>
        <v>31800</v>
      </c>
      <c r="I8" s="611">
        <f t="shared" si="9"/>
        <v>1589913</v>
      </c>
      <c r="J8" s="610">
        <v>0.0</v>
      </c>
      <c r="K8" s="591"/>
      <c r="L8" s="6"/>
      <c r="M8" s="75">
        <v>12000.0</v>
      </c>
      <c r="N8" s="79">
        <f t="shared" si="10"/>
        <v>36000</v>
      </c>
      <c r="O8" s="6">
        <f t="shared" si="2"/>
        <v>28674</v>
      </c>
      <c r="P8" s="6"/>
      <c r="Q8" s="6">
        <f t="shared" si="11"/>
        <v>9558</v>
      </c>
      <c r="R8" s="6">
        <f t="shared" si="12"/>
        <v>28674</v>
      </c>
      <c r="S8" s="81" t="str">
        <f t="shared" si="3"/>
        <v>#DIV/0!</v>
      </c>
      <c r="T8" s="6"/>
      <c r="U8" s="6"/>
      <c r="V8" s="6"/>
      <c r="W8" s="6"/>
      <c r="X8" s="6"/>
    </row>
    <row r="9" ht="11.25" customHeight="1">
      <c r="A9" s="38"/>
      <c r="B9" s="39">
        <f t="shared" si="4"/>
        <v>4</v>
      </c>
      <c r="C9" s="40">
        <v>10600.0</v>
      </c>
      <c r="D9" s="79">
        <f t="shared" si="5"/>
        <v>0</v>
      </c>
      <c r="E9" s="79">
        <f t="shared" si="1"/>
        <v>10600</v>
      </c>
      <c r="F9" s="79">
        <f t="shared" si="6"/>
        <v>42400</v>
      </c>
      <c r="G9" s="79">
        <f t="shared" si="7"/>
        <v>0</v>
      </c>
      <c r="H9" s="79">
        <f t="shared" si="8"/>
        <v>42400</v>
      </c>
      <c r="I9" s="611">
        <f t="shared" si="9"/>
        <v>1579313</v>
      </c>
      <c r="J9" s="610">
        <v>0.0</v>
      </c>
      <c r="K9" s="591"/>
      <c r="L9" s="6"/>
      <c r="M9" s="75">
        <v>12000.0</v>
      </c>
      <c r="N9" s="79">
        <f t="shared" si="10"/>
        <v>48000</v>
      </c>
      <c r="O9" s="6">
        <f t="shared" si="2"/>
        <v>38232</v>
      </c>
      <c r="P9" s="6"/>
      <c r="Q9" s="6">
        <f t="shared" si="11"/>
        <v>9558</v>
      </c>
      <c r="R9" s="6">
        <f t="shared" si="12"/>
        <v>38232</v>
      </c>
      <c r="S9" s="81" t="str">
        <f t="shared" si="3"/>
        <v>#DIV/0!</v>
      </c>
      <c r="T9" s="6"/>
      <c r="U9" s="6"/>
      <c r="V9" s="6"/>
      <c r="W9" s="6"/>
      <c r="X9" s="6"/>
    </row>
    <row r="10" ht="11.25" customHeight="1">
      <c r="A10" s="38"/>
      <c r="B10" s="39">
        <f t="shared" si="4"/>
        <v>5</v>
      </c>
      <c r="C10" s="40">
        <v>10600.0</v>
      </c>
      <c r="D10" s="79">
        <f t="shared" si="5"/>
        <v>0</v>
      </c>
      <c r="E10" s="79">
        <f t="shared" si="1"/>
        <v>10600</v>
      </c>
      <c r="F10" s="79">
        <f t="shared" si="6"/>
        <v>53000</v>
      </c>
      <c r="G10" s="79">
        <f t="shared" si="7"/>
        <v>0</v>
      </c>
      <c r="H10" s="79">
        <f t="shared" si="8"/>
        <v>53000</v>
      </c>
      <c r="I10" s="611">
        <f t="shared" si="9"/>
        <v>1568713</v>
      </c>
      <c r="J10" s="610">
        <v>0.0</v>
      </c>
      <c r="K10" s="591"/>
      <c r="L10" s="6"/>
      <c r="M10" s="75">
        <v>12000.0</v>
      </c>
      <c r="N10" s="79">
        <f t="shared" si="10"/>
        <v>60000</v>
      </c>
      <c r="O10" s="6">
        <f t="shared" si="2"/>
        <v>47790</v>
      </c>
      <c r="P10" s="6"/>
      <c r="Q10" s="6">
        <f t="shared" si="11"/>
        <v>9558</v>
      </c>
      <c r="R10" s="6">
        <f t="shared" si="12"/>
        <v>47790</v>
      </c>
      <c r="S10" s="81" t="str">
        <f t="shared" si="3"/>
        <v>#DIV/0!</v>
      </c>
      <c r="T10" s="6"/>
      <c r="U10" s="6"/>
      <c r="V10" s="6"/>
      <c r="W10" s="6"/>
      <c r="X10" s="6"/>
    </row>
    <row r="11" ht="11.25" customHeight="1">
      <c r="A11" s="38"/>
      <c r="B11" s="39">
        <f t="shared" si="4"/>
        <v>6</v>
      </c>
      <c r="C11" s="40">
        <v>10600.0</v>
      </c>
      <c r="D11" s="79">
        <f t="shared" si="5"/>
        <v>0</v>
      </c>
      <c r="E11" s="79">
        <f t="shared" si="1"/>
        <v>10600</v>
      </c>
      <c r="F11" s="79">
        <f t="shared" si="6"/>
        <v>63600</v>
      </c>
      <c r="G11" s="79">
        <f t="shared" si="7"/>
        <v>0</v>
      </c>
      <c r="H11" s="79">
        <f t="shared" si="8"/>
        <v>63600</v>
      </c>
      <c r="I11" s="611">
        <f t="shared" si="9"/>
        <v>1558113</v>
      </c>
      <c r="J11" s="610">
        <v>0.0</v>
      </c>
      <c r="K11" s="591"/>
      <c r="L11" s="6"/>
      <c r="M11" s="75">
        <v>12000.0</v>
      </c>
      <c r="N11" s="79">
        <f t="shared" si="10"/>
        <v>72000</v>
      </c>
      <c r="O11" s="6">
        <f t="shared" si="2"/>
        <v>57348</v>
      </c>
      <c r="P11" s="6"/>
      <c r="Q11" s="6">
        <f t="shared" si="11"/>
        <v>9558</v>
      </c>
      <c r="R11" s="6">
        <f t="shared" si="12"/>
        <v>57348</v>
      </c>
      <c r="S11" s="81" t="str">
        <f t="shared" si="3"/>
        <v>#DIV/0!</v>
      </c>
      <c r="T11" s="6"/>
      <c r="U11" s="6"/>
      <c r="V11" s="6"/>
      <c r="W11" s="6"/>
      <c r="X11" s="6"/>
    </row>
    <row r="12" ht="11.25" customHeight="1">
      <c r="A12" s="38"/>
      <c r="B12" s="39">
        <f t="shared" si="4"/>
        <v>7</v>
      </c>
      <c r="C12" s="40">
        <v>10600.0</v>
      </c>
      <c r="D12" s="79">
        <f t="shared" si="5"/>
        <v>0</v>
      </c>
      <c r="E12" s="79">
        <f t="shared" si="1"/>
        <v>10600</v>
      </c>
      <c r="F12" s="79">
        <f t="shared" si="6"/>
        <v>74200</v>
      </c>
      <c r="G12" s="79">
        <f t="shared" si="7"/>
        <v>0</v>
      </c>
      <c r="H12" s="79">
        <f t="shared" si="8"/>
        <v>74200</v>
      </c>
      <c r="I12" s="611">
        <f t="shared" si="9"/>
        <v>1547513</v>
      </c>
      <c r="J12" s="610">
        <v>0.0</v>
      </c>
      <c r="K12" s="591"/>
      <c r="L12" s="6"/>
      <c r="M12" s="75">
        <v>12000.0</v>
      </c>
      <c r="N12" s="79">
        <f t="shared" si="10"/>
        <v>84000</v>
      </c>
      <c r="O12" s="6">
        <f t="shared" si="2"/>
        <v>66906</v>
      </c>
      <c r="P12" s="6"/>
      <c r="Q12" s="6">
        <f t="shared" si="11"/>
        <v>9558</v>
      </c>
      <c r="R12" s="6">
        <f t="shared" si="12"/>
        <v>66906</v>
      </c>
      <c r="S12" s="81" t="str">
        <f t="shared" si="3"/>
        <v>#DIV/0!</v>
      </c>
      <c r="T12" s="6"/>
      <c r="U12" s="6"/>
      <c r="V12" s="6"/>
      <c r="W12" s="6"/>
      <c r="X12" s="6"/>
    </row>
    <row r="13" ht="11.25" customHeight="1">
      <c r="A13" s="38"/>
      <c r="B13" s="39">
        <f t="shared" si="4"/>
        <v>8</v>
      </c>
      <c r="C13" s="40">
        <v>10600.0</v>
      </c>
      <c r="D13" s="79">
        <f t="shared" si="5"/>
        <v>5674.214333</v>
      </c>
      <c r="E13" s="79">
        <f t="shared" si="1"/>
        <v>4925.785667</v>
      </c>
      <c r="F13" s="79">
        <f t="shared" si="6"/>
        <v>79125.78567</v>
      </c>
      <c r="G13" s="79">
        <f t="shared" si="7"/>
        <v>5674.214333</v>
      </c>
      <c r="H13" s="79">
        <f t="shared" si="8"/>
        <v>84800</v>
      </c>
      <c r="I13" s="611">
        <f t="shared" si="9"/>
        <v>1542587.214</v>
      </c>
      <c r="J13" s="610">
        <v>4.4</v>
      </c>
      <c r="K13" s="612"/>
      <c r="L13" s="6"/>
      <c r="M13" s="75">
        <v>12000.0</v>
      </c>
      <c r="N13" s="79">
        <f t="shared" si="10"/>
        <v>96000</v>
      </c>
      <c r="O13" s="6">
        <f t="shared" si="2"/>
        <v>70789.78567</v>
      </c>
      <c r="P13" s="6"/>
      <c r="Q13" s="6">
        <f t="shared" si="11"/>
        <v>3883.785667</v>
      </c>
      <c r="R13" s="6">
        <f t="shared" si="12"/>
        <v>70789.78567</v>
      </c>
      <c r="S13" s="81">
        <f t="shared" si="3"/>
        <v>1247.569822</v>
      </c>
      <c r="T13" s="6"/>
      <c r="U13" s="6"/>
      <c r="V13" s="6"/>
      <c r="W13" s="6"/>
      <c r="X13" s="6"/>
    </row>
    <row r="14" ht="11.25" customHeight="1">
      <c r="A14" s="38"/>
      <c r="B14" s="39">
        <f t="shared" si="4"/>
        <v>9</v>
      </c>
      <c r="C14" s="40">
        <v>10600.0</v>
      </c>
      <c r="D14" s="79">
        <f t="shared" si="5"/>
        <v>5656.153119</v>
      </c>
      <c r="E14" s="79">
        <f t="shared" si="1"/>
        <v>4943.846881</v>
      </c>
      <c r="F14" s="79">
        <f t="shared" si="6"/>
        <v>84069.63255</v>
      </c>
      <c r="G14" s="79">
        <f t="shared" si="7"/>
        <v>11330.36745</v>
      </c>
      <c r="H14" s="79">
        <f t="shared" si="8"/>
        <v>95400</v>
      </c>
      <c r="I14" s="611">
        <f t="shared" si="9"/>
        <v>1537643.367</v>
      </c>
      <c r="J14" s="610">
        <v>4.4</v>
      </c>
      <c r="K14" s="591"/>
      <c r="L14" s="6"/>
      <c r="M14" s="75">
        <v>12000.0</v>
      </c>
      <c r="N14" s="79">
        <f t="shared" si="10"/>
        <v>108000</v>
      </c>
      <c r="O14" s="6">
        <f t="shared" si="2"/>
        <v>74691.63255</v>
      </c>
      <c r="P14" s="6"/>
      <c r="Q14" s="6">
        <f t="shared" si="11"/>
        <v>3901.846881</v>
      </c>
      <c r="R14" s="6">
        <f t="shared" si="12"/>
        <v>74691.63255</v>
      </c>
      <c r="S14" s="81">
        <f t="shared" si="3"/>
        <v>659.2163305</v>
      </c>
      <c r="T14" s="6"/>
      <c r="U14" s="6"/>
      <c r="V14" s="6"/>
      <c r="W14" s="6"/>
      <c r="X14" s="6"/>
    </row>
    <row r="15" ht="11.25" customHeight="1">
      <c r="A15" s="38"/>
      <c r="B15" s="39">
        <f t="shared" si="4"/>
        <v>10</v>
      </c>
      <c r="C15" s="40">
        <v>10600.0</v>
      </c>
      <c r="D15" s="79">
        <f t="shared" si="5"/>
        <v>5638.025681</v>
      </c>
      <c r="E15" s="79">
        <f t="shared" si="1"/>
        <v>4961.974319</v>
      </c>
      <c r="F15" s="79">
        <f t="shared" si="6"/>
        <v>89031.60687</v>
      </c>
      <c r="G15" s="79">
        <f t="shared" si="7"/>
        <v>16968.39313</v>
      </c>
      <c r="H15" s="79">
        <f t="shared" si="8"/>
        <v>106000</v>
      </c>
      <c r="I15" s="611">
        <f t="shared" si="9"/>
        <v>1532681.393</v>
      </c>
      <c r="J15" s="610">
        <v>4.4</v>
      </c>
      <c r="K15" s="591"/>
      <c r="L15" s="6"/>
      <c r="M15" s="75">
        <v>12000.0</v>
      </c>
      <c r="N15" s="79">
        <f t="shared" si="10"/>
        <v>120000</v>
      </c>
      <c r="O15" s="6">
        <f t="shared" si="2"/>
        <v>78611.60687</v>
      </c>
      <c r="P15" s="6"/>
      <c r="Q15" s="6">
        <f t="shared" si="11"/>
        <v>3919.974319</v>
      </c>
      <c r="R15" s="6">
        <f t="shared" si="12"/>
        <v>78611.60687</v>
      </c>
      <c r="S15" s="81">
        <f t="shared" si="3"/>
        <v>463.2825645</v>
      </c>
      <c r="T15" s="6"/>
      <c r="U15" s="6"/>
      <c r="V15" s="6"/>
      <c r="W15" s="6"/>
      <c r="X15" s="6"/>
    </row>
    <row r="16" ht="11.25" customHeight="1">
      <c r="A16" s="38"/>
      <c r="B16" s="39">
        <f t="shared" si="4"/>
        <v>11</v>
      </c>
      <c r="C16" s="40">
        <v>10600.0</v>
      </c>
      <c r="D16" s="79">
        <f t="shared" si="5"/>
        <v>5619.831775</v>
      </c>
      <c r="E16" s="79">
        <f t="shared" si="1"/>
        <v>4980.168225</v>
      </c>
      <c r="F16" s="79">
        <f t="shared" si="6"/>
        <v>94011.77509</v>
      </c>
      <c r="G16" s="79">
        <f t="shared" si="7"/>
        <v>22588.22491</v>
      </c>
      <c r="H16" s="79">
        <f t="shared" si="8"/>
        <v>116600</v>
      </c>
      <c r="I16" s="611">
        <f t="shared" si="9"/>
        <v>1527701.225</v>
      </c>
      <c r="J16" s="610">
        <v>4.4</v>
      </c>
      <c r="K16" s="591"/>
      <c r="L16" s="6"/>
      <c r="M16" s="75">
        <v>12000.0</v>
      </c>
      <c r="N16" s="79">
        <f t="shared" si="10"/>
        <v>132000</v>
      </c>
      <c r="O16" s="6">
        <f t="shared" si="2"/>
        <v>82549.77509</v>
      </c>
      <c r="P16" s="6"/>
      <c r="Q16" s="6">
        <f t="shared" si="11"/>
        <v>3938.168225</v>
      </c>
      <c r="R16" s="6">
        <f t="shared" si="12"/>
        <v>82549.77509</v>
      </c>
      <c r="S16" s="81">
        <f t="shared" si="3"/>
        <v>365.4549015</v>
      </c>
      <c r="T16" s="6"/>
      <c r="U16" s="6"/>
      <c r="V16" s="6"/>
      <c r="W16" s="6"/>
      <c r="X16" s="6"/>
    </row>
    <row r="17" ht="11.25" customHeight="1">
      <c r="A17" s="47"/>
      <c r="B17" s="48">
        <f t="shared" si="4"/>
        <v>12</v>
      </c>
      <c r="C17" s="40">
        <v>10600.0</v>
      </c>
      <c r="D17" s="90">
        <f t="shared" si="5"/>
        <v>5601.571158</v>
      </c>
      <c r="E17" s="90">
        <f t="shared" si="1"/>
        <v>4998.428842</v>
      </c>
      <c r="F17" s="90">
        <f t="shared" si="6"/>
        <v>99010.20393</v>
      </c>
      <c r="G17" s="90">
        <f t="shared" si="7"/>
        <v>28189.79607</v>
      </c>
      <c r="H17" s="90">
        <f t="shared" si="8"/>
        <v>127200</v>
      </c>
      <c r="I17" s="613">
        <f t="shared" si="9"/>
        <v>1522702.796</v>
      </c>
      <c r="J17" s="610">
        <v>4.4</v>
      </c>
      <c r="K17" s="591"/>
      <c r="L17" s="6"/>
      <c r="M17" s="75">
        <v>12000.0</v>
      </c>
      <c r="N17" s="79">
        <f t="shared" si="10"/>
        <v>144000</v>
      </c>
      <c r="O17" s="6">
        <f t="shared" si="2"/>
        <v>86506.20393</v>
      </c>
      <c r="P17" s="6"/>
      <c r="Q17" s="6">
        <f t="shared" si="11"/>
        <v>3956.428842</v>
      </c>
      <c r="R17" s="6">
        <f t="shared" si="12"/>
        <v>86506.20393</v>
      </c>
      <c r="S17" s="81">
        <f t="shared" si="3"/>
        <v>306.870627</v>
      </c>
      <c r="T17" s="6"/>
      <c r="U17" s="6"/>
      <c r="V17" s="6"/>
      <c r="W17" s="6"/>
      <c r="X17" s="6"/>
    </row>
    <row r="18" ht="11.25" customHeight="1">
      <c r="A18" s="23">
        <v>45237.0</v>
      </c>
      <c r="B18" s="39">
        <f t="shared" si="4"/>
        <v>13</v>
      </c>
      <c r="C18" s="40">
        <v>10600.0</v>
      </c>
      <c r="D18" s="79">
        <f t="shared" si="5"/>
        <v>5583.243586</v>
      </c>
      <c r="E18" s="79">
        <f t="shared" si="1"/>
        <v>5016.756414</v>
      </c>
      <c r="F18" s="79">
        <f t="shared" si="6"/>
        <v>104026.9603</v>
      </c>
      <c r="G18" s="79">
        <f t="shared" si="7"/>
        <v>33773.03965</v>
      </c>
      <c r="H18" s="79">
        <f t="shared" si="8"/>
        <v>137800</v>
      </c>
      <c r="I18" s="611">
        <f t="shared" si="9"/>
        <v>1517686.04</v>
      </c>
      <c r="J18" s="610">
        <v>4.4</v>
      </c>
      <c r="K18" s="591"/>
      <c r="L18" s="6"/>
      <c r="M18" s="75">
        <v>12000.0</v>
      </c>
      <c r="N18" s="79">
        <f t="shared" si="10"/>
        <v>156000</v>
      </c>
      <c r="O18" s="6">
        <f t="shared" si="2"/>
        <v>90480.96035</v>
      </c>
      <c r="P18" s="6"/>
      <c r="Q18" s="6">
        <f t="shared" si="11"/>
        <v>3974.756414</v>
      </c>
      <c r="R18" s="6">
        <f t="shared" si="12"/>
        <v>90480.96035</v>
      </c>
      <c r="S18" s="81">
        <f t="shared" si="3"/>
        <v>267.9088447</v>
      </c>
      <c r="T18" s="6"/>
      <c r="U18" s="6"/>
      <c r="V18" s="6"/>
      <c r="W18" s="6"/>
      <c r="X18" s="6"/>
    </row>
    <row r="19" ht="11.25" customHeight="1">
      <c r="A19" s="54"/>
      <c r="B19" s="39">
        <f t="shared" si="4"/>
        <v>14</v>
      </c>
      <c r="C19" s="40">
        <v>10600.0</v>
      </c>
      <c r="D19" s="79">
        <f t="shared" si="5"/>
        <v>5564.848812</v>
      </c>
      <c r="E19" s="79">
        <f t="shared" si="1"/>
        <v>5035.151188</v>
      </c>
      <c r="F19" s="79">
        <f t="shared" si="6"/>
        <v>109062.1115</v>
      </c>
      <c r="G19" s="79">
        <f t="shared" si="7"/>
        <v>39337.88846</v>
      </c>
      <c r="H19" s="79">
        <f t="shared" si="8"/>
        <v>148400</v>
      </c>
      <c r="I19" s="611">
        <f t="shared" si="9"/>
        <v>1512650.888</v>
      </c>
      <c r="J19" s="610">
        <v>4.4</v>
      </c>
      <c r="K19" s="591"/>
      <c r="L19" s="6"/>
      <c r="M19" s="75">
        <v>12000.0</v>
      </c>
      <c r="N19" s="79">
        <f t="shared" si="10"/>
        <v>168000</v>
      </c>
      <c r="O19" s="6">
        <f t="shared" si="2"/>
        <v>94474.11154</v>
      </c>
      <c r="P19" s="6"/>
      <c r="Q19" s="6">
        <f t="shared" si="11"/>
        <v>3993.151188</v>
      </c>
      <c r="R19" s="6">
        <f t="shared" si="12"/>
        <v>94474.11154</v>
      </c>
      <c r="S19" s="81">
        <f t="shared" si="3"/>
        <v>240.1606065</v>
      </c>
      <c r="T19" s="6"/>
      <c r="U19" s="6"/>
      <c r="V19" s="6"/>
      <c r="W19" s="6"/>
      <c r="X19" s="6"/>
    </row>
    <row r="20" ht="11.25" customHeight="1">
      <c r="A20" s="38"/>
      <c r="B20" s="39">
        <f t="shared" si="4"/>
        <v>15</v>
      </c>
      <c r="C20" s="40">
        <v>10600.0</v>
      </c>
      <c r="D20" s="79">
        <f t="shared" si="5"/>
        <v>5546.386591</v>
      </c>
      <c r="E20" s="79">
        <f t="shared" si="1"/>
        <v>5053.613409</v>
      </c>
      <c r="F20" s="79">
        <f t="shared" si="6"/>
        <v>114115.7249</v>
      </c>
      <c r="G20" s="79">
        <f t="shared" si="7"/>
        <v>44884.27505</v>
      </c>
      <c r="H20" s="79">
        <f t="shared" si="8"/>
        <v>159000</v>
      </c>
      <c r="I20" s="611">
        <f t="shared" si="9"/>
        <v>1507597.275</v>
      </c>
      <c r="J20" s="610">
        <v>4.4</v>
      </c>
      <c r="K20" s="591"/>
      <c r="L20" s="6"/>
      <c r="M20" s="75">
        <v>12000.0</v>
      </c>
      <c r="N20" s="79">
        <f t="shared" si="10"/>
        <v>180000</v>
      </c>
      <c r="O20" s="6">
        <f t="shared" si="2"/>
        <v>98485.72495</v>
      </c>
      <c r="P20" s="6"/>
      <c r="Q20" s="6">
        <f t="shared" si="11"/>
        <v>4011.613409</v>
      </c>
      <c r="R20" s="6">
        <f t="shared" si="12"/>
        <v>98485.72495</v>
      </c>
      <c r="S20" s="81">
        <f t="shared" si="3"/>
        <v>219.4214451</v>
      </c>
      <c r="T20" s="6"/>
      <c r="U20" s="6"/>
      <c r="V20" s="6"/>
      <c r="W20" s="6"/>
      <c r="X20" s="6"/>
    </row>
    <row r="21" ht="11.25" customHeight="1">
      <c r="A21" s="38"/>
      <c r="B21" s="39">
        <f t="shared" si="4"/>
        <v>16</v>
      </c>
      <c r="C21" s="40">
        <v>10600.0</v>
      </c>
      <c r="D21" s="79">
        <f t="shared" si="5"/>
        <v>5527.856675</v>
      </c>
      <c r="E21" s="79">
        <f t="shared" si="1"/>
        <v>5072.143325</v>
      </c>
      <c r="F21" s="79">
        <f t="shared" si="6"/>
        <v>119187.8683</v>
      </c>
      <c r="G21" s="79">
        <f t="shared" si="7"/>
        <v>50412.13173</v>
      </c>
      <c r="H21" s="79">
        <f t="shared" si="8"/>
        <v>169600</v>
      </c>
      <c r="I21" s="611">
        <f t="shared" si="9"/>
        <v>1502525.132</v>
      </c>
      <c r="J21" s="610">
        <v>4.4</v>
      </c>
      <c r="K21" s="591"/>
      <c r="L21" s="6"/>
      <c r="M21" s="75">
        <v>12000.0</v>
      </c>
      <c r="N21" s="79">
        <f t="shared" si="10"/>
        <v>192000</v>
      </c>
      <c r="O21" s="6">
        <f t="shared" si="2"/>
        <v>102515.8683</v>
      </c>
      <c r="P21" s="6"/>
      <c r="Q21" s="6">
        <f t="shared" si="11"/>
        <v>4030.143325</v>
      </c>
      <c r="R21" s="6">
        <f t="shared" si="12"/>
        <v>102515.8683</v>
      </c>
      <c r="S21" s="81">
        <f t="shared" si="3"/>
        <v>203.355551</v>
      </c>
      <c r="T21" s="6"/>
      <c r="U21" s="6"/>
      <c r="V21" s="6"/>
      <c r="W21" s="6"/>
      <c r="X21" s="6"/>
    </row>
    <row r="22" ht="11.25" customHeight="1">
      <c r="A22" s="38"/>
      <c r="B22" s="39">
        <f t="shared" si="4"/>
        <v>17</v>
      </c>
      <c r="C22" s="40">
        <v>10600.0</v>
      </c>
      <c r="D22" s="79">
        <f t="shared" si="5"/>
        <v>5509.258816</v>
      </c>
      <c r="E22" s="79">
        <f t="shared" si="1"/>
        <v>5090.741184</v>
      </c>
      <c r="F22" s="79">
        <f t="shared" si="6"/>
        <v>124278.6095</v>
      </c>
      <c r="G22" s="79">
        <f t="shared" si="7"/>
        <v>55921.39055</v>
      </c>
      <c r="H22" s="79">
        <f t="shared" si="8"/>
        <v>180200</v>
      </c>
      <c r="I22" s="611">
        <f t="shared" si="9"/>
        <v>1497434.391</v>
      </c>
      <c r="J22" s="610">
        <v>4.4</v>
      </c>
      <c r="K22" s="591"/>
      <c r="L22" s="6"/>
      <c r="M22" s="75">
        <v>12000.0</v>
      </c>
      <c r="N22" s="79">
        <f t="shared" si="10"/>
        <v>204000</v>
      </c>
      <c r="O22" s="6">
        <f t="shared" si="2"/>
        <v>106564.6095</v>
      </c>
      <c r="P22" s="6"/>
      <c r="Q22" s="6">
        <f t="shared" si="11"/>
        <v>4048.741184</v>
      </c>
      <c r="R22" s="6">
        <f t="shared" si="12"/>
        <v>106564.6095</v>
      </c>
      <c r="S22" s="81">
        <f t="shared" si="3"/>
        <v>190.5614442</v>
      </c>
      <c r="T22" s="6"/>
      <c r="U22" s="6"/>
      <c r="V22" s="6"/>
      <c r="W22" s="6"/>
      <c r="X22" s="6"/>
    </row>
    <row r="23" ht="11.25" customHeight="1">
      <c r="A23" s="38"/>
      <c r="B23" s="39">
        <f t="shared" si="4"/>
        <v>18</v>
      </c>
      <c r="C23" s="40">
        <v>10600.0</v>
      </c>
      <c r="D23" s="79">
        <f t="shared" si="5"/>
        <v>5490.592765</v>
      </c>
      <c r="E23" s="79">
        <f t="shared" si="1"/>
        <v>5109.407235</v>
      </c>
      <c r="F23" s="79">
        <f t="shared" si="6"/>
        <v>129388.0167</v>
      </c>
      <c r="G23" s="79">
        <f t="shared" si="7"/>
        <v>61411.98331</v>
      </c>
      <c r="H23" s="79">
        <f t="shared" si="8"/>
        <v>190800</v>
      </c>
      <c r="I23" s="611">
        <f t="shared" si="9"/>
        <v>1492324.983</v>
      </c>
      <c r="J23" s="610">
        <v>4.4</v>
      </c>
      <c r="K23" s="591"/>
      <c r="L23" s="6"/>
      <c r="M23" s="75">
        <v>12000.0</v>
      </c>
      <c r="N23" s="79">
        <f t="shared" si="10"/>
        <v>216000</v>
      </c>
      <c r="O23" s="6">
        <f t="shared" si="2"/>
        <v>110632.0167</v>
      </c>
      <c r="P23" s="6"/>
      <c r="Q23" s="6">
        <f t="shared" si="11"/>
        <v>4067.407235</v>
      </c>
      <c r="R23" s="6">
        <f t="shared" si="12"/>
        <v>110632.0167</v>
      </c>
      <c r="S23" s="81">
        <f t="shared" si="3"/>
        <v>180.1472786</v>
      </c>
      <c r="T23" s="6"/>
      <c r="U23" s="6"/>
      <c r="V23" s="6"/>
      <c r="W23" s="6"/>
      <c r="X23" s="6"/>
    </row>
    <row r="24" ht="11.25" customHeight="1">
      <c r="A24" s="38"/>
      <c r="B24" s="39">
        <f t="shared" si="4"/>
        <v>19</v>
      </c>
      <c r="C24" s="40">
        <v>10600.0</v>
      </c>
      <c r="D24" s="79">
        <f t="shared" si="5"/>
        <v>5471.858272</v>
      </c>
      <c r="E24" s="79">
        <f t="shared" si="1"/>
        <v>5128.141728</v>
      </c>
      <c r="F24" s="79">
        <f t="shared" si="6"/>
        <v>134516.1584</v>
      </c>
      <c r="G24" s="79">
        <f t="shared" si="7"/>
        <v>66883.84158</v>
      </c>
      <c r="H24" s="79">
        <f t="shared" si="8"/>
        <v>201400</v>
      </c>
      <c r="I24" s="611">
        <f t="shared" si="9"/>
        <v>1487196.842</v>
      </c>
      <c r="J24" s="610">
        <v>4.4</v>
      </c>
      <c r="K24" s="591"/>
      <c r="L24" s="6"/>
      <c r="M24" s="75">
        <v>12000.0</v>
      </c>
      <c r="N24" s="79">
        <f t="shared" si="10"/>
        <v>228000</v>
      </c>
      <c r="O24" s="6">
        <f t="shared" si="2"/>
        <v>114718.1584</v>
      </c>
      <c r="P24" s="6"/>
      <c r="Q24" s="6">
        <f t="shared" si="11"/>
        <v>4086.141728</v>
      </c>
      <c r="R24" s="6">
        <f t="shared" si="12"/>
        <v>114718.1584</v>
      </c>
      <c r="S24" s="81">
        <f t="shared" si="3"/>
        <v>171.5184949</v>
      </c>
      <c r="T24" s="6"/>
      <c r="U24" s="6"/>
      <c r="V24" s="6"/>
      <c r="W24" s="6"/>
      <c r="X24" s="6"/>
    </row>
    <row r="25" ht="11.25" customHeight="1">
      <c r="A25" s="38"/>
      <c r="B25" s="39">
        <f t="shared" si="4"/>
        <v>20</v>
      </c>
      <c r="C25" s="40">
        <v>10600.0</v>
      </c>
      <c r="D25" s="79">
        <f t="shared" si="5"/>
        <v>5453.055086</v>
      </c>
      <c r="E25" s="79">
        <f t="shared" si="1"/>
        <v>5146.944914</v>
      </c>
      <c r="F25" s="79">
        <f t="shared" si="6"/>
        <v>139663.1033</v>
      </c>
      <c r="G25" s="79">
        <f t="shared" si="7"/>
        <v>72336.89667</v>
      </c>
      <c r="H25" s="79">
        <f t="shared" si="8"/>
        <v>212000</v>
      </c>
      <c r="I25" s="611">
        <f t="shared" si="9"/>
        <v>1482049.897</v>
      </c>
      <c r="J25" s="610">
        <v>4.4</v>
      </c>
      <c r="K25" s="591"/>
      <c r="L25" s="6"/>
      <c r="M25" s="75">
        <v>14000.0</v>
      </c>
      <c r="N25" s="79">
        <f t="shared" si="10"/>
        <v>242000</v>
      </c>
      <c r="O25" s="6">
        <f t="shared" si="2"/>
        <v>120823.1033</v>
      </c>
      <c r="P25" s="6"/>
      <c r="Q25" s="6">
        <f t="shared" si="11"/>
        <v>6104.944914</v>
      </c>
      <c r="R25" s="6">
        <f t="shared" si="12"/>
        <v>120823.1033</v>
      </c>
      <c r="S25" s="81">
        <f t="shared" si="3"/>
        <v>167.0283201</v>
      </c>
      <c r="T25" s="6"/>
      <c r="U25" s="6"/>
      <c r="V25" s="6"/>
      <c r="W25" s="6"/>
      <c r="X25" s="6"/>
    </row>
    <row r="26" ht="11.25" customHeight="1">
      <c r="A26" s="38"/>
      <c r="B26" s="39">
        <f t="shared" si="4"/>
        <v>21</v>
      </c>
      <c r="C26" s="40">
        <v>10600.0</v>
      </c>
      <c r="D26" s="79">
        <f t="shared" si="5"/>
        <v>5434.182954</v>
      </c>
      <c r="E26" s="79">
        <f t="shared" si="1"/>
        <v>5165.817046</v>
      </c>
      <c r="F26" s="79">
        <f t="shared" si="6"/>
        <v>144828.9204</v>
      </c>
      <c r="G26" s="79">
        <f t="shared" si="7"/>
        <v>77771.07962</v>
      </c>
      <c r="H26" s="79">
        <f t="shared" si="8"/>
        <v>222600</v>
      </c>
      <c r="I26" s="611">
        <f t="shared" si="9"/>
        <v>1476884.08</v>
      </c>
      <c r="J26" s="610">
        <v>4.4</v>
      </c>
      <c r="K26" s="591"/>
      <c r="L26" s="6"/>
      <c r="M26" s="75">
        <v>14000.0</v>
      </c>
      <c r="N26" s="79">
        <f t="shared" si="10"/>
        <v>256000</v>
      </c>
      <c r="O26" s="6">
        <f t="shared" si="2"/>
        <v>126946.9204</v>
      </c>
      <c r="P26" s="6"/>
      <c r="Q26" s="6">
        <f t="shared" si="11"/>
        <v>6123.817046</v>
      </c>
      <c r="R26" s="6">
        <f t="shared" si="12"/>
        <v>126946.9204</v>
      </c>
      <c r="S26" s="81">
        <f t="shared" si="3"/>
        <v>163.2315264</v>
      </c>
      <c r="T26" s="6"/>
      <c r="U26" s="6"/>
      <c r="V26" s="6"/>
      <c r="W26" s="6"/>
      <c r="X26" s="6"/>
    </row>
    <row r="27" ht="11.25" customHeight="1">
      <c r="A27" s="38"/>
      <c r="B27" s="39">
        <f t="shared" si="4"/>
        <v>22</v>
      </c>
      <c r="C27" s="40">
        <v>10600.0</v>
      </c>
      <c r="D27" s="79">
        <f t="shared" si="5"/>
        <v>5415.241625</v>
      </c>
      <c r="E27" s="79">
        <f t="shared" si="1"/>
        <v>5184.758375</v>
      </c>
      <c r="F27" s="79">
        <f t="shared" si="6"/>
        <v>150013.6788</v>
      </c>
      <c r="G27" s="79">
        <f t="shared" si="7"/>
        <v>83186.32125</v>
      </c>
      <c r="H27" s="79">
        <f t="shared" si="8"/>
        <v>233200</v>
      </c>
      <c r="I27" s="611">
        <f t="shared" si="9"/>
        <v>1471699.321</v>
      </c>
      <c r="J27" s="610">
        <v>4.4</v>
      </c>
      <c r="K27" s="591"/>
      <c r="L27" s="6"/>
      <c r="M27" s="75">
        <v>14000.0</v>
      </c>
      <c r="N27" s="79">
        <f t="shared" si="10"/>
        <v>270000</v>
      </c>
      <c r="O27" s="6">
        <f t="shared" si="2"/>
        <v>133089.6788</v>
      </c>
      <c r="P27" s="6"/>
      <c r="Q27" s="6">
        <f t="shared" si="11"/>
        <v>6142.758375</v>
      </c>
      <c r="R27" s="6">
        <f t="shared" si="12"/>
        <v>133089.6788</v>
      </c>
      <c r="S27" s="81">
        <f t="shared" si="3"/>
        <v>159.9898598</v>
      </c>
      <c r="T27" s="6"/>
      <c r="U27" s="6"/>
      <c r="V27" s="6"/>
      <c r="W27" s="6"/>
      <c r="X27" s="6"/>
    </row>
    <row r="28" ht="11.25" customHeight="1">
      <c r="A28" s="56"/>
      <c r="B28" s="39">
        <f t="shared" si="4"/>
        <v>23</v>
      </c>
      <c r="C28" s="40">
        <v>10600.0</v>
      </c>
      <c r="D28" s="79">
        <f t="shared" si="5"/>
        <v>5396.230845</v>
      </c>
      <c r="E28" s="79">
        <f t="shared" si="1"/>
        <v>5203.769155</v>
      </c>
      <c r="F28" s="79">
        <f t="shared" si="6"/>
        <v>155217.4479</v>
      </c>
      <c r="G28" s="79">
        <f t="shared" si="7"/>
        <v>88582.55209</v>
      </c>
      <c r="H28" s="79">
        <f t="shared" si="8"/>
        <v>243800</v>
      </c>
      <c r="I28" s="611">
        <f t="shared" si="9"/>
        <v>1466495.552</v>
      </c>
      <c r="J28" s="610">
        <v>4.4</v>
      </c>
      <c r="K28" s="591"/>
      <c r="L28" s="6"/>
      <c r="M28" s="75">
        <v>14000.0</v>
      </c>
      <c r="N28" s="79">
        <f t="shared" si="10"/>
        <v>284000</v>
      </c>
      <c r="O28" s="6">
        <f t="shared" si="2"/>
        <v>139251.4479</v>
      </c>
      <c r="P28" s="6"/>
      <c r="Q28" s="6">
        <f t="shared" si="11"/>
        <v>6161.769155</v>
      </c>
      <c r="R28" s="6">
        <f t="shared" si="12"/>
        <v>139251.4479</v>
      </c>
      <c r="S28" s="81">
        <f t="shared" si="3"/>
        <v>157.1996343</v>
      </c>
      <c r="T28" s="6"/>
      <c r="U28" s="6"/>
      <c r="V28" s="6"/>
      <c r="W28" s="6"/>
      <c r="X28" s="6"/>
    </row>
    <row r="29" ht="11.25" customHeight="1">
      <c r="A29" s="57"/>
      <c r="B29" s="48">
        <f t="shared" si="4"/>
        <v>24</v>
      </c>
      <c r="C29" s="40">
        <v>10600.0</v>
      </c>
      <c r="D29" s="90">
        <f t="shared" si="5"/>
        <v>5377.150358</v>
      </c>
      <c r="E29" s="90">
        <f t="shared" si="1"/>
        <v>5222.849642</v>
      </c>
      <c r="F29" s="90">
        <f t="shared" si="6"/>
        <v>160440.2975</v>
      </c>
      <c r="G29" s="90">
        <f t="shared" si="7"/>
        <v>93959.70245</v>
      </c>
      <c r="H29" s="90">
        <f t="shared" si="8"/>
        <v>254400</v>
      </c>
      <c r="I29" s="613">
        <f t="shared" si="9"/>
        <v>1461272.702</v>
      </c>
      <c r="J29" s="610">
        <v>4.4</v>
      </c>
      <c r="K29" s="591"/>
      <c r="L29" s="6"/>
      <c r="M29" s="75">
        <v>14000.0</v>
      </c>
      <c r="N29" s="79">
        <f t="shared" si="10"/>
        <v>298000</v>
      </c>
      <c r="O29" s="6">
        <f t="shared" si="2"/>
        <v>145432.2975</v>
      </c>
      <c r="P29" s="6"/>
      <c r="Q29" s="6">
        <f t="shared" si="11"/>
        <v>6180.849642</v>
      </c>
      <c r="R29" s="6">
        <f t="shared" si="12"/>
        <v>145432.2975</v>
      </c>
      <c r="S29" s="81">
        <f t="shared" si="3"/>
        <v>154.7815646</v>
      </c>
      <c r="T29" s="6"/>
      <c r="U29" s="6"/>
      <c r="V29" s="6"/>
      <c r="W29" s="6"/>
      <c r="X29" s="6"/>
    </row>
    <row r="30" ht="11.25" customHeight="1">
      <c r="A30" s="23">
        <v>45599.0</v>
      </c>
      <c r="B30" s="39">
        <f t="shared" si="4"/>
        <v>25</v>
      </c>
      <c r="C30" s="40">
        <v>10600.0</v>
      </c>
      <c r="D30" s="79">
        <f t="shared" si="5"/>
        <v>5357.999909</v>
      </c>
      <c r="E30" s="79">
        <f t="shared" si="1"/>
        <v>5242.000091</v>
      </c>
      <c r="F30" s="79">
        <f t="shared" si="6"/>
        <v>165682.2976</v>
      </c>
      <c r="G30" s="79">
        <f t="shared" si="7"/>
        <v>99317.70236</v>
      </c>
      <c r="H30" s="79">
        <f t="shared" si="8"/>
        <v>265000</v>
      </c>
      <c r="I30" s="611">
        <f t="shared" si="9"/>
        <v>1456030.702</v>
      </c>
      <c r="J30" s="610">
        <v>4.4</v>
      </c>
      <c r="K30" s="591"/>
      <c r="L30" s="6"/>
      <c r="M30" s="75">
        <v>14000.0</v>
      </c>
      <c r="N30" s="79">
        <f t="shared" si="10"/>
        <v>312000</v>
      </c>
      <c r="O30" s="6">
        <f t="shared" si="2"/>
        <v>151632.2976</v>
      </c>
      <c r="P30" s="6"/>
      <c r="Q30" s="6">
        <f t="shared" si="11"/>
        <v>6200.000091</v>
      </c>
      <c r="R30" s="6">
        <f t="shared" si="12"/>
        <v>151632.2976</v>
      </c>
      <c r="S30" s="81">
        <f t="shared" si="3"/>
        <v>152.6739887</v>
      </c>
      <c r="T30" s="6"/>
      <c r="U30" s="6"/>
      <c r="V30" s="6"/>
      <c r="W30" s="6"/>
      <c r="X30" s="6"/>
    </row>
    <row r="31" ht="11.25" customHeight="1">
      <c r="A31" s="54"/>
      <c r="B31" s="39">
        <f t="shared" si="4"/>
        <v>26</v>
      </c>
      <c r="C31" s="40">
        <v>10600.0</v>
      </c>
      <c r="D31" s="79">
        <f t="shared" si="5"/>
        <v>5338.779242</v>
      </c>
      <c r="E31" s="79">
        <f t="shared" si="1"/>
        <v>5261.220758</v>
      </c>
      <c r="F31" s="79">
        <f t="shared" si="6"/>
        <v>170943.5184</v>
      </c>
      <c r="G31" s="79">
        <f t="shared" si="7"/>
        <v>104656.4816</v>
      </c>
      <c r="H31" s="79">
        <f t="shared" si="8"/>
        <v>275600</v>
      </c>
      <c r="I31" s="611">
        <f t="shared" si="9"/>
        <v>1450769.482</v>
      </c>
      <c r="J31" s="610">
        <v>4.4</v>
      </c>
      <c r="K31" s="591"/>
      <c r="L31" s="6"/>
      <c r="M31" s="75">
        <v>14000.0</v>
      </c>
      <c r="N31" s="79">
        <f t="shared" si="10"/>
        <v>326000</v>
      </c>
      <c r="O31" s="6">
        <f t="shared" si="2"/>
        <v>157851.5184</v>
      </c>
      <c r="P31" s="6"/>
      <c r="Q31" s="6">
        <f t="shared" si="11"/>
        <v>6219.220758</v>
      </c>
      <c r="R31" s="6">
        <f t="shared" si="12"/>
        <v>157851.5184</v>
      </c>
      <c r="S31" s="81">
        <f t="shared" si="3"/>
        <v>150.8282296</v>
      </c>
      <c r="T31" s="6"/>
      <c r="U31" s="6"/>
      <c r="V31" s="6"/>
      <c r="W31" s="6"/>
      <c r="X31" s="6"/>
    </row>
    <row r="32" ht="11.25" customHeight="1">
      <c r="B32" s="63">
        <f t="shared" si="4"/>
        <v>27</v>
      </c>
      <c r="C32" s="40">
        <v>10600.0</v>
      </c>
      <c r="D32" s="79">
        <f t="shared" si="5"/>
        <v>5319.488099</v>
      </c>
      <c r="E32" s="79">
        <f t="shared" si="1"/>
        <v>5280.511901</v>
      </c>
      <c r="F32" s="79">
        <f t="shared" si="6"/>
        <v>176224.0303</v>
      </c>
      <c r="G32" s="79">
        <f t="shared" si="7"/>
        <v>109975.9697</v>
      </c>
      <c r="H32" s="79">
        <f t="shared" si="8"/>
        <v>286200</v>
      </c>
      <c r="I32" s="611">
        <f t="shared" si="9"/>
        <v>1445488.97</v>
      </c>
      <c r="J32" s="610">
        <v>4.4</v>
      </c>
      <c r="K32" s="591"/>
      <c r="L32" s="6"/>
      <c r="M32" s="75">
        <v>14000.0</v>
      </c>
      <c r="N32" s="79">
        <f t="shared" si="10"/>
        <v>340000</v>
      </c>
      <c r="O32" s="6">
        <f t="shared" si="2"/>
        <v>164090.0303</v>
      </c>
      <c r="P32" s="6"/>
      <c r="Q32" s="6">
        <f t="shared" si="11"/>
        <v>6238.511901</v>
      </c>
      <c r="R32" s="6">
        <f t="shared" si="12"/>
        <v>164090.0303</v>
      </c>
      <c r="S32" s="81">
        <f t="shared" si="3"/>
        <v>149.2053498</v>
      </c>
      <c r="T32" s="6"/>
      <c r="U32" s="6"/>
      <c r="V32" s="6"/>
      <c r="W32" s="6"/>
      <c r="X32" s="6"/>
    </row>
    <row r="33" ht="11.25" customHeight="1">
      <c r="A33" s="38"/>
      <c r="B33" s="39">
        <f t="shared" si="4"/>
        <v>28</v>
      </c>
      <c r="C33" s="40">
        <v>10600.0</v>
      </c>
      <c r="D33" s="79">
        <f t="shared" si="5"/>
        <v>5300.126222</v>
      </c>
      <c r="E33" s="79">
        <f t="shared" si="1"/>
        <v>5299.873778</v>
      </c>
      <c r="F33" s="79">
        <f t="shared" si="6"/>
        <v>181523.9041</v>
      </c>
      <c r="G33" s="79">
        <f t="shared" si="7"/>
        <v>115276.0959</v>
      </c>
      <c r="H33" s="79">
        <f t="shared" si="8"/>
        <v>296800</v>
      </c>
      <c r="I33" s="611">
        <f t="shared" si="9"/>
        <v>1440189.096</v>
      </c>
      <c r="J33" s="610">
        <v>4.4</v>
      </c>
      <c r="K33" s="591"/>
      <c r="L33" s="6"/>
      <c r="M33" s="75">
        <v>14000.0</v>
      </c>
      <c r="N33" s="79">
        <f t="shared" si="10"/>
        <v>354000</v>
      </c>
      <c r="O33" s="6">
        <f t="shared" si="2"/>
        <v>170347.9041</v>
      </c>
      <c r="P33" s="6"/>
      <c r="Q33" s="6">
        <f t="shared" si="11"/>
        <v>6257.873778</v>
      </c>
      <c r="R33" s="6">
        <f t="shared" si="12"/>
        <v>170347.9041</v>
      </c>
      <c r="S33" s="81">
        <f t="shared" si="3"/>
        <v>147.7738318</v>
      </c>
      <c r="T33" s="6"/>
      <c r="U33" s="6"/>
      <c r="V33" s="6"/>
      <c r="W33" s="6"/>
      <c r="X33" s="6"/>
    </row>
    <row r="34" ht="11.25" customHeight="1">
      <c r="A34" s="38"/>
      <c r="B34" s="39">
        <f t="shared" si="4"/>
        <v>29</v>
      </c>
      <c r="C34" s="40">
        <v>10600.0</v>
      </c>
      <c r="D34" s="79">
        <f t="shared" si="5"/>
        <v>5280.693352</v>
      </c>
      <c r="E34" s="79">
        <f t="shared" si="1"/>
        <v>5319.306648</v>
      </c>
      <c r="F34" s="79">
        <f t="shared" si="6"/>
        <v>186843.2107</v>
      </c>
      <c r="G34" s="79">
        <f t="shared" si="7"/>
        <v>120556.7893</v>
      </c>
      <c r="H34" s="79">
        <f t="shared" si="8"/>
        <v>307400</v>
      </c>
      <c r="I34" s="611">
        <f t="shared" si="9"/>
        <v>1434869.789</v>
      </c>
      <c r="J34" s="610">
        <v>4.4</v>
      </c>
      <c r="K34" s="591"/>
      <c r="L34" s="6"/>
      <c r="M34" s="75">
        <v>14000.0</v>
      </c>
      <c r="N34" s="79">
        <f t="shared" si="10"/>
        <v>368000</v>
      </c>
      <c r="O34" s="6">
        <f t="shared" si="2"/>
        <v>176625.2107</v>
      </c>
      <c r="P34" s="6"/>
      <c r="Q34" s="6">
        <f t="shared" si="11"/>
        <v>6277.306648</v>
      </c>
      <c r="R34" s="6">
        <f t="shared" si="12"/>
        <v>176625.2107</v>
      </c>
      <c r="S34" s="81">
        <f t="shared" si="3"/>
        <v>146.5078921</v>
      </c>
      <c r="T34" s="6"/>
      <c r="U34" s="6"/>
      <c r="V34" s="6"/>
      <c r="W34" s="6"/>
      <c r="X34" s="6"/>
    </row>
    <row r="35" ht="11.25" customHeight="1">
      <c r="A35" s="38"/>
      <c r="B35" s="39">
        <f t="shared" si="4"/>
        <v>30</v>
      </c>
      <c r="C35" s="40">
        <v>10600.0</v>
      </c>
      <c r="D35" s="79">
        <f t="shared" si="5"/>
        <v>5261.189227</v>
      </c>
      <c r="E35" s="79">
        <f t="shared" si="1"/>
        <v>5338.810773</v>
      </c>
      <c r="F35" s="79">
        <f t="shared" si="6"/>
        <v>192182.0215</v>
      </c>
      <c r="G35" s="79">
        <f t="shared" si="7"/>
        <v>125817.9785</v>
      </c>
      <c r="H35" s="79">
        <f t="shared" si="8"/>
        <v>318000</v>
      </c>
      <c r="I35" s="611">
        <f t="shared" si="9"/>
        <v>1429530.979</v>
      </c>
      <c r="J35" s="610">
        <v>4.4</v>
      </c>
      <c r="K35" s="591"/>
      <c r="L35" s="6"/>
      <c r="M35" s="75">
        <v>14000.0</v>
      </c>
      <c r="N35" s="79">
        <f t="shared" si="10"/>
        <v>382000</v>
      </c>
      <c r="O35" s="6">
        <f t="shared" si="2"/>
        <v>182922.0215</v>
      </c>
      <c r="P35" s="6"/>
      <c r="Q35" s="6">
        <f t="shared" si="11"/>
        <v>6296.810773</v>
      </c>
      <c r="R35" s="6">
        <f t="shared" si="12"/>
        <v>182922.0215</v>
      </c>
      <c r="S35" s="81">
        <f t="shared" si="3"/>
        <v>145.3862347</v>
      </c>
      <c r="T35" s="6"/>
      <c r="U35" s="6"/>
      <c r="V35" s="6"/>
      <c r="W35" s="6"/>
      <c r="X35" s="6"/>
    </row>
    <row r="36" ht="11.25" customHeight="1">
      <c r="A36" s="38"/>
      <c r="B36" s="39">
        <f t="shared" si="4"/>
        <v>31</v>
      </c>
      <c r="C36" s="40">
        <v>10600.0</v>
      </c>
      <c r="D36" s="79">
        <f t="shared" si="5"/>
        <v>5241.613588</v>
      </c>
      <c r="E36" s="79">
        <f t="shared" si="1"/>
        <v>5358.386412</v>
      </c>
      <c r="F36" s="79">
        <f t="shared" si="6"/>
        <v>197540.4079</v>
      </c>
      <c r="G36" s="79">
        <f t="shared" si="7"/>
        <v>131059.5921</v>
      </c>
      <c r="H36" s="79">
        <f t="shared" si="8"/>
        <v>328600</v>
      </c>
      <c r="I36" s="611">
        <f t="shared" si="9"/>
        <v>1424172.592</v>
      </c>
      <c r="J36" s="610">
        <v>4.4</v>
      </c>
      <c r="K36" s="591"/>
      <c r="L36" s="6"/>
      <c r="M36" s="75">
        <v>14000.0</v>
      </c>
      <c r="N36" s="79">
        <f t="shared" si="10"/>
        <v>396000</v>
      </c>
      <c r="O36" s="6">
        <f t="shared" si="2"/>
        <v>189238.4079</v>
      </c>
      <c r="P36" s="6"/>
      <c r="Q36" s="6">
        <f t="shared" si="11"/>
        <v>6316.386412</v>
      </c>
      <c r="R36" s="6">
        <f t="shared" si="12"/>
        <v>189238.4079</v>
      </c>
      <c r="S36" s="81">
        <f t="shared" si="3"/>
        <v>144.3911162</v>
      </c>
      <c r="T36" s="6"/>
      <c r="U36" s="6"/>
      <c r="V36" s="6"/>
      <c r="W36" s="6"/>
      <c r="X36" s="6"/>
    </row>
    <row r="37" ht="11.25" customHeight="1">
      <c r="A37" s="38"/>
      <c r="B37" s="39">
        <f t="shared" si="4"/>
        <v>32</v>
      </c>
      <c r="C37" s="40">
        <v>10600.0</v>
      </c>
      <c r="D37" s="79">
        <f t="shared" si="5"/>
        <v>5221.966171</v>
      </c>
      <c r="E37" s="79">
        <f t="shared" si="1"/>
        <v>5378.033829</v>
      </c>
      <c r="F37" s="79">
        <f t="shared" si="6"/>
        <v>202918.4417</v>
      </c>
      <c r="G37" s="79">
        <f t="shared" si="7"/>
        <v>136281.5583</v>
      </c>
      <c r="H37" s="79">
        <f t="shared" si="8"/>
        <v>339200</v>
      </c>
      <c r="I37" s="611">
        <f t="shared" si="9"/>
        <v>1418794.558</v>
      </c>
      <c r="J37" s="610">
        <v>4.4</v>
      </c>
      <c r="K37" s="591"/>
      <c r="L37" s="6"/>
      <c r="M37" s="75">
        <v>14000.0</v>
      </c>
      <c r="N37" s="79">
        <f t="shared" si="10"/>
        <v>410000</v>
      </c>
      <c r="O37" s="6">
        <f t="shared" si="2"/>
        <v>195574.4417</v>
      </c>
      <c r="P37" s="6"/>
      <c r="Q37" s="6">
        <f t="shared" si="11"/>
        <v>6336.033829</v>
      </c>
      <c r="R37" s="6">
        <f t="shared" si="12"/>
        <v>195574.4417</v>
      </c>
      <c r="S37" s="81">
        <f t="shared" si="3"/>
        <v>143.5076354</v>
      </c>
      <c r="T37" s="6"/>
      <c r="U37" s="6"/>
      <c r="V37" s="6"/>
      <c r="W37" s="6"/>
      <c r="X37" s="6"/>
    </row>
    <row r="38" ht="11.25" customHeight="1">
      <c r="A38" s="38"/>
      <c r="B38" s="39">
        <f t="shared" si="4"/>
        <v>33</v>
      </c>
      <c r="C38" s="40">
        <v>10600.0</v>
      </c>
      <c r="D38" s="79">
        <f t="shared" si="5"/>
        <v>5202.246714</v>
      </c>
      <c r="E38" s="79">
        <f t="shared" si="1"/>
        <v>5397.753286</v>
      </c>
      <c r="F38" s="79">
        <f t="shared" si="6"/>
        <v>208316.195</v>
      </c>
      <c r="G38" s="79">
        <f t="shared" si="7"/>
        <v>141483.805</v>
      </c>
      <c r="H38" s="79">
        <f t="shared" si="8"/>
        <v>349800</v>
      </c>
      <c r="I38" s="611">
        <f t="shared" si="9"/>
        <v>1413396.805</v>
      </c>
      <c r="J38" s="610">
        <v>4.4</v>
      </c>
      <c r="K38" s="591"/>
      <c r="L38" s="6"/>
      <c r="M38" s="75">
        <v>14000.0</v>
      </c>
      <c r="N38" s="79">
        <f t="shared" si="10"/>
        <v>424000</v>
      </c>
      <c r="O38" s="6">
        <f t="shared" si="2"/>
        <v>201930.195</v>
      </c>
      <c r="P38" s="6"/>
      <c r="Q38" s="6">
        <f t="shared" si="11"/>
        <v>6355.753286</v>
      </c>
      <c r="R38" s="6">
        <f t="shared" si="12"/>
        <v>201930.195</v>
      </c>
      <c r="S38" s="81">
        <f t="shared" si="3"/>
        <v>142.7231866</v>
      </c>
      <c r="T38" s="6"/>
      <c r="U38" s="6"/>
      <c r="V38" s="6"/>
      <c r="W38" s="6"/>
      <c r="X38" s="6"/>
    </row>
    <row r="39" ht="11.25" customHeight="1">
      <c r="A39" s="38"/>
      <c r="B39" s="39">
        <f t="shared" si="4"/>
        <v>34</v>
      </c>
      <c r="C39" s="40">
        <v>10600.0</v>
      </c>
      <c r="D39" s="79">
        <f t="shared" si="5"/>
        <v>5182.454952</v>
      </c>
      <c r="E39" s="79">
        <f t="shared" si="1"/>
        <v>5417.545048</v>
      </c>
      <c r="F39" s="79">
        <f t="shared" si="6"/>
        <v>213733.7401</v>
      </c>
      <c r="G39" s="79">
        <f t="shared" si="7"/>
        <v>146666.2599</v>
      </c>
      <c r="H39" s="79">
        <f t="shared" si="8"/>
        <v>360400</v>
      </c>
      <c r="I39" s="611">
        <f t="shared" si="9"/>
        <v>1407979.26</v>
      </c>
      <c r="J39" s="610">
        <v>4.4</v>
      </c>
      <c r="K39" s="591"/>
      <c r="L39" s="6"/>
      <c r="M39" s="75">
        <v>14000.0</v>
      </c>
      <c r="N39" s="79">
        <f t="shared" si="10"/>
        <v>438000</v>
      </c>
      <c r="O39" s="6">
        <f t="shared" si="2"/>
        <v>208305.7401</v>
      </c>
      <c r="P39" s="6"/>
      <c r="Q39" s="6">
        <f t="shared" si="11"/>
        <v>6375.545048</v>
      </c>
      <c r="R39" s="6">
        <f t="shared" si="12"/>
        <v>208305.7401</v>
      </c>
      <c r="S39" s="81">
        <f t="shared" si="3"/>
        <v>142.0270348</v>
      </c>
      <c r="T39" s="6"/>
      <c r="U39" s="6"/>
      <c r="V39" s="6"/>
      <c r="W39" s="6"/>
      <c r="X39" s="6"/>
    </row>
    <row r="40" ht="11.25" customHeight="1">
      <c r="A40" s="64"/>
      <c r="B40" s="39">
        <f t="shared" si="4"/>
        <v>35</v>
      </c>
      <c r="C40" s="40">
        <v>10600.0</v>
      </c>
      <c r="D40" s="79">
        <f t="shared" si="5"/>
        <v>5162.59062</v>
      </c>
      <c r="E40" s="79">
        <f t="shared" si="1"/>
        <v>5437.40938</v>
      </c>
      <c r="F40" s="79">
        <f t="shared" si="6"/>
        <v>219171.1495</v>
      </c>
      <c r="G40" s="79">
        <f t="shared" si="7"/>
        <v>151828.8505</v>
      </c>
      <c r="H40" s="79">
        <f t="shared" si="8"/>
        <v>371000</v>
      </c>
      <c r="I40" s="611">
        <f t="shared" si="9"/>
        <v>1402541.851</v>
      </c>
      <c r="J40" s="610">
        <v>4.4</v>
      </c>
      <c r="K40" s="591"/>
      <c r="L40" s="6"/>
      <c r="M40" s="9">
        <v>0.0</v>
      </c>
      <c r="N40" s="79">
        <f t="shared" si="10"/>
        <v>438000</v>
      </c>
      <c r="O40" s="6">
        <f t="shared" si="2"/>
        <v>200701.1495</v>
      </c>
      <c r="P40" s="6"/>
      <c r="Q40" s="6">
        <f t="shared" si="11"/>
        <v>-7604.59062</v>
      </c>
      <c r="R40" s="6">
        <f t="shared" si="12"/>
        <v>200701.1495</v>
      </c>
      <c r="S40" s="81">
        <f t="shared" si="3"/>
        <v>132.1890726</v>
      </c>
      <c r="T40" s="6"/>
      <c r="U40" s="6"/>
      <c r="V40" s="6"/>
      <c r="W40" s="6"/>
      <c r="X40" s="6"/>
    </row>
    <row r="41" ht="11.25" customHeight="1">
      <c r="A41" s="57"/>
      <c r="B41" s="48">
        <f t="shared" si="4"/>
        <v>36</v>
      </c>
      <c r="C41" s="40">
        <v>10600.0</v>
      </c>
      <c r="D41" s="90">
        <f t="shared" si="5"/>
        <v>5142.653452</v>
      </c>
      <c r="E41" s="90">
        <f t="shared" si="1"/>
        <v>5457.346548</v>
      </c>
      <c r="F41" s="90">
        <f t="shared" si="6"/>
        <v>224628.496</v>
      </c>
      <c r="G41" s="90">
        <f t="shared" si="7"/>
        <v>156971.504</v>
      </c>
      <c r="H41" s="90">
        <f t="shared" si="8"/>
        <v>381600</v>
      </c>
      <c r="I41" s="613">
        <f t="shared" si="9"/>
        <v>1397084.504</v>
      </c>
      <c r="J41" s="610">
        <v>4.4</v>
      </c>
      <c r="K41" s="591"/>
      <c r="L41" s="6"/>
      <c r="M41" s="9">
        <v>0.0</v>
      </c>
      <c r="N41" s="79">
        <f t="shared" si="10"/>
        <v>438000</v>
      </c>
      <c r="O41" s="6">
        <f t="shared" si="2"/>
        <v>193116.496</v>
      </c>
      <c r="P41" s="6"/>
      <c r="Q41" s="6">
        <f t="shared" si="11"/>
        <v>-7584.653452</v>
      </c>
      <c r="R41" s="6">
        <f t="shared" si="12"/>
        <v>193116.496</v>
      </c>
      <c r="S41" s="81">
        <f t="shared" si="3"/>
        <v>123.0264673</v>
      </c>
      <c r="T41" s="6"/>
      <c r="U41" s="6"/>
      <c r="V41" s="6"/>
      <c r="W41" s="6"/>
      <c r="X41" s="6"/>
    </row>
    <row r="42" ht="11.25" customHeight="1">
      <c r="A42" s="23">
        <v>45965.0</v>
      </c>
      <c r="B42" s="39">
        <f t="shared" si="4"/>
        <v>37</v>
      </c>
      <c r="C42" s="40">
        <v>10600.0</v>
      </c>
      <c r="D42" s="79">
        <f t="shared" si="5"/>
        <v>7276.481792</v>
      </c>
      <c r="E42" s="79">
        <f t="shared" si="1"/>
        <v>3323.518208</v>
      </c>
      <c r="F42" s="79">
        <f t="shared" si="6"/>
        <v>227952.0142</v>
      </c>
      <c r="G42" s="79">
        <f t="shared" si="7"/>
        <v>164247.9858</v>
      </c>
      <c r="H42" s="79">
        <f t="shared" si="8"/>
        <v>392200</v>
      </c>
      <c r="I42" s="611">
        <f t="shared" si="9"/>
        <v>1393760.986</v>
      </c>
      <c r="J42" s="620">
        <v>6.25</v>
      </c>
      <c r="K42" s="612"/>
      <c r="L42" s="6"/>
      <c r="M42" s="9">
        <v>0.0</v>
      </c>
      <c r="N42" s="79">
        <f t="shared" si="10"/>
        <v>438000</v>
      </c>
      <c r="O42" s="6">
        <f t="shared" si="2"/>
        <v>183398.0142</v>
      </c>
      <c r="P42" s="6"/>
      <c r="Q42" s="6">
        <f t="shared" si="11"/>
        <v>-9718.481792</v>
      </c>
      <c r="R42" s="6">
        <f t="shared" si="12"/>
        <v>183398.0142</v>
      </c>
      <c r="S42" s="81">
        <f t="shared" si="3"/>
        <v>111.6592166</v>
      </c>
      <c r="T42" s="6"/>
      <c r="U42" s="6"/>
      <c r="V42" s="6"/>
      <c r="W42" s="6"/>
      <c r="X42" s="6"/>
    </row>
    <row r="43" ht="11.25" customHeight="1">
      <c r="A43" s="54"/>
      <c r="B43" s="39">
        <f t="shared" si="4"/>
        <v>38</v>
      </c>
      <c r="C43" s="40">
        <v>10600.0</v>
      </c>
      <c r="D43" s="79">
        <f t="shared" si="5"/>
        <v>7259.171801</v>
      </c>
      <c r="E43" s="79">
        <f t="shared" si="1"/>
        <v>3340.828199</v>
      </c>
      <c r="F43" s="79">
        <f t="shared" si="6"/>
        <v>231292.8424</v>
      </c>
      <c r="G43" s="79">
        <f t="shared" si="7"/>
        <v>171507.1576</v>
      </c>
      <c r="H43" s="79">
        <f t="shared" si="8"/>
        <v>402800</v>
      </c>
      <c r="I43" s="611">
        <f t="shared" si="9"/>
        <v>1390420.158</v>
      </c>
      <c r="J43" s="620">
        <v>6.25</v>
      </c>
      <c r="K43" s="591"/>
      <c r="L43" s="6"/>
      <c r="M43" s="75">
        <v>12000.0</v>
      </c>
      <c r="N43" s="79">
        <f t="shared" si="10"/>
        <v>450000</v>
      </c>
      <c r="O43" s="6">
        <f t="shared" si="2"/>
        <v>185696.8424</v>
      </c>
      <c r="P43" s="6"/>
      <c r="Q43" s="6">
        <f t="shared" si="11"/>
        <v>2298.828199</v>
      </c>
      <c r="R43" s="6">
        <f t="shared" si="12"/>
        <v>185696.8424</v>
      </c>
      <c r="S43" s="81">
        <f t="shared" si="3"/>
        <v>108.2735234</v>
      </c>
      <c r="T43" s="6"/>
      <c r="U43" s="6"/>
      <c r="V43" s="6"/>
      <c r="W43" s="6"/>
      <c r="X43" s="6"/>
    </row>
    <row r="44" ht="11.25" customHeight="1">
      <c r="B44" s="63">
        <f t="shared" si="4"/>
        <v>39</v>
      </c>
      <c r="C44" s="40">
        <v>10600.0</v>
      </c>
      <c r="D44" s="79">
        <f t="shared" si="5"/>
        <v>7241.771654</v>
      </c>
      <c r="E44" s="79">
        <f t="shared" si="1"/>
        <v>3358.228346</v>
      </c>
      <c r="F44" s="79">
        <f t="shared" si="6"/>
        <v>234651.0708</v>
      </c>
      <c r="G44" s="79">
        <f t="shared" si="7"/>
        <v>178748.9292</v>
      </c>
      <c r="H44" s="79">
        <f t="shared" si="8"/>
        <v>413400</v>
      </c>
      <c r="I44" s="611">
        <f t="shared" si="9"/>
        <v>1387061.929</v>
      </c>
      <c r="J44" s="620">
        <v>6.25</v>
      </c>
      <c r="K44" s="591"/>
      <c r="L44" s="6"/>
      <c r="M44" s="75">
        <v>12000.0</v>
      </c>
      <c r="N44" s="79">
        <f t="shared" si="10"/>
        <v>462000</v>
      </c>
      <c r="O44" s="6">
        <f t="shared" si="2"/>
        <v>188013.0708</v>
      </c>
      <c r="P44" s="6"/>
      <c r="Q44" s="6">
        <f t="shared" si="11"/>
        <v>2316.228346</v>
      </c>
      <c r="R44" s="6">
        <f t="shared" si="12"/>
        <v>188013.0708</v>
      </c>
      <c r="S44" s="81">
        <f t="shared" si="3"/>
        <v>105.1827676</v>
      </c>
      <c r="T44" s="6"/>
      <c r="U44" s="6"/>
      <c r="V44" s="6"/>
      <c r="W44" s="6"/>
      <c r="X44" s="6"/>
    </row>
    <row r="45" ht="11.25" customHeight="1">
      <c r="A45" s="38"/>
      <c r="B45" s="39">
        <f t="shared" si="4"/>
        <v>40</v>
      </c>
      <c r="C45" s="40">
        <v>10600.0</v>
      </c>
      <c r="D45" s="79">
        <f t="shared" si="5"/>
        <v>7224.280881</v>
      </c>
      <c r="E45" s="79">
        <f t="shared" si="1"/>
        <v>3375.719119</v>
      </c>
      <c r="F45" s="79">
        <f t="shared" si="6"/>
        <v>238026.7899</v>
      </c>
      <c r="G45" s="79">
        <f t="shared" si="7"/>
        <v>185973.2101</v>
      </c>
      <c r="H45" s="79">
        <f t="shared" si="8"/>
        <v>424000</v>
      </c>
      <c r="I45" s="611">
        <f t="shared" si="9"/>
        <v>1383686.21</v>
      </c>
      <c r="J45" s="620">
        <v>6.25</v>
      </c>
      <c r="K45" s="591"/>
      <c r="L45" s="6"/>
      <c r="M45" s="75">
        <v>12000.0</v>
      </c>
      <c r="N45" s="79">
        <f t="shared" si="10"/>
        <v>474000</v>
      </c>
      <c r="O45" s="6">
        <f t="shared" si="2"/>
        <v>190346.7899</v>
      </c>
      <c r="P45" s="6"/>
      <c r="Q45" s="6">
        <f t="shared" si="11"/>
        <v>2333.719119</v>
      </c>
      <c r="R45" s="6">
        <f t="shared" si="12"/>
        <v>190346.7899</v>
      </c>
      <c r="S45" s="81">
        <f t="shared" si="3"/>
        <v>102.3517257</v>
      </c>
      <c r="T45" s="6"/>
      <c r="U45" s="6"/>
      <c r="V45" s="6"/>
      <c r="W45" s="6"/>
      <c r="X45" s="6"/>
    </row>
    <row r="46" ht="11.25" customHeight="1">
      <c r="A46" s="56"/>
      <c r="B46" s="39">
        <f t="shared" si="4"/>
        <v>41</v>
      </c>
      <c r="C46" s="40">
        <v>10600.0</v>
      </c>
      <c r="D46" s="79">
        <f t="shared" si="5"/>
        <v>7206.699011</v>
      </c>
      <c r="E46" s="79">
        <f t="shared" si="1"/>
        <v>3393.300989</v>
      </c>
      <c r="F46" s="79">
        <f t="shared" si="6"/>
        <v>241420.0909</v>
      </c>
      <c r="G46" s="79">
        <f t="shared" si="7"/>
        <v>193179.9091</v>
      </c>
      <c r="H46" s="79">
        <f t="shared" si="8"/>
        <v>434600</v>
      </c>
      <c r="I46" s="611">
        <f t="shared" si="9"/>
        <v>1380292.909</v>
      </c>
      <c r="J46" s="620">
        <v>6.25</v>
      </c>
      <c r="K46" s="591"/>
      <c r="L46" s="6"/>
      <c r="M46" s="75">
        <v>12000.0</v>
      </c>
      <c r="N46" s="79">
        <f t="shared" si="10"/>
        <v>486000</v>
      </c>
      <c r="O46" s="6">
        <f t="shared" si="2"/>
        <v>192698.0909</v>
      </c>
      <c r="P46" s="6"/>
      <c r="Q46" s="6">
        <f t="shared" si="11"/>
        <v>2351.300989</v>
      </c>
      <c r="R46" s="6">
        <f t="shared" si="12"/>
        <v>192698.0909</v>
      </c>
      <c r="S46" s="81">
        <f t="shared" si="3"/>
        <v>99.75058572</v>
      </c>
      <c r="T46" s="6"/>
      <c r="U46" s="6"/>
      <c r="V46" s="6"/>
      <c r="W46" s="6"/>
      <c r="X46" s="6"/>
    </row>
    <row r="47" ht="11.25" customHeight="1">
      <c r="A47" s="38"/>
      <c r="B47" s="39">
        <f t="shared" si="4"/>
        <v>42</v>
      </c>
      <c r="C47" s="40">
        <v>10600.0</v>
      </c>
      <c r="D47" s="79">
        <f t="shared" si="5"/>
        <v>7189.025568</v>
      </c>
      <c r="E47" s="79">
        <f t="shared" si="1"/>
        <v>3410.974432</v>
      </c>
      <c r="F47" s="79">
        <f t="shared" si="6"/>
        <v>244831.0653</v>
      </c>
      <c r="G47" s="79">
        <f t="shared" si="7"/>
        <v>200368.9347</v>
      </c>
      <c r="H47" s="79">
        <f t="shared" si="8"/>
        <v>445200</v>
      </c>
      <c r="I47" s="611">
        <f t="shared" si="9"/>
        <v>1376881.935</v>
      </c>
      <c r="J47" s="620">
        <v>6.25</v>
      </c>
      <c r="K47" s="591"/>
      <c r="L47" s="6"/>
      <c r="M47" s="75">
        <v>12000.0</v>
      </c>
      <c r="N47" s="79">
        <f t="shared" si="10"/>
        <v>498000</v>
      </c>
      <c r="O47" s="6">
        <f t="shared" si="2"/>
        <v>195067.0653</v>
      </c>
      <c r="P47" s="6"/>
      <c r="Q47" s="6">
        <f t="shared" si="11"/>
        <v>2368.974432</v>
      </c>
      <c r="R47" s="6">
        <f t="shared" si="12"/>
        <v>195067.0653</v>
      </c>
      <c r="S47" s="81">
        <f t="shared" si="3"/>
        <v>97.3539464</v>
      </c>
      <c r="T47" s="6"/>
      <c r="U47" s="6"/>
      <c r="V47" s="6"/>
      <c r="W47" s="6"/>
      <c r="X47" s="6"/>
    </row>
    <row r="48" ht="11.25" customHeight="1">
      <c r="A48" s="38"/>
      <c r="B48" s="39">
        <f t="shared" si="4"/>
        <v>43</v>
      </c>
      <c r="C48" s="40">
        <v>10600.0</v>
      </c>
      <c r="D48" s="79">
        <f t="shared" si="5"/>
        <v>7171.260077</v>
      </c>
      <c r="E48" s="79">
        <f t="shared" si="1"/>
        <v>3428.739923</v>
      </c>
      <c r="F48" s="79">
        <f t="shared" si="6"/>
        <v>248259.8052</v>
      </c>
      <c r="G48" s="79">
        <f t="shared" si="7"/>
        <v>207540.1948</v>
      </c>
      <c r="H48" s="79">
        <f t="shared" si="8"/>
        <v>455800</v>
      </c>
      <c r="I48" s="611">
        <f t="shared" si="9"/>
        <v>1373453.195</v>
      </c>
      <c r="J48" s="620">
        <v>6.25</v>
      </c>
      <c r="K48" s="591"/>
      <c r="L48" s="6"/>
      <c r="M48" s="75">
        <v>12000.0</v>
      </c>
      <c r="N48" s="79">
        <f t="shared" si="10"/>
        <v>510000</v>
      </c>
      <c r="O48" s="6">
        <f t="shared" si="2"/>
        <v>197453.8052</v>
      </c>
      <c r="P48" s="6"/>
      <c r="Q48" s="6">
        <f t="shared" si="11"/>
        <v>2386.739923</v>
      </c>
      <c r="R48" s="6">
        <f t="shared" si="12"/>
        <v>197453.8052</v>
      </c>
      <c r="S48" s="81">
        <f t="shared" si="3"/>
        <v>95.14003079</v>
      </c>
      <c r="T48" s="6"/>
      <c r="U48" s="6"/>
      <c r="V48" s="6"/>
      <c r="W48" s="6"/>
      <c r="X48" s="6"/>
    </row>
    <row r="49" ht="11.25" customHeight="1">
      <c r="A49" s="38"/>
      <c r="B49" s="39">
        <f t="shared" si="4"/>
        <v>44</v>
      </c>
      <c r="C49" s="607">
        <v>10600.0</v>
      </c>
      <c r="D49" s="79">
        <f t="shared" si="5"/>
        <v>7153.402056</v>
      </c>
      <c r="E49" s="79">
        <f t="shared" si="1"/>
        <v>3446.597944</v>
      </c>
      <c r="F49" s="79">
        <f t="shared" si="6"/>
        <v>251706.4032</v>
      </c>
      <c r="G49" s="79">
        <f t="shared" si="7"/>
        <v>214693.5968</v>
      </c>
      <c r="H49" s="79">
        <f t="shared" si="8"/>
        <v>466400</v>
      </c>
      <c r="I49" s="611">
        <f t="shared" si="9"/>
        <v>1370006.597</v>
      </c>
      <c r="J49" s="620">
        <v>6.25</v>
      </c>
      <c r="K49" s="591"/>
      <c r="L49" s="6"/>
      <c r="M49" s="75">
        <v>12000.0</v>
      </c>
      <c r="N49" s="79">
        <f t="shared" si="10"/>
        <v>522000</v>
      </c>
      <c r="O49" s="6">
        <f t="shared" si="2"/>
        <v>199858.4032</v>
      </c>
      <c r="P49" s="6"/>
      <c r="Q49" s="6">
        <f t="shared" si="11"/>
        <v>2404.597944</v>
      </c>
      <c r="R49" s="6">
        <f t="shared" si="12"/>
        <v>199858.4032</v>
      </c>
      <c r="S49" s="81">
        <f t="shared" si="3"/>
        <v>93.09006235</v>
      </c>
      <c r="T49" s="6"/>
      <c r="U49" s="6"/>
      <c r="V49" s="6"/>
      <c r="W49" s="6"/>
      <c r="X49" s="6"/>
    </row>
    <row r="50" ht="11.25" customHeight="1">
      <c r="A50" s="56"/>
      <c r="B50" s="39">
        <f t="shared" si="4"/>
        <v>45</v>
      </c>
      <c r="C50" s="607">
        <v>10600.0</v>
      </c>
      <c r="D50" s="79">
        <f t="shared" si="5"/>
        <v>7135.451025</v>
      </c>
      <c r="E50" s="79">
        <f t="shared" si="1"/>
        <v>3464.548975</v>
      </c>
      <c r="F50" s="79">
        <f t="shared" si="6"/>
        <v>255170.9521</v>
      </c>
      <c r="G50" s="79">
        <f t="shared" si="7"/>
        <v>221829.0479</v>
      </c>
      <c r="H50" s="79">
        <f t="shared" si="8"/>
        <v>477000</v>
      </c>
      <c r="I50" s="611">
        <f t="shared" si="9"/>
        <v>1366542.048</v>
      </c>
      <c r="J50" s="620">
        <v>6.25</v>
      </c>
      <c r="K50" s="591"/>
      <c r="L50" s="6"/>
      <c r="M50" s="75">
        <v>12000.0</v>
      </c>
      <c r="N50" s="79">
        <f t="shared" si="10"/>
        <v>534000</v>
      </c>
      <c r="O50" s="6">
        <f t="shared" si="2"/>
        <v>202280.9521</v>
      </c>
      <c r="P50" s="6"/>
      <c r="Q50" s="6">
        <f t="shared" si="11"/>
        <v>2422.548975</v>
      </c>
      <c r="R50" s="6">
        <f t="shared" si="12"/>
        <v>202280.9521</v>
      </c>
      <c r="S50" s="81">
        <f t="shared" si="3"/>
        <v>91.18776557</v>
      </c>
      <c r="T50" s="6"/>
      <c r="U50" s="6"/>
      <c r="V50" s="6"/>
      <c r="W50" s="6"/>
      <c r="X50" s="6"/>
    </row>
    <row r="51" ht="11.25" customHeight="1">
      <c r="A51" s="38"/>
      <c r="B51" s="39">
        <f t="shared" si="4"/>
        <v>46</v>
      </c>
      <c r="C51" s="607">
        <v>10600.0</v>
      </c>
      <c r="D51" s="79">
        <f t="shared" si="5"/>
        <v>7117.406499</v>
      </c>
      <c r="E51" s="79">
        <f t="shared" si="1"/>
        <v>3482.593501</v>
      </c>
      <c r="F51" s="79">
        <f t="shared" si="6"/>
        <v>258653.5456</v>
      </c>
      <c r="G51" s="79">
        <f t="shared" si="7"/>
        <v>228946.4544</v>
      </c>
      <c r="H51" s="79">
        <f t="shared" si="8"/>
        <v>487600</v>
      </c>
      <c r="I51" s="614">
        <f t="shared" si="9"/>
        <v>1363059.454</v>
      </c>
      <c r="J51" s="620">
        <v>6.25</v>
      </c>
      <c r="K51" s="591"/>
      <c r="L51" s="6"/>
      <c r="M51" s="75">
        <v>12000.0</v>
      </c>
      <c r="N51" s="79">
        <f t="shared" si="10"/>
        <v>546000</v>
      </c>
      <c r="O51" s="6">
        <f t="shared" si="2"/>
        <v>204721.5456</v>
      </c>
      <c r="P51" s="6"/>
      <c r="Q51" s="6">
        <f t="shared" si="11"/>
        <v>2440.593501</v>
      </c>
      <c r="R51" s="6">
        <f t="shared" si="12"/>
        <v>204721.5456</v>
      </c>
      <c r="S51" s="81">
        <f t="shared" si="3"/>
        <v>89.41896314</v>
      </c>
      <c r="T51" s="6"/>
      <c r="U51" s="6"/>
      <c r="V51" s="6"/>
      <c r="W51" s="6"/>
      <c r="X51" s="6"/>
    </row>
    <row r="52" ht="11.25" customHeight="1">
      <c r="A52" s="38"/>
      <c r="B52" s="39">
        <f t="shared" si="4"/>
        <v>47</v>
      </c>
      <c r="C52" s="607">
        <v>10600.0</v>
      </c>
      <c r="D52" s="79">
        <f t="shared" si="5"/>
        <v>7099.267991</v>
      </c>
      <c r="E52" s="79">
        <f t="shared" si="1"/>
        <v>3500.732009</v>
      </c>
      <c r="F52" s="79">
        <f t="shared" si="6"/>
        <v>262154.2776</v>
      </c>
      <c r="G52" s="79">
        <f t="shared" si="7"/>
        <v>236045.7224</v>
      </c>
      <c r="H52" s="615">
        <f t="shared" si="8"/>
        <v>498200</v>
      </c>
      <c r="I52" s="614">
        <f t="shared" si="9"/>
        <v>1359558.722</v>
      </c>
      <c r="J52" s="620">
        <v>6.25</v>
      </c>
      <c r="K52" s="591"/>
      <c r="L52" s="6"/>
      <c r="M52" s="75">
        <v>12000.0</v>
      </c>
      <c r="N52" s="79">
        <f t="shared" si="10"/>
        <v>558000</v>
      </c>
      <c r="O52" s="6">
        <f t="shared" si="2"/>
        <v>207180.2776</v>
      </c>
      <c r="P52" s="6"/>
      <c r="Q52" s="6">
        <f t="shared" si="11"/>
        <v>2458.732009</v>
      </c>
      <c r="R52" s="6">
        <f t="shared" si="12"/>
        <v>207180.2776</v>
      </c>
      <c r="S52" s="81">
        <f t="shared" si="3"/>
        <v>87.77124854</v>
      </c>
      <c r="T52" s="6"/>
      <c r="U52" s="6"/>
      <c r="V52" s="6"/>
      <c r="W52" s="6"/>
      <c r="X52" s="6"/>
    </row>
    <row r="53" ht="11.25" customHeight="1">
      <c r="A53" s="57"/>
      <c r="B53" s="48">
        <f t="shared" si="4"/>
        <v>48</v>
      </c>
      <c r="C53" s="607">
        <v>10600.0</v>
      </c>
      <c r="D53" s="90">
        <f t="shared" si="5"/>
        <v>7081.035012</v>
      </c>
      <c r="E53" s="90">
        <f t="shared" si="1"/>
        <v>3518.964988</v>
      </c>
      <c r="F53" s="90">
        <f t="shared" si="6"/>
        <v>265673.2426</v>
      </c>
      <c r="G53" s="90">
        <f t="shared" si="7"/>
        <v>243126.7574</v>
      </c>
      <c r="H53" s="616">
        <f t="shared" si="8"/>
        <v>508800</v>
      </c>
      <c r="I53" s="614">
        <f t="shared" si="9"/>
        <v>1356039.757</v>
      </c>
      <c r="J53" s="620">
        <v>6.25</v>
      </c>
      <c r="K53" s="591"/>
      <c r="L53" s="6"/>
      <c r="M53" s="75">
        <v>12000.0</v>
      </c>
      <c r="N53" s="79">
        <f t="shared" si="10"/>
        <v>570000</v>
      </c>
      <c r="O53" s="6">
        <f t="shared" si="2"/>
        <v>209657.2426</v>
      </c>
      <c r="P53" s="6"/>
      <c r="Q53" s="6">
        <f t="shared" si="11"/>
        <v>2476.964988</v>
      </c>
      <c r="R53" s="6">
        <f t="shared" si="12"/>
        <v>209657.2426</v>
      </c>
      <c r="S53" s="81">
        <f t="shared" si="3"/>
        <v>86.23371812</v>
      </c>
      <c r="T53" s="6"/>
      <c r="U53" s="6"/>
      <c r="V53" s="6"/>
      <c r="W53" s="6"/>
      <c r="X53" s="6"/>
    </row>
    <row r="54" ht="11.25" customHeight="1">
      <c r="A54" s="100">
        <v>5.0</v>
      </c>
      <c r="B54" s="66">
        <f t="shared" ref="B54:B365" si="13">B53+1</f>
        <v>49</v>
      </c>
      <c r="C54" s="607">
        <v>10600.0</v>
      </c>
      <c r="D54" s="617">
        <f t="shared" ref="D54:D365" si="14">(I53*J54%)/12</f>
        <v>7062.70707</v>
      </c>
      <c r="E54" s="617">
        <f t="shared" si="1"/>
        <v>3537.29293</v>
      </c>
      <c r="F54" s="617">
        <f t="shared" si="6"/>
        <v>269210.5356</v>
      </c>
      <c r="G54" s="617">
        <f t="shared" si="7"/>
        <v>250189.4644</v>
      </c>
      <c r="H54" s="617">
        <f t="shared" si="8"/>
        <v>519400</v>
      </c>
      <c r="I54" s="617">
        <f t="shared" si="9"/>
        <v>1352502.464</v>
      </c>
      <c r="J54" s="620">
        <v>6.25</v>
      </c>
      <c r="K54" s="591"/>
      <c r="L54" s="6"/>
      <c r="M54" s="75">
        <v>12000.0</v>
      </c>
      <c r="N54" s="79">
        <f t="shared" si="10"/>
        <v>582000</v>
      </c>
      <c r="O54" s="6">
        <f t="shared" si="2"/>
        <v>212152.5356</v>
      </c>
      <c r="P54" s="6"/>
      <c r="Q54" s="6">
        <f t="shared" si="11"/>
        <v>2495.29293</v>
      </c>
      <c r="R54" s="6">
        <f t="shared" si="12"/>
        <v>212152.5356</v>
      </c>
      <c r="S54" s="81">
        <f t="shared" si="3"/>
        <v>84.79675035</v>
      </c>
      <c r="T54" s="6"/>
      <c r="U54" s="6"/>
      <c r="V54" s="6"/>
      <c r="W54" s="6"/>
      <c r="X54" s="6"/>
    </row>
    <row r="55" ht="11.25" customHeight="1">
      <c r="A55" s="618"/>
      <c r="B55" s="68">
        <f t="shared" si="13"/>
        <v>50</v>
      </c>
      <c r="C55" s="607">
        <v>10600.0</v>
      </c>
      <c r="D55" s="6">
        <f t="shared" si="14"/>
        <v>7044.283669</v>
      </c>
      <c r="E55" s="6">
        <f t="shared" si="1"/>
        <v>3555.716331</v>
      </c>
      <c r="F55" s="6">
        <f t="shared" si="6"/>
        <v>272766.2519</v>
      </c>
      <c r="G55" s="6">
        <f t="shared" si="7"/>
        <v>257233.7481</v>
      </c>
      <c r="H55" s="6">
        <f t="shared" si="8"/>
        <v>530000</v>
      </c>
      <c r="I55" s="6">
        <f t="shared" si="9"/>
        <v>1348946.748</v>
      </c>
      <c r="J55" s="620">
        <v>6.25</v>
      </c>
      <c r="K55" s="591"/>
      <c r="L55" s="6"/>
      <c r="M55" s="9">
        <v>12000.0</v>
      </c>
      <c r="N55" s="79">
        <f t="shared" si="10"/>
        <v>594000</v>
      </c>
      <c r="O55" s="6">
        <f t="shared" si="2"/>
        <v>214666.2519</v>
      </c>
      <c r="P55" s="6"/>
      <c r="Q55" s="6">
        <f t="shared" si="11"/>
        <v>2513.716331</v>
      </c>
      <c r="R55" s="6">
        <f t="shared" si="12"/>
        <v>214666.2519</v>
      </c>
      <c r="S55" s="81">
        <f t="shared" si="3"/>
        <v>83.45182289</v>
      </c>
      <c r="T55" s="6"/>
      <c r="U55" s="6"/>
      <c r="V55" s="6"/>
      <c r="W55" s="6"/>
      <c r="X55" s="6"/>
    </row>
    <row r="56" ht="11.25" customHeight="1">
      <c r="A56" s="7"/>
      <c r="B56" s="68">
        <f t="shared" si="13"/>
        <v>51</v>
      </c>
      <c r="C56" s="607">
        <v>10600.0</v>
      </c>
      <c r="D56" s="6">
        <f t="shared" si="14"/>
        <v>7025.764313</v>
      </c>
      <c r="E56" s="6">
        <f t="shared" si="1"/>
        <v>3574.235687</v>
      </c>
      <c r="F56" s="6">
        <f t="shared" si="6"/>
        <v>276340.4876</v>
      </c>
      <c r="G56" s="6">
        <f t="shared" si="7"/>
        <v>264259.5124</v>
      </c>
      <c r="H56" s="6">
        <f t="shared" si="8"/>
        <v>540600</v>
      </c>
      <c r="I56" s="6">
        <f t="shared" si="9"/>
        <v>1345372.512</v>
      </c>
      <c r="J56" s="620">
        <v>6.25</v>
      </c>
      <c r="K56" s="591"/>
      <c r="L56" s="6"/>
      <c r="M56" s="9">
        <v>12000.0</v>
      </c>
      <c r="N56" s="79">
        <f t="shared" si="10"/>
        <v>606000</v>
      </c>
      <c r="O56" s="6">
        <f t="shared" si="2"/>
        <v>217198.4876</v>
      </c>
      <c r="P56" s="6"/>
      <c r="Q56" s="6">
        <f t="shared" si="11"/>
        <v>2532.235687</v>
      </c>
      <c r="R56" s="6">
        <f t="shared" si="12"/>
        <v>217198.4876</v>
      </c>
      <c r="S56" s="81">
        <f t="shared" si="3"/>
        <v>82.19136015</v>
      </c>
      <c r="T56" s="6"/>
      <c r="U56" s="6"/>
      <c r="V56" s="6"/>
      <c r="W56" s="6"/>
      <c r="X56" s="6"/>
    </row>
    <row r="57" ht="11.25" customHeight="1">
      <c r="A57" s="7"/>
      <c r="B57" s="68">
        <f t="shared" si="13"/>
        <v>52</v>
      </c>
      <c r="C57" s="607">
        <v>10600.0</v>
      </c>
      <c r="D57" s="6">
        <f t="shared" si="14"/>
        <v>7007.148502</v>
      </c>
      <c r="E57" s="6">
        <f t="shared" si="1"/>
        <v>3592.851498</v>
      </c>
      <c r="F57" s="6">
        <f t="shared" si="6"/>
        <v>279933.3391</v>
      </c>
      <c r="G57" s="6">
        <f t="shared" si="7"/>
        <v>271266.6609</v>
      </c>
      <c r="H57" s="6">
        <f t="shared" si="8"/>
        <v>551200</v>
      </c>
      <c r="I57" s="6">
        <f t="shared" si="9"/>
        <v>1341779.661</v>
      </c>
      <c r="J57" s="620">
        <v>6.25</v>
      </c>
      <c r="K57" s="591"/>
      <c r="L57" s="6"/>
      <c r="M57" s="9">
        <v>12000.0</v>
      </c>
      <c r="N57" s="79">
        <f t="shared" si="10"/>
        <v>618000</v>
      </c>
      <c r="O57" s="6">
        <f t="shared" si="2"/>
        <v>219749.3391</v>
      </c>
      <c r="P57" s="6"/>
      <c r="Q57" s="6">
        <f t="shared" si="11"/>
        <v>2550.851498</v>
      </c>
      <c r="R57" s="6">
        <f t="shared" si="12"/>
        <v>219749.3391</v>
      </c>
      <c r="S57" s="81">
        <f t="shared" si="3"/>
        <v>81.00860546</v>
      </c>
      <c r="T57" s="6"/>
      <c r="U57" s="6"/>
      <c r="V57" s="6"/>
      <c r="W57" s="6"/>
      <c r="X57" s="6"/>
    </row>
    <row r="58" ht="11.25" customHeight="1">
      <c r="A58" s="7"/>
      <c r="B58" s="68">
        <f t="shared" si="13"/>
        <v>53</v>
      </c>
      <c r="C58" s="607">
        <v>10600.0</v>
      </c>
      <c r="D58" s="6">
        <f t="shared" si="14"/>
        <v>6988.435734</v>
      </c>
      <c r="E58" s="6">
        <f t="shared" si="1"/>
        <v>3611.564266</v>
      </c>
      <c r="F58" s="6">
        <f t="shared" si="6"/>
        <v>283544.9033</v>
      </c>
      <c r="G58" s="6">
        <f t="shared" si="7"/>
        <v>278255.0967</v>
      </c>
      <c r="H58" s="6">
        <f t="shared" si="8"/>
        <v>561800</v>
      </c>
      <c r="I58" s="6">
        <f t="shared" si="9"/>
        <v>1338168.097</v>
      </c>
      <c r="J58" s="620">
        <v>6.25</v>
      </c>
      <c r="K58" s="591"/>
      <c r="L58" s="6"/>
      <c r="M58" s="9">
        <v>12000.0</v>
      </c>
      <c r="N58" s="79">
        <f t="shared" si="10"/>
        <v>630000</v>
      </c>
      <c r="O58" s="6">
        <f t="shared" si="2"/>
        <v>222318.9033</v>
      </c>
      <c r="P58" s="6"/>
      <c r="Q58" s="6">
        <f t="shared" si="11"/>
        <v>2569.564266</v>
      </c>
      <c r="R58" s="6">
        <f t="shared" si="12"/>
        <v>222318.9033</v>
      </c>
      <c r="S58" s="81">
        <f t="shared" si="3"/>
        <v>79.89751347</v>
      </c>
      <c r="T58" s="6"/>
      <c r="U58" s="6"/>
      <c r="V58" s="6"/>
      <c r="W58" s="6"/>
      <c r="X58" s="6"/>
    </row>
    <row r="59" ht="11.25" customHeight="1">
      <c r="A59" s="7"/>
      <c r="B59" s="68">
        <f t="shared" si="13"/>
        <v>54</v>
      </c>
      <c r="C59" s="607">
        <v>10600.0</v>
      </c>
      <c r="D59" s="6">
        <f t="shared" si="14"/>
        <v>6969.625503</v>
      </c>
      <c r="E59" s="6">
        <f t="shared" si="1"/>
        <v>3630.374497</v>
      </c>
      <c r="F59" s="6">
        <f t="shared" si="6"/>
        <v>287175.2778</v>
      </c>
      <c r="G59" s="6">
        <f t="shared" si="7"/>
        <v>285224.7222</v>
      </c>
      <c r="H59" s="6">
        <f t="shared" si="8"/>
        <v>572400</v>
      </c>
      <c r="I59" s="6">
        <f t="shared" si="9"/>
        <v>1334537.722</v>
      </c>
      <c r="J59" s="620">
        <v>6.25</v>
      </c>
      <c r="K59" s="591"/>
      <c r="L59" s="6"/>
      <c r="M59" s="9">
        <v>12000.0</v>
      </c>
      <c r="N59" s="79">
        <f t="shared" si="10"/>
        <v>642000</v>
      </c>
      <c r="O59" s="6">
        <f t="shared" si="2"/>
        <v>224907.2778</v>
      </c>
      <c r="P59" s="6"/>
      <c r="Q59" s="6">
        <f t="shared" si="11"/>
        <v>2588.374497</v>
      </c>
      <c r="R59" s="6">
        <f t="shared" si="12"/>
        <v>224907.2778</v>
      </c>
      <c r="S59" s="81">
        <f t="shared" si="3"/>
        <v>78.8526591</v>
      </c>
      <c r="T59" s="6"/>
      <c r="U59" s="6"/>
      <c r="V59" s="6"/>
      <c r="W59" s="6"/>
      <c r="X59" s="6"/>
    </row>
    <row r="60" ht="11.25" customHeight="1">
      <c r="A60" s="7"/>
      <c r="B60" s="68">
        <f t="shared" si="13"/>
        <v>55</v>
      </c>
      <c r="C60" s="607">
        <v>10600.0</v>
      </c>
      <c r="D60" s="6">
        <f t="shared" si="14"/>
        <v>6950.717303</v>
      </c>
      <c r="E60" s="6">
        <f t="shared" si="1"/>
        <v>3649.282697</v>
      </c>
      <c r="F60" s="6">
        <f t="shared" si="6"/>
        <v>290824.5605</v>
      </c>
      <c r="G60" s="6">
        <f t="shared" si="7"/>
        <v>292175.4395</v>
      </c>
      <c r="H60" s="6">
        <f t="shared" si="8"/>
        <v>583000</v>
      </c>
      <c r="I60" s="6">
        <f t="shared" si="9"/>
        <v>1330888.439</v>
      </c>
      <c r="J60" s="620">
        <v>6.25</v>
      </c>
      <c r="K60" s="591"/>
      <c r="L60" s="6"/>
      <c r="M60" s="9">
        <v>12000.0</v>
      </c>
      <c r="N60" s="79">
        <f t="shared" si="10"/>
        <v>654000</v>
      </c>
      <c r="O60" s="6">
        <f t="shared" si="2"/>
        <v>227514.5605</v>
      </c>
      <c r="P60" s="6"/>
      <c r="Q60" s="6">
        <f t="shared" si="11"/>
        <v>2607.282697</v>
      </c>
      <c r="R60" s="6">
        <f t="shared" si="12"/>
        <v>227514.5605</v>
      </c>
      <c r="S60" s="81">
        <f t="shared" si="3"/>
        <v>77.86916004</v>
      </c>
      <c r="T60" s="6"/>
      <c r="U60" s="6"/>
      <c r="V60" s="6"/>
      <c r="W60" s="6"/>
      <c r="X60" s="6"/>
    </row>
    <row r="61" ht="11.25" customHeight="1">
      <c r="A61" s="7"/>
      <c r="B61" s="68">
        <f t="shared" si="13"/>
        <v>56</v>
      </c>
      <c r="C61" s="607">
        <v>10600.0</v>
      </c>
      <c r="D61" s="6">
        <f t="shared" si="14"/>
        <v>6931.710622</v>
      </c>
      <c r="E61" s="6">
        <f t="shared" si="1"/>
        <v>3668.289378</v>
      </c>
      <c r="F61" s="6">
        <f t="shared" si="6"/>
        <v>294492.8499</v>
      </c>
      <c r="G61" s="6">
        <f t="shared" si="7"/>
        <v>299107.1501</v>
      </c>
      <c r="H61" s="6">
        <f t="shared" si="8"/>
        <v>593600</v>
      </c>
      <c r="I61" s="6">
        <f t="shared" si="9"/>
        <v>1327220.15</v>
      </c>
      <c r="J61" s="620">
        <v>6.25</v>
      </c>
      <c r="K61" s="591"/>
      <c r="L61" s="6"/>
      <c r="M61" s="9">
        <v>12000.0</v>
      </c>
      <c r="N61" s="79">
        <f t="shared" si="10"/>
        <v>666000</v>
      </c>
      <c r="O61" s="6">
        <f t="shared" si="2"/>
        <v>230140.8499</v>
      </c>
      <c r="P61" s="6"/>
      <c r="Q61" s="6">
        <f t="shared" si="11"/>
        <v>2626.289378</v>
      </c>
      <c r="R61" s="6">
        <f t="shared" si="12"/>
        <v>230140.8499</v>
      </c>
      <c r="S61" s="81">
        <f t="shared" si="3"/>
        <v>76.94261065</v>
      </c>
      <c r="T61" s="6"/>
      <c r="U61" s="6"/>
      <c r="V61" s="6"/>
      <c r="W61" s="6"/>
      <c r="X61" s="6"/>
    </row>
    <row r="62" ht="11.25" customHeight="1">
      <c r="A62" s="7"/>
      <c r="B62" s="68">
        <f t="shared" si="13"/>
        <v>57</v>
      </c>
      <c r="C62" s="607">
        <v>10600.0</v>
      </c>
      <c r="D62" s="6">
        <f t="shared" si="14"/>
        <v>6912.604948</v>
      </c>
      <c r="E62" s="6">
        <f t="shared" si="1"/>
        <v>3687.395052</v>
      </c>
      <c r="F62" s="6">
        <f t="shared" si="6"/>
        <v>298180.245</v>
      </c>
      <c r="G62" s="6">
        <f t="shared" si="7"/>
        <v>306019.755</v>
      </c>
      <c r="H62" s="6">
        <f t="shared" si="8"/>
        <v>604200</v>
      </c>
      <c r="I62" s="6">
        <f t="shared" si="9"/>
        <v>1323532.755</v>
      </c>
      <c r="J62" s="620">
        <v>6.25</v>
      </c>
      <c r="K62" s="591"/>
      <c r="L62" s="6"/>
      <c r="M62" s="9">
        <v>12000.0</v>
      </c>
      <c r="N62" s="79">
        <f t="shared" si="10"/>
        <v>678000</v>
      </c>
      <c r="O62" s="6">
        <f t="shared" si="2"/>
        <v>232786.245</v>
      </c>
      <c r="P62" s="6"/>
      <c r="Q62" s="6">
        <f t="shared" si="11"/>
        <v>2645.395052</v>
      </c>
      <c r="R62" s="6">
        <f t="shared" si="12"/>
        <v>232786.245</v>
      </c>
      <c r="S62" s="81">
        <f t="shared" si="3"/>
        <v>76.06902533</v>
      </c>
      <c r="T62" s="6"/>
      <c r="U62" s="6"/>
      <c r="V62" s="6"/>
      <c r="W62" s="6"/>
      <c r="X62" s="6"/>
    </row>
    <row r="63" ht="11.25" customHeight="1">
      <c r="A63" s="7"/>
      <c r="B63" s="68">
        <f t="shared" si="13"/>
        <v>58</v>
      </c>
      <c r="C63" s="607">
        <v>10600.0</v>
      </c>
      <c r="D63" s="6">
        <f t="shared" si="14"/>
        <v>6893.399766</v>
      </c>
      <c r="E63" s="6">
        <f t="shared" si="1"/>
        <v>3706.600234</v>
      </c>
      <c r="F63" s="6">
        <f t="shared" si="6"/>
        <v>301886.8452</v>
      </c>
      <c r="G63" s="6">
        <f t="shared" si="7"/>
        <v>312913.1548</v>
      </c>
      <c r="H63" s="6">
        <f t="shared" si="8"/>
        <v>614800</v>
      </c>
      <c r="I63" s="6">
        <f t="shared" si="9"/>
        <v>1319826.155</v>
      </c>
      <c r="J63" s="620">
        <v>6.25</v>
      </c>
      <c r="K63" s="591"/>
      <c r="L63" s="6"/>
      <c r="M63" s="9">
        <v>12000.0</v>
      </c>
      <c r="N63" s="79">
        <f t="shared" si="10"/>
        <v>690000</v>
      </c>
      <c r="O63" s="6">
        <f t="shared" si="2"/>
        <v>235450.8452</v>
      </c>
      <c r="P63" s="6"/>
      <c r="Q63" s="6">
        <f t="shared" si="11"/>
        <v>2664.600234</v>
      </c>
      <c r="R63" s="6">
        <f t="shared" si="12"/>
        <v>235450.8452</v>
      </c>
      <c r="S63" s="81">
        <f t="shared" si="3"/>
        <v>75.24478968</v>
      </c>
      <c r="T63" s="6"/>
      <c r="U63" s="6"/>
      <c r="V63" s="6"/>
      <c r="W63" s="6"/>
      <c r="X63" s="6"/>
    </row>
    <row r="64" ht="11.25" customHeight="1">
      <c r="A64" s="7"/>
      <c r="B64" s="68">
        <f t="shared" si="13"/>
        <v>59</v>
      </c>
      <c r="C64" s="607">
        <v>10600.0</v>
      </c>
      <c r="D64" s="6">
        <f t="shared" si="14"/>
        <v>6874.094556</v>
      </c>
      <c r="E64" s="6">
        <f t="shared" si="1"/>
        <v>3725.905444</v>
      </c>
      <c r="F64" s="6">
        <f t="shared" si="6"/>
        <v>305612.7506</v>
      </c>
      <c r="G64" s="6">
        <f t="shared" si="7"/>
        <v>319787.2494</v>
      </c>
      <c r="H64" s="6">
        <f t="shared" si="8"/>
        <v>625400</v>
      </c>
      <c r="I64" s="6">
        <f t="shared" si="9"/>
        <v>1316100.249</v>
      </c>
      <c r="J64" s="620">
        <v>6.25</v>
      </c>
      <c r="K64" s="591"/>
      <c r="L64" s="6"/>
      <c r="M64" s="9">
        <v>12000.0</v>
      </c>
      <c r="N64" s="79">
        <f t="shared" si="10"/>
        <v>702000</v>
      </c>
      <c r="O64" s="6">
        <f t="shared" si="2"/>
        <v>238134.7506</v>
      </c>
      <c r="P64" s="6"/>
      <c r="Q64" s="6">
        <f t="shared" si="11"/>
        <v>2683.905444</v>
      </c>
      <c r="R64" s="6">
        <f t="shared" si="12"/>
        <v>238134.7506</v>
      </c>
      <c r="S64" s="81">
        <f t="shared" si="3"/>
        <v>74.46661839</v>
      </c>
      <c r="T64" s="6"/>
      <c r="U64" s="6"/>
      <c r="V64" s="6"/>
      <c r="W64" s="6"/>
      <c r="X64" s="6"/>
    </row>
    <row r="65" ht="11.25" customHeight="1">
      <c r="A65" s="71"/>
      <c r="B65" s="72">
        <f t="shared" si="13"/>
        <v>60</v>
      </c>
      <c r="C65" s="607">
        <v>10600.0</v>
      </c>
      <c r="D65" s="10">
        <f t="shared" si="14"/>
        <v>6854.688799</v>
      </c>
      <c r="E65" s="10">
        <f t="shared" si="1"/>
        <v>3745.311201</v>
      </c>
      <c r="F65" s="10">
        <f t="shared" si="6"/>
        <v>309358.0618</v>
      </c>
      <c r="G65" s="10">
        <f t="shared" si="7"/>
        <v>326641.9382</v>
      </c>
      <c r="H65" s="10">
        <f t="shared" si="8"/>
        <v>636000</v>
      </c>
      <c r="I65" s="10">
        <f t="shared" si="9"/>
        <v>1312354.938</v>
      </c>
      <c r="J65" s="620">
        <v>6.25</v>
      </c>
      <c r="K65" s="591"/>
      <c r="L65" s="6"/>
      <c r="M65" s="9">
        <v>12000.0</v>
      </c>
      <c r="N65" s="79">
        <f t="shared" si="10"/>
        <v>714000</v>
      </c>
      <c r="O65" s="6">
        <f t="shared" si="2"/>
        <v>240838.0618</v>
      </c>
      <c r="P65" s="6"/>
      <c r="Q65" s="6">
        <f t="shared" si="11"/>
        <v>2703.311201</v>
      </c>
      <c r="R65" s="6">
        <f t="shared" si="12"/>
        <v>240838.0618</v>
      </c>
      <c r="S65" s="81">
        <f t="shared" si="3"/>
        <v>73.73151874</v>
      </c>
      <c r="T65" s="6"/>
      <c r="U65" s="6"/>
      <c r="V65" s="6"/>
      <c r="W65" s="6"/>
      <c r="X65" s="6"/>
    </row>
    <row r="66" ht="11.25" customHeight="1">
      <c r="A66" s="619">
        <v>6.0</v>
      </c>
      <c r="B66" s="66">
        <f t="shared" si="13"/>
        <v>61</v>
      </c>
      <c r="C66" s="607">
        <v>10600.0</v>
      </c>
      <c r="D66" s="617">
        <f t="shared" si="14"/>
        <v>6835.18197</v>
      </c>
      <c r="E66" s="617">
        <f t="shared" si="1"/>
        <v>3764.81803</v>
      </c>
      <c r="F66" s="617">
        <f t="shared" si="6"/>
        <v>313122.8799</v>
      </c>
      <c r="G66" s="617">
        <f t="shared" si="7"/>
        <v>333477.1201</v>
      </c>
      <c r="H66" s="617">
        <f t="shared" si="8"/>
        <v>646600</v>
      </c>
      <c r="I66" s="617">
        <f t="shared" si="9"/>
        <v>1308590.12</v>
      </c>
      <c r="J66" s="620">
        <v>6.25</v>
      </c>
      <c r="K66" s="591"/>
      <c r="L66" s="6"/>
      <c r="M66" s="9">
        <v>12000.0</v>
      </c>
      <c r="N66" s="79">
        <f t="shared" si="10"/>
        <v>726000</v>
      </c>
      <c r="O66" s="6">
        <f t="shared" si="2"/>
        <v>243560.8799</v>
      </c>
      <c r="P66" s="6"/>
      <c r="Q66" s="6">
        <f t="shared" si="11"/>
        <v>2722.81803</v>
      </c>
      <c r="R66" s="6">
        <f t="shared" si="12"/>
        <v>243560.8799</v>
      </c>
      <c r="S66" s="81">
        <f t="shared" si="3"/>
        <v>73.0367588</v>
      </c>
      <c r="T66" s="6"/>
      <c r="U66" s="6"/>
      <c r="V66" s="6"/>
      <c r="W66" s="6"/>
      <c r="X66" s="6"/>
    </row>
    <row r="67" ht="11.25" customHeight="1">
      <c r="A67" s="54"/>
      <c r="B67" s="68">
        <f t="shared" si="13"/>
        <v>62</v>
      </c>
      <c r="C67" s="607">
        <v>10600.0</v>
      </c>
      <c r="D67" s="6">
        <f t="shared" si="14"/>
        <v>6815.573542</v>
      </c>
      <c r="E67" s="6">
        <f t="shared" si="1"/>
        <v>3784.426458</v>
      </c>
      <c r="F67" s="6">
        <f t="shared" si="6"/>
        <v>316907.3063</v>
      </c>
      <c r="G67" s="6">
        <f t="shared" si="7"/>
        <v>340292.6937</v>
      </c>
      <c r="H67" s="6">
        <f t="shared" si="8"/>
        <v>657200</v>
      </c>
      <c r="I67" s="6">
        <f t="shared" si="9"/>
        <v>1304805.694</v>
      </c>
      <c r="J67" s="620">
        <v>6.25</v>
      </c>
      <c r="K67" s="591"/>
      <c r="L67" s="6"/>
      <c r="M67" s="9">
        <v>12000.0</v>
      </c>
      <c r="N67" s="79">
        <f t="shared" si="10"/>
        <v>738000</v>
      </c>
      <c r="O67" s="6">
        <f t="shared" si="2"/>
        <v>246303.3063</v>
      </c>
      <c r="P67" s="6"/>
      <c r="Q67" s="6">
        <f t="shared" si="11"/>
        <v>2742.426458</v>
      </c>
      <c r="R67" s="6">
        <f t="shared" si="12"/>
        <v>246303.3063</v>
      </c>
      <c r="S67" s="81">
        <f t="shared" si="3"/>
        <v>72.37983974</v>
      </c>
      <c r="T67" s="6"/>
      <c r="U67" s="6"/>
      <c r="V67" s="6"/>
      <c r="W67" s="6"/>
      <c r="X67" s="6"/>
    </row>
    <row r="68" ht="11.25" customHeight="1">
      <c r="A68" s="7"/>
      <c r="B68" s="68">
        <f t="shared" si="13"/>
        <v>63</v>
      </c>
      <c r="C68" s="607">
        <v>10600.0</v>
      </c>
      <c r="D68" s="6">
        <f t="shared" si="14"/>
        <v>6795.862988</v>
      </c>
      <c r="E68" s="6">
        <f t="shared" si="1"/>
        <v>3804.137012</v>
      </c>
      <c r="F68" s="6">
        <f t="shared" si="6"/>
        <v>320711.4433</v>
      </c>
      <c r="G68" s="6">
        <f t="shared" si="7"/>
        <v>347088.5567</v>
      </c>
      <c r="H68" s="6">
        <f t="shared" si="8"/>
        <v>667800</v>
      </c>
      <c r="I68" s="6">
        <f t="shared" si="9"/>
        <v>1301001.557</v>
      </c>
      <c r="J68" s="620">
        <v>6.25</v>
      </c>
      <c r="K68" s="591"/>
      <c r="L68" s="6"/>
      <c r="M68" s="9">
        <v>12000.0</v>
      </c>
      <c r="N68" s="79">
        <f t="shared" si="10"/>
        <v>750000</v>
      </c>
      <c r="O68" s="6">
        <f t="shared" si="2"/>
        <v>249065.4433</v>
      </c>
      <c r="P68" s="6"/>
      <c r="Q68" s="6">
        <f t="shared" si="11"/>
        <v>2762.137012</v>
      </c>
      <c r="R68" s="6">
        <f t="shared" si="12"/>
        <v>249065.4433</v>
      </c>
      <c r="S68" s="81">
        <f t="shared" si="3"/>
        <v>71.7584716</v>
      </c>
      <c r="T68" s="6"/>
      <c r="U68" s="6"/>
      <c r="V68" s="6"/>
      <c r="W68" s="6"/>
      <c r="X68" s="6"/>
    </row>
    <row r="69" ht="11.25" customHeight="1">
      <c r="A69" s="7"/>
      <c r="B69" s="68">
        <f t="shared" si="13"/>
        <v>64</v>
      </c>
      <c r="C69" s="607">
        <v>10600.0</v>
      </c>
      <c r="D69" s="6">
        <f t="shared" si="14"/>
        <v>6776.049774</v>
      </c>
      <c r="E69" s="6">
        <f t="shared" si="1"/>
        <v>3823.950226</v>
      </c>
      <c r="F69" s="6">
        <f t="shared" si="6"/>
        <v>324535.3936</v>
      </c>
      <c r="G69" s="6">
        <f t="shared" si="7"/>
        <v>353864.6064</v>
      </c>
      <c r="H69" s="6">
        <f t="shared" si="8"/>
        <v>678400</v>
      </c>
      <c r="I69" s="6">
        <f t="shared" si="9"/>
        <v>1297177.606</v>
      </c>
      <c r="J69" s="620">
        <v>6.25</v>
      </c>
      <c r="K69" s="591"/>
      <c r="L69" s="6"/>
      <c r="M69" s="9">
        <v>12000.0</v>
      </c>
      <c r="N69" s="79">
        <f t="shared" si="10"/>
        <v>762000</v>
      </c>
      <c r="O69" s="6">
        <f t="shared" si="2"/>
        <v>251847.3936</v>
      </c>
      <c r="P69" s="6"/>
      <c r="Q69" s="6">
        <f t="shared" si="11"/>
        <v>2781.950226</v>
      </c>
      <c r="R69" s="6">
        <f t="shared" si="12"/>
        <v>251847.3936</v>
      </c>
      <c r="S69" s="81">
        <f t="shared" si="3"/>
        <v>71.17055196</v>
      </c>
      <c r="T69" s="6"/>
      <c r="U69" s="6"/>
      <c r="V69" s="6"/>
      <c r="W69" s="6"/>
      <c r="X69" s="6"/>
    </row>
    <row r="70" ht="11.25" customHeight="1">
      <c r="A70" s="7"/>
      <c r="B70" s="68">
        <f t="shared" si="13"/>
        <v>65</v>
      </c>
      <c r="C70" s="607">
        <v>10600.0</v>
      </c>
      <c r="D70" s="6">
        <f t="shared" si="14"/>
        <v>6756.133367</v>
      </c>
      <c r="E70" s="6">
        <f t="shared" si="1"/>
        <v>3843.866633</v>
      </c>
      <c r="F70" s="6">
        <f t="shared" si="6"/>
        <v>328379.2602</v>
      </c>
      <c r="G70" s="6">
        <f t="shared" si="7"/>
        <v>360620.7398</v>
      </c>
      <c r="H70" s="6">
        <f t="shared" si="8"/>
        <v>689000</v>
      </c>
      <c r="I70" s="6">
        <f t="shared" si="9"/>
        <v>1293333.74</v>
      </c>
      <c r="J70" s="620">
        <v>6.25</v>
      </c>
      <c r="K70" s="591"/>
      <c r="L70" s="6"/>
      <c r="M70" s="9">
        <v>12000.0</v>
      </c>
      <c r="N70" s="79">
        <f t="shared" si="10"/>
        <v>774000</v>
      </c>
      <c r="O70" s="6">
        <f t="shared" si="2"/>
        <v>254649.2602</v>
      </c>
      <c r="P70" s="6"/>
      <c r="Q70" s="6">
        <f t="shared" si="11"/>
        <v>2801.866633</v>
      </c>
      <c r="R70" s="6">
        <f t="shared" si="12"/>
        <v>254649.2602</v>
      </c>
      <c r="S70" s="81">
        <f t="shared" si="3"/>
        <v>70.61414725</v>
      </c>
      <c r="T70" s="6"/>
      <c r="U70" s="6"/>
      <c r="V70" s="6"/>
      <c r="W70" s="6"/>
      <c r="X70" s="6"/>
    </row>
    <row r="71" ht="11.25" customHeight="1">
      <c r="A71" s="7"/>
      <c r="B71" s="68">
        <f t="shared" si="13"/>
        <v>66</v>
      </c>
      <c r="C71" s="607">
        <v>10600.0</v>
      </c>
      <c r="D71" s="6">
        <f t="shared" si="14"/>
        <v>6736.113228</v>
      </c>
      <c r="E71" s="6">
        <f t="shared" si="1"/>
        <v>3863.886772</v>
      </c>
      <c r="F71" s="6">
        <f t="shared" si="6"/>
        <v>332243.147</v>
      </c>
      <c r="G71" s="6">
        <f t="shared" si="7"/>
        <v>367356.853</v>
      </c>
      <c r="H71" s="6">
        <f t="shared" si="8"/>
        <v>699600</v>
      </c>
      <c r="I71" s="6">
        <f t="shared" si="9"/>
        <v>1289469.853</v>
      </c>
      <c r="J71" s="620">
        <v>6.25</v>
      </c>
      <c r="K71" s="591"/>
      <c r="L71" s="6"/>
      <c r="M71" s="9">
        <v>12000.0</v>
      </c>
      <c r="N71" s="79">
        <f t="shared" si="10"/>
        <v>786000</v>
      </c>
      <c r="O71" s="6">
        <f t="shared" si="2"/>
        <v>257471.147</v>
      </c>
      <c r="P71" s="6"/>
      <c r="Q71" s="6">
        <f t="shared" si="11"/>
        <v>2821.886772</v>
      </c>
      <c r="R71" s="6">
        <f t="shared" si="12"/>
        <v>257471.147</v>
      </c>
      <c r="S71" s="81">
        <f t="shared" si="3"/>
        <v>70.08747621</v>
      </c>
      <c r="T71" s="6"/>
      <c r="U71" s="6"/>
      <c r="V71" s="6"/>
      <c r="W71" s="6"/>
      <c r="X71" s="6"/>
    </row>
    <row r="72" ht="11.25" customHeight="1">
      <c r="A72" s="7"/>
      <c r="B72" s="68">
        <f t="shared" si="13"/>
        <v>67</v>
      </c>
      <c r="C72" s="607">
        <v>10600.0</v>
      </c>
      <c r="D72" s="6">
        <f t="shared" si="14"/>
        <v>6715.988818</v>
      </c>
      <c r="E72" s="6">
        <f t="shared" si="1"/>
        <v>3884.011182</v>
      </c>
      <c r="F72" s="6">
        <f t="shared" si="6"/>
        <v>336127.1582</v>
      </c>
      <c r="G72" s="6">
        <f t="shared" si="7"/>
        <v>374072.8418</v>
      </c>
      <c r="H72" s="6">
        <f t="shared" si="8"/>
        <v>710200</v>
      </c>
      <c r="I72" s="6">
        <f t="shared" si="9"/>
        <v>1285585.842</v>
      </c>
      <c r="J72" s="620">
        <v>6.25</v>
      </c>
      <c r="K72" s="591"/>
      <c r="L72" s="6"/>
      <c r="M72" s="9">
        <v>12000.0</v>
      </c>
      <c r="N72" s="79">
        <f t="shared" si="10"/>
        <v>798000</v>
      </c>
      <c r="O72" s="6">
        <f t="shared" si="2"/>
        <v>260313.1582</v>
      </c>
      <c r="P72" s="6"/>
      <c r="Q72" s="6">
        <f t="shared" si="11"/>
        <v>2842.011182</v>
      </c>
      <c r="R72" s="6">
        <f t="shared" si="12"/>
        <v>260313.1582</v>
      </c>
      <c r="S72" s="81">
        <f t="shared" si="3"/>
        <v>69.58889528</v>
      </c>
      <c r="T72" s="6"/>
      <c r="U72" s="6"/>
      <c r="V72" s="6"/>
      <c r="W72" s="6"/>
      <c r="X72" s="6"/>
    </row>
    <row r="73" ht="11.25" customHeight="1">
      <c r="A73" s="7"/>
      <c r="B73" s="68">
        <f t="shared" si="13"/>
        <v>68</v>
      </c>
      <c r="C73" s="607">
        <v>10600.0</v>
      </c>
      <c r="D73" s="6">
        <f t="shared" si="14"/>
        <v>6695.759593</v>
      </c>
      <c r="E73" s="6">
        <f t="shared" si="1"/>
        <v>3904.240407</v>
      </c>
      <c r="F73" s="6">
        <f t="shared" si="6"/>
        <v>340031.3986</v>
      </c>
      <c r="G73" s="6">
        <f t="shared" si="7"/>
        <v>380768.6014</v>
      </c>
      <c r="H73" s="6">
        <f t="shared" si="8"/>
        <v>720800</v>
      </c>
      <c r="I73" s="6">
        <f t="shared" si="9"/>
        <v>1281681.601</v>
      </c>
      <c r="J73" s="620">
        <v>6.25</v>
      </c>
      <c r="K73" s="591"/>
      <c r="L73" s="6"/>
      <c r="M73" s="9">
        <v>12000.0</v>
      </c>
      <c r="N73" s="79">
        <f t="shared" si="10"/>
        <v>810000</v>
      </c>
      <c r="O73" s="6">
        <f t="shared" si="2"/>
        <v>263175.3986</v>
      </c>
      <c r="P73" s="6"/>
      <c r="Q73" s="6">
        <f t="shared" si="11"/>
        <v>2862.240407</v>
      </c>
      <c r="R73" s="6">
        <f t="shared" si="12"/>
        <v>263175.3986</v>
      </c>
      <c r="S73" s="81">
        <f t="shared" si="3"/>
        <v>69.11688558</v>
      </c>
      <c r="T73" s="6"/>
      <c r="U73" s="6"/>
      <c r="V73" s="6"/>
      <c r="W73" s="6"/>
      <c r="X73" s="6"/>
    </row>
    <row r="74" ht="11.25" customHeight="1">
      <c r="A74" s="7"/>
      <c r="B74" s="68">
        <f t="shared" si="13"/>
        <v>69</v>
      </c>
      <c r="C74" s="607">
        <v>10600.0</v>
      </c>
      <c r="D74" s="6">
        <f t="shared" si="14"/>
        <v>6675.425007</v>
      </c>
      <c r="E74" s="6">
        <f t="shared" si="1"/>
        <v>3924.574993</v>
      </c>
      <c r="F74" s="6">
        <f t="shared" si="6"/>
        <v>343955.9736</v>
      </c>
      <c r="G74" s="6">
        <f t="shared" si="7"/>
        <v>387444.0264</v>
      </c>
      <c r="H74" s="6">
        <f t="shared" si="8"/>
        <v>731400</v>
      </c>
      <c r="I74" s="6">
        <f t="shared" si="9"/>
        <v>1277757.026</v>
      </c>
      <c r="J74" s="620">
        <v>6.25</v>
      </c>
      <c r="K74" s="591"/>
      <c r="L74" s="6"/>
      <c r="M74" s="9">
        <v>12000.0</v>
      </c>
      <c r="N74" s="79">
        <f t="shared" si="10"/>
        <v>822000</v>
      </c>
      <c r="O74" s="6">
        <f t="shared" si="2"/>
        <v>266057.9736</v>
      </c>
      <c r="P74" s="6"/>
      <c r="Q74" s="6">
        <f t="shared" si="11"/>
        <v>2882.574993</v>
      </c>
      <c r="R74" s="6">
        <f t="shared" si="12"/>
        <v>266057.9736</v>
      </c>
      <c r="S74" s="81">
        <f t="shared" si="3"/>
        <v>68.67004145</v>
      </c>
      <c r="T74" s="6"/>
      <c r="U74" s="6"/>
      <c r="V74" s="6"/>
      <c r="W74" s="6"/>
      <c r="X74" s="6"/>
    </row>
    <row r="75" ht="11.25" customHeight="1">
      <c r="A75" s="7"/>
      <c r="B75" s="68">
        <f t="shared" si="13"/>
        <v>70</v>
      </c>
      <c r="C75" s="607">
        <v>10600.0</v>
      </c>
      <c r="D75" s="6">
        <f t="shared" si="14"/>
        <v>6654.984513</v>
      </c>
      <c r="E75" s="6">
        <f t="shared" si="1"/>
        <v>3945.015487</v>
      </c>
      <c r="F75" s="6">
        <f t="shared" si="6"/>
        <v>347900.989</v>
      </c>
      <c r="G75" s="6">
        <f t="shared" si="7"/>
        <v>394099.011</v>
      </c>
      <c r="H75" s="6">
        <f t="shared" si="8"/>
        <v>742000</v>
      </c>
      <c r="I75" s="6">
        <f t="shared" si="9"/>
        <v>1273812.011</v>
      </c>
      <c r="J75" s="620">
        <v>6.25</v>
      </c>
      <c r="K75" s="591"/>
      <c r="L75" s="6"/>
      <c r="M75" s="9">
        <v>12000.0</v>
      </c>
      <c r="N75" s="79">
        <f t="shared" si="10"/>
        <v>834000</v>
      </c>
      <c r="O75" s="6">
        <f t="shared" si="2"/>
        <v>268960.989</v>
      </c>
      <c r="P75" s="6"/>
      <c r="Q75" s="6">
        <f t="shared" si="11"/>
        <v>2903.015487</v>
      </c>
      <c r="R75" s="6">
        <f t="shared" si="12"/>
        <v>268960.989</v>
      </c>
      <c r="S75" s="81">
        <f t="shared" si="3"/>
        <v>68.24706015</v>
      </c>
      <c r="T75" s="6"/>
      <c r="U75" s="6"/>
      <c r="V75" s="6"/>
      <c r="W75" s="6"/>
      <c r="X75" s="6"/>
    </row>
    <row r="76" ht="11.25" customHeight="1">
      <c r="A76" s="7"/>
      <c r="B76" s="68">
        <f t="shared" si="13"/>
        <v>71</v>
      </c>
      <c r="C76" s="607">
        <v>10600.0</v>
      </c>
      <c r="D76" s="6">
        <f t="shared" si="14"/>
        <v>6634.437557</v>
      </c>
      <c r="E76" s="6">
        <f t="shared" si="1"/>
        <v>3965.562443</v>
      </c>
      <c r="F76" s="6">
        <f t="shared" si="6"/>
        <v>351866.5515</v>
      </c>
      <c r="G76" s="6">
        <f t="shared" si="7"/>
        <v>400733.4485</v>
      </c>
      <c r="H76" s="6">
        <f t="shared" si="8"/>
        <v>752600</v>
      </c>
      <c r="I76" s="6">
        <f t="shared" si="9"/>
        <v>1269846.449</v>
      </c>
      <c r="J76" s="620">
        <v>6.25</v>
      </c>
      <c r="K76" s="591"/>
      <c r="L76" s="6"/>
      <c r="M76" s="9">
        <v>12000.0</v>
      </c>
      <c r="N76" s="79">
        <f t="shared" si="10"/>
        <v>846000</v>
      </c>
      <c r="O76" s="6">
        <f t="shared" si="2"/>
        <v>271884.5515</v>
      </c>
      <c r="P76" s="6"/>
      <c r="Q76" s="6">
        <f t="shared" si="11"/>
        <v>2923.562443</v>
      </c>
      <c r="R76" s="6">
        <f t="shared" si="12"/>
        <v>271884.5515</v>
      </c>
      <c r="S76" s="81">
        <f t="shared" si="3"/>
        <v>67.84673266</v>
      </c>
      <c r="T76" s="6"/>
      <c r="U76" s="6"/>
      <c r="V76" s="6"/>
      <c r="W76" s="6"/>
      <c r="X76" s="6"/>
    </row>
    <row r="77" ht="11.25" customHeight="1">
      <c r="A77" s="71"/>
      <c r="B77" s="72">
        <f t="shared" si="13"/>
        <v>72</v>
      </c>
      <c r="C77" s="607">
        <v>10600.0</v>
      </c>
      <c r="D77" s="10">
        <f t="shared" si="14"/>
        <v>6613.783586</v>
      </c>
      <c r="E77" s="10">
        <f t="shared" si="1"/>
        <v>3986.216414</v>
      </c>
      <c r="F77" s="10">
        <f t="shared" si="6"/>
        <v>355852.7679</v>
      </c>
      <c r="G77" s="10">
        <f t="shared" si="7"/>
        <v>407347.2321</v>
      </c>
      <c r="H77" s="10">
        <f t="shared" si="8"/>
        <v>763200</v>
      </c>
      <c r="I77" s="10">
        <f t="shared" si="9"/>
        <v>1265860.232</v>
      </c>
      <c r="J77" s="620">
        <v>6.25</v>
      </c>
      <c r="K77" s="591"/>
      <c r="L77" s="6"/>
      <c r="M77" s="9">
        <v>12000.0</v>
      </c>
      <c r="N77" s="79">
        <f t="shared" si="10"/>
        <v>858000</v>
      </c>
      <c r="O77" s="6">
        <f t="shared" si="2"/>
        <v>274828.7679</v>
      </c>
      <c r="P77" s="6"/>
      <c r="Q77" s="6">
        <f t="shared" si="11"/>
        <v>2944.216414</v>
      </c>
      <c r="R77" s="6">
        <f t="shared" si="12"/>
        <v>274828.7679</v>
      </c>
      <c r="S77" s="81">
        <f t="shared" si="3"/>
        <v>67.46793552</v>
      </c>
      <c r="T77" s="6"/>
      <c r="U77" s="6"/>
      <c r="V77" s="6"/>
      <c r="W77" s="6"/>
      <c r="X77" s="6"/>
    </row>
    <row r="78" ht="11.25" customHeight="1">
      <c r="A78" s="619">
        <v>7.0</v>
      </c>
      <c r="B78" s="66">
        <f t="shared" si="13"/>
        <v>73</v>
      </c>
      <c r="C78" s="607">
        <v>10600.0</v>
      </c>
      <c r="D78" s="617">
        <f t="shared" si="14"/>
        <v>6593.022042</v>
      </c>
      <c r="E78" s="617">
        <f t="shared" si="1"/>
        <v>4006.977958</v>
      </c>
      <c r="F78" s="617">
        <f t="shared" si="6"/>
        <v>359859.7459</v>
      </c>
      <c r="G78" s="617">
        <f t="shared" si="7"/>
        <v>413940.2541</v>
      </c>
      <c r="H78" s="617">
        <f t="shared" si="8"/>
        <v>773800</v>
      </c>
      <c r="I78" s="617">
        <f t="shared" si="9"/>
        <v>1261853.254</v>
      </c>
      <c r="J78" s="620">
        <v>6.25</v>
      </c>
      <c r="K78" s="591"/>
      <c r="L78" s="6"/>
      <c r="M78" s="9">
        <v>12000.0</v>
      </c>
      <c r="N78" s="79">
        <f t="shared" si="10"/>
        <v>870000</v>
      </c>
      <c r="O78" s="6">
        <f t="shared" si="2"/>
        <v>277793.7459</v>
      </c>
      <c r="P78" s="6"/>
      <c r="Q78" s="6">
        <f t="shared" si="11"/>
        <v>2964.977958</v>
      </c>
      <c r="R78" s="6">
        <f t="shared" si="12"/>
        <v>277793.7459</v>
      </c>
      <c r="S78" s="81">
        <f t="shared" si="3"/>
        <v>67.10962345</v>
      </c>
      <c r="T78" s="6"/>
      <c r="U78" s="6"/>
      <c r="V78" s="6"/>
      <c r="W78" s="6"/>
      <c r="X78" s="6"/>
    </row>
    <row r="79" ht="11.25" customHeight="1">
      <c r="A79" s="54"/>
      <c r="B79" s="68">
        <f t="shared" si="13"/>
        <v>74</v>
      </c>
      <c r="C79" s="607">
        <v>10600.0</v>
      </c>
      <c r="D79" s="6">
        <f t="shared" si="14"/>
        <v>6572.152365</v>
      </c>
      <c r="E79" s="6">
        <f t="shared" si="1"/>
        <v>4027.847635</v>
      </c>
      <c r="F79" s="6">
        <f t="shared" si="6"/>
        <v>363887.5935</v>
      </c>
      <c r="G79" s="6">
        <f t="shared" si="7"/>
        <v>420512.4065</v>
      </c>
      <c r="H79" s="6">
        <f t="shared" si="8"/>
        <v>784400</v>
      </c>
      <c r="I79" s="6">
        <f t="shared" si="9"/>
        <v>1257825.407</v>
      </c>
      <c r="J79" s="620">
        <v>6.25</v>
      </c>
      <c r="K79" s="591"/>
      <c r="L79" s="6"/>
      <c r="M79" s="9">
        <v>12000.0</v>
      </c>
      <c r="N79" s="79">
        <f t="shared" si="10"/>
        <v>882000</v>
      </c>
      <c r="O79" s="6">
        <f t="shared" si="2"/>
        <v>280779.5935</v>
      </c>
      <c r="P79" s="6"/>
      <c r="Q79" s="6">
        <f t="shared" si="11"/>
        <v>2985.847635</v>
      </c>
      <c r="R79" s="6">
        <f t="shared" si="12"/>
        <v>280779.5935</v>
      </c>
      <c r="S79" s="81">
        <f t="shared" si="3"/>
        <v>66.77082273</v>
      </c>
      <c r="T79" s="6"/>
      <c r="U79" s="6"/>
      <c r="V79" s="6"/>
      <c r="W79" s="6"/>
      <c r="X79" s="6"/>
    </row>
    <row r="80" ht="11.25" customHeight="1">
      <c r="A80" s="7"/>
      <c r="B80" s="68">
        <f t="shared" si="13"/>
        <v>75</v>
      </c>
      <c r="C80" s="607">
        <v>10600.0</v>
      </c>
      <c r="D80" s="6">
        <f t="shared" si="14"/>
        <v>6551.173992</v>
      </c>
      <c r="E80" s="6">
        <f t="shared" si="1"/>
        <v>4048.826008</v>
      </c>
      <c r="F80" s="6">
        <f t="shared" si="6"/>
        <v>367936.4195</v>
      </c>
      <c r="G80" s="6">
        <f t="shared" si="7"/>
        <v>427063.5805</v>
      </c>
      <c r="H80" s="6">
        <f t="shared" si="8"/>
        <v>795000</v>
      </c>
      <c r="I80" s="6">
        <f t="shared" si="9"/>
        <v>1253776.58</v>
      </c>
      <c r="J80" s="620">
        <v>6.25</v>
      </c>
      <c r="K80" s="591"/>
      <c r="L80" s="6"/>
      <c r="M80" s="9">
        <v>12000.0</v>
      </c>
      <c r="N80" s="79">
        <f t="shared" si="10"/>
        <v>894000</v>
      </c>
      <c r="O80" s="6">
        <f t="shared" si="2"/>
        <v>283786.4195</v>
      </c>
      <c r="P80" s="6"/>
      <c r="Q80" s="6">
        <f t="shared" si="11"/>
        <v>3006.826008</v>
      </c>
      <c r="R80" s="6">
        <f t="shared" si="12"/>
        <v>283786.4195</v>
      </c>
      <c r="S80" s="81">
        <f t="shared" si="3"/>
        <v>66.45062526</v>
      </c>
      <c r="T80" s="6"/>
      <c r="U80" s="6"/>
      <c r="V80" s="6"/>
      <c r="W80" s="6"/>
      <c r="X80" s="6"/>
    </row>
    <row r="81" ht="11.25" customHeight="1">
      <c r="A81" s="7"/>
      <c r="B81" s="68">
        <f t="shared" si="13"/>
        <v>76</v>
      </c>
      <c r="C81" s="607">
        <v>10600.0</v>
      </c>
      <c r="D81" s="6">
        <f t="shared" si="14"/>
        <v>6530.086357</v>
      </c>
      <c r="E81" s="6">
        <f t="shared" si="1"/>
        <v>4069.913643</v>
      </c>
      <c r="F81" s="6">
        <f t="shared" si="6"/>
        <v>372006.3331</v>
      </c>
      <c r="G81" s="6">
        <f t="shared" si="7"/>
        <v>433593.6669</v>
      </c>
      <c r="H81" s="6">
        <f t="shared" si="8"/>
        <v>805600</v>
      </c>
      <c r="I81" s="6">
        <f t="shared" si="9"/>
        <v>1249706.667</v>
      </c>
      <c r="J81" s="620">
        <v>6.25</v>
      </c>
      <c r="K81" s="591"/>
      <c r="L81" s="6"/>
      <c r="M81" s="9">
        <v>12000.0</v>
      </c>
      <c r="N81" s="79">
        <f t="shared" si="10"/>
        <v>906000</v>
      </c>
      <c r="O81" s="6">
        <f t="shared" si="2"/>
        <v>286814.3331</v>
      </c>
      <c r="P81" s="6"/>
      <c r="Q81" s="6">
        <f t="shared" si="11"/>
        <v>3027.913643</v>
      </c>
      <c r="R81" s="6">
        <f t="shared" si="12"/>
        <v>286814.3331</v>
      </c>
      <c r="S81" s="81">
        <f t="shared" si="3"/>
        <v>66.14818321</v>
      </c>
      <c r="T81" s="6"/>
      <c r="U81" s="6"/>
      <c r="V81" s="6"/>
      <c r="W81" s="6"/>
      <c r="X81" s="6"/>
    </row>
    <row r="82" ht="11.25" customHeight="1">
      <c r="A82" s="7"/>
      <c r="B82" s="68">
        <f t="shared" si="13"/>
        <v>77</v>
      </c>
      <c r="C82" s="607">
        <v>10600.0</v>
      </c>
      <c r="D82" s="6">
        <f t="shared" si="14"/>
        <v>6508.88889</v>
      </c>
      <c r="E82" s="6">
        <f t="shared" si="1"/>
        <v>4091.11111</v>
      </c>
      <c r="F82" s="6">
        <f t="shared" si="6"/>
        <v>376097.4443</v>
      </c>
      <c r="G82" s="6">
        <f t="shared" si="7"/>
        <v>440102.5557</v>
      </c>
      <c r="H82" s="6">
        <f t="shared" si="8"/>
        <v>816200</v>
      </c>
      <c r="I82" s="6">
        <f t="shared" si="9"/>
        <v>1245615.556</v>
      </c>
      <c r="J82" s="620">
        <v>6.25</v>
      </c>
      <c r="K82" s="591"/>
      <c r="L82" s="6"/>
      <c r="M82" s="9">
        <v>12000.0</v>
      </c>
      <c r="N82" s="79">
        <f t="shared" si="10"/>
        <v>918000</v>
      </c>
      <c r="O82" s="6">
        <f t="shared" si="2"/>
        <v>289863.4443</v>
      </c>
      <c r="P82" s="6"/>
      <c r="Q82" s="6">
        <f t="shared" si="11"/>
        <v>3049.11111</v>
      </c>
      <c r="R82" s="6">
        <f t="shared" si="12"/>
        <v>289863.4443</v>
      </c>
      <c r="S82" s="81">
        <f t="shared" si="3"/>
        <v>65.86270415</v>
      </c>
      <c r="T82" s="6"/>
      <c r="U82" s="6"/>
      <c r="V82" s="6"/>
      <c r="W82" s="6"/>
      <c r="X82" s="6"/>
    </row>
    <row r="83" ht="11.25" customHeight="1">
      <c r="A83" s="7"/>
      <c r="B83" s="68">
        <f t="shared" si="13"/>
        <v>78</v>
      </c>
      <c r="C83" s="607">
        <v>10600.0</v>
      </c>
      <c r="D83" s="6">
        <f t="shared" si="14"/>
        <v>6487.581019</v>
      </c>
      <c r="E83" s="6">
        <f t="shared" si="1"/>
        <v>4112.418981</v>
      </c>
      <c r="F83" s="6">
        <f t="shared" si="6"/>
        <v>380209.8632</v>
      </c>
      <c r="G83" s="6">
        <f t="shared" si="7"/>
        <v>446590.1368</v>
      </c>
      <c r="H83" s="6">
        <f t="shared" si="8"/>
        <v>826800</v>
      </c>
      <c r="I83" s="6">
        <f t="shared" si="9"/>
        <v>1241503.137</v>
      </c>
      <c r="J83" s="620">
        <v>6.25</v>
      </c>
      <c r="K83" s="591"/>
      <c r="L83" s="6"/>
      <c r="M83" s="9">
        <v>12000.0</v>
      </c>
      <c r="N83" s="79">
        <f t="shared" si="10"/>
        <v>930000</v>
      </c>
      <c r="O83" s="6">
        <f t="shared" si="2"/>
        <v>292933.8632</v>
      </c>
      <c r="P83" s="6"/>
      <c r="Q83" s="6">
        <f t="shared" si="11"/>
        <v>3070.418981</v>
      </c>
      <c r="R83" s="6">
        <f t="shared" si="12"/>
        <v>292933.8632</v>
      </c>
      <c r="S83" s="81">
        <f t="shared" si="3"/>
        <v>65.59344668</v>
      </c>
      <c r="T83" s="6"/>
      <c r="U83" s="6"/>
      <c r="V83" s="6"/>
      <c r="W83" s="6"/>
      <c r="X83" s="6"/>
    </row>
    <row r="84" ht="11.25" customHeight="1">
      <c r="A84" s="7"/>
      <c r="B84" s="68">
        <f t="shared" si="13"/>
        <v>79</v>
      </c>
      <c r="C84" s="607">
        <v>10600.0</v>
      </c>
      <c r="D84" s="6">
        <f t="shared" si="14"/>
        <v>6466.162171</v>
      </c>
      <c r="E84" s="6">
        <f t="shared" si="1"/>
        <v>4133.837829</v>
      </c>
      <c r="F84" s="6">
        <f t="shared" si="6"/>
        <v>384343.7011</v>
      </c>
      <c r="G84" s="6">
        <f t="shared" si="7"/>
        <v>453056.2989</v>
      </c>
      <c r="H84" s="6">
        <f t="shared" si="8"/>
        <v>837400</v>
      </c>
      <c r="I84" s="6">
        <f t="shared" si="9"/>
        <v>1237369.299</v>
      </c>
      <c r="J84" s="620">
        <v>6.25</v>
      </c>
      <c r="K84" s="591"/>
      <c r="L84" s="6"/>
      <c r="M84" s="9">
        <v>12000.0</v>
      </c>
      <c r="N84" s="79">
        <f t="shared" si="10"/>
        <v>942000</v>
      </c>
      <c r="O84" s="6">
        <f t="shared" si="2"/>
        <v>296025.7011</v>
      </c>
      <c r="P84" s="6"/>
      <c r="Q84" s="6">
        <f t="shared" si="11"/>
        <v>3091.837829</v>
      </c>
      <c r="R84" s="6">
        <f t="shared" si="12"/>
        <v>296025.7011</v>
      </c>
      <c r="S84" s="81">
        <f t="shared" si="3"/>
        <v>65.33971645</v>
      </c>
      <c r="T84" s="6"/>
      <c r="U84" s="6"/>
      <c r="V84" s="6"/>
      <c r="W84" s="6"/>
      <c r="X84" s="6"/>
    </row>
    <row r="85" ht="11.25" customHeight="1">
      <c r="A85" s="7"/>
      <c r="B85" s="68">
        <f t="shared" si="13"/>
        <v>80</v>
      </c>
      <c r="C85" s="607">
        <v>10600.0</v>
      </c>
      <c r="D85" s="6">
        <f t="shared" si="14"/>
        <v>6444.631765</v>
      </c>
      <c r="E85" s="6">
        <f t="shared" si="1"/>
        <v>4155.368235</v>
      </c>
      <c r="F85" s="6">
        <f t="shared" si="6"/>
        <v>388499.0693</v>
      </c>
      <c r="G85" s="6">
        <f t="shared" si="7"/>
        <v>459500.9307</v>
      </c>
      <c r="H85" s="6">
        <f t="shared" si="8"/>
        <v>848000</v>
      </c>
      <c r="I85" s="6">
        <f t="shared" si="9"/>
        <v>1233213.931</v>
      </c>
      <c r="J85" s="620">
        <v>6.25</v>
      </c>
      <c r="K85" s="591"/>
      <c r="L85" s="6"/>
      <c r="M85" s="9">
        <v>12000.0</v>
      </c>
      <c r="N85" s="79">
        <f t="shared" si="10"/>
        <v>954000</v>
      </c>
      <c r="O85" s="6">
        <f t="shared" si="2"/>
        <v>299139.0693</v>
      </c>
      <c r="P85" s="6"/>
      <c r="Q85" s="6">
        <f t="shared" si="11"/>
        <v>3113.368235</v>
      </c>
      <c r="R85" s="6">
        <f t="shared" si="12"/>
        <v>299139.0693</v>
      </c>
      <c r="S85" s="81">
        <f t="shared" si="3"/>
        <v>65.10086255</v>
      </c>
      <c r="T85" s="6"/>
      <c r="U85" s="6"/>
      <c r="V85" s="6"/>
      <c r="W85" s="6"/>
      <c r="X85" s="6"/>
    </row>
    <row r="86" ht="11.25" customHeight="1">
      <c r="A86" s="7"/>
      <c r="B86" s="68">
        <f t="shared" si="13"/>
        <v>81</v>
      </c>
      <c r="C86" s="607">
        <v>10600.0</v>
      </c>
      <c r="D86" s="6">
        <f t="shared" si="14"/>
        <v>6422.989222</v>
      </c>
      <c r="E86" s="6">
        <f t="shared" si="1"/>
        <v>4177.010778</v>
      </c>
      <c r="F86" s="6">
        <f t="shared" si="6"/>
        <v>392676.0801</v>
      </c>
      <c r="G86" s="6">
        <f t="shared" si="7"/>
        <v>465923.9199</v>
      </c>
      <c r="H86" s="6">
        <f t="shared" si="8"/>
        <v>858600</v>
      </c>
      <c r="I86" s="6">
        <f t="shared" si="9"/>
        <v>1229036.92</v>
      </c>
      <c r="J86" s="620">
        <v>6.25</v>
      </c>
      <c r="K86" s="591"/>
      <c r="L86" s="6"/>
      <c r="M86" s="9">
        <v>12000.0</v>
      </c>
      <c r="N86" s="79">
        <f t="shared" si="10"/>
        <v>966000</v>
      </c>
      <c r="O86" s="6">
        <f t="shared" si="2"/>
        <v>302274.0801</v>
      </c>
      <c r="P86" s="6"/>
      <c r="Q86" s="6">
        <f t="shared" si="11"/>
        <v>3135.010778</v>
      </c>
      <c r="R86" s="6">
        <f t="shared" si="12"/>
        <v>302274.0801</v>
      </c>
      <c r="S86" s="81">
        <f t="shared" si="3"/>
        <v>64.87627425</v>
      </c>
      <c r="T86" s="6"/>
      <c r="U86" s="6"/>
      <c r="V86" s="6"/>
      <c r="W86" s="6"/>
      <c r="X86" s="6"/>
    </row>
    <row r="87" ht="11.25" customHeight="1">
      <c r="A87" s="87"/>
      <c r="B87" s="68">
        <f t="shared" si="13"/>
        <v>82</v>
      </c>
      <c r="C87" s="607">
        <v>10600.0</v>
      </c>
      <c r="D87" s="6">
        <f t="shared" si="14"/>
        <v>6401.233958</v>
      </c>
      <c r="E87" s="6">
        <f t="shared" si="1"/>
        <v>4198.766042</v>
      </c>
      <c r="F87" s="6">
        <f t="shared" si="6"/>
        <v>396874.8461</v>
      </c>
      <c r="G87" s="6">
        <f t="shared" si="7"/>
        <v>472325.1539</v>
      </c>
      <c r="H87" s="6">
        <f t="shared" si="8"/>
        <v>869200</v>
      </c>
      <c r="I87" s="6">
        <f t="shared" si="9"/>
        <v>1224838.154</v>
      </c>
      <c r="J87" s="620">
        <v>6.25</v>
      </c>
      <c r="K87" s="591"/>
      <c r="L87" s="6"/>
      <c r="M87" s="9">
        <v>12000.0</v>
      </c>
      <c r="N87" s="79">
        <f t="shared" si="10"/>
        <v>978000</v>
      </c>
      <c r="O87" s="6">
        <f t="shared" si="2"/>
        <v>305430.8461</v>
      </c>
      <c r="P87" s="6"/>
      <c r="Q87" s="6">
        <f t="shared" si="11"/>
        <v>3156.766042</v>
      </c>
      <c r="R87" s="6">
        <f t="shared" si="12"/>
        <v>305430.8461</v>
      </c>
      <c r="S87" s="81">
        <f t="shared" si="3"/>
        <v>64.665378</v>
      </c>
      <c r="T87" s="6"/>
      <c r="U87" s="6"/>
      <c r="V87" s="6"/>
      <c r="W87" s="6"/>
      <c r="X87" s="6"/>
    </row>
    <row r="88" ht="11.25" customHeight="1">
      <c r="A88" s="7"/>
      <c r="B88" s="68">
        <f t="shared" si="13"/>
        <v>83</v>
      </c>
      <c r="C88" s="607">
        <v>10600.0</v>
      </c>
      <c r="D88" s="6">
        <f t="shared" si="14"/>
        <v>6379.365385</v>
      </c>
      <c r="E88" s="6">
        <f t="shared" si="1"/>
        <v>4220.634615</v>
      </c>
      <c r="F88" s="6">
        <f t="shared" si="6"/>
        <v>401095.4807</v>
      </c>
      <c r="G88" s="6">
        <f t="shared" si="7"/>
        <v>478704.5193</v>
      </c>
      <c r="H88" s="6">
        <f t="shared" si="8"/>
        <v>879800</v>
      </c>
      <c r="I88" s="6">
        <f t="shared" si="9"/>
        <v>1220617.519</v>
      </c>
      <c r="J88" s="620">
        <v>6.25</v>
      </c>
      <c r="K88" s="591"/>
      <c r="L88" s="6"/>
      <c r="M88" s="9">
        <v>12000.0</v>
      </c>
      <c r="N88" s="79">
        <f t="shared" si="10"/>
        <v>990000</v>
      </c>
      <c r="O88" s="6">
        <f t="shared" si="2"/>
        <v>308609.4807</v>
      </c>
      <c r="P88" s="6"/>
      <c r="Q88" s="6">
        <f t="shared" si="11"/>
        <v>3178.634615</v>
      </c>
      <c r="R88" s="6">
        <f t="shared" si="12"/>
        <v>308609.4807</v>
      </c>
      <c r="S88" s="81">
        <f t="shared" si="3"/>
        <v>64.46763469</v>
      </c>
      <c r="T88" s="6"/>
      <c r="U88" s="6"/>
      <c r="V88" s="6"/>
      <c r="W88" s="6"/>
      <c r="X88" s="6"/>
    </row>
    <row r="89" ht="11.25" customHeight="1">
      <c r="A89" s="71"/>
      <c r="B89" s="72">
        <f t="shared" si="13"/>
        <v>84</v>
      </c>
      <c r="C89" s="607">
        <v>10600.0</v>
      </c>
      <c r="D89" s="10">
        <f t="shared" si="14"/>
        <v>6357.382913</v>
      </c>
      <c r="E89" s="10">
        <f t="shared" si="1"/>
        <v>4242.617087</v>
      </c>
      <c r="F89" s="10">
        <f t="shared" si="6"/>
        <v>405338.0978</v>
      </c>
      <c r="G89" s="10">
        <f t="shared" si="7"/>
        <v>485061.9022</v>
      </c>
      <c r="H89" s="10">
        <f t="shared" si="8"/>
        <v>890400</v>
      </c>
      <c r="I89" s="10">
        <f t="shared" si="9"/>
        <v>1216374.902</v>
      </c>
      <c r="J89" s="620">
        <v>6.25</v>
      </c>
      <c r="K89" s="591"/>
      <c r="L89" s="6"/>
      <c r="M89" s="9">
        <v>12000.0</v>
      </c>
      <c r="N89" s="79">
        <f t="shared" si="10"/>
        <v>1002000</v>
      </c>
      <c r="O89" s="6">
        <f t="shared" si="2"/>
        <v>311810.0978</v>
      </c>
      <c r="P89" s="6"/>
      <c r="Q89" s="6">
        <f t="shared" si="11"/>
        <v>3200.617087</v>
      </c>
      <c r="R89" s="6">
        <f t="shared" si="12"/>
        <v>311810.0978</v>
      </c>
      <c r="S89" s="81">
        <f t="shared" si="3"/>
        <v>64.28253722</v>
      </c>
      <c r="T89" s="6"/>
      <c r="U89" s="6"/>
      <c r="V89" s="6"/>
      <c r="W89" s="6"/>
      <c r="X89" s="6"/>
    </row>
    <row r="90" ht="11.25" customHeight="1">
      <c r="A90" s="100">
        <v>8.0</v>
      </c>
      <c r="B90" s="66">
        <f t="shared" si="13"/>
        <v>85</v>
      </c>
      <c r="C90" s="607">
        <v>10600.0</v>
      </c>
      <c r="D90" s="617">
        <f t="shared" si="14"/>
        <v>6335.285949</v>
      </c>
      <c r="E90" s="617">
        <f t="shared" si="1"/>
        <v>4264.714051</v>
      </c>
      <c r="F90" s="617">
        <f t="shared" si="6"/>
        <v>409602.8119</v>
      </c>
      <c r="G90" s="617">
        <f t="shared" si="7"/>
        <v>491397.1881</v>
      </c>
      <c r="H90" s="617">
        <f t="shared" si="8"/>
        <v>901000</v>
      </c>
      <c r="I90" s="617">
        <f t="shared" si="9"/>
        <v>1212110.188</v>
      </c>
      <c r="J90" s="620">
        <v>6.25</v>
      </c>
      <c r="K90" s="591"/>
      <c r="L90" s="6"/>
      <c r="M90" s="9">
        <v>12000.0</v>
      </c>
      <c r="N90" s="79">
        <f t="shared" si="10"/>
        <v>1014000</v>
      </c>
      <c r="O90" s="6">
        <f t="shared" si="2"/>
        <v>315032.8119</v>
      </c>
      <c r="P90" s="6"/>
      <c r="Q90" s="6">
        <f t="shared" si="11"/>
        <v>3222.714051</v>
      </c>
      <c r="R90" s="6">
        <f t="shared" si="12"/>
        <v>315032.8119</v>
      </c>
      <c r="S90" s="81">
        <f t="shared" si="3"/>
        <v>64.10960817</v>
      </c>
      <c r="T90" s="6"/>
      <c r="U90" s="6"/>
      <c r="V90" s="6"/>
      <c r="W90" s="6"/>
      <c r="X90" s="6"/>
    </row>
    <row r="91" ht="11.25" customHeight="1">
      <c r="A91" s="54"/>
      <c r="B91" s="68">
        <f t="shared" si="13"/>
        <v>86</v>
      </c>
      <c r="C91" s="607">
        <v>10600.0</v>
      </c>
      <c r="D91" s="6">
        <f t="shared" si="14"/>
        <v>6313.073896</v>
      </c>
      <c r="E91" s="6">
        <f t="shared" si="1"/>
        <v>4286.926104</v>
      </c>
      <c r="F91" s="6">
        <f t="shared" si="6"/>
        <v>413889.738</v>
      </c>
      <c r="G91" s="6">
        <f t="shared" si="7"/>
        <v>497710.262</v>
      </c>
      <c r="H91" s="6">
        <f t="shared" si="8"/>
        <v>911600</v>
      </c>
      <c r="I91" s="6">
        <f t="shared" si="9"/>
        <v>1207823.262</v>
      </c>
      <c r="J91" s="620">
        <v>6.25</v>
      </c>
      <c r="K91" s="591"/>
      <c r="L91" s="6"/>
      <c r="M91" s="9">
        <v>12000.0</v>
      </c>
      <c r="N91" s="79">
        <f t="shared" si="10"/>
        <v>1026000</v>
      </c>
      <c r="O91" s="6">
        <f t="shared" si="2"/>
        <v>318277.738</v>
      </c>
      <c r="P91" s="6"/>
      <c r="Q91" s="6">
        <f t="shared" si="11"/>
        <v>3244.926104</v>
      </c>
      <c r="R91" s="6">
        <f t="shared" si="12"/>
        <v>318277.738</v>
      </c>
      <c r="S91" s="81">
        <f t="shared" si="3"/>
        <v>63.94839775</v>
      </c>
      <c r="T91" s="6"/>
      <c r="U91" s="6"/>
      <c r="V91" s="6"/>
      <c r="W91" s="6"/>
      <c r="X91" s="6"/>
    </row>
    <row r="92" ht="11.25" customHeight="1">
      <c r="A92" s="7"/>
      <c r="B92" s="68">
        <f t="shared" si="13"/>
        <v>87</v>
      </c>
      <c r="C92" s="607">
        <v>10600.0</v>
      </c>
      <c r="D92" s="6">
        <f t="shared" si="14"/>
        <v>6290.746156</v>
      </c>
      <c r="E92" s="6">
        <f t="shared" si="1"/>
        <v>4309.253844</v>
      </c>
      <c r="F92" s="6">
        <f t="shared" si="6"/>
        <v>418198.9918</v>
      </c>
      <c r="G92" s="6">
        <f t="shared" si="7"/>
        <v>504001.0082</v>
      </c>
      <c r="H92" s="6">
        <f t="shared" si="8"/>
        <v>922200</v>
      </c>
      <c r="I92" s="6">
        <f t="shared" si="9"/>
        <v>1203514.008</v>
      </c>
      <c r="J92" s="620">
        <v>6.25</v>
      </c>
      <c r="K92" s="591"/>
      <c r="L92" s="6"/>
      <c r="M92" s="9">
        <v>12000.0</v>
      </c>
      <c r="N92" s="79">
        <f t="shared" si="10"/>
        <v>1038000</v>
      </c>
      <c r="O92" s="6">
        <f t="shared" si="2"/>
        <v>321544.9918</v>
      </c>
      <c r="P92" s="6"/>
      <c r="Q92" s="6">
        <f t="shared" si="11"/>
        <v>3267.253844</v>
      </c>
      <c r="R92" s="6">
        <f t="shared" si="12"/>
        <v>321544.9918</v>
      </c>
      <c r="S92" s="81">
        <f t="shared" si="3"/>
        <v>63.79848187</v>
      </c>
      <c r="T92" s="6"/>
      <c r="U92" s="6"/>
      <c r="V92" s="6"/>
      <c r="W92" s="6"/>
      <c r="X92" s="6"/>
    </row>
    <row r="93" ht="11.25" customHeight="1">
      <c r="A93" s="7"/>
      <c r="B93" s="68">
        <f t="shared" si="13"/>
        <v>88</v>
      </c>
      <c r="C93" s="607">
        <v>10600.0</v>
      </c>
      <c r="D93" s="6">
        <f t="shared" si="14"/>
        <v>6268.302126</v>
      </c>
      <c r="E93" s="6">
        <f t="shared" si="1"/>
        <v>4331.697874</v>
      </c>
      <c r="F93" s="6">
        <f t="shared" si="6"/>
        <v>422530.6897</v>
      </c>
      <c r="G93" s="6">
        <f t="shared" si="7"/>
        <v>510269.3103</v>
      </c>
      <c r="H93" s="6">
        <f t="shared" si="8"/>
        <v>932800</v>
      </c>
      <c r="I93" s="6">
        <f t="shared" si="9"/>
        <v>1199182.31</v>
      </c>
      <c r="J93" s="620">
        <v>6.25</v>
      </c>
      <c r="K93" s="591"/>
      <c r="L93" s="6"/>
      <c r="M93" s="9">
        <v>12000.0</v>
      </c>
      <c r="N93" s="79">
        <f t="shared" si="10"/>
        <v>1050000</v>
      </c>
      <c r="O93" s="6">
        <f t="shared" si="2"/>
        <v>324834.6897</v>
      </c>
      <c r="P93" s="6"/>
      <c r="Q93" s="6">
        <f t="shared" si="11"/>
        <v>3289.697874</v>
      </c>
      <c r="R93" s="6">
        <f t="shared" si="12"/>
        <v>324834.6897</v>
      </c>
      <c r="S93" s="81">
        <f t="shared" si="3"/>
        <v>63.65946043</v>
      </c>
      <c r="T93" s="6"/>
      <c r="U93" s="6"/>
      <c r="V93" s="6"/>
      <c r="W93" s="6"/>
      <c r="X93" s="6"/>
    </row>
    <row r="94" ht="11.25" customHeight="1">
      <c r="A94" s="7"/>
      <c r="B94" s="68">
        <f t="shared" si="13"/>
        <v>89</v>
      </c>
      <c r="C94" s="607">
        <v>10600.0</v>
      </c>
      <c r="D94" s="6">
        <f t="shared" si="14"/>
        <v>6245.741199</v>
      </c>
      <c r="E94" s="6">
        <f t="shared" si="1"/>
        <v>4354.258801</v>
      </c>
      <c r="F94" s="6">
        <f t="shared" si="6"/>
        <v>426884.9485</v>
      </c>
      <c r="G94" s="6">
        <f t="shared" si="7"/>
        <v>516515.0515</v>
      </c>
      <c r="H94" s="6">
        <f t="shared" si="8"/>
        <v>943400</v>
      </c>
      <c r="I94" s="6">
        <f t="shared" si="9"/>
        <v>1194828.052</v>
      </c>
      <c r="J94" s="620">
        <v>6.25</v>
      </c>
      <c r="K94" s="591"/>
      <c r="L94" s="6"/>
      <c r="M94" s="9">
        <v>12000.0</v>
      </c>
      <c r="N94" s="79">
        <f t="shared" si="10"/>
        <v>1062000</v>
      </c>
      <c r="O94" s="6">
        <f t="shared" si="2"/>
        <v>328146.9485</v>
      </c>
      <c r="P94" s="6"/>
      <c r="Q94" s="6">
        <f t="shared" si="11"/>
        <v>3312.258801</v>
      </c>
      <c r="R94" s="6">
        <f t="shared" si="12"/>
        <v>328146.9485</v>
      </c>
      <c r="S94" s="81">
        <f t="shared" si="3"/>
        <v>63.53095569</v>
      </c>
      <c r="T94" s="6"/>
      <c r="U94" s="6"/>
      <c r="V94" s="6"/>
      <c r="W94" s="6"/>
      <c r="X94" s="6"/>
    </row>
    <row r="95" ht="11.25" customHeight="1">
      <c r="A95" s="7"/>
      <c r="B95" s="68">
        <f t="shared" si="13"/>
        <v>90</v>
      </c>
      <c r="C95" s="607">
        <v>10600.0</v>
      </c>
      <c r="D95" s="6">
        <f t="shared" si="14"/>
        <v>6223.062768</v>
      </c>
      <c r="E95" s="6">
        <f t="shared" si="1"/>
        <v>4376.937232</v>
      </c>
      <c r="F95" s="6">
        <f t="shared" si="6"/>
        <v>431261.8857</v>
      </c>
      <c r="G95" s="6">
        <f t="shared" si="7"/>
        <v>522738.1143</v>
      </c>
      <c r="H95" s="6">
        <f t="shared" si="8"/>
        <v>954000</v>
      </c>
      <c r="I95" s="6">
        <f t="shared" si="9"/>
        <v>1190451.114</v>
      </c>
      <c r="J95" s="620">
        <v>6.25</v>
      </c>
      <c r="K95" s="591"/>
      <c r="L95" s="6"/>
      <c r="M95" s="9">
        <v>12000.0</v>
      </c>
      <c r="N95" s="79">
        <f t="shared" si="10"/>
        <v>1074000</v>
      </c>
      <c r="O95" s="6">
        <f t="shared" si="2"/>
        <v>331481.8857</v>
      </c>
      <c r="P95" s="6"/>
      <c r="Q95" s="6">
        <f t="shared" si="11"/>
        <v>3334.937232</v>
      </c>
      <c r="R95" s="6">
        <f t="shared" si="12"/>
        <v>331481.8857</v>
      </c>
      <c r="S95" s="81">
        <f t="shared" si="3"/>
        <v>63.41261077</v>
      </c>
      <c r="T95" s="6"/>
      <c r="U95" s="6"/>
      <c r="V95" s="6"/>
      <c r="W95" s="6"/>
      <c r="X95" s="6"/>
    </row>
    <row r="96" ht="11.25" customHeight="1">
      <c r="A96" s="7"/>
      <c r="B96" s="68">
        <f t="shared" si="13"/>
        <v>91</v>
      </c>
      <c r="C96" s="607">
        <v>10600.0</v>
      </c>
      <c r="D96" s="6">
        <f t="shared" si="14"/>
        <v>6200.26622</v>
      </c>
      <c r="E96" s="6">
        <f t="shared" si="1"/>
        <v>4399.73378</v>
      </c>
      <c r="F96" s="6">
        <f t="shared" si="6"/>
        <v>435661.6195</v>
      </c>
      <c r="G96" s="6">
        <f t="shared" si="7"/>
        <v>528938.3805</v>
      </c>
      <c r="H96" s="6">
        <f t="shared" si="8"/>
        <v>964600</v>
      </c>
      <c r="I96" s="6">
        <f t="shared" si="9"/>
        <v>1186051.38</v>
      </c>
      <c r="J96" s="620">
        <v>6.25</v>
      </c>
      <c r="K96" s="591"/>
      <c r="L96" s="6"/>
      <c r="M96" s="9">
        <v>12000.0</v>
      </c>
      <c r="N96" s="79">
        <f t="shared" si="10"/>
        <v>1086000</v>
      </c>
      <c r="O96" s="6">
        <f t="shared" si="2"/>
        <v>334839.6195</v>
      </c>
      <c r="P96" s="6"/>
      <c r="Q96" s="6">
        <f t="shared" si="11"/>
        <v>3357.73378</v>
      </c>
      <c r="R96" s="6">
        <f t="shared" si="12"/>
        <v>334839.6195</v>
      </c>
      <c r="S96" s="81">
        <f t="shared" si="3"/>
        <v>63.30408831</v>
      </c>
      <c r="T96" s="6"/>
      <c r="U96" s="6"/>
      <c r="V96" s="6"/>
      <c r="W96" s="6"/>
      <c r="X96" s="6"/>
    </row>
    <row r="97" ht="11.25" customHeight="1">
      <c r="A97" s="7"/>
      <c r="B97" s="68">
        <f t="shared" si="13"/>
        <v>92</v>
      </c>
      <c r="C97" s="607">
        <v>10600.0</v>
      </c>
      <c r="D97" s="6">
        <f t="shared" si="14"/>
        <v>6177.35094</v>
      </c>
      <c r="E97" s="6">
        <f t="shared" si="1"/>
        <v>4422.64906</v>
      </c>
      <c r="F97" s="6">
        <f t="shared" si="6"/>
        <v>440084.2686</v>
      </c>
      <c r="G97" s="6">
        <f t="shared" si="7"/>
        <v>535115.7314</v>
      </c>
      <c r="H97" s="6">
        <f t="shared" si="8"/>
        <v>975200</v>
      </c>
      <c r="I97" s="6">
        <f t="shared" si="9"/>
        <v>1181628.731</v>
      </c>
      <c r="J97" s="620">
        <v>6.25</v>
      </c>
      <c r="K97" s="591"/>
      <c r="L97" s="6"/>
      <c r="M97" s="9">
        <v>12000.0</v>
      </c>
      <c r="N97" s="79">
        <f t="shared" si="10"/>
        <v>1098000</v>
      </c>
      <c r="O97" s="6">
        <f t="shared" si="2"/>
        <v>338220.2686</v>
      </c>
      <c r="P97" s="6"/>
      <c r="Q97" s="6">
        <f t="shared" si="11"/>
        <v>3380.64906</v>
      </c>
      <c r="R97" s="6">
        <f t="shared" si="12"/>
        <v>338220.2686</v>
      </c>
      <c r="S97" s="81">
        <f t="shared" si="3"/>
        <v>63.20506924</v>
      </c>
      <c r="T97" s="6"/>
      <c r="U97" s="6"/>
      <c r="V97" s="6"/>
      <c r="W97" s="6"/>
      <c r="X97" s="6"/>
    </row>
    <row r="98" ht="11.25" customHeight="1">
      <c r="A98" s="7"/>
      <c r="B98" s="68">
        <f t="shared" si="13"/>
        <v>93</v>
      </c>
      <c r="C98" s="607">
        <v>10600.0</v>
      </c>
      <c r="D98" s="6">
        <f t="shared" si="14"/>
        <v>6154.31631</v>
      </c>
      <c r="E98" s="6">
        <f t="shared" si="1"/>
        <v>4445.68369</v>
      </c>
      <c r="F98" s="6">
        <f t="shared" si="6"/>
        <v>444529.9523</v>
      </c>
      <c r="G98" s="6">
        <f t="shared" si="7"/>
        <v>541270.0477</v>
      </c>
      <c r="H98" s="6">
        <f t="shared" si="8"/>
        <v>985800</v>
      </c>
      <c r="I98" s="6">
        <f t="shared" si="9"/>
        <v>1177183.048</v>
      </c>
      <c r="J98" s="620">
        <v>6.25</v>
      </c>
      <c r="K98" s="591"/>
      <c r="L98" s="6"/>
      <c r="M98" s="9">
        <v>12000.0</v>
      </c>
      <c r="N98" s="79">
        <f t="shared" si="10"/>
        <v>1110000</v>
      </c>
      <c r="O98" s="6">
        <f t="shared" si="2"/>
        <v>341623.9523</v>
      </c>
      <c r="P98" s="6"/>
      <c r="Q98" s="6">
        <f t="shared" si="11"/>
        <v>3403.68369</v>
      </c>
      <c r="R98" s="6">
        <f t="shared" si="12"/>
        <v>341623.9523</v>
      </c>
      <c r="S98" s="81">
        <f t="shared" si="3"/>
        <v>63.11525156</v>
      </c>
      <c r="T98" s="6"/>
      <c r="U98" s="6"/>
      <c r="V98" s="6"/>
      <c r="W98" s="6"/>
      <c r="X98" s="6"/>
    </row>
    <row r="99" ht="11.25" customHeight="1">
      <c r="A99" s="7"/>
      <c r="B99" s="68">
        <f t="shared" si="13"/>
        <v>94</v>
      </c>
      <c r="C99" s="607">
        <v>10600.0</v>
      </c>
      <c r="D99" s="6">
        <f t="shared" si="14"/>
        <v>6131.161707</v>
      </c>
      <c r="E99" s="6">
        <f t="shared" si="1"/>
        <v>4468.838293</v>
      </c>
      <c r="F99" s="6">
        <f t="shared" si="6"/>
        <v>448998.7906</v>
      </c>
      <c r="G99" s="6">
        <f t="shared" si="7"/>
        <v>547401.2094</v>
      </c>
      <c r="H99" s="6">
        <f t="shared" si="8"/>
        <v>996400</v>
      </c>
      <c r="I99" s="6">
        <f t="shared" si="9"/>
        <v>1172714.209</v>
      </c>
      <c r="J99" s="620">
        <v>6.25</v>
      </c>
      <c r="K99" s="591"/>
      <c r="L99" s="6"/>
      <c r="M99" s="9">
        <v>12000.0</v>
      </c>
      <c r="N99" s="79">
        <f t="shared" si="10"/>
        <v>1122000</v>
      </c>
      <c r="O99" s="6">
        <f t="shared" si="2"/>
        <v>345050.7906</v>
      </c>
      <c r="P99" s="6"/>
      <c r="Q99" s="6">
        <f t="shared" si="11"/>
        <v>3426.838293</v>
      </c>
      <c r="R99" s="6">
        <f t="shared" si="12"/>
        <v>345050.7906</v>
      </c>
      <c r="S99" s="81">
        <f t="shared" si="3"/>
        <v>63.03434932</v>
      </c>
      <c r="T99" s="6"/>
      <c r="U99" s="6"/>
      <c r="V99" s="6"/>
      <c r="W99" s="6"/>
      <c r="X99" s="6"/>
    </row>
    <row r="100" ht="11.25" customHeight="1">
      <c r="A100" s="7"/>
      <c r="B100" s="68">
        <f t="shared" si="13"/>
        <v>95</v>
      </c>
      <c r="C100" s="607">
        <v>10600.0</v>
      </c>
      <c r="D100" s="6">
        <f t="shared" si="14"/>
        <v>6107.886508</v>
      </c>
      <c r="E100" s="6">
        <f t="shared" si="1"/>
        <v>4492.113492</v>
      </c>
      <c r="F100" s="6">
        <f t="shared" si="6"/>
        <v>453490.904</v>
      </c>
      <c r="G100" s="6">
        <f t="shared" si="7"/>
        <v>553509.096</v>
      </c>
      <c r="H100" s="6">
        <f t="shared" si="8"/>
        <v>1007000</v>
      </c>
      <c r="I100" s="6">
        <f t="shared" si="9"/>
        <v>1168222.096</v>
      </c>
      <c r="J100" s="620">
        <v>6.25</v>
      </c>
      <c r="K100" s="591"/>
      <c r="L100" s="6"/>
      <c r="M100" s="9">
        <v>12000.0</v>
      </c>
      <c r="N100" s="79">
        <f t="shared" si="10"/>
        <v>1134000</v>
      </c>
      <c r="O100" s="6">
        <f t="shared" si="2"/>
        <v>348500.904</v>
      </c>
      <c r="P100" s="6"/>
      <c r="Q100" s="6">
        <f t="shared" si="11"/>
        <v>3450.113492</v>
      </c>
      <c r="R100" s="6">
        <f t="shared" si="12"/>
        <v>348500.904</v>
      </c>
      <c r="S100" s="81">
        <f t="shared" si="3"/>
        <v>62.96209161</v>
      </c>
      <c r="T100" s="6"/>
      <c r="U100" s="6"/>
      <c r="V100" s="6"/>
      <c r="W100" s="6"/>
      <c r="X100" s="6"/>
    </row>
    <row r="101" ht="11.25" customHeight="1">
      <c r="A101" s="71"/>
      <c r="B101" s="72">
        <f t="shared" si="13"/>
        <v>96</v>
      </c>
      <c r="C101" s="607">
        <v>10600.0</v>
      </c>
      <c r="D101" s="10">
        <f t="shared" si="14"/>
        <v>6084.490083</v>
      </c>
      <c r="E101" s="10">
        <f t="shared" si="1"/>
        <v>4515.509917</v>
      </c>
      <c r="F101" s="10">
        <f t="shared" si="6"/>
        <v>458006.414</v>
      </c>
      <c r="G101" s="10">
        <f t="shared" si="7"/>
        <v>559593.586</v>
      </c>
      <c r="H101" s="10">
        <f t="shared" si="8"/>
        <v>1017600</v>
      </c>
      <c r="I101" s="10">
        <f t="shared" si="9"/>
        <v>1163706.586</v>
      </c>
      <c r="J101" s="620">
        <v>6.25</v>
      </c>
      <c r="K101" s="591"/>
      <c r="L101" s="6"/>
      <c r="M101" s="9">
        <v>12000.0</v>
      </c>
      <c r="N101" s="79">
        <f t="shared" si="10"/>
        <v>1146000</v>
      </c>
      <c r="O101" s="6">
        <f t="shared" si="2"/>
        <v>351974.414</v>
      </c>
      <c r="P101" s="6"/>
      <c r="Q101" s="6">
        <f t="shared" si="11"/>
        <v>3473.509917</v>
      </c>
      <c r="R101" s="6">
        <f t="shared" si="12"/>
        <v>351974.414</v>
      </c>
      <c r="S101" s="81">
        <f t="shared" si="3"/>
        <v>62.89822163</v>
      </c>
      <c r="T101" s="6"/>
      <c r="U101" s="6"/>
      <c r="V101" s="6"/>
      <c r="W101" s="6"/>
      <c r="X101" s="6"/>
    </row>
    <row r="102" ht="11.25" customHeight="1">
      <c r="A102" s="100">
        <v>9.0</v>
      </c>
      <c r="B102" s="66">
        <f t="shared" si="13"/>
        <v>97</v>
      </c>
      <c r="C102" s="607">
        <v>10600.0</v>
      </c>
      <c r="D102" s="617">
        <f t="shared" si="14"/>
        <v>6060.971802</v>
      </c>
      <c r="E102" s="617">
        <f t="shared" si="1"/>
        <v>4539.028198</v>
      </c>
      <c r="F102" s="617">
        <f t="shared" si="6"/>
        <v>462545.4422</v>
      </c>
      <c r="G102" s="617">
        <f t="shared" si="7"/>
        <v>565654.5578</v>
      </c>
      <c r="H102" s="617">
        <f t="shared" si="8"/>
        <v>1028200</v>
      </c>
      <c r="I102" s="617">
        <f t="shared" si="9"/>
        <v>1159167.558</v>
      </c>
      <c r="J102" s="620">
        <v>6.25</v>
      </c>
      <c r="K102" s="591"/>
      <c r="L102" s="6"/>
      <c r="M102" s="9">
        <v>12000.0</v>
      </c>
      <c r="N102" s="79">
        <f t="shared" si="10"/>
        <v>1158000</v>
      </c>
      <c r="O102" s="6">
        <f t="shared" si="2"/>
        <v>355471.4422</v>
      </c>
      <c r="P102" s="6"/>
      <c r="Q102" s="6">
        <f t="shared" si="11"/>
        <v>3497.028198</v>
      </c>
      <c r="R102" s="6">
        <f t="shared" si="12"/>
        <v>355471.4422</v>
      </c>
      <c r="S102" s="81">
        <f t="shared" si="3"/>
        <v>62.84249587</v>
      </c>
      <c r="T102" s="6"/>
      <c r="U102" s="6"/>
      <c r="V102" s="6"/>
      <c r="W102" s="6"/>
      <c r="X102" s="6"/>
    </row>
    <row r="103" ht="11.25" customHeight="1">
      <c r="A103" s="54"/>
      <c r="B103" s="68">
        <f t="shared" si="13"/>
        <v>98</v>
      </c>
      <c r="C103" s="607">
        <v>10600.0</v>
      </c>
      <c r="D103" s="6">
        <f t="shared" si="14"/>
        <v>6037.33103</v>
      </c>
      <c r="E103" s="6">
        <f t="shared" si="1"/>
        <v>4562.66897</v>
      </c>
      <c r="F103" s="6">
        <f t="shared" si="6"/>
        <v>467108.1111</v>
      </c>
      <c r="G103" s="6">
        <f t="shared" si="7"/>
        <v>571691.8889</v>
      </c>
      <c r="H103" s="6">
        <f t="shared" si="8"/>
        <v>1038800</v>
      </c>
      <c r="I103" s="6">
        <f t="shared" si="9"/>
        <v>1154604.889</v>
      </c>
      <c r="J103" s="620">
        <v>6.25</v>
      </c>
      <c r="K103" s="591"/>
      <c r="L103" s="6"/>
      <c r="M103" s="9">
        <v>12000.0</v>
      </c>
      <c r="N103" s="79">
        <f t="shared" si="10"/>
        <v>1170000</v>
      </c>
      <c r="O103" s="6">
        <f t="shared" si="2"/>
        <v>358992.1111</v>
      </c>
      <c r="P103" s="6"/>
      <c r="Q103" s="6">
        <f t="shared" si="11"/>
        <v>3520.66897</v>
      </c>
      <c r="R103" s="6">
        <f t="shared" si="12"/>
        <v>358992.1111</v>
      </c>
      <c r="S103" s="81">
        <f t="shared" si="3"/>
        <v>62.79468331</v>
      </c>
      <c r="T103" s="6"/>
      <c r="U103" s="6"/>
      <c r="V103" s="6"/>
      <c r="W103" s="6"/>
      <c r="X103" s="6"/>
    </row>
    <row r="104" ht="11.25" customHeight="1">
      <c r="A104" s="7"/>
      <c r="B104" s="68">
        <f t="shared" si="13"/>
        <v>99</v>
      </c>
      <c r="C104" s="607">
        <v>10600.0</v>
      </c>
      <c r="D104" s="6">
        <f t="shared" si="14"/>
        <v>6013.56713</v>
      </c>
      <c r="E104" s="6">
        <f t="shared" si="1"/>
        <v>4586.43287</v>
      </c>
      <c r="F104" s="6">
        <f t="shared" si="6"/>
        <v>471694.544</v>
      </c>
      <c r="G104" s="6">
        <f t="shared" si="7"/>
        <v>577705.456</v>
      </c>
      <c r="H104" s="6">
        <f t="shared" si="8"/>
        <v>1049400</v>
      </c>
      <c r="I104" s="6">
        <f t="shared" si="9"/>
        <v>1150018.456</v>
      </c>
      <c r="J104" s="620">
        <v>6.25</v>
      </c>
      <c r="K104" s="591"/>
      <c r="L104" s="6"/>
      <c r="M104" s="9">
        <v>12000.0</v>
      </c>
      <c r="N104" s="79">
        <f t="shared" si="10"/>
        <v>1182000</v>
      </c>
      <c r="O104" s="6">
        <f t="shared" si="2"/>
        <v>362536.544</v>
      </c>
      <c r="P104" s="6"/>
      <c r="Q104" s="6">
        <f t="shared" si="11"/>
        <v>3544.43287</v>
      </c>
      <c r="R104" s="6">
        <f t="shared" si="12"/>
        <v>362536.544</v>
      </c>
      <c r="S104" s="81">
        <f t="shared" si="3"/>
        <v>62.75456467</v>
      </c>
      <c r="T104" s="6"/>
      <c r="U104" s="6"/>
      <c r="V104" s="6"/>
      <c r="W104" s="6"/>
      <c r="X104" s="6"/>
    </row>
    <row r="105" ht="11.25" customHeight="1">
      <c r="A105" s="7"/>
      <c r="B105" s="68">
        <f t="shared" si="13"/>
        <v>100</v>
      </c>
      <c r="C105" s="607">
        <v>10600.0</v>
      </c>
      <c r="D105" s="6">
        <f t="shared" si="14"/>
        <v>5989.679458</v>
      </c>
      <c r="E105" s="6">
        <f t="shared" si="1"/>
        <v>4610.320542</v>
      </c>
      <c r="F105" s="6">
        <f t="shared" si="6"/>
        <v>476304.8645</v>
      </c>
      <c r="G105" s="6">
        <f t="shared" si="7"/>
        <v>583695.1355</v>
      </c>
      <c r="H105" s="6">
        <f t="shared" si="8"/>
        <v>1060000</v>
      </c>
      <c r="I105" s="6">
        <f t="shared" si="9"/>
        <v>1145408.135</v>
      </c>
      <c r="J105" s="620">
        <v>6.25</v>
      </c>
      <c r="K105" s="591"/>
      <c r="L105" s="6"/>
      <c r="M105" s="9">
        <v>12000.0</v>
      </c>
      <c r="N105" s="79">
        <f t="shared" si="10"/>
        <v>1194000</v>
      </c>
      <c r="O105" s="6">
        <f t="shared" si="2"/>
        <v>366104.8645</v>
      </c>
      <c r="P105" s="6"/>
      <c r="Q105" s="6">
        <f t="shared" si="11"/>
        <v>3568.320542</v>
      </c>
      <c r="R105" s="6">
        <f t="shared" si="12"/>
        <v>366104.8645</v>
      </c>
      <c r="S105" s="81">
        <f t="shared" si="3"/>
        <v>62.72193176</v>
      </c>
      <c r="T105" s="6"/>
      <c r="U105" s="6"/>
      <c r="V105" s="6"/>
      <c r="W105" s="6"/>
      <c r="X105" s="6"/>
    </row>
    <row r="106" ht="11.25" customHeight="1">
      <c r="A106" s="7"/>
      <c r="B106" s="68">
        <f t="shared" si="13"/>
        <v>101</v>
      </c>
      <c r="C106" s="607">
        <v>10600.0</v>
      </c>
      <c r="D106" s="6">
        <f t="shared" si="14"/>
        <v>5965.667372</v>
      </c>
      <c r="E106" s="6">
        <f t="shared" si="1"/>
        <v>4634.332628</v>
      </c>
      <c r="F106" s="6">
        <f t="shared" si="6"/>
        <v>480939.1972</v>
      </c>
      <c r="G106" s="6">
        <f t="shared" si="7"/>
        <v>589660.8028</v>
      </c>
      <c r="H106" s="6">
        <f t="shared" si="8"/>
        <v>1070600</v>
      </c>
      <c r="I106" s="6">
        <f t="shared" si="9"/>
        <v>1140773.803</v>
      </c>
      <c r="J106" s="620">
        <v>6.25</v>
      </c>
      <c r="K106" s="591"/>
      <c r="L106" s="6"/>
      <c r="M106" s="9">
        <v>12000.0</v>
      </c>
      <c r="N106" s="79">
        <f t="shared" si="10"/>
        <v>1206000</v>
      </c>
      <c r="O106" s="6">
        <f t="shared" si="2"/>
        <v>369697.1972</v>
      </c>
      <c r="P106" s="6"/>
      <c r="Q106" s="6">
        <f t="shared" si="11"/>
        <v>3592.332628</v>
      </c>
      <c r="R106" s="6">
        <f t="shared" si="12"/>
        <v>369697.1972</v>
      </c>
      <c r="S106" s="81">
        <f t="shared" si="3"/>
        <v>62.69658682</v>
      </c>
      <c r="T106" s="6"/>
      <c r="U106" s="6"/>
      <c r="V106" s="6"/>
      <c r="W106" s="6"/>
      <c r="X106" s="6"/>
    </row>
    <row r="107" ht="11.25" customHeight="1">
      <c r="A107" s="7"/>
      <c r="B107" s="68">
        <f t="shared" si="13"/>
        <v>102</v>
      </c>
      <c r="C107" s="607">
        <v>10600.0</v>
      </c>
      <c r="D107" s="6">
        <f t="shared" si="14"/>
        <v>5941.530223</v>
      </c>
      <c r="E107" s="6">
        <f t="shared" si="1"/>
        <v>4658.469777</v>
      </c>
      <c r="F107" s="6">
        <f t="shared" si="6"/>
        <v>485597.6669</v>
      </c>
      <c r="G107" s="6">
        <f t="shared" si="7"/>
        <v>595602.3331</v>
      </c>
      <c r="H107" s="6">
        <f t="shared" si="8"/>
        <v>1081200</v>
      </c>
      <c r="I107" s="6">
        <f t="shared" si="9"/>
        <v>1136115.333</v>
      </c>
      <c r="J107" s="620">
        <v>6.25</v>
      </c>
      <c r="K107" s="591"/>
      <c r="L107" s="6"/>
      <c r="M107" s="9">
        <v>12000.0</v>
      </c>
      <c r="N107" s="79">
        <f t="shared" si="10"/>
        <v>1218000</v>
      </c>
      <c r="O107" s="6">
        <f t="shared" si="2"/>
        <v>373313.6669</v>
      </c>
      <c r="P107" s="6"/>
      <c r="Q107" s="6">
        <f t="shared" si="11"/>
        <v>3616.469777</v>
      </c>
      <c r="R107" s="6">
        <f t="shared" si="12"/>
        <v>373313.6669</v>
      </c>
      <c r="S107" s="81">
        <f t="shared" si="3"/>
        <v>62.67834195</v>
      </c>
      <c r="T107" s="6"/>
      <c r="U107" s="6"/>
      <c r="V107" s="6"/>
      <c r="W107" s="6"/>
      <c r="X107" s="6"/>
    </row>
    <row r="108" ht="11.25" customHeight="1">
      <c r="A108" s="7"/>
      <c r="B108" s="68">
        <f t="shared" si="13"/>
        <v>103</v>
      </c>
      <c r="C108" s="607">
        <v>10600.0</v>
      </c>
      <c r="D108" s="6">
        <f t="shared" si="14"/>
        <v>5917.26736</v>
      </c>
      <c r="E108" s="6">
        <f t="shared" si="1"/>
        <v>4682.73264</v>
      </c>
      <c r="F108" s="6">
        <f t="shared" si="6"/>
        <v>490280.3996</v>
      </c>
      <c r="G108" s="6">
        <f t="shared" si="7"/>
        <v>601519.6004</v>
      </c>
      <c r="H108" s="6">
        <f t="shared" si="8"/>
        <v>1091800</v>
      </c>
      <c r="I108" s="6">
        <f t="shared" si="9"/>
        <v>1131432.6</v>
      </c>
      <c r="J108" s="620">
        <v>6.25</v>
      </c>
      <c r="K108" s="591"/>
      <c r="L108" s="6"/>
      <c r="M108" s="9">
        <v>12000.0</v>
      </c>
      <c r="N108" s="79">
        <f t="shared" si="10"/>
        <v>1230000</v>
      </c>
      <c r="O108" s="6">
        <f t="shared" si="2"/>
        <v>376954.3996</v>
      </c>
      <c r="P108" s="6"/>
      <c r="Q108" s="6">
        <f t="shared" si="11"/>
        <v>3640.73264</v>
      </c>
      <c r="R108" s="6">
        <f t="shared" si="12"/>
        <v>376954.3996</v>
      </c>
      <c r="S108" s="81">
        <f t="shared" si="3"/>
        <v>62.66701855</v>
      </c>
      <c r="T108" s="6"/>
      <c r="U108" s="6"/>
      <c r="V108" s="6"/>
      <c r="W108" s="6"/>
      <c r="X108" s="6"/>
    </row>
    <row r="109" ht="11.25" customHeight="1">
      <c r="A109" s="7"/>
      <c r="B109" s="68">
        <f t="shared" si="13"/>
        <v>104</v>
      </c>
      <c r="C109" s="607">
        <v>10600.0</v>
      </c>
      <c r="D109" s="6">
        <f t="shared" si="14"/>
        <v>5892.878127</v>
      </c>
      <c r="E109" s="6">
        <f t="shared" si="1"/>
        <v>4707.121873</v>
      </c>
      <c r="F109" s="6">
        <f t="shared" si="6"/>
        <v>494987.5215</v>
      </c>
      <c r="G109" s="6">
        <f t="shared" si="7"/>
        <v>607412.4785</v>
      </c>
      <c r="H109" s="6">
        <f t="shared" si="8"/>
        <v>1102400</v>
      </c>
      <c r="I109" s="6">
        <f t="shared" si="9"/>
        <v>1126725.479</v>
      </c>
      <c r="J109" s="620">
        <v>6.25</v>
      </c>
      <c r="K109" s="591"/>
      <c r="L109" s="6"/>
      <c r="M109" s="9">
        <v>12000.0</v>
      </c>
      <c r="N109" s="79">
        <f t="shared" si="10"/>
        <v>1242000</v>
      </c>
      <c r="O109" s="6">
        <f t="shared" si="2"/>
        <v>380619.5215</v>
      </c>
      <c r="P109" s="6"/>
      <c r="Q109" s="6">
        <f t="shared" si="11"/>
        <v>3665.121873</v>
      </c>
      <c r="R109" s="6">
        <f t="shared" si="12"/>
        <v>380619.5215</v>
      </c>
      <c r="S109" s="81">
        <f t="shared" si="3"/>
        <v>62.66244684</v>
      </c>
      <c r="T109" s="6"/>
      <c r="U109" s="6"/>
      <c r="V109" s="6"/>
      <c r="W109" s="6"/>
      <c r="X109" s="6"/>
    </row>
    <row r="110" ht="11.25" customHeight="1">
      <c r="A110" s="7"/>
      <c r="B110" s="68">
        <f t="shared" si="13"/>
        <v>105</v>
      </c>
      <c r="C110" s="607">
        <v>10600.0</v>
      </c>
      <c r="D110" s="6">
        <f t="shared" si="14"/>
        <v>5868.361867</v>
      </c>
      <c r="E110" s="6">
        <f t="shared" si="1"/>
        <v>4731.638133</v>
      </c>
      <c r="F110" s="6">
        <f t="shared" si="6"/>
        <v>499719.1596</v>
      </c>
      <c r="G110" s="6">
        <f t="shared" si="7"/>
        <v>613280.8404</v>
      </c>
      <c r="H110" s="6">
        <f t="shared" si="8"/>
        <v>1113000</v>
      </c>
      <c r="I110" s="6">
        <f t="shared" si="9"/>
        <v>1121993.84</v>
      </c>
      <c r="J110" s="620">
        <v>6.25</v>
      </c>
      <c r="K110" s="591"/>
      <c r="L110" s="6"/>
      <c r="M110" s="9">
        <v>12000.0</v>
      </c>
      <c r="N110" s="79">
        <f t="shared" si="10"/>
        <v>1254000</v>
      </c>
      <c r="O110" s="6">
        <f t="shared" si="2"/>
        <v>384309.1596</v>
      </c>
      <c r="P110" s="6"/>
      <c r="Q110" s="6">
        <f t="shared" si="11"/>
        <v>3689.638133</v>
      </c>
      <c r="R110" s="6">
        <f t="shared" si="12"/>
        <v>384309.1596</v>
      </c>
      <c r="S110" s="81">
        <f t="shared" si="3"/>
        <v>62.66446533</v>
      </c>
      <c r="T110" s="6"/>
      <c r="U110" s="6"/>
      <c r="V110" s="6"/>
      <c r="W110" s="6"/>
      <c r="X110" s="6"/>
    </row>
    <row r="111" ht="11.25" customHeight="1">
      <c r="A111" s="7"/>
      <c r="B111" s="68">
        <f t="shared" si="13"/>
        <v>106</v>
      </c>
      <c r="C111" s="607">
        <v>10600.0</v>
      </c>
      <c r="D111" s="6">
        <f t="shared" si="14"/>
        <v>5843.717919</v>
      </c>
      <c r="E111" s="6">
        <f t="shared" si="1"/>
        <v>4756.282081</v>
      </c>
      <c r="F111" s="6">
        <f t="shared" si="6"/>
        <v>504475.4417</v>
      </c>
      <c r="G111" s="6">
        <f t="shared" si="7"/>
        <v>619124.5583</v>
      </c>
      <c r="H111" s="6">
        <f t="shared" si="8"/>
        <v>1123600</v>
      </c>
      <c r="I111" s="6">
        <f t="shared" si="9"/>
        <v>1117237.558</v>
      </c>
      <c r="J111" s="620">
        <v>6.25</v>
      </c>
      <c r="K111" s="591"/>
      <c r="L111" s="6"/>
      <c r="M111" s="9">
        <v>12000.0</v>
      </c>
      <c r="N111" s="79">
        <f t="shared" si="10"/>
        <v>1266000</v>
      </c>
      <c r="O111" s="6">
        <f t="shared" si="2"/>
        <v>388023.4417</v>
      </c>
      <c r="P111" s="6"/>
      <c r="Q111" s="6">
        <f t="shared" si="11"/>
        <v>3714.282081</v>
      </c>
      <c r="R111" s="6">
        <f t="shared" si="12"/>
        <v>388023.4417</v>
      </c>
      <c r="S111" s="81">
        <f t="shared" si="3"/>
        <v>62.67292041</v>
      </c>
      <c r="T111" s="6"/>
      <c r="U111" s="6"/>
      <c r="V111" s="6"/>
      <c r="W111" s="6"/>
      <c r="X111" s="6"/>
    </row>
    <row r="112" ht="11.25" customHeight="1">
      <c r="A112" s="7"/>
      <c r="B112" s="68">
        <f t="shared" si="13"/>
        <v>107</v>
      </c>
      <c r="C112" s="607">
        <v>10600.0</v>
      </c>
      <c r="D112" s="6">
        <f t="shared" si="14"/>
        <v>5818.945616</v>
      </c>
      <c r="E112" s="6">
        <f t="shared" si="1"/>
        <v>4781.054384</v>
      </c>
      <c r="F112" s="6">
        <f t="shared" si="6"/>
        <v>509256.4961</v>
      </c>
      <c r="G112" s="6">
        <f t="shared" si="7"/>
        <v>624943.5039</v>
      </c>
      <c r="H112" s="6">
        <f t="shared" si="8"/>
        <v>1134200</v>
      </c>
      <c r="I112" s="6">
        <f t="shared" si="9"/>
        <v>1112456.504</v>
      </c>
      <c r="J112" s="620">
        <v>6.25</v>
      </c>
      <c r="K112" s="591"/>
      <c r="L112" s="6"/>
      <c r="M112" s="9">
        <v>12000.0</v>
      </c>
      <c r="N112" s="79">
        <f t="shared" si="10"/>
        <v>1278000</v>
      </c>
      <c r="O112" s="6">
        <f t="shared" si="2"/>
        <v>391762.4961</v>
      </c>
      <c r="P112" s="6"/>
      <c r="Q112" s="6">
        <f t="shared" si="11"/>
        <v>3739.054384</v>
      </c>
      <c r="R112" s="6">
        <f t="shared" si="12"/>
        <v>391762.4961</v>
      </c>
      <c r="S112" s="81">
        <f t="shared" si="3"/>
        <v>62.68766594</v>
      </c>
      <c r="T112" s="6"/>
      <c r="U112" s="6"/>
      <c r="V112" s="6"/>
      <c r="W112" s="6"/>
      <c r="X112" s="6"/>
    </row>
    <row r="113" ht="11.25" customHeight="1">
      <c r="A113" s="71"/>
      <c r="B113" s="72">
        <f t="shared" si="13"/>
        <v>108</v>
      </c>
      <c r="C113" s="607">
        <v>10600.0</v>
      </c>
      <c r="D113" s="10">
        <f t="shared" si="14"/>
        <v>5794.044291</v>
      </c>
      <c r="E113" s="10">
        <f t="shared" si="1"/>
        <v>4805.955709</v>
      </c>
      <c r="F113" s="10">
        <f t="shared" si="6"/>
        <v>514062.4518</v>
      </c>
      <c r="G113" s="10">
        <f t="shared" si="7"/>
        <v>630737.5482</v>
      </c>
      <c r="H113" s="10">
        <f t="shared" si="8"/>
        <v>1144800</v>
      </c>
      <c r="I113" s="10">
        <f t="shared" si="9"/>
        <v>1107650.548</v>
      </c>
      <c r="J113" s="620">
        <v>6.25</v>
      </c>
      <c r="K113" s="591"/>
      <c r="L113" s="6"/>
      <c r="M113" s="9">
        <v>12000.0</v>
      </c>
      <c r="N113" s="79">
        <f t="shared" si="10"/>
        <v>1290000</v>
      </c>
      <c r="O113" s="6">
        <f t="shared" si="2"/>
        <v>395526.4518</v>
      </c>
      <c r="P113" s="6"/>
      <c r="Q113" s="6">
        <f t="shared" si="11"/>
        <v>3763.955709</v>
      </c>
      <c r="R113" s="6">
        <f t="shared" si="12"/>
        <v>395526.4518</v>
      </c>
      <c r="S113" s="81">
        <f t="shared" si="3"/>
        <v>62.70856284</v>
      </c>
      <c r="T113" s="6"/>
      <c r="U113" s="6"/>
      <c r="V113" s="6"/>
      <c r="W113" s="6"/>
      <c r="X113" s="6"/>
    </row>
    <row r="114" ht="11.25" customHeight="1">
      <c r="A114" s="100">
        <v>10.0</v>
      </c>
      <c r="B114" s="66">
        <f t="shared" si="13"/>
        <v>109</v>
      </c>
      <c r="C114" s="607">
        <v>10600.0</v>
      </c>
      <c r="D114" s="617">
        <f t="shared" si="14"/>
        <v>5769.013272</v>
      </c>
      <c r="E114" s="617">
        <f t="shared" si="1"/>
        <v>4830.986728</v>
      </c>
      <c r="F114" s="617">
        <f t="shared" si="6"/>
        <v>518893.4385</v>
      </c>
      <c r="G114" s="617">
        <f t="shared" si="7"/>
        <v>636506.5615</v>
      </c>
      <c r="H114" s="617">
        <f t="shared" si="8"/>
        <v>1155400</v>
      </c>
      <c r="I114" s="617">
        <f t="shared" si="9"/>
        <v>1102819.562</v>
      </c>
      <c r="J114" s="620">
        <v>6.25</v>
      </c>
      <c r="K114" s="591"/>
      <c r="L114" s="6"/>
      <c r="M114" s="9">
        <v>12000.0</v>
      </c>
      <c r="N114" s="79">
        <f t="shared" si="10"/>
        <v>1302000</v>
      </c>
      <c r="O114" s="6">
        <f t="shared" si="2"/>
        <v>399315.4385</v>
      </c>
      <c r="P114" s="6"/>
      <c r="Q114" s="6">
        <f t="shared" si="11"/>
        <v>3788.986728</v>
      </c>
      <c r="R114" s="6">
        <f t="shared" si="12"/>
        <v>399315.4385</v>
      </c>
      <c r="S114" s="81">
        <f t="shared" si="3"/>
        <v>62.73547873</v>
      </c>
      <c r="T114" s="6"/>
      <c r="U114" s="6"/>
      <c r="V114" s="6"/>
      <c r="W114" s="6"/>
      <c r="X114" s="6"/>
    </row>
    <row r="115" ht="11.25" customHeight="1">
      <c r="A115" s="7"/>
      <c r="B115" s="68">
        <f t="shared" si="13"/>
        <v>110</v>
      </c>
      <c r="C115" s="607">
        <v>10600.0</v>
      </c>
      <c r="D115" s="6">
        <f t="shared" si="14"/>
        <v>5743.851883</v>
      </c>
      <c r="E115" s="6">
        <f t="shared" si="1"/>
        <v>4856.148117</v>
      </c>
      <c r="F115" s="6">
        <f t="shared" si="6"/>
        <v>523749.5866</v>
      </c>
      <c r="G115" s="6">
        <f t="shared" si="7"/>
        <v>642250.4134</v>
      </c>
      <c r="H115" s="6">
        <f t="shared" si="8"/>
        <v>1166000</v>
      </c>
      <c r="I115" s="6">
        <f t="shared" si="9"/>
        <v>1097963.413</v>
      </c>
      <c r="J115" s="620">
        <v>6.25</v>
      </c>
      <c r="K115" s="591"/>
      <c r="L115" s="6"/>
      <c r="M115" s="9">
        <v>12000.0</v>
      </c>
      <c r="N115" s="79">
        <f t="shared" si="10"/>
        <v>1314000</v>
      </c>
      <c r="O115" s="6">
        <f t="shared" si="2"/>
        <v>403129.5866</v>
      </c>
      <c r="P115" s="6"/>
      <c r="Q115" s="6">
        <f t="shared" si="11"/>
        <v>3814.148117</v>
      </c>
      <c r="R115" s="6">
        <f t="shared" si="12"/>
        <v>403129.5866</v>
      </c>
      <c r="S115" s="81">
        <f t="shared" si="3"/>
        <v>62.7682876</v>
      </c>
      <c r="T115" s="6"/>
      <c r="U115" s="6"/>
      <c r="V115" s="6"/>
      <c r="W115" s="6"/>
      <c r="X115" s="6"/>
    </row>
    <row r="116" ht="11.25" customHeight="1">
      <c r="A116" s="7"/>
      <c r="B116" s="68">
        <f t="shared" si="13"/>
        <v>111</v>
      </c>
      <c r="C116" s="607">
        <v>10600.0</v>
      </c>
      <c r="D116" s="6">
        <f t="shared" si="14"/>
        <v>5718.559445</v>
      </c>
      <c r="E116" s="6">
        <f t="shared" si="1"/>
        <v>4881.440555</v>
      </c>
      <c r="F116" s="6">
        <f t="shared" si="6"/>
        <v>528631.0272</v>
      </c>
      <c r="G116" s="6">
        <f t="shared" si="7"/>
        <v>647968.9728</v>
      </c>
      <c r="H116" s="6">
        <f t="shared" si="8"/>
        <v>1176600</v>
      </c>
      <c r="I116" s="6">
        <f t="shared" si="9"/>
        <v>1093081.973</v>
      </c>
      <c r="J116" s="620">
        <v>6.25</v>
      </c>
      <c r="K116" s="591"/>
      <c r="L116" s="6"/>
      <c r="M116" s="9">
        <v>12000.0</v>
      </c>
      <c r="N116" s="79">
        <f t="shared" si="10"/>
        <v>1326000</v>
      </c>
      <c r="O116" s="6">
        <f t="shared" si="2"/>
        <v>406969.0272</v>
      </c>
      <c r="P116" s="6"/>
      <c r="Q116" s="6">
        <f t="shared" si="11"/>
        <v>3839.440555</v>
      </c>
      <c r="R116" s="6">
        <f t="shared" si="12"/>
        <v>406969.0272</v>
      </c>
      <c r="S116" s="81">
        <f t="shared" si="3"/>
        <v>62.8068695</v>
      </c>
      <c r="T116" s="6"/>
      <c r="U116" s="6"/>
      <c r="V116" s="6"/>
      <c r="W116" s="6"/>
      <c r="X116" s="6"/>
    </row>
    <row r="117" ht="11.25" customHeight="1">
      <c r="A117" s="7"/>
      <c r="B117" s="68">
        <f t="shared" si="13"/>
        <v>112</v>
      </c>
      <c r="C117" s="607">
        <v>10600.0</v>
      </c>
      <c r="D117" s="6">
        <f t="shared" si="14"/>
        <v>5693.135275</v>
      </c>
      <c r="E117" s="6">
        <f t="shared" si="1"/>
        <v>4906.864725</v>
      </c>
      <c r="F117" s="6">
        <f t="shared" si="6"/>
        <v>533537.8919</v>
      </c>
      <c r="G117" s="6">
        <f t="shared" si="7"/>
        <v>653662.1081</v>
      </c>
      <c r="H117" s="6">
        <f t="shared" si="8"/>
        <v>1187200</v>
      </c>
      <c r="I117" s="6">
        <f t="shared" si="9"/>
        <v>1088175.108</v>
      </c>
      <c r="J117" s="620">
        <v>6.25</v>
      </c>
      <c r="K117" s="591"/>
      <c r="L117" s="6"/>
      <c r="M117" s="9">
        <v>12000.0</v>
      </c>
      <c r="N117" s="79">
        <f t="shared" si="10"/>
        <v>1338000</v>
      </c>
      <c r="O117" s="6">
        <f t="shared" si="2"/>
        <v>410833.8919</v>
      </c>
      <c r="P117" s="6"/>
      <c r="Q117" s="6">
        <f t="shared" si="11"/>
        <v>3864.864725</v>
      </c>
      <c r="R117" s="6">
        <f t="shared" si="12"/>
        <v>410833.8919</v>
      </c>
      <c r="S117" s="81">
        <f t="shared" si="3"/>
        <v>62.8511102</v>
      </c>
      <c r="T117" s="6"/>
      <c r="U117" s="6"/>
      <c r="V117" s="6"/>
      <c r="W117" s="6"/>
      <c r="X117" s="6"/>
    </row>
    <row r="118" ht="11.25" customHeight="1">
      <c r="A118" s="7"/>
      <c r="B118" s="68">
        <f t="shared" si="13"/>
        <v>113</v>
      </c>
      <c r="C118" s="607">
        <v>10600.0</v>
      </c>
      <c r="D118" s="6">
        <f t="shared" si="14"/>
        <v>5667.578688</v>
      </c>
      <c r="E118" s="6">
        <f t="shared" si="1"/>
        <v>4932.421312</v>
      </c>
      <c r="F118" s="6">
        <f t="shared" si="6"/>
        <v>538470.3132</v>
      </c>
      <c r="G118" s="6">
        <f t="shared" si="7"/>
        <v>659329.6868</v>
      </c>
      <c r="H118" s="6">
        <f t="shared" si="8"/>
        <v>1197800</v>
      </c>
      <c r="I118" s="6">
        <f t="shared" si="9"/>
        <v>1083242.687</v>
      </c>
      <c r="J118" s="620">
        <v>6.25</v>
      </c>
      <c r="K118" s="591"/>
      <c r="L118" s="6"/>
      <c r="M118" s="9">
        <v>12000.0</v>
      </c>
      <c r="N118" s="79">
        <f t="shared" si="10"/>
        <v>1350000</v>
      </c>
      <c r="O118" s="6">
        <f t="shared" si="2"/>
        <v>414724.3132</v>
      </c>
      <c r="P118" s="6"/>
      <c r="Q118" s="6">
        <f t="shared" si="11"/>
        <v>3890.421312</v>
      </c>
      <c r="R118" s="6">
        <f t="shared" si="12"/>
        <v>414724.3132</v>
      </c>
      <c r="S118" s="81">
        <f t="shared" si="3"/>
        <v>62.90090095</v>
      </c>
      <c r="T118" s="6"/>
      <c r="U118" s="6"/>
      <c r="V118" s="6"/>
      <c r="W118" s="6"/>
      <c r="X118" s="6"/>
    </row>
    <row r="119" ht="11.25" customHeight="1">
      <c r="A119" s="7"/>
      <c r="B119" s="68">
        <f t="shared" si="13"/>
        <v>114</v>
      </c>
      <c r="C119" s="607">
        <v>10600.0</v>
      </c>
      <c r="D119" s="6">
        <f t="shared" si="14"/>
        <v>5641.888994</v>
      </c>
      <c r="E119" s="6">
        <f t="shared" si="1"/>
        <v>4958.111006</v>
      </c>
      <c r="F119" s="6">
        <f t="shared" si="6"/>
        <v>543428.4242</v>
      </c>
      <c r="G119" s="6">
        <f t="shared" si="7"/>
        <v>664971.5758</v>
      </c>
      <c r="H119" s="6">
        <f t="shared" si="8"/>
        <v>1208400</v>
      </c>
      <c r="I119" s="6">
        <f t="shared" si="9"/>
        <v>1078284.576</v>
      </c>
      <c r="J119" s="620">
        <v>6.25</v>
      </c>
      <c r="K119" s="591"/>
      <c r="L119" s="6"/>
      <c r="M119" s="9">
        <v>12000.0</v>
      </c>
      <c r="N119" s="79">
        <f t="shared" si="10"/>
        <v>1362000</v>
      </c>
      <c r="O119" s="6">
        <f t="shared" si="2"/>
        <v>418640.4242</v>
      </c>
      <c r="P119" s="6"/>
      <c r="Q119" s="6">
        <f t="shared" si="11"/>
        <v>3916.111006</v>
      </c>
      <c r="R119" s="6">
        <f t="shared" si="12"/>
        <v>418640.4242</v>
      </c>
      <c r="S119" s="81">
        <f t="shared" si="3"/>
        <v>62.95613819</v>
      </c>
      <c r="T119" s="6"/>
      <c r="U119" s="6"/>
      <c r="V119" s="6"/>
      <c r="W119" s="6"/>
      <c r="X119" s="6"/>
    </row>
    <row r="120" ht="11.25" customHeight="1">
      <c r="A120" s="7"/>
      <c r="B120" s="68">
        <f t="shared" si="13"/>
        <v>115</v>
      </c>
      <c r="C120" s="607">
        <v>10600.0</v>
      </c>
      <c r="D120" s="6">
        <f t="shared" si="14"/>
        <v>5616.065499</v>
      </c>
      <c r="E120" s="6">
        <f t="shared" si="1"/>
        <v>4983.934501</v>
      </c>
      <c r="F120" s="6">
        <f t="shared" si="6"/>
        <v>548412.3587</v>
      </c>
      <c r="G120" s="6">
        <f t="shared" si="7"/>
        <v>670587.6413</v>
      </c>
      <c r="H120" s="6">
        <f t="shared" si="8"/>
        <v>1219000</v>
      </c>
      <c r="I120" s="6">
        <f t="shared" si="9"/>
        <v>1073300.641</v>
      </c>
      <c r="J120" s="620">
        <v>6.25</v>
      </c>
      <c r="K120" s="591"/>
      <c r="L120" s="6"/>
      <c r="M120" s="9">
        <v>12000.0</v>
      </c>
      <c r="N120" s="79">
        <f t="shared" si="10"/>
        <v>1374000</v>
      </c>
      <c r="O120" s="6">
        <f t="shared" si="2"/>
        <v>422582.3587</v>
      </c>
      <c r="P120" s="6"/>
      <c r="Q120" s="6">
        <f t="shared" si="11"/>
        <v>3941.934501</v>
      </c>
      <c r="R120" s="6">
        <f t="shared" si="12"/>
        <v>422582.3587</v>
      </c>
      <c r="S120" s="81">
        <f t="shared" si="3"/>
        <v>63.01672335</v>
      </c>
      <c r="T120" s="6"/>
      <c r="U120" s="6"/>
      <c r="V120" s="6"/>
      <c r="W120" s="6"/>
      <c r="X120" s="6"/>
    </row>
    <row r="121" ht="11.25" customHeight="1">
      <c r="A121" s="7"/>
      <c r="B121" s="68">
        <f t="shared" si="13"/>
        <v>116</v>
      </c>
      <c r="C121" s="607">
        <v>10600.0</v>
      </c>
      <c r="D121" s="6">
        <f t="shared" si="14"/>
        <v>5590.107507</v>
      </c>
      <c r="E121" s="6">
        <f t="shared" si="1"/>
        <v>5009.892493</v>
      </c>
      <c r="F121" s="6">
        <f t="shared" si="6"/>
        <v>553422.2512</v>
      </c>
      <c r="G121" s="6">
        <f t="shared" si="7"/>
        <v>676177.7488</v>
      </c>
      <c r="H121" s="6">
        <f t="shared" si="8"/>
        <v>1229600</v>
      </c>
      <c r="I121" s="6">
        <f t="shared" si="9"/>
        <v>1068290.749</v>
      </c>
      <c r="J121" s="620">
        <v>6.25</v>
      </c>
      <c r="K121" s="591"/>
      <c r="L121" s="6"/>
      <c r="M121" s="9">
        <v>12000.0</v>
      </c>
      <c r="N121" s="79">
        <f t="shared" si="10"/>
        <v>1386000</v>
      </c>
      <c r="O121" s="6">
        <f t="shared" si="2"/>
        <v>426550.2512</v>
      </c>
      <c r="P121" s="6"/>
      <c r="Q121" s="6">
        <f t="shared" si="11"/>
        <v>3967.892493</v>
      </c>
      <c r="R121" s="6">
        <f t="shared" si="12"/>
        <v>426550.2512</v>
      </c>
      <c r="S121" s="81">
        <f t="shared" si="3"/>
        <v>63.08256253</v>
      </c>
      <c r="T121" s="6"/>
      <c r="U121" s="6"/>
      <c r="V121" s="6"/>
      <c r="W121" s="6"/>
      <c r="X121" s="6"/>
    </row>
    <row r="122" ht="11.25" customHeight="1">
      <c r="A122" s="7"/>
      <c r="B122" s="68">
        <f t="shared" si="13"/>
        <v>117</v>
      </c>
      <c r="C122" s="607">
        <v>10600.0</v>
      </c>
      <c r="D122" s="6">
        <f t="shared" si="14"/>
        <v>5564.014317</v>
      </c>
      <c r="E122" s="6">
        <f t="shared" si="1"/>
        <v>5035.985683</v>
      </c>
      <c r="F122" s="6">
        <f t="shared" si="6"/>
        <v>558458.2369</v>
      </c>
      <c r="G122" s="6">
        <f t="shared" si="7"/>
        <v>681741.7631</v>
      </c>
      <c r="H122" s="6">
        <f t="shared" si="8"/>
        <v>1240200</v>
      </c>
      <c r="I122" s="6">
        <f t="shared" si="9"/>
        <v>1063254.763</v>
      </c>
      <c r="J122" s="620">
        <v>6.25</v>
      </c>
      <c r="K122" s="591"/>
      <c r="L122" s="6"/>
      <c r="M122" s="9">
        <v>12000.0</v>
      </c>
      <c r="N122" s="79">
        <f t="shared" si="10"/>
        <v>1398000</v>
      </c>
      <c r="O122" s="6">
        <f t="shared" si="2"/>
        <v>430544.2369</v>
      </c>
      <c r="P122" s="6"/>
      <c r="Q122" s="6">
        <f t="shared" si="11"/>
        <v>3993.985683</v>
      </c>
      <c r="R122" s="6">
        <f t="shared" si="12"/>
        <v>430544.2369</v>
      </c>
      <c r="S122" s="81">
        <f t="shared" si="3"/>
        <v>63.15356638</v>
      </c>
      <c r="T122" s="6"/>
      <c r="U122" s="6"/>
      <c r="V122" s="6"/>
      <c r="W122" s="6"/>
      <c r="X122" s="6"/>
    </row>
    <row r="123" ht="11.25" customHeight="1">
      <c r="A123" s="7"/>
      <c r="B123" s="68">
        <f t="shared" si="13"/>
        <v>118</v>
      </c>
      <c r="C123" s="607">
        <v>10600.0</v>
      </c>
      <c r="D123" s="6">
        <f t="shared" si="14"/>
        <v>5537.785225</v>
      </c>
      <c r="E123" s="6">
        <f t="shared" si="1"/>
        <v>5062.214775</v>
      </c>
      <c r="F123" s="6">
        <f t="shared" si="6"/>
        <v>563520.4517</v>
      </c>
      <c r="G123" s="6">
        <f t="shared" si="7"/>
        <v>687279.5483</v>
      </c>
      <c r="H123" s="6">
        <f t="shared" si="8"/>
        <v>1250800</v>
      </c>
      <c r="I123" s="6">
        <f t="shared" si="9"/>
        <v>1058192.548</v>
      </c>
      <c r="J123" s="620">
        <v>6.25</v>
      </c>
      <c r="K123" s="591"/>
      <c r="L123" s="6"/>
      <c r="M123" s="9">
        <v>12000.0</v>
      </c>
      <c r="N123" s="79">
        <f t="shared" si="10"/>
        <v>1410000</v>
      </c>
      <c r="O123" s="6">
        <f t="shared" si="2"/>
        <v>434564.4517</v>
      </c>
      <c r="P123" s="6"/>
      <c r="Q123" s="6">
        <f t="shared" si="11"/>
        <v>4020.214775</v>
      </c>
      <c r="R123" s="6">
        <f t="shared" si="12"/>
        <v>434564.4517</v>
      </c>
      <c r="S123" s="81">
        <f t="shared" si="3"/>
        <v>63.22964981</v>
      </c>
      <c r="T123" s="6"/>
      <c r="U123" s="6"/>
      <c r="V123" s="6"/>
      <c r="W123" s="6"/>
      <c r="X123" s="6"/>
    </row>
    <row r="124" ht="11.25" customHeight="1">
      <c r="A124" s="7"/>
      <c r="B124" s="68">
        <f t="shared" si="13"/>
        <v>119</v>
      </c>
      <c r="C124" s="607">
        <v>10600.0</v>
      </c>
      <c r="D124" s="6">
        <f t="shared" si="14"/>
        <v>5511.419523</v>
      </c>
      <c r="E124" s="6">
        <f t="shared" si="1"/>
        <v>5088.580477</v>
      </c>
      <c r="F124" s="6">
        <f t="shared" si="6"/>
        <v>568609.0321</v>
      </c>
      <c r="G124" s="6">
        <f t="shared" si="7"/>
        <v>692790.9679</v>
      </c>
      <c r="H124" s="6">
        <f t="shared" si="8"/>
        <v>1261400</v>
      </c>
      <c r="I124" s="6">
        <f t="shared" si="9"/>
        <v>1053103.968</v>
      </c>
      <c r="J124" s="620">
        <v>6.25</v>
      </c>
      <c r="K124" s="591"/>
      <c r="L124" s="6"/>
      <c r="M124" s="9">
        <v>12000.0</v>
      </c>
      <c r="N124" s="79">
        <f t="shared" si="10"/>
        <v>1422000</v>
      </c>
      <c r="O124" s="6">
        <f t="shared" si="2"/>
        <v>438611.0321</v>
      </c>
      <c r="P124" s="6"/>
      <c r="Q124" s="6">
        <f t="shared" si="11"/>
        <v>4046.580477</v>
      </c>
      <c r="R124" s="6">
        <f t="shared" si="12"/>
        <v>438611.0321</v>
      </c>
      <c r="S124" s="81">
        <f t="shared" si="3"/>
        <v>63.31073188</v>
      </c>
      <c r="T124" s="6"/>
      <c r="U124" s="6"/>
      <c r="V124" s="6"/>
      <c r="W124" s="6"/>
      <c r="X124" s="6"/>
    </row>
    <row r="125" ht="11.25" customHeight="1">
      <c r="A125" s="71"/>
      <c r="B125" s="72">
        <f t="shared" si="13"/>
        <v>120</v>
      </c>
      <c r="C125" s="607">
        <v>10600.0</v>
      </c>
      <c r="D125" s="10">
        <f t="shared" si="14"/>
        <v>5484.916499</v>
      </c>
      <c r="E125" s="10">
        <f t="shared" si="1"/>
        <v>5115.083501</v>
      </c>
      <c r="F125" s="10">
        <f t="shared" si="6"/>
        <v>573724.1156</v>
      </c>
      <c r="G125" s="10">
        <f t="shared" si="7"/>
        <v>698275.8844</v>
      </c>
      <c r="H125" s="10">
        <f t="shared" si="8"/>
        <v>1272000</v>
      </c>
      <c r="I125" s="10">
        <f t="shared" si="9"/>
        <v>1047988.884</v>
      </c>
      <c r="J125" s="620">
        <v>6.25</v>
      </c>
      <c r="K125" s="591"/>
      <c r="L125" s="6"/>
      <c r="M125" s="9">
        <v>12000.0</v>
      </c>
      <c r="N125" s="79">
        <f t="shared" si="10"/>
        <v>1434000</v>
      </c>
      <c r="O125" s="6">
        <f t="shared" si="2"/>
        <v>442684.1156</v>
      </c>
      <c r="P125" s="6"/>
      <c r="Q125" s="6">
        <f t="shared" si="11"/>
        <v>4073.083501</v>
      </c>
      <c r="R125" s="6">
        <f t="shared" si="12"/>
        <v>442684.1156</v>
      </c>
      <c r="S125" s="81">
        <f t="shared" si="3"/>
        <v>63.39673552</v>
      </c>
      <c r="T125" s="6"/>
      <c r="U125" s="6"/>
      <c r="V125" s="6"/>
      <c r="W125" s="6"/>
      <c r="X125" s="6"/>
    </row>
    <row r="126" ht="11.25" customHeight="1">
      <c r="A126" s="100">
        <v>11.0</v>
      </c>
      <c r="B126" s="66">
        <f t="shared" si="13"/>
        <v>121</v>
      </c>
      <c r="C126" s="607">
        <v>10600.0</v>
      </c>
      <c r="D126" s="617">
        <f t="shared" si="14"/>
        <v>5458.275439</v>
      </c>
      <c r="E126" s="617">
        <f t="shared" si="1"/>
        <v>5141.724561</v>
      </c>
      <c r="F126" s="617">
        <f t="shared" si="6"/>
        <v>578865.8402</v>
      </c>
      <c r="G126" s="617">
        <f t="shared" si="7"/>
        <v>703734.1598</v>
      </c>
      <c r="H126" s="617">
        <f t="shared" si="8"/>
        <v>1282600</v>
      </c>
      <c r="I126" s="617">
        <f t="shared" si="9"/>
        <v>1042847.16</v>
      </c>
      <c r="J126" s="620">
        <v>6.25</v>
      </c>
      <c r="K126" s="591"/>
      <c r="L126" s="6"/>
      <c r="M126" s="9">
        <v>12000.0</v>
      </c>
      <c r="N126" s="79">
        <f t="shared" si="10"/>
        <v>1446000</v>
      </c>
      <c r="O126" s="6">
        <f t="shared" si="2"/>
        <v>446783.8402</v>
      </c>
      <c r="P126" s="6"/>
      <c r="Q126" s="6">
        <f t="shared" si="11"/>
        <v>4099.724561</v>
      </c>
      <c r="R126" s="6">
        <f t="shared" si="12"/>
        <v>446783.8402</v>
      </c>
      <c r="S126" s="81">
        <f t="shared" si="3"/>
        <v>63.48758746</v>
      </c>
      <c r="T126" s="6"/>
      <c r="U126" s="6"/>
      <c r="V126" s="6"/>
      <c r="W126" s="6"/>
      <c r="X126" s="6"/>
    </row>
    <row r="127" ht="11.25" customHeight="1">
      <c r="A127" s="7"/>
      <c r="B127" s="68">
        <f t="shared" si="13"/>
        <v>122</v>
      </c>
      <c r="C127" s="607">
        <v>10600.0</v>
      </c>
      <c r="D127" s="6">
        <f t="shared" si="14"/>
        <v>5431.495624</v>
      </c>
      <c r="E127" s="6">
        <f t="shared" si="1"/>
        <v>5168.504376</v>
      </c>
      <c r="F127" s="6">
        <f t="shared" si="6"/>
        <v>584034.3446</v>
      </c>
      <c r="G127" s="6">
        <f t="shared" si="7"/>
        <v>709165.6554</v>
      </c>
      <c r="H127" s="6">
        <f t="shared" si="8"/>
        <v>1293200</v>
      </c>
      <c r="I127" s="6">
        <f t="shared" si="9"/>
        <v>1037678.655</v>
      </c>
      <c r="J127" s="620">
        <v>6.25</v>
      </c>
      <c r="K127" s="591"/>
      <c r="L127" s="6"/>
      <c r="M127" s="9">
        <v>12000.0</v>
      </c>
      <c r="N127" s="79">
        <f t="shared" si="10"/>
        <v>1458000</v>
      </c>
      <c r="O127" s="6">
        <f t="shared" si="2"/>
        <v>450910.3446</v>
      </c>
      <c r="P127" s="6"/>
      <c r="Q127" s="6">
        <f t="shared" si="11"/>
        <v>4126.504376</v>
      </c>
      <c r="R127" s="6">
        <f t="shared" si="12"/>
        <v>450910.3446</v>
      </c>
      <c r="S127" s="81">
        <f t="shared" si="3"/>
        <v>63.58321799</v>
      </c>
      <c r="T127" s="6"/>
      <c r="U127" s="6"/>
      <c r="V127" s="6"/>
      <c r="W127" s="6"/>
      <c r="X127" s="6"/>
    </row>
    <row r="128" ht="11.25" customHeight="1">
      <c r="A128" s="7"/>
      <c r="B128" s="68">
        <f t="shared" si="13"/>
        <v>123</v>
      </c>
      <c r="C128" s="607">
        <v>10600.0</v>
      </c>
      <c r="D128" s="6">
        <f t="shared" si="14"/>
        <v>5404.57633</v>
      </c>
      <c r="E128" s="6">
        <f t="shared" si="1"/>
        <v>5195.42367</v>
      </c>
      <c r="F128" s="6">
        <f t="shared" si="6"/>
        <v>589229.7682</v>
      </c>
      <c r="G128" s="6">
        <f t="shared" si="7"/>
        <v>714570.2318</v>
      </c>
      <c r="H128" s="6">
        <f t="shared" si="8"/>
        <v>1303800</v>
      </c>
      <c r="I128" s="6">
        <f t="shared" si="9"/>
        <v>1032483.232</v>
      </c>
      <c r="J128" s="620">
        <v>6.25</v>
      </c>
      <c r="K128" s="591"/>
      <c r="L128" s="6"/>
      <c r="M128" s="9">
        <v>12000.0</v>
      </c>
      <c r="N128" s="79">
        <f t="shared" si="10"/>
        <v>1470000</v>
      </c>
      <c r="O128" s="6">
        <f t="shared" si="2"/>
        <v>455063.7682</v>
      </c>
      <c r="P128" s="6"/>
      <c r="Q128" s="6">
        <f t="shared" si="11"/>
        <v>4153.42367</v>
      </c>
      <c r="R128" s="6">
        <f t="shared" si="12"/>
        <v>455063.7682</v>
      </c>
      <c r="S128" s="81">
        <f t="shared" si="3"/>
        <v>63.68356083</v>
      </c>
      <c r="T128" s="6"/>
      <c r="U128" s="6"/>
      <c r="V128" s="6"/>
      <c r="W128" s="6"/>
      <c r="X128" s="6"/>
    </row>
    <row r="129" ht="11.25" customHeight="1">
      <c r="A129" s="7"/>
      <c r="B129" s="68">
        <f t="shared" si="13"/>
        <v>124</v>
      </c>
      <c r="C129" s="607">
        <v>10600.0</v>
      </c>
      <c r="D129" s="6">
        <f t="shared" si="14"/>
        <v>5377.516832</v>
      </c>
      <c r="E129" s="6">
        <f t="shared" si="1"/>
        <v>5222.483168</v>
      </c>
      <c r="F129" s="6">
        <f t="shared" si="6"/>
        <v>594452.2514</v>
      </c>
      <c r="G129" s="6">
        <f t="shared" si="7"/>
        <v>719947.7486</v>
      </c>
      <c r="H129" s="6">
        <f t="shared" si="8"/>
        <v>1314400</v>
      </c>
      <c r="I129" s="6">
        <f t="shared" si="9"/>
        <v>1027260.749</v>
      </c>
      <c r="J129" s="620">
        <v>6.25</v>
      </c>
      <c r="K129" s="591"/>
      <c r="L129" s="6"/>
      <c r="M129" s="9">
        <v>12000.0</v>
      </c>
      <c r="N129" s="79">
        <f t="shared" si="10"/>
        <v>1482000</v>
      </c>
      <c r="O129" s="6">
        <f t="shared" si="2"/>
        <v>459244.2514</v>
      </c>
      <c r="P129" s="6"/>
      <c r="Q129" s="6">
        <f t="shared" si="11"/>
        <v>4180.483168</v>
      </c>
      <c r="R129" s="6">
        <f t="shared" si="12"/>
        <v>459244.2514</v>
      </c>
      <c r="S129" s="81">
        <f t="shared" si="3"/>
        <v>63.78855303</v>
      </c>
      <c r="T129" s="6"/>
      <c r="U129" s="6"/>
      <c r="V129" s="6"/>
      <c r="W129" s="6"/>
      <c r="X129" s="6"/>
    </row>
    <row r="130" ht="11.25" customHeight="1">
      <c r="A130" s="7"/>
      <c r="B130" s="68">
        <f t="shared" si="13"/>
        <v>125</v>
      </c>
      <c r="C130" s="607">
        <v>10600.0</v>
      </c>
      <c r="D130" s="6">
        <f t="shared" si="14"/>
        <v>5350.316399</v>
      </c>
      <c r="E130" s="6">
        <f t="shared" si="1"/>
        <v>5249.683601</v>
      </c>
      <c r="F130" s="6">
        <f t="shared" si="6"/>
        <v>599701.935</v>
      </c>
      <c r="G130" s="6">
        <f t="shared" si="7"/>
        <v>725298.065</v>
      </c>
      <c r="H130" s="6">
        <f t="shared" si="8"/>
        <v>1325000</v>
      </c>
      <c r="I130" s="6">
        <f t="shared" si="9"/>
        <v>1022011.065</v>
      </c>
      <c r="J130" s="620">
        <v>6.25</v>
      </c>
      <c r="K130" s="591"/>
      <c r="L130" s="6"/>
      <c r="M130" s="9">
        <v>12000.0</v>
      </c>
      <c r="N130" s="79">
        <f t="shared" si="10"/>
        <v>1494000</v>
      </c>
      <c r="O130" s="6">
        <f t="shared" si="2"/>
        <v>463451.935</v>
      </c>
      <c r="P130" s="6"/>
      <c r="Q130" s="6">
        <f t="shared" si="11"/>
        <v>4207.683601</v>
      </c>
      <c r="R130" s="6">
        <f t="shared" si="12"/>
        <v>463451.935</v>
      </c>
      <c r="S130" s="81">
        <f t="shared" si="3"/>
        <v>63.89813477</v>
      </c>
      <c r="T130" s="6"/>
      <c r="U130" s="6"/>
      <c r="V130" s="6"/>
      <c r="W130" s="6"/>
      <c r="X130" s="6"/>
    </row>
    <row r="131" ht="11.25" customHeight="1">
      <c r="A131" s="7"/>
      <c r="B131" s="68">
        <f t="shared" si="13"/>
        <v>126</v>
      </c>
      <c r="C131" s="607">
        <v>10600.0</v>
      </c>
      <c r="D131" s="6">
        <f t="shared" si="14"/>
        <v>5322.974297</v>
      </c>
      <c r="E131" s="6">
        <f t="shared" si="1"/>
        <v>5277.025703</v>
      </c>
      <c r="F131" s="6">
        <f t="shared" si="6"/>
        <v>604978.9607</v>
      </c>
      <c r="G131" s="6">
        <f t="shared" si="7"/>
        <v>730621.0393</v>
      </c>
      <c r="H131" s="6">
        <f t="shared" si="8"/>
        <v>1335600</v>
      </c>
      <c r="I131" s="6">
        <f t="shared" si="9"/>
        <v>1016734.039</v>
      </c>
      <c r="J131" s="620">
        <v>6.25</v>
      </c>
      <c r="K131" s="591"/>
      <c r="L131" s="6"/>
      <c r="M131" s="9">
        <v>12000.0</v>
      </c>
      <c r="N131" s="79">
        <f t="shared" si="10"/>
        <v>1506000</v>
      </c>
      <c r="O131" s="6">
        <f t="shared" si="2"/>
        <v>467686.9607</v>
      </c>
      <c r="P131" s="6"/>
      <c r="Q131" s="6">
        <f t="shared" si="11"/>
        <v>4235.025703</v>
      </c>
      <c r="R131" s="6">
        <f t="shared" si="12"/>
        <v>467686.9607</v>
      </c>
      <c r="S131" s="81">
        <f t="shared" si="3"/>
        <v>64.01224925</v>
      </c>
      <c r="T131" s="6"/>
      <c r="U131" s="6"/>
      <c r="V131" s="6"/>
      <c r="W131" s="6"/>
      <c r="X131" s="6"/>
    </row>
    <row r="132" ht="11.25" customHeight="1">
      <c r="A132" s="7"/>
      <c r="B132" s="68">
        <f t="shared" si="13"/>
        <v>127</v>
      </c>
      <c r="C132" s="607">
        <v>10600.0</v>
      </c>
      <c r="D132" s="6">
        <f t="shared" si="14"/>
        <v>5295.489788</v>
      </c>
      <c r="E132" s="6">
        <f t="shared" si="1"/>
        <v>5304.510212</v>
      </c>
      <c r="F132" s="6">
        <f t="shared" si="6"/>
        <v>610283.4709</v>
      </c>
      <c r="G132" s="6">
        <f t="shared" si="7"/>
        <v>735916.5291</v>
      </c>
      <c r="H132" s="6">
        <f t="shared" si="8"/>
        <v>1346200</v>
      </c>
      <c r="I132" s="6">
        <f t="shared" si="9"/>
        <v>1011429.529</v>
      </c>
      <c r="J132" s="620">
        <v>6.25</v>
      </c>
      <c r="K132" s="591"/>
      <c r="L132" s="6"/>
      <c r="M132" s="9">
        <v>12000.0</v>
      </c>
      <c r="N132" s="79">
        <f t="shared" si="10"/>
        <v>1518000</v>
      </c>
      <c r="O132" s="6">
        <f t="shared" si="2"/>
        <v>471949.4709</v>
      </c>
      <c r="P132" s="6"/>
      <c r="Q132" s="6">
        <f t="shared" si="11"/>
        <v>4262.510212</v>
      </c>
      <c r="R132" s="6">
        <f t="shared" si="12"/>
        <v>471949.4709</v>
      </c>
      <c r="S132" s="81">
        <f t="shared" si="3"/>
        <v>64.1308426</v>
      </c>
      <c r="T132" s="6"/>
      <c r="U132" s="6"/>
      <c r="V132" s="6"/>
      <c r="W132" s="6"/>
      <c r="X132" s="6"/>
    </row>
    <row r="133" ht="11.25" customHeight="1">
      <c r="A133" s="7"/>
      <c r="B133" s="68">
        <f t="shared" si="13"/>
        <v>128</v>
      </c>
      <c r="C133" s="607">
        <v>10600.0</v>
      </c>
      <c r="D133" s="6">
        <f t="shared" si="14"/>
        <v>5267.862131</v>
      </c>
      <c r="E133" s="6">
        <f t="shared" si="1"/>
        <v>5332.137869</v>
      </c>
      <c r="F133" s="6">
        <f t="shared" si="6"/>
        <v>615615.6088</v>
      </c>
      <c r="G133" s="6">
        <f t="shared" si="7"/>
        <v>741184.3912</v>
      </c>
      <c r="H133" s="6">
        <f t="shared" si="8"/>
        <v>1356800</v>
      </c>
      <c r="I133" s="6">
        <f t="shared" si="9"/>
        <v>1006097.391</v>
      </c>
      <c r="J133" s="620">
        <v>6.25</v>
      </c>
      <c r="K133" s="591"/>
      <c r="L133" s="6"/>
      <c r="M133" s="9">
        <v>12000.0</v>
      </c>
      <c r="N133" s="79">
        <f t="shared" si="10"/>
        <v>1530000</v>
      </c>
      <c r="O133" s="6">
        <f t="shared" si="2"/>
        <v>476239.6088</v>
      </c>
      <c r="P133" s="6"/>
      <c r="Q133" s="6">
        <f t="shared" si="11"/>
        <v>4290.137869</v>
      </c>
      <c r="R133" s="6">
        <f t="shared" si="12"/>
        <v>476239.6088</v>
      </c>
      <c r="S133" s="81">
        <f t="shared" si="3"/>
        <v>64.25386374</v>
      </c>
      <c r="T133" s="6"/>
      <c r="U133" s="6"/>
      <c r="V133" s="6"/>
      <c r="W133" s="6"/>
      <c r="X133" s="6"/>
    </row>
    <row r="134" ht="11.25" customHeight="1">
      <c r="A134" s="7"/>
      <c r="B134" s="68">
        <f t="shared" si="13"/>
        <v>129</v>
      </c>
      <c r="C134" s="607">
        <v>10600.0</v>
      </c>
      <c r="D134" s="6">
        <f t="shared" si="14"/>
        <v>5240.090579</v>
      </c>
      <c r="E134" s="6">
        <f t="shared" si="1"/>
        <v>5359.909421</v>
      </c>
      <c r="F134" s="6">
        <f t="shared" si="6"/>
        <v>620975.5182</v>
      </c>
      <c r="G134" s="6">
        <f t="shared" si="7"/>
        <v>746424.4818</v>
      </c>
      <c r="H134" s="6">
        <f t="shared" si="8"/>
        <v>1367400</v>
      </c>
      <c r="I134" s="6">
        <f t="shared" si="9"/>
        <v>1000737.482</v>
      </c>
      <c r="J134" s="620">
        <v>6.25</v>
      </c>
      <c r="K134" s="591"/>
      <c r="L134" s="6"/>
      <c r="M134" s="9">
        <v>12000.0</v>
      </c>
      <c r="N134" s="79">
        <f t="shared" si="10"/>
        <v>1542000</v>
      </c>
      <c r="O134" s="6">
        <f t="shared" si="2"/>
        <v>480557.5182</v>
      </c>
      <c r="P134" s="6"/>
      <c r="Q134" s="6">
        <f t="shared" si="11"/>
        <v>4317.909421</v>
      </c>
      <c r="R134" s="6">
        <f t="shared" si="12"/>
        <v>480557.5182</v>
      </c>
      <c r="S134" s="81">
        <f t="shared" si="3"/>
        <v>64.38126427</v>
      </c>
      <c r="T134" s="6"/>
      <c r="U134" s="6"/>
      <c r="V134" s="6"/>
      <c r="W134" s="6"/>
      <c r="X134" s="6"/>
    </row>
    <row r="135" ht="11.25" customHeight="1">
      <c r="A135" s="7"/>
      <c r="B135" s="68">
        <f t="shared" si="13"/>
        <v>130</v>
      </c>
      <c r="C135" s="607">
        <v>10600.0</v>
      </c>
      <c r="D135" s="6">
        <f t="shared" si="14"/>
        <v>5212.174384</v>
      </c>
      <c r="E135" s="6">
        <f t="shared" si="1"/>
        <v>5387.825616</v>
      </c>
      <c r="F135" s="6">
        <f t="shared" si="6"/>
        <v>626363.3438</v>
      </c>
      <c r="G135" s="6">
        <f t="shared" si="7"/>
        <v>751636.6562</v>
      </c>
      <c r="H135" s="6">
        <f t="shared" si="8"/>
        <v>1378000</v>
      </c>
      <c r="I135" s="6">
        <f t="shared" si="9"/>
        <v>995349.6562</v>
      </c>
      <c r="J135" s="620">
        <v>6.25</v>
      </c>
      <c r="K135" s="591"/>
      <c r="L135" s="6"/>
      <c r="M135" s="9">
        <v>12000.0</v>
      </c>
      <c r="N135" s="79">
        <f t="shared" si="10"/>
        <v>1554000</v>
      </c>
      <c r="O135" s="6">
        <f t="shared" si="2"/>
        <v>484903.3438</v>
      </c>
      <c r="P135" s="6"/>
      <c r="Q135" s="6">
        <f t="shared" si="11"/>
        <v>4345.825616</v>
      </c>
      <c r="R135" s="6">
        <f t="shared" si="12"/>
        <v>484903.3438</v>
      </c>
      <c r="S135" s="81">
        <f t="shared" si="3"/>
        <v>64.51299838</v>
      </c>
      <c r="T135" s="6"/>
      <c r="U135" s="6"/>
      <c r="V135" s="6"/>
      <c r="W135" s="6"/>
      <c r="X135" s="6"/>
    </row>
    <row r="136" ht="11.25" customHeight="1">
      <c r="A136" s="7"/>
      <c r="B136" s="68">
        <f t="shared" si="13"/>
        <v>131</v>
      </c>
      <c r="C136" s="607">
        <v>10600.0</v>
      </c>
      <c r="D136" s="6">
        <f t="shared" si="14"/>
        <v>5184.112793</v>
      </c>
      <c r="E136" s="6">
        <f t="shared" si="1"/>
        <v>5415.887207</v>
      </c>
      <c r="F136" s="6">
        <f t="shared" si="6"/>
        <v>631779.231</v>
      </c>
      <c r="G136" s="6">
        <f t="shared" si="7"/>
        <v>756820.769</v>
      </c>
      <c r="H136" s="6">
        <f t="shared" si="8"/>
        <v>1388600</v>
      </c>
      <c r="I136" s="6">
        <f t="shared" si="9"/>
        <v>989933.769</v>
      </c>
      <c r="J136" s="620">
        <v>6.25</v>
      </c>
      <c r="K136" s="591"/>
      <c r="L136" s="6"/>
      <c r="M136" s="9">
        <v>12000.0</v>
      </c>
      <c r="N136" s="79">
        <f t="shared" si="10"/>
        <v>1566000</v>
      </c>
      <c r="O136" s="6">
        <f t="shared" si="2"/>
        <v>489277.231</v>
      </c>
      <c r="P136" s="6"/>
      <c r="Q136" s="6">
        <f t="shared" si="11"/>
        <v>4373.887207</v>
      </c>
      <c r="R136" s="6">
        <f t="shared" si="12"/>
        <v>489277.231</v>
      </c>
      <c r="S136" s="81">
        <f t="shared" si="3"/>
        <v>64.64902274</v>
      </c>
      <c r="T136" s="6"/>
      <c r="U136" s="6"/>
      <c r="V136" s="6"/>
      <c r="W136" s="6"/>
      <c r="X136" s="6"/>
    </row>
    <row r="137" ht="11.25" customHeight="1">
      <c r="A137" s="71"/>
      <c r="B137" s="72">
        <f t="shared" si="13"/>
        <v>132</v>
      </c>
      <c r="C137" s="607">
        <v>10600.0</v>
      </c>
      <c r="D137" s="10">
        <f t="shared" si="14"/>
        <v>5155.905047</v>
      </c>
      <c r="E137" s="10">
        <f t="shared" si="1"/>
        <v>5444.094953</v>
      </c>
      <c r="F137" s="10">
        <f t="shared" si="6"/>
        <v>637223.326</v>
      </c>
      <c r="G137" s="10">
        <f t="shared" si="7"/>
        <v>761976.674</v>
      </c>
      <c r="H137" s="10">
        <f t="shared" si="8"/>
        <v>1399200</v>
      </c>
      <c r="I137" s="10">
        <f t="shared" si="9"/>
        <v>984489.674</v>
      </c>
      <c r="J137" s="620">
        <v>6.25</v>
      </c>
      <c r="K137" s="591"/>
      <c r="L137" s="6"/>
      <c r="M137" s="9">
        <v>12000.0</v>
      </c>
      <c r="N137" s="79">
        <f t="shared" si="10"/>
        <v>1578000</v>
      </c>
      <c r="O137" s="6">
        <f t="shared" si="2"/>
        <v>493679.326</v>
      </c>
      <c r="P137" s="6"/>
      <c r="Q137" s="6">
        <f t="shared" si="11"/>
        <v>4402.094953</v>
      </c>
      <c r="R137" s="6">
        <f t="shared" si="12"/>
        <v>493679.326</v>
      </c>
      <c r="S137" s="81">
        <f t="shared" si="3"/>
        <v>64.78929642</v>
      </c>
      <c r="T137" s="6"/>
      <c r="U137" s="6"/>
      <c r="V137" s="6"/>
      <c r="W137" s="6"/>
      <c r="X137" s="6"/>
    </row>
    <row r="138" ht="11.25" customHeight="1">
      <c r="A138" s="100">
        <v>12.0</v>
      </c>
      <c r="B138" s="66">
        <f t="shared" si="13"/>
        <v>133</v>
      </c>
      <c r="C138" s="607">
        <v>10600.0</v>
      </c>
      <c r="D138" s="617">
        <f t="shared" si="14"/>
        <v>5127.550385</v>
      </c>
      <c r="E138" s="617">
        <f t="shared" si="1"/>
        <v>5472.449615</v>
      </c>
      <c r="F138" s="617">
        <f t="shared" si="6"/>
        <v>642695.7756</v>
      </c>
      <c r="G138" s="617">
        <f t="shared" si="7"/>
        <v>767104.2244</v>
      </c>
      <c r="H138" s="617">
        <f t="shared" si="8"/>
        <v>1409800</v>
      </c>
      <c r="I138" s="617">
        <f t="shared" si="9"/>
        <v>979017.2244</v>
      </c>
      <c r="J138" s="620">
        <v>6.25</v>
      </c>
      <c r="K138" s="591"/>
      <c r="L138" s="6"/>
      <c r="M138" s="9">
        <v>12000.0</v>
      </c>
      <c r="N138" s="79">
        <f t="shared" si="10"/>
        <v>1590000</v>
      </c>
      <c r="O138" s="6">
        <f t="shared" si="2"/>
        <v>498109.7756</v>
      </c>
      <c r="P138" s="6"/>
      <c r="Q138" s="6">
        <f t="shared" si="11"/>
        <v>4430.449615</v>
      </c>
      <c r="R138" s="6">
        <f t="shared" si="12"/>
        <v>498109.7756</v>
      </c>
      <c r="S138" s="81">
        <f t="shared" si="3"/>
        <v>64.93378081</v>
      </c>
      <c r="T138" s="6"/>
      <c r="U138" s="6"/>
      <c r="V138" s="6"/>
      <c r="W138" s="6"/>
      <c r="X138" s="6"/>
    </row>
    <row r="139" ht="11.25" customHeight="1">
      <c r="A139" s="7"/>
      <c r="B139" s="68">
        <f t="shared" si="13"/>
        <v>134</v>
      </c>
      <c r="C139" s="607">
        <v>10600.0</v>
      </c>
      <c r="D139" s="6">
        <f t="shared" si="14"/>
        <v>5099.048044</v>
      </c>
      <c r="E139" s="6">
        <f t="shared" si="1"/>
        <v>5500.951956</v>
      </c>
      <c r="F139" s="6">
        <f t="shared" si="6"/>
        <v>648196.7276</v>
      </c>
      <c r="G139" s="6">
        <f t="shared" si="7"/>
        <v>772203.2724</v>
      </c>
      <c r="H139" s="6">
        <f t="shared" si="8"/>
        <v>1420400</v>
      </c>
      <c r="I139" s="6">
        <f t="shared" si="9"/>
        <v>973516.2724</v>
      </c>
      <c r="J139" s="620">
        <v>6.25</v>
      </c>
      <c r="K139" s="591"/>
      <c r="L139" s="6"/>
      <c r="M139" s="9">
        <v>12000.0</v>
      </c>
      <c r="N139" s="79">
        <f t="shared" si="10"/>
        <v>1602000</v>
      </c>
      <c r="O139" s="6">
        <f t="shared" si="2"/>
        <v>502568.7276</v>
      </c>
      <c r="P139" s="6"/>
      <c r="Q139" s="6">
        <f t="shared" si="11"/>
        <v>4458.951956</v>
      </c>
      <c r="R139" s="6">
        <f t="shared" si="12"/>
        <v>502568.7276</v>
      </c>
      <c r="S139" s="81">
        <f t="shared" si="3"/>
        <v>65.0824395</v>
      </c>
      <c r="T139" s="6"/>
      <c r="U139" s="6"/>
      <c r="V139" s="6"/>
      <c r="W139" s="6"/>
      <c r="X139" s="6"/>
    </row>
    <row r="140" ht="11.25" customHeight="1">
      <c r="A140" s="7"/>
      <c r="B140" s="68">
        <f t="shared" si="13"/>
        <v>135</v>
      </c>
      <c r="C140" s="607">
        <v>10600.0</v>
      </c>
      <c r="D140" s="6">
        <f t="shared" si="14"/>
        <v>5070.397252</v>
      </c>
      <c r="E140" s="6">
        <f t="shared" si="1"/>
        <v>5529.602748</v>
      </c>
      <c r="F140" s="6">
        <f t="shared" si="6"/>
        <v>653726.3303</v>
      </c>
      <c r="G140" s="6">
        <f t="shared" si="7"/>
        <v>777273.6697</v>
      </c>
      <c r="H140" s="6">
        <f t="shared" si="8"/>
        <v>1431000</v>
      </c>
      <c r="I140" s="6">
        <f t="shared" si="9"/>
        <v>967986.6697</v>
      </c>
      <c r="J140" s="620">
        <v>6.25</v>
      </c>
      <c r="K140" s="591"/>
      <c r="L140" s="6"/>
      <c r="M140" s="9">
        <v>12000.0</v>
      </c>
      <c r="N140" s="79">
        <f t="shared" si="10"/>
        <v>1614000</v>
      </c>
      <c r="O140" s="6">
        <f t="shared" si="2"/>
        <v>507056.3303</v>
      </c>
      <c r="P140" s="6"/>
      <c r="Q140" s="6">
        <f t="shared" si="11"/>
        <v>4487.602748</v>
      </c>
      <c r="R140" s="6">
        <f t="shared" si="12"/>
        <v>507056.3303</v>
      </c>
      <c r="S140" s="81">
        <f t="shared" si="3"/>
        <v>65.23523826</v>
      </c>
      <c r="T140" s="6"/>
      <c r="U140" s="6"/>
      <c r="V140" s="6"/>
      <c r="W140" s="6"/>
      <c r="X140" s="6"/>
    </row>
    <row r="141" ht="11.25" customHeight="1">
      <c r="A141" s="7"/>
      <c r="B141" s="68">
        <f t="shared" si="13"/>
        <v>136</v>
      </c>
      <c r="C141" s="607">
        <v>10600.0</v>
      </c>
      <c r="D141" s="6">
        <f t="shared" si="14"/>
        <v>5041.597238</v>
      </c>
      <c r="E141" s="6">
        <f t="shared" si="1"/>
        <v>5558.402762</v>
      </c>
      <c r="F141" s="6">
        <f t="shared" si="6"/>
        <v>659284.7331</v>
      </c>
      <c r="G141" s="6">
        <f t="shared" si="7"/>
        <v>782315.2669</v>
      </c>
      <c r="H141" s="6">
        <f t="shared" si="8"/>
        <v>1441600</v>
      </c>
      <c r="I141" s="6">
        <f t="shared" si="9"/>
        <v>962428.2669</v>
      </c>
      <c r="J141" s="620">
        <v>6.25</v>
      </c>
      <c r="K141" s="591"/>
      <c r="L141" s="6"/>
      <c r="M141" s="9">
        <v>12000.0</v>
      </c>
      <c r="N141" s="79">
        <f t="shared" si="10"/>
        <v>1626000</v>
      </c>
      <c r="O141" s="6">
        <f t="shared" si="2"/>
        <v>511572.7331</v>
      </c>
      <c r="P141" s="6"/>
      <c r="Q141" s="6">
        <f t="shared" si="11"/>
        <v>4516.402762</v>
      </c>
      <c r="R141" s="6">
        <f t="shared" si="12"/>
        <v>511572.7331</v>
      </c>
      <c r="S141" s="81">
        <f t="shared" si="3"/>
        <v>65.39214492</v>
      </c>
      <c r="T141" s="6"/>
      <c r="U141" s="6"/>
      <c r="V141" s="6"/>
      <c r="W141" s="6"/>
      <c r="X141" s="6"/>
    </row>
    <row r="142" ht="11.25" customHeight="1">
      <c r="A142" s="7"/>
      <c r="B142" s="68">
        <f t="shared" si="13"/>
        <v>137</v>
      </c>
      <c r="C142" s="607">
        <v>10600.0</v>
      </c>
      <c r="D142" s="6">
        <f t="shared" si="14"/>
        <v>5012.647224</v>
      </c>
      <c r="E142" s="6">
        <f t="shared" si="1"/>
        <v>5587.352776</v>
      </c>
      <c r="F142" s="6">
        <f t="shared" si="6"/>
        <v>664872.0859</v>
      </c>
      <c r="G142" s="6">
        <f t="shared" si="7"/>
        <v>787327.9141</v>
      </c>
      <c r="H142" s="6">
        <f t="shared" si="8"/>
        <v>1452200</v>
      </c>
      <c r="I142" s="6">
        <f t="shared" si="9"/>
        <v>956840.9141</v>
      </c>
      <c r="J142" s="620">
        <v>6.25</v>
      </c>
      <c r="K142" s="591"/>
      <c r="L142" s="6"/>
      <c r="M142" s="9">
        <v>12000.0</v>
      </c>
      <c r="N142" s="79">
        <f t="shared" si="10"/>
        <v>1638000</v>
      </c>
      <c r="O142" s="6">
        <f t="shared" si="2"/>
        <v>516118.0859</v>
      </c>
      <c r="P142" s="6"/>
      <c r="Q142" s="6">
        <f t="shared" si="11"/>
        <v>4545.352776</v>
      </c>
      <c r="R142" s="6">
        <f t="shared" si="12"/>
        <v>516118.0859</v>
      </c>
      <c r="S142" s="81">
        <f t="shared" si="3"/>
        <v>65.55312934</v>
      </c>
      <c r="T142" s="6"/>
      <c r="U142" s="6"/>
      <c r="V142" s="6"/>
      <c r="W142" s="6"/>
      <c r="X142" s="6"/>
    </row>
    <row r="143" ht="11.25" customHeight="1">
      <c r="A143" s="7"/>
      <c r="B143" s="68">
        <f t="shared" si="13"/>
        <v>138</v>
      </c>
      <c r="C143" s="607">
        <v>10600.0</v>
      </c>
      <c r="D143" s="6">
        <f t="shared" si="14"/>
        <v>4983.546428</v>
      </c>
      <c r="E143" s="6">
        <f t="shared" si="1"/>
        <v>5616.453572</v>
      </c>
      <c r="F143" s="6">
        <f t="shared" si="6"/>
        <v>670488.5394</v>
      </c>
      <c r="G143" s="6">
        <f t="shared" si="7"/>
        <v>792311.4606</v>
      </c>
      <c r="H143" s="6">
        <f t="shared" si="8"/>
        <v>1462800</v>
      </c>
      <c r="I143" s="6">
        <f t="shared" si="9"/>
        <v>951224.4606</v>
      </c>
      <c r="J143" s="620">
        <v>6.25</v>
      </c>
      <c r="K143" s="591"/>
      <c r="L143" s="6"/>
      <c r="M143" s="9">
        <v>12000.0</v>
      </c>
      <c r="N143" s="79">
        <f t="shared" si="10"/>
        <v>1650000</v>
      </c>
      <c r="O143" s="6">
        <f t="shared" si="2"/>
        <v>520692.5394</v>
      </c>
      <c r="P143" s="6"/>
      <c r="Q143" s="6">
        <f t="shared" si="11"/>
        <v>4574.453572</v>
      </c>
      <c r="R143" s="6">
        <f t="shared" si="12"/>
        <v>520692.5394</v>
      </c>
      <c r="S143" s="81">
        <f t="shared" si="3"/>
        <v>65.71816329</v>
      </c>
      <c r="T143" s="6"/>
      <c r="U143" s="6"/>
      <c r="V143" s="6"/>
      <c r="W143" s="6"/>
      <c r="X143" s="6"/>
    </row>
    <row r="144" ht="11.25" customHeight="1">
      <c r="A144" s="7"/>
      <c r="B144" s="68">
        <f t="shared" si="13"/>
        <v>139</v>
      </c>
      <c r="C144" s="607">
        <v>10600.0</v>
      </c>
      <c r="D144" s="6">
        <f t="shared" si="14"/>
        <v>4954.294065</v>
      </c>
      <c r="E144" s="6">
        <f t="shared" si="1"/>
        <v>5645.705935</v>
      </c>
      <c r="F144" s="6">
        <f t="shared" si="6"/>
        <v>676134.2454</v>
      </c>
      <c r="G144" s="6">
        <f t="shared" si="7"/>
        <v>797265.7546</v>
      </c>
      <c r="H144" s="6">
        <f t="shared" si="8"/>
        <v>1473400</v>
      </c>
      <c r="I144" s="6">
        <f t="shared" si="9"/>
        <v>945578.7546</v>
      </c>
      <c r="J144" s="620">
        <v>6.25</v>
      </c>
      <c r="K144" s="591"/>
      <c r="L144" s="6"/>
      <c r="M144" s="9">
        <v>12000.0</v>
      </c>
      <c r="N144" s="79">
        <f t="shared" si="10"/>
        <v>1662000</v>
      </c>
      <c r="O144" s="6">
        <f t="shared" si="2"/>
        <v>525296.2454</v>
      </c>
      <c r="P144" s="6"/>
      <c r="Q144" s="6">
        <f t="shared" si="11"/>
        <v>4603.705935</v>
      </c>
      <c r="R144" s="6">
        <f t="shared" si="12"/>
        <v>525296.2454</v>
      </c>
      <c r="S144" s="81">
        <f t="shared" si="3"/>
        <v>65.88722045</v>
      </c>
      <c r="T144" s="6"/>
      <c r="U144" s="6"/>
      <c r="V144" s="6"/>
      <c r="W144" s="6"/>
      <c r="X144" s="6"/>
    </row>
    <row r="145" ht="11.25" customHeight="1">
      <c r="A145" s="7"/>
      <c r="B145" s="68">
        <f t="shared" si="13"/>
        <v>140</v>
      </c>
      <c r="C145" s="607">
        <v>10600.0</v>
      </c>
      <c r="D145" s="6">
        <f t="shared" si="14"/>
        <v>4924.889347</v>
      </c>
      <c r="E145" s="6">
        <f t="shared" si="1"/>
        <v>5675.110653</v>
      </c>
      <c r="F145" s="6">
        <f t="shared" si="6"/>
        <v>681809.356</v>
      </c>
      <c r="G145" s="6">
        <f t="shared" si="7"/>
        <v>802190.644</v>
      </c>
      <c r="H145" s="6">
        <f t="shared" si="8"/>
        <v>1484000</v>
      </c>
      <c r="I145" s="6">
        <f t="shared" si="9"/>
        <v>939903.644</v>
      </c>
      <c r="J145" s="620">
        <v>6.25</v>
      </c>
      <c r="K145" s="591"/>
      <c r="L145" s="6"/>
      <c r="M145" s="9">
        <v>12000.0</v>
      </c>
      <c r="N145" s="79">
        <f t="shared" si="10"/>
        <v>1674000</v>
      </c>
      <c r="O145" s="6">
        <f t="shared" si="2"/>
        <v>529929.356</v>
      </c>
      <c r="P145" s="6"/>
      <c r="Q145" s="6">
        <f t="shared" si="11"/>
        <v>4633.110653</v>
      </c>
      <c r="R145" s="6">
        <f t="shared" si="12"/>
        <v>529929.356</v>
      </c>
      <c r="S145" s="81">
        <f t="shared" si="3"/>
        <v>66.06027632</v>
      </c>
      <c r="T145" s="6"/>
      <c r="U145" s="6"/>
      <c r="V145" s="6"/>
      <c r="W145" s="6"/>
      <c r="X145" s="6"/>
    </row>
    <row r="146" ht="11.25" customHeight="1">
      <c r="A146" s="7"/>
      <c r="B146" s="68">
        <f t="shared" si="13"/>
        <v>141</v>
      </c>
      <c r="C146" s="607">
        <v>10600.0</v>
      </c>
      <c r="D146" s="6">
        <f t="shared" si="14"/>
        <v>4895.331479</v>
      </c>
      <c r="E146" s="6">
        <f t="shared" si="1"/>
        <v>5704.668521</v>
      </c>
      <c r="F146" s="6">
        <f t="shared" si="6"/>
        <v>687514.0245</v>
      </c>
      <c r="G146" s="6">
        <f t="shared" si="7"/>
        <v>807085.9755</v>
      </c>
      <c r="H146" s="6">
        <f t="shared" si="8"/>
        <v>1494600</v>
      </c>
      <c r="I146" s="6">
        <f t="shared" si="9"/>
        <v>934198.9755</v>
      </c>
      <c r="J146" s="620">
        <v>6.25</v>
      </c>
      <c r="K146" s="591"/>
      <c r="L146" s="6"/>
      <c r="M146" s="9">
        <v>12000.0</v>
      </c>
      <c r="N146" s="79">
        <f t="shared" si="10"/>
        <v>1686000</v>
      </c>
      <c r="O146" s="6">
        <f t="shared" si="2"/>
        <v>534592.0245</v>
      </c>
      <c r="P146" s="6"/>
      <c r="Q146" s="6">
        <f t="shared" si="11"/>
        <v>4662.668521</v>
      </c>
      <c r="R146" s="6">
        <f t="shared" si="12"/>
        <v>534592.0245</v>
      </c>
      <c r="S146" s="81">
        <f t="shared" si="3"/>
        <v>66.23730814</v>
      </c>
      <c r="T146" s="6"/>
      <c r="U146" s="6"/>
      <c r="V146" s="6"/>
      <c r="W146" s="6"/>
      <c r="X146" s="6"/>
    </row>
    <row r="147" ht="11.25" customHeight="1">
      <c r="A147" s="7"/>
      <c r="B147" s="68">
        <f t="shared" si="13"/>
        <v>142</v>
      </c>
      <c r="C147" s="607">
        <v>10600.0</v>
      </c>
      <c r="D147" s="6">
        <f t="shared" si="14"/>
        <v>4865.619664</v>
      </c>
      <c r="E147" s="6">
        <f t="shared" si="1"/>
        <v>5734.380336</v>
      </c>
      <c r="F147" s="6">
        <f t="shared" si="6"/>
        <v>693248.4049</v>
      </c>
      <c r="G147" s="6">
        <f t="shared" si="7"/>
        <v>811951.5951</v>
      </c>
      <c r="H147" s="6">
        <f t="shared" si="8"/>
        <v>1505200</v>
      </c>
      <c r="I147" s="6">
        <f t="shared" si="9"/>
        <v>928464.5951</v>
      </c>
      <c r="J147" s="620">
        <v>6.25</v>
      </c>
      <c r="K147" s="591"/>
      <c r="L147" s="6"/>
      <c r="M147" s="9">
        <v>12000.0</v>
      </c>
      <c r="N147" s="79">
        <f t="shared" si="10"/>
        <v>1698000</v>
      </c>
      <c r="O147" s="6">
        <f t="shared" si="2"/>
        <v>539284.4049</v>
      </c>
      <c r="P147" s="6"/>
      <c r="Q147" s="6">
        <f t="shared" si="11"/>
        <v>4692.380336</v>
      </c>
      <c r="R147" s="6">
        <f t="shared" si="12"/>
        <v>539284.4049</v>
      </c>
      <c r="S147" s="81">
        <f t="shared" si="3"/>
        <v>66.4182949</v>
      </c>
      <c r="T147" s="6"/>
      <c r="U147" s="6"/>
      <c r="V147" s="6"/>
      <c r="W147" s="6"/>
      <c r="X147" s="6"/>
    </row>
    <row r="148" ht="11.25" customHeight="1">
      <c r="A148" s="7"/>
      <c r="B148" s="68">
        <f t="shared" si="13"/>
        <v>143</v>
      </c>
      <c r="C148" s="607">
        <v>10600.0</v>
      </c>
      <c r="D148" s="6">
        <f t="shared" si="14"/>
        <v>4835.7531</v>
      </c>
      <c r="E148" s="6">
        <f t="shared" si="1"/>
        <v>5764.2469</v>
      </c>
      <c r="F148" s="6">
        <f t="shared" si="6"/>
        <v>699012.6518</v>
      </c>
      <c r="G148" s="6">
        <f t="shared" si="7"/>
        <v>816787.3482</v>
      </c>
      <c r="H148" s="6">
        <f t="shared" si="8"/>
        <v>1515800</v>
      </c>
      <c r="I148" s="6">
        <f t="shared" si="9"/>
        <v>922700.3482</v>
      </c>
      <c r="J148" s="620">
        <v>6.25</v>
      </c>
      <c r="K148" s="591"/>
      <c r="L148" s="6"/>
      <c r="M148" s="9">
        <v>12000.0</v>
      </c>
      <c r="N148" s="79">
        <f t="shared" si="10"/>
        <v>1710000</v>
      </c>
      <c r="O148" s="6">
        <f t="shared" si="2"/>
        <v>544006.6518</v>
      </c>
      <c r="P148" s="6"/>
      <c r="Q148" s="6">
        <f t="shared" si="11"/>
        <v>4722.2469</v>
      </c>
      <c r="R148" s="6">
        <f t="shared" si="12"/>
        <v>544006.6518</v>
      </c>
      <c r="S148" s="81">
        <f t="shared" si="3"/>
        <v>66.60321722</v>
      </c>
      <c r="T148" s="6"/>
      <c r="U148" s="6"/>
      <c r="V148" s="6"/>
      <c r="W148" s="6"/>
      <c r="X148" s="6"/>
    </row>
    <row r="149" ht="11.25" customHeight="1">
      <c r="A149" s="71"/>
      <c r="B149" s="72">
        <f t="shared" si="13"/>
        <v>144</v>
      </c>
      <c r="C149" s="607">
        <v>10600.0</v>
      </c>
      <c r="D149" s="10">
        <f t="shared" si="14"/>
        <v>4805.73098</v>
      </c>
      <c r="E149" s="10">
        <f t="shared" si="1"/>
        <v>5794.26902</v>
      </c>
      <c r="F149" s="10">
        <f t="shared" si="6"/>
        <v>704806.9208</v>
      </c>
      <c r="G149" s="10">
        <f t="shared" si="7"/>
        <v>821593.0792</v>
      </c>
      <c r="H149" s="10">
        <f t="shared" si="8"/>
        <v>1526400</v>
      </c>
      <c r="I149" s="10">
        <f t="shared" si="9"/>
        <v>916906.0792</v>
      </c>
      <c r="J149" s="620">
        <v>6.25</v>
      </c>
      <c r="K149" s="591"/>
      <c r="L149" s="6"/>
      <c r="M149" s="9">
        <v>12000.0</v>
      </c>
      <c r="N149" s="79">
        <f t="shared" si="10"/>
        <v>1722000</v>
      </c>
      <c r="O149" s="6">
        <f t="shared" si="2"/>
        <v>548758.9208</v>
      </c>
      <c r="P149" s="6"/>
      <c r="Q149" s="6">
        <f t="shared" si="11"/>
        <v>4752.26902</v>
      </c>
      <c r="R149" s="6">
        <f t="shared" si="12"/>
        <v>548758.9208</v>
      </c>
      <c r="S149" s="81">
        <f t="shared" si="3"/>
        <v>66.79205737</v>
      </c>
      <c r="T149" s="6"/>
      <c r="U149" s="6"/>
      <c r="V149" s="6"/>
      <c r="W149" s="6"/>
      <c r="X149" s="6"/>
    </row>
    <row r="150" ht="11.25" customHeight="1">
      <c r="A150" s="100">
        <v>13.0</v>
      </c>
      <c r="B150" s="66">
        <f t="shared" si="13"/>
        <v>145</v>
      </c>
      <c r="C150" s="607">
        <v>10600.0</v>
      </c>
      <c r="D150" s="617">
        <f t="shared" si="14"/>
        <v>4775.552496</v>
      </c>
      <c r="E150" s="617">
        <f t="shared" si="1"/>
        <v>5824.447504</v>
      </c>
      <c r="F150" s="617">
        <f t="shared" si="6"/>
        <v>710631.3683</v>
      </c>
      <c r="G150" s="617">
        <f t="shared" si="7"/>
        <v>826368.6317</v>
      </c>
      <c r="H150" s="617">
        <f t="shared" si="8"/>
        <v>1537000</v>
      </c>
      <c r="I150" s="617">
        <f t="shared" si="9"/>
        <v>911081.6317</v>
      </c>
      <c r="J150" s="620">
        <v>6.25</v>
      </c>
      <c r="K150" s="591"/>
      <c r="L150" s="6"/>
      <c r="M150" s="9">
        <v>12000.0</v>
      </c>
      <c r="N150" s="79">
        <f t="shared" si="10"/>
        <v>1734000</v>
      </c>
      <c r="O150" s="6">
        <f t="shared" si="2"/>
        <v>553541.3683</v>
      </c>
      <c r="P150" s="6"/>
      <c r="Q150" s="6">
        <f t="shared" si="11"/>
        <v>4782.447504</v>
      </c>
      <c r="R150" s="6">
        <f t="shared" si="12"/>
        <v>553541.3683</v>
      </c>
      <c r="S150" s="81">
        <f t="shared" si="3"/>
        <v>66.98479916</v>
      </c>
      <c r="T150" s="6"/>
      <c r="U150" s="6"/>
      <c r="V150" s="6"/>
      <c r="W150" s="6"/>
      <c r="X150" s="6"/>
    </row>
    <row r="151" ht="11.25" customHeight="1">
      <c r="A151" s="7"/>
      <c r="B151" s="68">
        <f t="shared" si="13"/>
        <v>146</v>
      </c>
      <c r="C151" s="607">
        <v>10600.0</v>
      </c>
      <c r="D151" s="6">
        <f t="shared" si="14"/>
        <v>4745.216832</v>
      </c>
      <c r="E151" s="6">
        <f t="shared" si="1"/>
        <v>5854.783168</v>
      </c>
      <c r="F151" s="6">
        <f t="shared" si="6"/>
        <v>716486.1515</v>
      </c>
      <c r="G151" s="6">
        <f t="shared" si="7"/>
        <v>831113.8485</v>
      </c>
      <c r="H151" s="6">
        <f t="shared" si="8"/>
        <v>1547600</v>
      </c>
      <c r="I151" s="6">
        <f t="shared" si="9"/>
        <v>905226.8485</v>
      </c>
      <c r="J151" s="620">
        <v>6.25</v>
      </c>
      <c r="K151" s="591"/>
      <c r="L151" s="6"/>
      <c r="M151" s="9">
        <v>12000.0</v>
      </c>
      <c r="N151" s="79">
        <f t="shared" si="10"/>
        <v>1746000</v>
      </c>
      <c r="O151" s="6">
        <f t="shared" si="2"/>
        <v>558354.1515</v>
      </c>
      <c r="P151" s="6"/>
      <c r="Q151" s="6">
        <f t="shared" si="11"/>
        <v>4812.783168</v>
      </c>
      <c r="R151" s="6">
        <f t="shared" si="12"/>
        <v>558354.1515</v>
      </c>
      <c r="S151" s="81">
        <f t="shared" si="3"/>
        <v>67.18142797</v>
      </c>
      <c r="T151" s="6"/>
      <c r="U151" s="6"/>
      <c r="V151" s="6"/>
      <c r="W151" s="6"/>
      <c r="X151" s="6"/>
    </row>
    <row r="152" ht="11.25" customHeight="1">
      <c r="A152" s="7"/>
      <c r="B152" s="68">
        <f t="shared" si="13"/>
        <v>147</v>
      </c>
      <c r="C152" s="607">
        <v>10600.0</v>
      </c>
      <c r="D152" s="6">
        <f t="shared" si="14"/>
        <v>4714.723169</v>
      </c>
      <c r="E152" s="6">
        <f t="shared" si="1"/>
        <v>5885.276831</v>
      </c>
      <c r="F152" s="6">
        <f t="shared" si="6"/>
        <v>722371.4283</v>
      </c>
      <c r="G152" s="6">
        <f t="shared" si="7"/>
        <v>835828.5717</v>
      </c>
      <c r="H152" s="6">
        <f t="shared" si="8"/>
        <v>1558200</v>
      </c>
      <c r="I152" s="6">
        <f t="shared" si="9"/>
        <v>899341.5717</v>
      </c>
      <c r="J152" s="620">
        <v>6.25</v>
      </c>
      <c r="K152" s="591"/>
      <c r="L152" s="6"/>
      <c r="M152" s="9">
        <v>12000.0</v>
      </c>
      <c r="N152" s="79">
        <f t="shared" si="10"/>
        <v>1758000</v>
      </c>
      <c r="O152" s="6">
        <f t="shared" si="2"/>
        <v>563197.4283</v>
      </c>
      <c r="P152" s="6"/>
      <c r="Q152" s="6">
        <f t="shared" si="11"/>
        <v>4843.276831</v>
      </c>
      <c r="R152" s="6">
        <f t="shared" si="12"/>
        <v>563197.4283</v>
      </c>
      <c r="S152" s="81">
        <f t="shared" si="3"/>
        <v>67.38193062</v>
      </c>
      <c r="T152" s="6"/>
      <c r="U152" s="6"/>
      <c r="V152" s="6"/>
      <c r="W152" s="6"/>
      <c r="X152" s="6"/>
    </row>
    <row r="153" ht="11.25" customHeight="1">
      <c r="A153" s="7"/>
      <c r="B153" s="68">
        <f t="shared" si="13"/>
        <v>148</v>
      </c>
      <c r="C153" s="607">
        <v>10600.0</v>
      </c>
      <c r="D153" s="6">
        <f t="shared" si="14"/>
        <v>4684.070686</v>
      </c>
      <c r="E153" s="6">
        <f t="shared" si="1"/>
        <v>5915.929314</v>
      </c>
      <c r="F153" s="6">
        <f t="shared" si="6"/>
        <v>728287.3576</v>
      </c>
      <c r="G153" s="6">
        <f t="shared" si="7"/>
        <v>840512.6424</v>
      </c>
      <c r="H153" s="6">
        <f t="shared" si="8"/>
        <v>1568800</v>
      </c>
      <c r="I153" s="6">
        <f t="shared" si="9"/>
        <v>893425.6424</v>
      </c>
      <c r="J153" s="620">
        <v>6.25</v>
      </c>
      <c r="K153" s="591"/>
      <c r="L153" s="6"/>
      <c r="M153" s="9">
        <v>12000.0</v>
      </c>
      <c r="N153" s="79">
        <f t="shared" si="10"/>
        <v>1770000</v>
      </c>
      <c r="O153" s="6">
        <f t="shared" si="2"/>
        <v>568071.3576</v>
      </c>
      <c r="P153" s="6"/>
      <c r="Q153" s="6">
        <f t="shared" si="11"/>
        <v>4873.929314</v>
      </c>
      <c r="R153" s="6">
        <f t="shared" si="12"/>
        <v>568071.3576</v>
      </c>
      <c r="S153" s="81">
        <f t="shared" si="3"/>
        <v>67.58629543</v>
      </c>
      <c r="T153" s="6"/>
      <c r="U153" s="6"/>
      <c r="V153" s="6"/>
      <c r="W153" s="6"/>
      <c r="X153" s="6"/>
    </row>
    <row r="154" ht="11.25" customHeight="1">
      <c r="A154" s="7"/>
      <c r="B154" s="68">
        <f t="shared" si="13"/>
        <v>149</v>
      </c>
      <c r="C154" s="607">
        <v>10600.0</v>
      </c>
      <c r="D154" s="6">
        <f t="shared" si="14"/>
        <v>4653.258554</v>
      </c>
      <c r="E154" s="6">
        <f t="shared" si="1"/>
        <v>5946.741446</v>
      </c>
      <c r="F154" s="6">
        <f t="shared" si="6"/>
        <v>734234.0991</v>
      </c>
      <c r="G154" s="6">
        <f t="shared" si="7"/>
        <v>845165.9009</v>
      </c>
      <c r="H154" s="6">
        <f t="shared" si="8"/>
        <v>1579400</v>
      </c>
      <c r="I154" s="6">
        <f t="shared" si="9"/>
        <v>887478.9009</v>
      </c>
      <c r="J154" s="620">
        <v>6.25</v>
      </c>
      <c r="K154" s="591"/>
      <c r="L154" s="6"/>
      <c r="M154" s="9">
        <v>12000.0</v>
      </c>
      <c r="N154" s="79">
        <f t="shared" si="10"/>
        <v>1782000</v>
      </c>
      <c r="O154" s="6">
        <f t="shared" si="2"/>
        <v>572976.0991</v>
      </c>
      <c r="P154" s="6"/>
      <c r="Q154" s="6">
        <f t="shared" si="11"/>
        <v>4904.741446</v>
      </c>
      <c r="R154" s="6">
        <f t="shared" si="12"/>
        <v>572976.0991</v>
      </c>
      <c r="S154" s="81">
        <f t="shared" si="3"/>
        <v>67.79451211</v>
      </c>
      <c r="T154" s="6"/>
      <c r="U154" s="6"/>
      <c r="V154" s="6"/>
      <c r="W154" s="6"/>
      <c r="X154" s="6"/>
    </row>
    <row r="155" ht="11.25" customHeight="1">
      <c r="A155" s="7"/>
      <c r="B155" s="68">
        <f t="shared" si="13"/>
        <v>150</v>
      </c>
      <c r="C155" s="607">
        <v>10600.0</v>
      </c>
      <c r="D155" s="6">
        <f t="shared" si="14"/>
        <v>4622.285942</v>
      </c>
      <c r="E155" s="6">
        <f t="shared" si="1"/>
        <v>5977.714058</v>
      </c>
      <c r="F155" s="6">
        <f t="shared" si="6"/>
        <v>740211.8131</v>
      </c>
      <c r="G155" s="6">
        <f t="shared" si="7"/>
        <v>849788.1869</v>
      </c>
      <c r="H155" s="6">
        <f t="shared" si="8"/>
        <v>1590000</v>
      </c>
      <c r="I155" s="6">
        <f t="shared" si="9"/>
        <v>881501.1869</v>
      </c>
      <c r="J155" s="620">
        <v>6.25</v>
      </c>
      <c r="K155" s="591"/>
      <c r="L155" s="6"/>
      <c r="M155" s="9">
        <v>12000.0</v>
      </c>
      <c r="N155" s="79">
        <f t="shared" si="10"/>
        <v>1794000</v>
      </c>
      <c r="O155" s="6">
        <f t="shared" si="2"/>
        <v>577911.8131</v>
      </c>
      <c r="P155" s="6"/>
      <c r="Q155" s="6">
        <f t="shared" si="11"/>
        <v>4935.714058</v>
      </c>
      <c r="R155" s="6">
        <f t="shared" si="12"/>
        <v>577911.8131</v>
      </c>
      <c r="S155" s="81">
        <f t="shared" si="3"/>
        <v>68.00657176</v>
      </c>
      <c r="T155" s="6"/>
      <c r="U155" s="6"/>
      <c r="V155" s="6"/>
      <c r="W155" s="6"/>
      <c r="X155" s="6"/>
    </row>
    <row r="156" ht="11.25" customHeight="1">
      <c r="A156" s="7"/>
      <c r="B156" s="68">
        <f t="shared" si="13"/>
        <v>151</v>
      </c>
      <c r="C156" s="607">
        <v>10600.0</v>
      </c>
      <c r="D156" s="6">
        <f t="shared" si="14"/>
        <v>4591.152015</v>
      </c>
      <c r="E156" s="6">
        <f t="shared" si="1"/>
        <v>6008.847985</v>
      </c>
      <c r="F156" s="6">
        <f t="shared" si="6"/>
        <v>746220.6611</v>
      </c>
      <c r="G156" s="6">
        <f t="shared" si="7"/>
        <v>854379.3389</v>
      </c>
      <c r="H156" s="6">
        <f t="shared" si="8"/>
        <v>1600600</v>
      </c>
      <c r="I156" s="6">
        <f t="shared" si="9"/>
        <v>875492.3389</v>
      </c>
      <c r="J156" s="620">
        <v>6.25</v>
      </c>
      <c r="K156" s="591"/>
      <c r="L156" s="6"/>
      <c r="M156" s="9">
        <v>12000.0</v>
      </c>
      <c r="N156" s="79">
        <f t="shared" si="10"/>
        <v>1806000</v>
      </c>
      <c r="O156" s="6">
        <f t="shared" si="2"/>
        <v>582878.6611</v>
      </c>
      <c r="P156" s="6"/>
      <c r="Q156" s="6">
        <f t="shared" si="11"/>
        <v>4966.847985</v>
      </c>
      <c r="R156" s="6">
        <f t="shared" si="12"/>
        <v>582878.6611</v>
      </c>
      <c r="S156" s="81">
        <f t="shared" si="3"/>
        <v>68.22246683</v>
      </c>
      <c r="T156" s="6"/>
      <c r="U156" s="6"/>
      <c r="V156" s="6"/>
      <c r="W156" s="6"/>
      <c r="X156" s="6"/>
    </row>
    <row r="157" ht="11.25" customHeight="1">
      <c r="A157" s="7"/>
      <c r="B157" s="68">
        <f t="shared" si="13"/>
        <v>152</v>
      </c>
      <c r="C157" s="607">
        <v>10600.0</v>
      </c>
      <c r="D157" s="6">
        <f t="shared" si="14"/>
        <v>4559.855932</v>
      </c>
      <c r="E157" s="6">
        <f t="shared" si="1"/>
        <v>6040.144068</v>
      </c>
      <c r="F157" s="6">
        <f t="shared" si="6"/>
        <v>752260.8052</v>
      </c>
      <c r="G157" s="6">
        <f t="shared" si="7"/>
        <v>858939.1948</v>
      </c>
      <c r="H157" s="6">
        <f t="shared" si="8"/>
        <v>1611200</v>
      </c>
      <c r="I157" s="6">
        <f t="shared" si="9"/>
        <v>869452.1948</v>
      </c>
      <c r="J157" s="620">
        <v>6.25</v>
      </c>
      <c r="K157" s="591"/>
      <c r="L157" s="6"/>
      <c r="M157" s="9">
        <v>12000.0</v>
      </c>
      <c r="N157" s="79">
        <f t="shared" si="10"/>
        <v>1818000</v>
      </c>
      <c r="O157" s="6">
        <f t="shared" si="2"/>
        <v>587876.8052</v>
      </c>
      <c r="P157" s="6"/>
      <c r="Q157" s="6">
        <f t="shared" si="11"/>
        <v>4998.144068</v>
      </c>
      <c r="R157" s="6">
        <f t="shared" si="12"/>
        <v>587876.8052</v>
      </c>
      <c r="S157" s="81">
        <f t="shared" si="3"/>
        <v>68.4421911</v>
      </c>
      <c r="T157" s="6"/>
      <c r="U157" s="6"/>
      <c r="V157" s="6"/>
      <c r="W157" s="6"/>
      <c r="X157" s="6"/>
    </row>
    <row r="158" ht="11.25" customHeight="1">
      <c r="A158" s="7"/>
      <c r="B158" s="68">
        <f t="shared" si="13"/>
        <v>153</v>
      </c>
      <c r="C158" s="607">
        <v>10600.0</v>
      </c>
      <c r="D158" s="6">
        <f t="shared" si="14"/>
        <v>4528.396848</v>
      </c>
      <c r="E158" s="6">
        <f t="shared" si="1"/>
        <v>6071.603152</v>
      </c>
      <c r="F158" s="6">
        <f t="shared" si="6"/>
        <v>758332.4083</v>
      </c>
      <c r="G158" s="6">
        <f t="shared" si="7"/>
        <v>863467.5917</v>
      </c>
      <c r="H158" s="6">
        <f t="shared" si="8"/>
        <v>1621800</v>
      </c>
      <c r="I158" s="6">
        <f t="shared" si="9"/>
        <v>863380.5917</v>
      </c>
      <c r="J158" s="620">
        <v>6.25</v>
      </c>
      <c r="K158" s="591"/>
      <c r="L158" s="6"/>
      <c r="M158" s="9">
        <v>12000.0</v>
      </c>
      <c r="N158" s="79">
        <f t="shared" si="10"/>
        <v>1830000</v>
      </c>
      <c r="O158" s="6">
        <f t="shared" si="2"/>
        <v>592906.4083</v>
      </c>
      <c r="P158" s="6"/>
      <c r="Q158" s="6">
        <f t="shared" si="11"/>
        <v>5029.603152</v>
      </c>
      <c r="R158" s="6">
        <f t="shared" si="12"/>
        <v>592906.4083</v>
      </c>
      <c r="S158" s="81">
        <f t="shared" si="3"/>
        <v>68.66573963</v>
      </c>
      <c r="T158" s="6"/>
      <c r="U158" s="6"/>
      <c r="V158" s="6"/>
      <c r="W158" s="6"/>
      <c r="X158" s="6"/>
    </row>
    <row r="159" ht="11.25" customHeight="1">
      <c r="A159" s="7"/>
      <c r="B159" s="68">
        <f t="shared" si="13"/>
        <v>154</v>
      </c>
      <c r="C159" s="607">
        <v>10600.0</v>
      </c>
      <c r="D159" s="6">
        <f t="shared" si="14"/>
        <v>4496.773915</v>
      </c>
      <c r="E159" s="6">
        <f t="shared" si="1"/>
        <v>6103.226085</v>
      </c>
      <c r="F159" s="6">
        <f t="shared" si="6"/>
        <v>764435.6344</v>
      </c>
      <c r="G159" s="6">
        <f t="shared" si="7"/>
        <v>867964.3656</v>
      </c>
      <c r="H159" s="6">
        <f t="shared" si="8"/>
        <v>1632400</v>
      </c>
      <c r="I159" s="6">
        <f t="shared" si="9"/>
        <v>857277.3656</v>
      </c>
      <c r="J159" s="620">
        <v>6.25</v>
      </c>
      <c r="K159" s="591"/>
      <c r="L159" s="6"/>
      <c r="M159" s="9">
        <v>12000.0</v>
      </c>
      <c r="N159" s="79">
        <f t="shared" si="10"/>
        <v>1842000</v>
      </c>
      <c r="O159" s="6">
        <f t="shared" si="2"/>
        <v>597967.6344</v>
      </c>
      <c r="P159" s="6"/>
      <c r="Q159" s="6">
        <f t="shared" si="11"/>
        <v>5061.226085</v>
      </c>
      <c r="R159" s="6">
        <f t="shared" si="12"/>
        <v>597967.6344</v>
      </c>
      <c r="S159" s="81">
        <f t="shared" si="3"/>
        <v>68.89310876</v>
      </c>
      <c r="T159" s="6"/>
      <c r="U159" s="6"/>
      <c r="V159" s="6"/>
      <c r="W159" s="6"/>
      <c r="X159" s="6"/>
    </row>
    <row r="160" ht="11.25" customHeight="1">
      <c r="A160" s="7"/>
      <c r="B160" s="68">
        <f t="shared" si="13"/>
        <v>155</v>
      </c>
      <c r="C160" s="607">
        <v>10600.0</v>
      </c>
      <c r="D160" s="6">
        <f t="shared" si="14"/>
        <v>4464.986279</v>
      </c>
      <c r="E160" s="6">
        <f t="shared" si="1"/>
        <v>6135.013721</v>
      </c>
      <c r="F160" s="6">
        <f t="shared" si="6"/>
        <v>770570.6481</v>
      </c>
      <c r="G160" s="6">
        <f t="shared" si="7"/>
        <v>872429.3519</v>
      </c>
      <c r="H160" s="6">
        <f t="shared" si="8"/>
        <v>1643000</v>
      </c>
      <c r="I160" s="6">
        <f t="shared" si="9"/>
        <v>851142.3519</v>
      </c>
      <c r="J160" s="620">
        <v>6.25</v>
      </c>
      <c r="K160" s="591"/>
      <c r="L160" s="6"/>
      <c r="M160" s="9">
        <v>12000.0</v>
      </c>
      <c r="N160" s="79">
        <f t="shared" si="10"/>
        <v>1854000</v>
      </c>
      <c r="O160" s="6">
        <f t="shared" si="2"/>
        <v>603060.6481</v>
      </c>
      <c r="P160" s="6"/>
      <c r="Q160" s="6">
        <f t="shared" si="11"/>
        <v>5093.013721</v>
      </c>
      <c r="R160" s="6">
        <f t="shared" si="12"/>
        <v>603060.6481</v>
      </c>
      <c r="S160" s="81">
        <f t="shared" si="3"/>
        <v>69.12429606</v>
      </c>
      <c r="T160" s="6"/>
      <c r="U160" s="6"/>
      <c r="V160" s="6"/>
      <c r="W160" s="6"/>
      <c r="X160" s="6"/>
    </row>
    <row r="161" ht="11.25" customHeight="1">
      <c r="A161" s="71"/>
      <c r="B161" s="72">
        <f t="shared" si="13"/>
        <v>156</v>
      </c>
      <c r="C161" s="607">
        <v>10600.0</v>
      </c>
      <c r="D161" s="10">
        <f t="shared" si="14"/>
        <v>4433.033083</v>
      </c>
      <c r="E161" s="10">
        <f t="shared" si="1"/>
        <v>6166.966917</v>
      </c>
      <c r="F161" s="10">
        <f t="shared" si="6"/>
        <v>776737.615</v>
      </c>
      <c r="G161" s="10">
        <f t="shared" si="7"/>
        <v>876862.385</v>
      </c>
      <c r="H161" s="10">
        <f t="shared" si="8"/>
        <v>1653600</v>
      </c>
      <c r="I161" s="10">
        <f t="shared" si="9"/>
        <v>844975.385</v>
      </c>
      <c r="J161" s="620">
        <v>6.25</v>
      </c>
      <c r="K161" s="591"/>
      <c r="L161" s="6"/>
      <c r="M161" s="9">
        <v>12000.0</v>
      </c>
      <c r="N161" s="79">
        <f t="shared" si="10"/>
        <v>1866000</v>
      </c>
      <c r="O161" s="6">
        <f t="shared" si="2"/>
        <v>608185.615</v>
      </c>
      <c r="P161" s="6"/>
      <c r="Q161" s="6">
        <f t="shared" si="11"/>
        <v>5124.966917</v>
      </c>
      <c r="R161" s="6">
        <f t="shared" si="12"/>
        <v>608185.615</v>
      </c>
      <c r="S161" s="81">
        <f t="shared" si="3"/>
        <v>69.35930033</v>
      </c>
      <c r="T161" s="6"/>
      <c r="U161" s="6"/>
      <c r="V161" s="6"/>
      <c r="W161" s="6"/>
      <c r="X161" s="6"/>
    </row>
    <row r="162" ht="11.25" customHeight="1">
      <c r="A162" s="100">
        <v>14.0</v>
      </c>
      <c r="B162" s="66">
        <f t="shared" si="13"/>
        <v>157</v>
      </c>
      <c r="C162" s="607">
        <v>10600.0</v>
      </c>
      <c r="D162" s="617">
        <f t="shared" si="14"/>
        <v>4400.913463</v>
      </c>
      <c r="E162" s="617">
        <f t="shared" si="1"/>
        <v>6199.086537</v>
      </c>
      <c r="F162" s="617">
        <f t="shared" si="6"/>
        <v>782936.7016</v>
      </c>
      <c r="G162" s="617">
        <f t="shared" si="7"/>
        <v>881263.2984</v>
      </c>
      <c r="H162" s="617">
        <f t="shared" si="8"/>
        <v>1664200</v>
      </c>
      <c r="I162" s="617">
        <f t="shared" si="9"/>
        <v>838776.2984</v>
      </c>
      <c r="J162" s="620">
        <v>6.25</v>
      </c>
      <c r="K162" s="591"/>
      <c r="L162" s="6"/>
      <c r="M162" s="9">
        <v>12000.0</v>
      </c>
      <c r="N162" s="79">
        <f t="shared" si="10"/>
        <v>1878000</v>
      </c>
      <c r="O162" s="6">
        <f t="shared" si="2"/>
        <v>613342.7016</v>
      </c>
      <c r="P162" s="6"/>
      <c r="Q162" s="6">
        <f t="shared" si="11"/>
        <v>5157.086537</v>
      </c>
      <c r="R162" s="6">
        <f t="shared" si="12"/>
        <v>613342.7016</v>
      </c>
      <c r="S162" s="81">
        <f t="shared" si="3"/>
        <v>69.59812155</v>
      </c>
      <c r="T162" s="6"/>
      <c r="U162" s="6"/>
      <c r="V162" s="6"/>
      <c r="W162" s="6"/>
      <c r="X162" s="6"/>
    </row>
    <row r="163" ht="11.25" customHeight="1">
      <c r="A163" s="7"/>
      <c r="B163" s="68">
        <f t="shared" si="13"/>
        <v>158</v>
      </c>
      <c r="C163" s="607">
        <v>10600.0</v>
      </c>
      <c r="D163" s="6">
        <f t="shared" si="14"/>
        <v>4368.626554</v>
      </c>
      <c r="E163" s="6">
        <f t="shared" si="1"/>
        <v>6231.373446</v>
      </c>
      <c r="F163" s="6">
        <f t="shared" si="6"/>
        <v>789168.075</v>
      </c>
      <c r="G163" s="6">
        <f t="shared" si="7"/>
        <v>885631.925</v>
      </c>
      <c r="H163" s="6">
        <f t="shared" si="8"/>
        <v>1674800</v>
      </c>
      <c r="I163" s="6">
        <f t="shared" si="9"/>
        <v>832544.925</v>
      </c>
      <c r="J163" s="620">
        <v>6.25</v>
      </c>
      <c r="K163" s="591"/>
      <c r="L163" s="6"/>
      <c r="M163" s="9">
        <v>12000.0</v>
      </c>
      <c r="N163" s="79">
        <f t="shared" si="10"/>
        <v>1890000</v>
      </c>
      <c r="O163" s="6">
        <f t="shared" si="2"/>
        <v>618532.075</v>
      </c>
      <c r="P163" s="6"/>
      <c r="Q163" s="6">
        <f t="shared" si="11"/>
        <v>5189.373446</v>
      </c>
      <c r="R163" s="6">
        <f t="shared" si="12"/>
        <v>618532.075</v>
      </c>
      <c r="S163" s="81">
        <f t="shared" si="3"/>
        <v>69.84076088</v>
      </c>
      <c r="T163" s="6"/>
      <c r="U163" s="6"/>
      <c r="V163" s="6"/>
      <c r="W163" s="6"/>
      <c r="X163" s="6"/>
    </row>
    <row r="164" ht="11.25" customHeight="1">
      <c r="A164" s="7"/>
      <c r="B164" s="68">
        <f t="shared" si="13"/>
        <v>159</v>
      </c>
      <c r="C164" s="607">
        <v>10600.0</v>
      </c>
      <c r="D164" s="6">
        <f t="shared" si="14"/>
        <v>4336.171484</v>
      </c>
      <c r="E164" s="6">
        <f t="shared" si="1"/>
        <v>6263.828516</v>
      </c>
      <c r="F164" s="6">
        <f t="shared" si="6"/>
        <v>795431.9035</v>
      </c>
      <c r="G164" s="6">
        <f t="shared" si="7"/>
        <v>889968.0965</v>
      </c>
      <c r="H164" s="6">
        <f t="shared" si="8"/>
        <v>1685400</v>
      </c>
      <c r="I164" s="6">
        <f t="shared" si="9"/>
        <v>826281.0965</v>
      </c>
      <c r="J164" s="620">
        <v>6.25</v>
      </c>
      <c r="K164" s="591"/>
      <c r="L164" s="6"/>
      <c r="M164" s="9">
        <v>12000.0</v>
      </c>
      <c r="N164" s="79">
        <f t="shared" si="10"/>
        <v>1902000</v>
      </c>
      <c r="O164" s="6">
        <f t="shared" si="2"/>
        <v>623753.9035</v>
      </c>
      <c r="P164" s="6"/>
      <c r="Q164" s="6">
        <f t="shared" si="11"/>
        <v>5221.828516</v>
      </c>
      <c r="R164" s="6">
        <f t="shared" si="12"/>
        <v>623753.9035</v>
      </c>
      <c r="S164" s="81">
        <f t="shared" si="3"/>
        <v>70.08722066</v>
      </c>
      <c r="T164" s="6"/>
      <c r="U164" s="6"/>
      <c r="V164" s="6"/>
      <c r="W164" s="6"/>
      <c r="X164" s="6"/>
    </row>
    <row r="165" ht="11.25" customHeight="1">
      <c r="A165" s="7"/>
      <c r="B165" s="68">
        <f t="shared" si="13"/>
        <v>160</v>
      </c>
      <c r="C165" s="607">
        <v>10600.0</v>
      </c>
      <c r="D165" s="6">
        <f t="shared" si="14"/>
        <v>4303.547377</v>
      </c>
      <c r="E165" s="6">
        <f t="shared" si="1"/>
        <v>6296.452623</v>
      </c>
      <c r="F165" s="6">
        <f t="shared" si="6"/>
        <v>801728.3562</v>
      </c>
      <c r="G165" s="6">
        <f t="shared" si="7"/>
        <v>894271.6438</v>
      </c>
      <c r="H165" s="6">
        <f t="shared" si="8"/>
        <v>1696000</v>
      </c>
      <c r="I165" s="6">
        <f t="shared" si="9"/>
        <v>819984.6438</v>
      </c>
      <c r="J165" s="620">
        <v>6.25</v>
      </c>
      <c r="K165" s="591"/>
      <c r="L165" s="6"/>
      <c r="M165" s="9">
        <v>12000.0</v>
      </c>
      <c r="N165" s="79">
        <f t="shared" si="10"/>
        <v>1914000</v>
      </c>
      <c r="O165" s="6">
        <f t="shared" si="2"/>
        <v>629008.3562</v>
      </c>
      <c r="P165" s="6"/>
      <c r="Q165" s="6">
        <f t="shared" si="11"/>
        <v>5254.452623</v>
      </c>
      <c r="R165" s="6">
        <f t="shared" si="12"/>
        <v>629008.3562</v>
      </c>
      <c r="S165" s="81">
        <f t="shared" si="3"/>
        <v>70.33750432</v>
      </c>
      <c r="T165" s="6"/>
      <c r="U165" s="6"/>
      <c r="V165" s="6"/>
      <c r="W165" s="6"/>
      <c r="X165" s="6"/>
    </row>
    <row r="166" ht="11.25" customHeight="1">
      <c r="A166" s="7"/>
      <c r="B166" s="68">
        <f t="shared" si="13"/>
        <v>161</v>
      </c>
      <c r="C166" s="607">
        <v>10600.0</v>
      </c>
      <c r="D166" s="6">
        <f t="shared" si="14"/>
        <v>4270.753353</v>
      </c>
      <c r="E166" s="6">
        <f t="shared" si="1"/>
        <v>6329.246647</v>
      </c>
      <c r="F166" s="6">
        <f t="shared" si="6"/>
        <v>808057.6028</v>
      </c>
      <c r="G166" s="6">
        <f t="shared" si="7"/>
        <v>898542.3972</v>
      </c>
      <c r="H166" s="6">
        <f t="shared" si="8"/>
        <v>1706600</v>
      </c>
      <c r="I166" s="6">
        <f t="shared" si="9"/>
        <v>813655.3972</v>
      </c>
      <c r="J166" s="620">
        <v>6.25</v>
      </c>
      <c r="K166" s="591"/>
      <c r="L166" s="6"/>
      <c r="M166" s="9">
        <v>12000.0</v>
      </c>
      <c r="N166" s="79">
        <f t="shared" si="10"/>
        <v>1926000</v>
      </c>
      <c r="O166" s="6">
        <f t="shared" si="2"/>
        <v>634295.6028</v>
      </c>
      <c r="P166" s="6"/>
      <c r="Q166" s="6">
        <f t="shared" si="11"/>
        <v>5287.246647</v>
      </c>
      <c r="R166" s="6">
        <f t="shared" si="12"/>
        <v>634295.6028</v>
      </c>
      <c r="S166" s="81">
        <f t="shared" si="3"/>
        <v>70.59161647</v>
      </c>
      <c r="T166" s="6"/>
      <c r="U166" s="6"/>
      <c r="V166" s="6"/>
      <c r="W166" s="6"/>
      <c r="X166" s="6"/>
    </row>
    <row r="167" ht="11.25" customHeight="1">
      <c r="A167" s="7"/>
      <c r="B167" s="68">
        <f t="shared" si="13"/>
        <v>162</v>
      </c>
      <c r="C167" s="607">
        <v>10600.0</v>
      </c>
      <c r="D167" s="6">
        <f t="shared" si="14"/>
        <v>4237.788527</v>
      </c>
      <c r="E167" s="6">
        <f t="shared" si="1"/>
        <v>6362.211473</v>
      </c>
      <c r="F167" s="6">
        <f t="shared" si="6"/>
        <v>814419.8143</v>
      </c>
      <c r="G167" s="6">
        <f t="shared" si="7"/>
        <v>902780.1857</v>
      </c>
      <c r="H167" s="6">
        <f t="shared" si="8"/>
        <v>1717200</v>
      </c>
      <c r="I167" s="6">
        <f t="shared" si="9"/>
        <v>807293.1857</v>
      </c>
      <c r="J167" s="620">
        <v>6.25</v>
      </c>
      <c r="K167" s="591"/>
      <c r="L167" s="6"/>
      <c r="M167" s="9">
        <v>12000.0</v>
      </c>
      <c r="N167" s="79">
        <f t="shared" si="10"/>
        <v>1938000</v>
      </c>
      <c r="O167" s="6">
        <f t="shared" si="2"/>
        <v>639615.8143</v>
      </c>
      <c r="P167" s="6"/>
      <c r="Q167" s="6">
        <f t="shared" si="11"/>
        <v>5320.211473</v>
      </c>
      <c r="R167" s="6">
        <f t="shared" si="12"/>
        <v>639615.8143</v>
      </c>
      <c r="S167" s="81">
        <f t="shared" si="3"/>
        <v>70.84956276</v>
      </c>
      <c r="T167" s="6"/>
      <c r="U167" s="6"/>
      <c r="V167" s="6"/>
      <c r="W167" s="6"/>
      <c r="X167" s="6"/>
    </row>
    <row r="168" ht="11.25" customHeight="1">
      <c r="A168" s="7"/>
      <c r="B168" s="68">
        <f t="shared" si="13"/>
        <v>163</v>
      </c>
      <c r="C168" s="607">
        <v>10600.0</v>
      </c>
      <c r="D168" s="6">
        <f t="shared" si="14"/>
        <v>4204.652009</v>
      </c>
      <c r="E168" s="6">
        <f t="shared" si="1"/>
        <v>6395.347991</v>
      </c>
      <c r="F168" s="6">
        <f t="shared" si="6"/>
        <v>820815.1623</v>
      </c>
      <c r="G168" s="6">
        <f t="shared" si="7"/>
        <v>906984.8377</v>
      </c>
      <c r="H168" s="6">
        <f t="shared" si="8"/>
        <v>1727800</v>
      </c>
      <c r="I168" s="6">
        <f t="shared" si="9"/>
        <v>800897.8377</v>
      </c>
      <c r="J168" s="620">
        <v>6.25</v>
      </c>
      <c r="K168" s="591"/>
      <c r="L168" s="6"/>
      <c r="M168" s="9">
        <v>12000.0</v>
      </c>
      <c r="N168" s="79">
        <f t="shared" si="10"/>
        <v>1950000</v>
      </c>
      <c r="O168" s="6">
        <f t="shared" si="2"/>
        <v>644969.1623</v>
      </c>
      <c r="P168" s="6"/>
      <c r="Q168" s="6">
        <f t="shared" si="11"/>
        <v>5353.347991</v>
      </c>
      <c r="R168" s="6">
        <f t="shared" si="12"/>
        <v>644969.1623</v>
      </c>
      <c r="S168" s="81">
        <f t="shared" si="3"/>
        <v>71.11134999</v>
      </c>
      <c r="T168" s="6"/>
      <c r="U168" s="6"/>
      <c r="V168" s="6"/>
      <c r="W168" s="6"/>
      <c r="X168" s="6"/>
    </row>
    <row r="169" ht="11.25" customHeight="1">
      <c r="A169" s="7"/>
      <c r="B169" s="68">
        <f t="shared" si="13"/>
        <v>164</v>
      </c>
      <c r="C169" s="607">
        <v>10600.0</v>
      </c>
      <c r="D169" s="6">
        <f t="shared" si="14"/>
        <v>4171.342905</v>
      </c>
      <c r="E169" s="6">
        <f t="shared" si="1"/>
        <v>6428.657095</v>
      </c>
      <c r="F169" s="6">
        <f t="shared" si="6"/>
        <v>827243.8194</v>
      </c>
      <c r="G169" s="6">
        <f t="shared" si="7"/>
        <v>911156.1806</v>
      </c>
      <c r="H169" s="6">
        <f t="shared" si="8"/>
        <v>1738400</v>
      </c>
      <c r="I169" s="6">
        <f t="shared" si="9"/>
        <v>794469.1806</v>
      </c>
      <c r="J169" s="620">
        <v>6.25</v>
      </c>
      <c r="K169" s="591"/>
      <c r="L169" s="6"/>
      <c r="M169" s="9">
        <v>12000.0</v>
      </c>
      <c r="N169" s="79">
        <f t="shared" si="10"/>
        <v>1962000</v>
      </c>
      <c r="O169" s="6">
        <f t="shared" si="2"/>
        <v>650355.8194</v>
      </c>
      <c r="P169" s="6"/>
      <c r="Q169" s="6">
        <f t="shared" si="11"/>
        <v>5386.657095</v>
      </c>
      <c r="R169" s="6">
        <f t="shared" si="12"/>
        <v>650355.8194</v>
      </c>
      <c r="S169" s="81">
        <f t="shared" si="3"/>
        <v>71.37698599</v>
      </c>
      <c r="T169" s="6"/>
      <c r="U169" s="6"/>
      <c r="V169" s="6"/>
      <c r="W169" s="6"/>
      <c r="X169" s="6"/>
    </row>
    <row r="170" ht="11.25" customHeight="1">
      <c r="A170" s="7"/>
      <c r="B170" s="68">
        <f t="shared" si="13"/>
        <v>165</v>
      </c>
      <c r="C170" s="607">
        <v>10600.0</v>
      </c>
      <c r="D170" s="6">
        <f t="shared" si="14"/>
        <v>4137.860316</v>
      </c>
      <c r="E170" s="6">
        <f t="shared" si="1"/>
        <v>6462.139684</v>
      </c>
      <c r="F170" s="6">
        <f t="shared" si="6"/>
        <v>833705.9591</v>
      </c>
      <c r="G170" s="6">
        <f t="shared" si="7"/>
        <v>915294.0409</v>
      </c>
      <c r="H170" s="6">
        <f t="shared" si="8"/>
        <v>1749000</v>
      </c>
      <c r="I170" s="6">
        <f t="shared" si="9"/>
        <v>788007.0409</v>
      </c>
      <c r="J170" s="620">
        <v>6.25</v>
      </c>
      <c r="K170" s="591"/>
      <c r="L170" s="6"/>
      <c r="M170" s="9">
        <v>12000.0</v>
      </c>
      <c r="N170" s="79">
        <f t="shared" si="10"/>
        <v>1974000</v>
      </c>
      <c r="O170" s="6">
        <f t="shared" si="2"/>
        <v>655775.9591</v>
      </c>
      <c r="P170" s="6"/>
      <c r="Q170" s="6">
        <f t="shared" si="11"/>
        <v>5420.139684</v>
      </c>
      <c r="R170" s="6">
        <f t="shared" si="12"/>
        <v>655775.9591</v>
      </c>
      <c r="S170" s="81">
        <f t="shared" si="3"/>
        <v>71.64647968</v>
      </c>
      <c r="T170" s="6"/>
      <c r="U170" s="6"/>
      <c r="V170" s="6"/>
      <c r="W170" s="6"/>
      <c r="X170" s="6"/>
    </row>
    <row r="171" ht="11.25" customHeight="1">
      <c r="A171" s="7"/>
      <c r="B171" s="68">
        <f t="shared" si="13"/>
        <v>166</v>
      </c>
      <c r="C171" s="607">
        <v>10600.0</v>
      </c>
      <c r="D171" s="6">
        <f t="shared" si="14"/>
        <v>4104.203338</v>
      </c>
      <c r="E171" s="6">
        <f t="shared" si="1"/>
        <v>6495.796662</v>
      </c>
      <c r="F171" s="6">
        <f t="shared" si="6"/>
        <v>840201.7557</v>
      </c>
      <c r="G171" s="6">
        <f t="shared" si="7"/>
        <v>919398.2443</v>
      </c>
      <c r="H171" s="6">
        <f t="shared" si="8"/>
        <v>1759600</v>
      </c>
      <c r="I171" s="6">
        <f t="shared" si="9"/>
        <v>781511.2443</v>
      </c>
      <c r="J171" s="620">
        <v>6.25</v>
      </c>
      <c r="K171" s="591"/>
      <c r="L171" s="6"/>
      <c r="M171" s="9">
        <v>12000.0</v>
      </c>
      <c r="N171" s="79">
        <f t="shared" si="10"/>
        <v>1986000</v>
      </c>
      <c r="O171" s="6">
        <f t="shared" si="2"/>
        <v>661229.7557</v>
      </c>
      <c r="P171" s="6"/>
      <c r="Q171" s="6">
        <f t="shared" si="11"/>
        <v>5453.796662</v>
      </c>
      <c r="R171" s="6">
        <f t="shared" si="12"/>
        <v>661229.7557</v>
      </c>
      <c r="S171" s="81">
        <f t="shared" si="3"/>
        <v>71.91984103</v>
      </c>
      <c r="T171" s="6"/>
      <c r="U171" s="6"/>
      <c r="V171" s="6"/>
      <c r="W171" s="6"/>
      <c r="X171" s="6"/>
    </row>
    <row r="172" ht="11.25" customHeight="1">
      <c r="A172" s="7"/>
      <c r="B172" s="68">
        <f t="shared" si="13"/>
        <v>167</v>
      </c>
      <c r="C172" s="607">
        <v>10600.0</v>
      </c>
      <c r="D172" s="6">
        <f t="shared" si="14"/>
        <v>4070.371064</v>
      </c>
      <c r="E172" s="6">
        <f t="shared" si="1"/>
        <v>6529.628936</v>
      </c>
      <c r="F172" s="6">
        <f t="shared" si="6"/>
        <v>846731.3846</v>
      </c>
      <c r="G172" s="6">
        <f t="shared" si="7"/>
        <v>923468.6154</v>
      </c>
      <c r="H172" s="6">
        <f t="shared" si="8"/>
        <v>1770200</v>
      </c>
      <c r="I172" s="6">
        <f t="shared" si="9"/>
        <v>774981.6154</v>
      </c>
      <c r="J172" s="620">
        <v>6.25</v>
      </c>
      <c r="K172" s="591"/>
      <c r="L172" s="6"/>
      <c r="M172" s="9">
        <v>12000.0</v>
      </c>
      <c r="N172" s="79">
        <f t="shared" si="10"/>
        <v>1998000</v>
      </c>
      <c r="O172" s="6">
        <f t="shared" si="2"/>
        <v>666717.3846</v>
      </c>
      <c r="P172" s="6"/>
      <c r="Q172" s="6">
        <f t="shared" si="11"/>
        <v>5487.628936</v>
      </c>
      <c r="R172" s="6">
        <f t="shared" si="12"/>
        <v>666717.3846</v>
      </c>
      <c r="S172" s="81">
        <f t="shared" si="3"/>
        <v>72.19708104</v>
      </c>
      <c r="T172" s="6"/>
      <c r="U172" s="6"/>
      <c r="V172" s="6"/>
      <c r="W172" s="6"/>
      <c r="X172" s="6"/>
    </row>
    <row r="173" ht="11.25" customHeight="1">
      <c r="A173" s="71"/>
      <c r="B173" s="72">
        <f t="shared" si="13"/>
        <v>168</v>
      </c>
      <c r="C173" s="607">
        <v>10600.0</v>
      </c>
      <c r="D173" s="10">
        <f t="shared" si="14"/>
        <v>4036.36258</v>
      </c>
      <c r="E173" s="10">
        <f t="shared" si="1"/>
        <v>6563.63742</v>
      </c>
      <c r="F173" s="10">
        <f t="shared" si="6"/>
        <v>853295.0221</v>
      </c>
      <c r="G173" s="10">
        <f t="shared" si="7"/>
        <v>927504.9779</v>
      </c>
      <c r="H173" s="10">
        <f t="shared" si="8"/>
        <v>1780800</v>
      </c>
      <c r="I173" s="10">
        <f t="shared" si="9"/>
        <v>768417.9779</v>
      </c>
      <c r="J173" s="620">
        <v>6.25</v>
      </c>
      <c r="K173" s="591"/>
      <c r="L173" s="6"/>
      <c r="M173" s="9">
        <v>12000.0</v>
      </c>
      <c r="N173" s="79">
        <f t="shared" si="10"/>
        <v>2010000</v>
      </c>
      <c r="O173" s="6">
        <f t="shared" si="2"/>
        <v>672239.0221</v>
      </c>
      <c r="P173" s="6"/>
      <c r="Q173" s="6">
        <f t="shared" si="11"/>
        <v>5521.63742</v>
      </c>
      <c r="R173" s="6">
        <f t="shared" si="12"/>
        <v>672239.0221</v>
      </c>
      <c r="S173" s="81">
        <f t="shared" si="3"/>
        <v>72.47821177</v>
      </c>
      <c r="T173" s="6"/>
      <c r="U173" s="6"/>
      <c r="V173" s="6"/>
      <c r="W173" s="6"/>
      <c r="X173" s="6"/>
    </row>
    <row r="174" ht="11.25" customHeight="1">
      <c r="A174" s="100">
        <v>15.0</v>
      </c>
      <c r="B174" s="66">
        <f t="shared" si="13"/>
        <v>169</v>
      </c>
      <c r="C174" s="607">
        <v>10600.0</v>
      </c>
      <c r="D174" s="617">
        <f t="shared" si="14"/>
        <v>4002.176968</v>
      </c>
      <c r="E174" s="617">
        <f t="shared" si="1"/>
        <v>6597.823032</v>
      </c>
      <c r="F174" s="617">
        <f t="shared" si="6"/>
        <v>859892.8451</v>
      </c>
      <c r="G174" s="617">
        <f t="shared" si="7"/>
        <v>931507.1549</v>
      </c>
      <c r="H174" s="617">
        <f t="shared" si="8"/>
        <v>1791400</v>
      </c>
      <c r="I174" s="617">
        <f t="shared" si="9"/>
        <v>761820.1549</v>
      </c>
      <c r="J174" s="620">
        <v>6.25</v>
      </c>
      <c r="K174" s="591"/>
      <c r="L174" s="6"/>
      <c r="M174" s="9">
        <v>12000.0</v>
      </c>
      <c r="N174" s="79">
        <f t="shared" si="10"/>
        <v>2022000</v>
      </c>
      <c r="O174" s="6">
        <f t="shared" si="2"/>
        <v>677794.8451</v>
      </c>
      <c r="P174" s="6"/>
      <c r="Q174" s="6">
        <f t="shared" si="11"/>
        <v>5555.823032</v>
      </c>
      <c r="R174" s="6">
        <f t="shared" si="12"/>
        <v>677794.8451</v>
      </c>
      <c r="S174" s="81">
        <f t="shared" si="3"/>
        <v>72.76324627</v>
      </c>
      <c r="T174" s="6"/>
      <c r="U174" s="6"/>
      <c r="V174" s="6"/>
      <c r="W174" s="6"/>
      <c r="X174" s="6"/>
    </row>
    <row r="175" ht="11.25" customHeight="1">
      <c r="A175" s="7"/>
      <c r="B175" s="68">
        <f t="shared" si="13"/>
        <v>170</v>
      </c>
      <c r="C175" s="607">
        <v>10600.0</v>
      </c>
      <c r="D175" s="6">
        <f t="shared" si="14"/>
        <v>3967.813307</v>
      </c>
      <c r="E175" s="6">
        <f t="shared" si="1"/>
        <v>6632.186693</v>
      </c>
      <c r="F175" s="6">
        <f t="shared" si="6"/>
        <v>866525.0318</v>
      </c>
      <c r="G175" s="6">
        <f t="shared" si="7"/>
        <v>935474.9682</v>
      </c>
      <c r="H175" s="6">
        <f t="shared" si="8"/>
        <v>1802000</v>
      </c>
      <c r="I175" s="6">
        <f t="shared" si="9"/>
        <v>755187.9682</v>
      </c>
      <c r="J175" s="620">
        <v>6.25</v>
      </c>
      <c r="K175" s="591"/>
      <c r="L175" s="6"/>
      <c r="M175" s="9">
        <v>12000.0</v>
      </c>
      <c r="N175" s="79">
        <f t="shared" si="10"/>
        <v>2034000</v>
      </c>
      <c r="O175" s="6">
        <f t="shared" si="2"/>
        <v>683385.0318</v>
      </c>
      <c r="P175" s="6"/>
      <c r="Q175" s="6">
        <f t="shared" si="11"/>
        <v>5590.186693</v>
      </c>
      <c r="R175" s="6">
        <f t="shared" si="12"/>
        <v>683385.0318</v>
      </c>
      <c r="S175" s="81">
        <f t="shared" si="3"/>
        <v>73.05219862</v>
      </c>
      <c r="T175" s="6"/>
      <c r="U175" s="6"/>
      <c r="V175" s="6"/>
      <c r="W175" s="6"/>
      <c r="X175" s="6"/>
    </row>
    <row r="176" ht="11.25" customHeight="1">
      <c r="A176" s="7"/>
      <c r="B176" s="68">
        <f t="shared" si="13"/>
        <v>171</v>
      </c>
      <c r="C176" s="607">
        <v>10600.0</v>
      </c>
      <c r="D176" s="6">
        <f t="shared" si="14"/>
        <v>3933.270668</v>
      </c>
      <c r="E176" s="6">
        <f t="shared" si="1"/>
        <v>6666.729332</v>
      </c>
      <c r="F176" s="6">
        <f t="shared" si="6"/>
        <v>873191.7611</v>
      </c>
      <c r="G176" s="6">
        <f t="shared" si="7"/>
        <v>939408.2389</v>
      </c>
      <c r="H176" s="6">
        <f t="shared" si="8"/>
        <v>1812600</v>
      </c>
      <c r="I176" s="6">
        <f t="shared" si="9"/>
        <v>748521.2389</v>
      </c>
      <c r="J176" s="620">
        <v>6.25</v>
      </c>
      <c r="K176" s="591"/>
      <c r="L176" s="6"/>
      <c r="M176" s="9">
        <v>12000.0</v>
      </c>
      <c r="N176" s="79">
        <f t="shared" si="10"/>
        <v>2046000</v>
      </c>
      <c r="O176" s="6">
        <f t="shared" si="2"/>
        <v>689009.7611</v>
      </c>
      <c r="P176" s="6"/>
      <c r="Q176" s="6">
        <f t="shared" si="11"/>
        <v>5624.729332</v>
      </c>
      <c r="R176" s="6">
        <f t="shared" si="12"/>
        <v>689009.7611</v>
      </c>
      <c r="S176" s="81">
        <f t="shared" si="3"/>
        <v>73.34508392</v>
      </c>
      <c r="T176" s="6"/>
      <c r="U176" s="6"/>
      <c r="V176" s="6"/>
      <c r="W176" s="6"/>
      <c r="X176" s="6"/>
    </row>
    <row r="177" ht="11.25" customHeight="1">
      <c r="A177" s="7"/>
      <c r="B177" s="68">
        <f t="shared" si="13"/>
        <v>172</v>
      </c>
      <c r="C177" s="607">
        <v>10600.0</v>
      </c>
      <c r="D177" s="6">
        <f t="shared" si="14"/>
        <v>3898.548119</v>
      </c>
      <c r="E177" s="6">
        <f t="shared" si="1"/>
        <v>6701.451881</v>
      </c>
      <c r="F177" s="6">
        <f t="shared" si="6"/>
        <v>879893.213</v>
      </c>
      <c r="G177" s="6">
        <f t="shared" si="7"/>
        <v>943306.787</v>
      </c>
      <c r="H177" s="6">
        <f t="shared" si="8"/>
        <v>1823200</v>
      </c>
      <c r="I177" s="6">
        <f t="shared" si="9"/>
        <v>741819.787</v>
      </c>
      <c r="J177" s="620">
        <v>6.25</v>
      </c>
      <c r="K177" s="591"/>
      <c r="L177" s="6"/>
      <c r="M177" s="9">
        <v>12000.0</v>
      </c>
      <c r="N177" s="79">
        <f t="shared" si="10"/>
        <v>2058000</v>
      </c>
      <c r="O177" s="6">
        <f t="shared" si="2"/>
        <v>694669.213</v>
      </c>
      <c r="P177" s="6"/>
      <c r="Q177" s="6">
        <f t="shared" si="11"/>
        <v>5659.451881</v>
      </c>
      <c r="R177" s="6">
        <f t="shared" si="12"/>
        <v>694669.213</v>
      </c>
      <c r="S177" s="81">
        <f t="shared" si="3"/>
        <v>73.64191826</v>
      </c>
      <c r="T177" s="6"/>
      <c r="U177" s="6"/>
      <c r="V177" s="6"/>
      <c r="W177" s="6"/>
      <c r="X177" s="6"/>
    </row>
    <row r="178" ht="11.25" customHeight="1">
      <c r="A178" s="7"/>
      <c r="B178" s="68">
        <f t="shared" si="13"/>
        <v>173</v>
      </c>
      <c r="C178" s="607">
        <v>10600.0</v>
      </c>
      <c r="D178" s="6">
        <f t="shared" si="14"/>
        <v>3863.644724</v>
      </c>
      <c r="E178" s="6">
        <f t="shared" si="1"/>
        <v>6736.355276</v>
      </c>
      <c r="F178" s="6">
        <f t="shared" si="6"/>
        <v>886629.5683</v>
      </c>
      <c r="G178" s="6">
        <f t="shared" si="7"/>
        <v>947170.4317</v>
      </c>
      <c r="H178" s="6">
        <f t="shared" si="8"/>
        <v>1833800</v>
      </c>
      <c r="I178" s="6">
        <f t="shared" si="9"/>
        <v>735083.4317</v>
      </c>
      <c r="J178" s="620">
        <v>6.25</v>
      </c>
      <c r="K178" s="591"/>
      <c r="L178" s="6"/>
      <c r="M178" s="9">
        <v>12000.0</v>
      </c>
      <c r="N178" s="79">
        <f t="shared" si="10"/>
        <v>2070000</v>
      </c>
      <c r="O178" s="6">
        <f t="shared" si="2"/>
        <v>700363.5683</v>
      </c>
      <c r="P178" s="6"/>
      <c r="Q178" s="6">
        <f t="shared" si="11"/>
        <v>5694.355276</v>
      </c>
      <c r="R178" s="6">
        <f t="shared" si="12"/>
        <v>700363.5683</v>
      </c>
      <c r="S178" s="81">
        <f t="shared" si="3"/>
        <v>73.94271874</v>
      </c>
      <c r="T178" s="6"/>
      <c r="U178" s="6"/>
      <c r="V178" s="6"/>
      <c r="W178" s="6"/>
      <c r="X178" s="6"/>
    </row>
    <row r="179" ht="11.25" customHeight="1">
      <c r="A179" s="7"/>
      <c r="B179" s="68">
        <f t="shared" si="13"/>
        <v>174</v>
      </c>
      <c r="C179" s="607">
        <v>10600.0</v>
      </c>
      <c r="D179" s="6">
        <f t="shared" si="14"/>
        <v>3828.55954</v>
      </c>
      <c r="E179" s="6">
        <f t="shared" si="1"/>
        <v>6771.44046</v>
      </c>
      <c r="F179" s="6">
        <f t="shared" si="6"/>
        <v>893401.0087</v>
      </c>
      <c r="G179" s="6">
        <f t="shared" si="7"/>
        <v>950998.9913</v>
      </c>
      <c r="H179" s="6">
        <f t="shared" si="8"/>
        <v>1844400</v>
      </c>
      <c r="I179" s="6">
        <f t="shared" si="9"/>
        <v>728311.9913</v>
      </c>
      <c r="J179" s="620">
        <v>6.25</v>
      </c>
      <c r="K179" s="591"/>
      <c r="L179" s="6"/>
      <c r="M179" s="9">
        <v>12000.0</v>
      </c>
      <c r="N179" s="79">
        <f t="shared" si="10"/>
        <v>2082000</v>
      </c>
      <c r="O179" s="6">
        <f t="shared" si="2"/>
        <v>706093.0087</v>
      </c>
      <c r="P179" s="6"/>
      <c r="Q179" s="6">
        <f t="shared" si="11"/>
        <v>5729.44046</v>
      </c>
      <c r="R179" s="6">
        <f t="shared" si="12"/>
        <v>706093.0087</v>
      </c>
      <c r="S179" s="81">
        <f t="shared" si="3"/>
        <v>74.24750344</v>
      </c>
      <c r="T179" s="6"/>
      <c r="U179" s="6"/>
      <c r="V179" s="6"/>
      <c r="W179" s="6"/>
      <c r="X179" s="6"/>
    </row>
    <row r="180" ht="11.25" customHeight="1">
      <c r="A180" s="7"/>
      <c r="B180" s="68">
        <f t="shared" si="13"/>
        <v>175</v>
      </c>
      <c r="C180" s="607">
        <v>10600.0</v>
      </c>
      <c r="D180" s="6">
        <f t="shared" si="14"/>
        <v>3793.291621</v>
      </c>
      <c r="E180" s="6">
        <f t="shared" si="1"/>
        <v>6806.708379</v>
      </c>
      <c r="F180" s="6">
        <f t="shared" si="6"/>
        <v>900207.7171</v>
      </c>
      <c r="G180" s="6">
        <f t="shared" si="7"/>
        <v>954792.2829</v>
      </c>
      <c r="H180" s="6">
        <f t="shared" si="8"/>
        <v>1855000</v>
      </c>
      <c r="I180" s="6">
        <f t="shared" si="9"/>
        <v>721505.2829</v>
      </c>
      <c r="J180" s="620">
        <v>6.25</v>
      </c>
      <c r="K180" s="591"/>
      <c r="L180" s="6"/>
      <c r="M180" s="9">
        <v>12000.0</v>
      </c>
      <c r="N180" s="79">
        <f t="shared" si="10"/>
        <v>2094000</v>
      </c>
      <c r="O180" s="6">
        <f t="shared" si="2"/>
        <v>711857.7171</v>
      </c>
      <c r="P180" s="6"/>
      <c r="Q180" s="6">
        <f t="shared" si="11"/>
        <v>5764.708379</v>
      </c>
      <c r="R180" s="6">
        <f t="shared" si="12"/>
        <v>711857.7171</v>
      </c>
      <c r="S180" s="81">
        <f t="shared" si="3"/>
        <v>74.55629145</v>
      </c>
      <c r="T180" s="6"/>
      <c r="U180" s="6"/>
      <c r="V180" s="6"/>
      <c r="W180" s="6"/>
      <c r="X180" s="6"/>
    </row>
    <row r="181" ht="11.25" customHeight="1">
      <c r="A181" s="7"/>
      <c r="B181" s="68">
        <f t="shared" si="13"/>
        <v>176</v>
      </c>
      <c r="C181" s="607">
        <v>10600.0</v>
      </c>
      <c r="D181" s="6">
        <f t="shared" si="14"/>
        <v>3757.840015</v>
      </c>
      <c r="E181" s="6">
        <f t="shared" si="1"/>
        <v>6842.159985</v>
      </c>
      <c r="F181" s="6">
        <f t="shared" si="6"/>
        <v>907049.8771</v>
      </c>
      <c r="G181" s="6">
        <f t="shared" si="7"/>
        <v>958550.1229</v>
      </c>
      <c r="H181" s="6">
        <f t="shared" si="8"/>
        <v>1865600</v>
      </c>
      <c r="I181" s="6">
        <f t="shared" si="9"/>
        <v>714663.1229</v>
      </c>
      <c r="J181" s="620">
        <v>6.25</v>
      </c>
      <c r="K181" s="591"/>
      <c r="L181" s="6"/>
      <c r="M181" s="9">
        <v>12000.0</v>
      </c>
      <c r="N181" s="79">
        <f t="shared" si="10"/>
        <v>2106000</v>
      </c>
      <c r="O181" s="6">
        <f t="shared" si="2"/>
        <v>717657.8771</v>
      </c>
      <c r="P181" s="6"/>
      <c r="Q181" s="6">
        <f t="shared" si="11"/>
        <v>5800.159985</v>
      </c>
      <c r="R181" s="6">
        <f t="shared" si="12"/>
        <v>717657.8771</v>
      </c>
      <c r="S181" s="81">
        <f t="shared" si="3"/>
        <v>74.86910282</v>
      </c>
      <c r="T181" s="6"/>
      <c r="U181" s="6"/>
      <c r="V181" s="6"/>
      <c r="W181" s="6"/>
      <c r="X181" s="6"/>
    </row>
    <row r="182" ht="11.25" customHeight="1">
      <c r="A182" s="7"/>
      <c r="B182" s="68">
        <f t="shared" si="13"/>
        <v>177</v>
      </c>
      <c r="C182" s="607">
        <v>10600.0</v>
      </c>
      <c r="D182" s="6">
        <f t="shared" si="14"/>
        <v>3722.203765</v>
      </c>
      <c r="E182" s="6">
        <f t="shared" si="1"/>
        <v>6877.796235</v>
      </c>
      <c r="F182" s="6">
        <f t="shared" si="6"/>
        <v>913927.6733</v>
      </c>
      <c r="G182" s="6">
        <f t="shared" si="7"/>
        <v>962272.3267</v>
      </c>
      <c r="H182" s="6">
        <f t="shared" si="8"/>
        <v>1876200</v>
      </c>
      <c r="I182" s="6">
        <f t="shared" si="9"/>
        <v>707785.3267</v>
      </c>
      <c r="J182" s="620">
        <v>6.25</v>
      </c>
      <c r="K182" s="591"/>
      <c r="L182" s="6"/>
      <c r="M182" s="9">
        <v>12000.0</v>
      </c>
      <c r="N182" s="79">
        <f t="shared" si="10"/>
        <v>2118000</v>
      </c>
      <c r="O182" s="6">
        <f t="shared" si="2"/>
        <v>723493.6733</v>
      </c>
      <c r="P182" s="6"/>
      <c r="Q182" s="6">
        <f t="shared" si="11"/>
        <v>5835.796235</v>
      </c>
      <c r="R182" s="6">
        <f t="shared" si="12"/>
        <v>723493.6733</v>
      </c>
      <c r="S182" s="81">
        <f t="shared" si="3"/>
        <v>75.18595862</v>
      </c>
      <c r="T182" s="6"/>
      <c r="U182" s="6"/>
      <c r="V182" s="6"/>
      <c r="W182" s="6"/>
      <c r="X182" s="6"/>
    </row>
    <row r="183" ht="11.25" customHeight="1">
      <c r="A183" s="7"/>
      <c r="B183" s="68">
        <f t="shared" si="13"/>
        <v>178</v>
      </c>
      <c r="C183" s="607">
        <v>10600.0</v>
      </c>
      <c r="D183" s="6">
        <f t="shared" si="14"/>
        <v>3686.38191</v>
      </c>
      <c r="E183" s="6">
        <f t="shared" si="1"/>
        <v>6913.61809</v>
      </c>
      <c r="F183" s="6">
        <f t="shared" si="6"/>
        <v>920841.2914</v>
      </c>
      <c r="G183" s="6">
        <f t="shared" si="7"/>
        <v>965958.7086</v>
      </c>
      <c r="H183" s="6">
        <f t="shared" si="8"/>
        <v>1886800</v>
      </c>
      <c r="I183" s="6">
        <f t="shared" si="9"/>
        <v>700871.7086</v>
      </c>
      <c r="J183" s="620">
        <v>6.25</v>
      </c>
      <c r="K183" s="591"/>
      <c r="L183" s="6"/>
      <c r="M183" s="9">
        <v>12000.0</v>
      </c>
      <c r="N183" s="79">
        <f t="shared" si="10"/>
        <v>2130000</v>
      </c>
      <c r="O183" s="6">
        <f t="shared" si="2"/>
        <v>729365.2914</v>
      </c>
      <c r="P183" s="6"/>
      <c r="Q183" s="6">
        <f t="shared" si="11"/>
        <v>5871.61809</v>
      </c>
      <c r="R183" s="6">
        <f t="shared" si="12"/>
        <v>729365.2914</v>
      </c>
      <c r="S183" s="81">
        <f t="shared" si="3"/>
        <v>75.50688088</v>
      </c>
      <c r="T183" s="6"/>
      <c r="U183" s="6"/>
      <c r="V183" s="6"/>
      <c r="W183" s="6"/>
      <c r="X183" s="6"/>
    </row>
    <row r="184" ht="11.25" customHeight="1">
      <c r="A184" s="7"/>
      <c r="B184" s="68">
        <f t="shared" si="13"/>
        <v>179</v>
      </c>
      <c r="C184" s="607">
        <v>10600.0</v>
      </c>
      <c r="D184" s="6">
        <f t="shared" si="14"/>
        <v>3650.373482</v>
      </c>
      <c r="E184" s="6">
        <f t="shared" si="1"/>
        <v>6949.626518</v>
      </c>
      <c r="F184" s="6">
        <f t="shared" si="6"/>
        <v>927790.9179</v>
      </c>
      <c r="G184" s="6">
        <f t="shared" si="7"/>
        <v>969609.0821</v>
      </c>
      <c r="H184" s="6">
        <f t="shared" si="8"/>
        <v>1897400</v>
      </c>
      <c r="I184" s="6">
        <f t="shared" si="9"/>
        <v>693922.0821</v>
      </c>
      <c r="J184" s="620">
        <v>6.25</v>
      </c>
      <c r="K184" s="591"/>
      <c r="L184" s="6"/>
      <c r="M184" s="9">
        <v>12000.0</v>
      </c>
      <c r="N184" s="79">
        <f t="shared" si="10"/>
        <v>2142000</v>
      </c>
      <c r="O184" s="6">
        <f t="shared" si="2"/>
        <v>735272.9179</v>
      </c>
      <c r="P184" s="6"/>
      <c r="Q184" s="6">
        <f t="shared" si="11"/>
        <v>5907.626518</v>
      </c>
      <c r="R184" s="6">
        <f t="shared" si="12"/>
        <v>735272.9179</v>
      </c>
      <c r="S184" s="81">
        <f t="shared" si="3"/>
        <v>75.83189262</v>
      </c>
      <c r="T184" s="6"/>
      <c r="U184" s="6"/>
      <c r="V184" s="6"/>
      <c r="W184" s="6"/>
      <c r="X184" s="6"/>
    </row>
    <row r="185" ht="11.25" customHeight="1">
      <c r="A185" s="71"/>
      <c r="B185" s="72">
        <f t="shared" si="13"/>
        <v>180</v>
      </c>
      <c r="C185" s="607">
        <v>10600.0</v>
      </c>
      <c r="D185" s="10">
        <f t="shared" si="14"/>
        <v>3614.177511</v>
      </c>
      <c r="E185" s="10">
        <f t="shared" si="1"/>
        <v>6985.822489</v>
      </c>
      <c r="F185" s="10">
        <f t="shared" si="6"/>
        <v>934776.7404</v>
      </c>
      <c r="G185" s="10">
        <f t="shared" si="7"/>
        <v>973223.2596</v>
      </c>
      <c r="H185" s="10">
        <f t="shared" si="8"/>
        <v>1908000</v>
      </c>
      <c r="I185" s="10">
        <f t="shared" si="9"/>
        <v>686936.2596</v>
      </c>
      <c r="J185" s="620">
        <v>6.25</v>
      </c>
      <c r="K185" s="591"/>
      <c r="L185" s="6"/>
      <c r="M185" s="9">
        <v>12000.0</v>
      </c>
      <c r="N185" s="79">
        <f t="shared" si="10"/>
        <v>2154000</v>
      </c>
      <c r="O185" s="6">
        <f t="shared" si="2"/>
        <v>741216.7404</v>
      </c>
      <c r="P185" s="6"/>
      <c r="Q185" s="6">
        <f t="shared" si="11"/>
        <v>5943.822489</v>
      </c>
      <c r="R185" s="6">
        <f t="shared" si="12"/>
        <v>741216.7404</v>
      </c>
      <c r="S185" s="81">
        <f t="shared" si="3"/>
        <v>76.16101785</v>
      </c>
      <c r="T185" s="6"/>
      <c r="U185" s="6"/>
      <c r="V185" s="6"/>
      <c r="W185" s="6"/>
      <c r="X185" s="6"/>
    </row>
    <row r="186" ht="11.25" customHeight="1">
      <c r="A186" s="100">
        <v>16.0</v>
      </c>
      <c r="B186" s="66">
        <f t="shared" si="13"/>
        <v>181</v>
      </c>
      <c r="C186" s="607">
        <v>10600.0</v>
      </c>
      <c r="D186" s="617">
        <f t="shared" si="14"/>
        <v>3577.793019</v>
      </c>
      <c r="E186" s="617">
        <f t="shared" si="1"/>
        <v>7022.206981</v>
      </c>
      <c r="F186" s="617">
        <f t="shared" si="6"/>
        <v>941798.9474</v>
      </c>
      <c r="G186" s="617">
        <f t="shared" si="7"/>
        <v>976801.0526</v>
      </c>
      <c r="H186" s="617">
        <f t="shared" si="8"/>
        <v>1918600</v>
      </c>
      <c r="I186" s="617">
        <f t="shared" si="9"/>
        <v>679914.0526</v>
      </c>
      <c r="J186" s="620">
        <v>6.25</v>
      </c>
      <c r="K186" s="591"/>
      <c r="L186" s="6"/>
      <c r="M186" s="9">
        <v>12000.0</v>
      </c>
      <c r="N186" s="79">
        <f t="shared" si="10"/>
        <v>2166000</v>
      </c>
      <c r="O186" s="6">
        <f t="shared" si="2"/>
        <v>747196.9474</v>
      </c>
      <c r="P186" s="6"/>
      <c r="Q186" s="6">
        <f t="shared" si="11"/>
        <v>5980.206981</v>
      </c>
      <c r="R186" s="6">
        <f t="shared" si="12"/>
        <v>747196.9474</v>
      </c>
      <c r="S186" s="81">
        <f t="shared" si="3"/>
        <v>76.49428156</v>
      </c>
      <c r="T186" s="6"/>
      <c r="U186" s="6"/>
      <c r="V186" s="6"/>
      <c r="W186" s="6"/>
      <c r="X186" s="6"/>
    </row>
    <row r="187" ht="11.25" customHeight="1">
      <c r="A187" s="7"/>
      <c r="B187" s="68">
        <f t="shared" si="13"/>
        <v>182</v>
      </c>
      <c r="C187" s="607">
        <v>10600.0</v>
      </c>
      <c r="D187" s="6">
        <f t="shared" si="14"/>
        <v>3541.219024</v>
      </c>
      <c r="E187" s="6">
        <f t="shared" si="1"/>
        <v>7058.780976</v>
      </c>
      <c r="F187" s="6">
        <f t="shared" si="6"/>
        <v>948857.7284</v>
      </c>
      <c r="G187" s="6">
        <f t="shared" si="7"/>
        <v>980342.2716</v>
      </c>
      <c r="H187" s="6">
        <f t="shared" si="8"/>
        <v>1929200</v>
      </c>
      <c r="I187" s="6">
        <f t="shared" si="9"/>
        <v>672855.2716</v>
      </c>
      <c r="J187" s="620">
        <v>6.25</v>
      </c>
      <c r="K187" s="591"/>
      <c r="L187" s="6"/>
      <c r="M187" s="9">
        <v>12000.0</v>
      </c>
      <c r="N187" s="79">
        <f t="shared" si="10"/>
        <v>2178000</v>
      </c>
      <c r="O187" s="6">
        <f t="shared" si="2"/>
        <v>753213.7284</v>
      </c>
      <c r="P187" s="6"/>
      <c r="Q187" s="6">
        <f t="shared" si="11"/>
        <v>6016.780976</v>
      </c>
      <c r="R187" s="6">
        <f t="shared" si="12"/>
        <v>753213.7284</v>
      </c>
      <c r="S187" s="81">
        <f t="shared" si="3"/>
        <v>76.83170972</v>
      </c>
      <c r="T187" s="6"/>
      <c r="U187" s="6"/>
      <c r="V187" s="6"/>
      <c r="W187" s="6"/>
      <c r="X187" s="6"/>
    </row>
    <row r="188" ht="11.25" customHeight="1">
      <c r="A188" s="7"/>
      <c r="B188" s="68">
        <f t="shared" si="13"/>
        <v>183</v>
      </c>
      <c r="C188" s="607">
        <v>10600.0</v>
      </c>
      <c r="D188" s="6">
        <f t="shared" si="14"/>
        <v>3504.45454</v>
      </c>
      <c r="E188" s="6">
        <f t="shared" si="1"/>
        <v>7095.54546</v>
      </c>
      <c r="F188" s="6">
        <f t="shared" si="6"/>
        <v>955953.2739</v>
      </c>
      <c r="G188" s="6">
        <f t="shared" si="7"/>
        <v>983846.7261</v>
      </c>
      <c r="H188" s="6">
        <f t="shared" si="8"/>
        <v>1939800</v>
      </c>
      <c r="I188" s="6">
        <f t="shared" si="9"/>
        <v>665759.7261</v>
      </c>
      <c r="J188" s="620">
        <v>6.25</v>
      </c>
      <c r="K188" s="591"/>
      <c r="L188" s="6"/>
      <c r="M188" s="9">
        <v>12000.0</v>
      </c>
      <c r="N188" s="79">
        <f t="shared" si="10"/>
        <v>2190000</v>
      </c>
      <c r="O188" s="6">
        <f t="shared" si="2"/>
        <v>759267.2739</v>
      </c>
      <c r="P188" s="6"/>
      <c r="Q188" s="6">
        <f t="shared" si="11"/>
        <v>6053.54546</v>
      </c>
      <c r="R188" s="6">
        <f t="shared" si="12"/>
        <v>759267.2739</v>
      </c>
      <c r="S188" s="81">
        <f t="shared" si="3"/>
        <v>77.17332931</v>
      </c>
      <c r="T188" s="6"/>
      <c r="U188" s="6"/>
      <c r="V188" s="6"/>
      <c r="W188" s="6"/>
      <c r="X188" s="6"/>
    </row>
    <row r="189" ht="11.25" customHeight="1">
      <c r="A189" s="7"/>
      <c r="B189" s="68">
        <f t="shared" si="13"/>
        <v>184</v>
      </c>
      <c r="C189" s="607">
        <v>10600.0</v>
      </c>
      <c r="D189" s="6">
        <f t="shared" si="14"/>
        <v>3467.498574</v>
      </c>
      <c r="E189" s="6">
        <f t="shared" si="1"/>
        <v>7132.501426</v>
      </c>
      <c r="F189" s="6">
        <f t="shared" si="6"/>
        <v>963085.7753</v>
      </c>
      <c r="G189" s="6">
        <f t="shared" si="7"/>
        <v>987314.2247</v>
      </c>
      <c r="H189" s="6">
        <f t="shared" si="8"/>
        <v>1950400</v>
      </c>
      <c r="I189" s="6">
        <f t="shared" si="9"/>
        <v>658627.2247</v>
      </c>
      <c r="J189" s="620">
        <v>6.25</v>
      </c>
      <c r="K189" s="591"/>
      <c r="L189" s="6"/>
      <c r="M189" s="9">
        <v>12000.0</v>
      </c>
      <c r="N189" s="79">
        <f t="shared" si="10"/>
        <v>2202000</v>
      </c>
      <c r="O189" s="6">
        <f t="shared" si="2"/>
        <v>765357.7753</v>
      </c>
      <c r="P189" s="6"/>
      <c r="Q189" s="6">
        <f t="shared" si="11"/>
        <v>6090.501426</v>
      </c>
      <c r="R189" s="6">
        <f t="shared" si="12"/>
        <v>765357.7753</v>
      </c>
      <c r="S189" s="81">
        <f t="shared" si="3"/>
        <v>77.51916828</v>
      </c>
      <c r="T189" s="6"/>
      <c r="U189" s="6"/>
      <c r="V189" s="6"/>
      <c r="W189" s="6"/>
      <c r="X189" s="6"/>
    </row>
    <row r="190" ht="11.25" customHeight="1">
      <c r="A190" s="7"/>
      <c r="B190" s="68">
        <f t="shared" si="13"/>
        <v>185</v>
      </c>
      <c r="C190" s="607">
        <v>10600.0</v>
      </c>
      <c r="D190" s="6">
        <f t="shared" si="14"/>
        <v>3430.350129</v>
      </c>
      <c r="E190" s="6">
        <f t="shared" si="1"/>
        <v>7169.649871</v>
      </c>
      <c r="F190" s="6">
        <f t="shared" si="6"/>
        <v>970255.4252</v>
      </c>
      <c r="G190" s="6">
        <f t="shared" si="7"/>
        <v>990744.5748</v>
      </c>
      <c r="H190" s="6">
        <f t="shared" si="8"/>
        <v>1961000</v>
      </c>
      <c r="I190" s="6">
        <f t="shared" si="9"/>
        <v>651457.5748</v>
      </c>
      <c r="J190" s="620">
        <v>6.25</v>
      </c>
      <c r="K190" s="591"/>
      <c r="L190" s="6"/>
      <c r="M190" s="9">
        <v>12000.0</v>
      </c>
      <c r="N190" s="79">
        <f t="shared" si="10"/>
        <v>2214000</v>
      </c>
      <c r="O190" s="6">
        <f t="shared" si="2"/>
        <v>771485.4252</v>
      </c>
      <c r="P190" s="6"/>
      <c r="Q190" s="6">
        <f t="shared" si="11"/>
        <v>6127.649871</v>
      </c>
      <c r="R190" s="6">
        <f t="shared" si="12"/>
        <v>771485.4252</v>
      </c>
      <c r="S190" s="81">
        <f t="shared" si="3"/>
        <v>77.86925558</v>
      </c>
      <c r="T190" s="6"/>
      <c r="U190" s="6"/>
      <c r="V190" s="6"/>
      <c r="W190" s="6"/>
      <c r="X190" s="6"/>
    </row>
    <row r="191" ht="11.25" customHeight="1">
      <c r="A191" s="7"/>
      <c r="B191" s="68">
        <f t="shared" si="13"/>
        <v>186</v>
      </c>
      <c r="C191" s="607">
        <v>10600.0</v>
      </c>
      <c r="D191" s="6">
        <f t="shared" si="14"/>
        <v>3393.008202</v>
      </c>
      <c r="E191" s="6">
        <f t="shared" si="1"/>
        <v>7206.991798</v>
      </c>
      <c r="F191" s="6">
        <f t="shared" si="6"/>
        <v>977462.417</v>
      </c>
      <c r="G191" s="6">
        <f t="shared" si="7"/>
        <v>994137.583</v>
      </c>
      <c r="H191" s="6">
        <f t="shared" si="8"/>
        <v>1971600</v>
      </c>
      <c r="I191" s="6">
        <f t="shared" si="9"/>
        <v>644250.583</v>
      </c>
      <c r="J191" s="620">
        <v>6.25</v>
      </c>
      <c r="K191" s="591"/>
      <c r="L191" s="6"/>
      <c r="M191" s="9">
        <v>12000.0</v>
      </c>
      <c r="N191" s="79">
        <f t="shared" si="10"/>
        <v>2226000</v>
      </c>
      <c r="O191" s="6">
        <f t="shared" si="2"/>
        <v>777650.417</v>
      </c>
      <c r="P191" s="6"/>
      <c r="Q191" s="6">
        <f t="shared" si="11"/>
        <v>6164.991798</v>
      </c>
      <c r="R191" s="6">
        <f t="shared" si="12"/>
        <v>777650.417</v>
      </c>
      <c r="S191" s="81">
        <f t="shared" si="3"/>
        <v>78.22362118</v>
      </c>
      <c r="T191" s="6"/>
      <c r="U191" s="6"/>
      <c r="V191" s="6"/>
      <c r="W191" s="6"/>
      <c r="X191" s="6"/>
    </row>
    <row r="192" ht="11.25" customHeight="1">
      <c r="A192" s="7"/>
      <c r="B192" s="68">
        <f t="shared" si="13"/>
        <v>187</v>
      </c>
      <c r="C192" s="607">
        <v>10600.0</v>
      </c>
      <c r="D192" s="6">
        <f t="shared" si="14"/>
        <v>3355.471787</v>
      </c>
      <c r="E192" s="6">
        <f t="shared" si="1"/>
        <v>7244.528213</v>
      </c>
      <c r="F192" s="6">
        <f t="shared" si="6"/>
        <v>984706.9452</v>
      </c>
      <c r="G192" s="6">
        <f t="shared" si="7"/>
        <v>997493.0548</v>
      </c>
      <c r="H192" s="6">
        <f t="shared" si="8"/>
        <v>1982200</v>
      </c>
      <c r="I192" s="6">
        <f t="shared" si="9"/>
        <v>637006.0548</v>
      </c>
      <c r="J192" s="620">
        <v>6.25</v>
      </c>
      <c r="K192" s="591"/>
      <c r="L192" s="6"/>
      <c r="M192" s="9">
        <v>12000.0</v>
      </c>
      <c r="N192" s="79">
        <f t="shared" si="10"/>
        <v>2238000</v>
      </c>
      <c r="O192" s="6">
        <f t="shared" si="2"/>
        <v>783852.9452</v>
      </c>
      <c r="P192" s="6"/>
      <c r="Q192" s="6">
        <f t="shared" si="11"/>
        <v>6202.528213</v>
      </c>
      <c r="R192" s="6">
        <f t="shared" si="12"/>
        <v>783852.9452</v>
      </c>
      <c r="S192" s="81">
        <f t="shared" si="3"/>
        <v>78.58229602</v>
      </c>
      <c r="T192" s="6"/>
      <c r="U192" s="6"/>
      <c r="V192" s="6"/>
      <c r="W192" s="6"/>
      <c r="X192" s="6"/>
    </row>
    <row r="193" ht="11.25" customHeight="1">
      <c r="A193" s="7"/>
      <c r="B193" s="68">
        <f t="shared" si="13"/>
        <v>188</v>
      </c>
      <c r="C193" s="607">
        <v>10600.0</v>
      </c>
      <c r="D193" s="6">
        <f t="shared" si="14"/>
        <v>3317.739869</v>
      </c>
      <c r="E193" s="6">
        <f t="shared" si="1"/>
        <v>7282.260131</v>
      </c>
      <c r="F193" s="6">
        <f t="shared" si="6"/>
        <v>991989.2053</v>
      </c>
      <c r="G193" s="6">
        <f t="shared" si="7"/>
        <v>1000810.795</v>
      </c>
      <c r="H193" s="6">
        <f t="shared" si="8"/>
        <v>1992800</v>
      </c>
      <c r="I193" s="6">
        <f t="shared" si="9"/>
        <v>629723.7947</v>
      </c>
      <c r="J193" s="620">
        <v>6.25</v>
      </c>
      <c r="K193" s="591"/>
      <c r="L193" s="6"/>
      <c r="M193" s="9">
        <v>12000.0</v>
      </c>
      <c r="N193" s="79">
        <f t="shared" si="10"/>
        <v>2250000</v>
      </c>
      <c r="O193" s="6">
        <f t="shared" si="2"/>
        <v>790093.2053</v>
      </c>
      <c r="P193" s="6"/>
      <c r="Q193" s="6">
        <f t="shared" si="11"/>
        <v>6240.260131</v>
      </c>
      <c r="R193" s="6">
        <f t="shared" si="12"/>
        <v>790093.2053</v>
      </c>
      <c r="S193" s="81">
        <f t="shared" si="3"/>
        <v>78.94531209</v>
      </c>
      <c r="T193" s="6"/>
      <c r="U193" s="6"/>
      <c r="V193" s="6"/>
      <c r="W193" s="6"/>
      <c r="X193" s="6"/>
    </row>
    <row r="194" ht="11.25" customHeight="1">
      <c r="A194" s="7"/>
      <c r="B194" s="68">
        <f t="shared" si="13"/>
        <v>189</v>
      </c>
      <c r="C194" s="607">
        <v>10600.0</v>
      </c>
      <c r="D194" s="6">
        <f t="shared" si="14"/>
        <v>3279.811431</v>
      </c>
      <c r="E194" s="6">
        <f t="shared" si="1"/>
        <v>7320.188569</v>
      </c>
      <c r="F194" s="6">
        <f t="shared" si="6"/>
        <v>999309.3939</v>
      </c>
      <c r="G194" s="6">
        <f t="shared" si="7"/>
        <v>1004090.606</v>
      </c>
      <c r="H194" s="6">
        <f t="shared" si="8"/>
        <v>2003400</v>
      </c>
      <c r="I194" s="6">
        <f t="shared" si="9"/>
        <v>622403.6061</v>
      </c>
      <c r="J194" s="620">
        <v>6.25</v>
      </c>
      <c r="K194" s="591"/>
      <c r="L194" s="6"/>
      <c r="M194" s="9">
        <v>12000.0</v>
      </c>
      <c r="N194" s="79">
        <f t="shared" si="10"/>
        <v>2262000</v>
      </c>
      <c r="O194" s="6">
        <f t="shared" si="2"/>
        <v>796371.3939</v>
      </c>
      <c r="P194" s="6"/>
      <c r="Q194" s="6">
        <f t="shared" si="11"/>
        <v>6278.188569</v>
      </c>
      <c r="R194" s="6">
        <f t="shared" si="12"/>
        <v>796371.3939</v>
      </c>
      <c r="S194" s="81">
        <f t="shared" si="3"/>
        <v>79.31270236</v>
      </c>
      <c r="T194" s="6"/>
      <c r="U194" s="6"/>
      <c r="V194" s="6"/>
      <c r="W194" s="6"/>
      <c r="X194" s="6"/>
    </row>
    <row r="195" ht="11.25" customHeight="1">
      <c r="A195" s="7"/>
      <c r="B195" s="68">
        <f t="shared" si="13"/>
        <v>190</v>
      </c>
      <c r="C195" s="607">
        <v>10600.0</v>
      </c>
      <c r="D195" s="6">
        <f t="shared" si="14"/>
        <v>3241.685449</v>
      </c>
      <c r="E195" s="6">
        <f t="shared" si="1"/>
        <v>7358.314551</v>
      </c>
      <c r="F195" s="6">
        <f t="shared" si="6"/>
        <v>1006667.708</v>
      </c>
      <c r="G195" s="6">
        <f t="shared" si="7"/>
        <v>1007332.292</v>
      </c>
      <c r="H195" s="6">
        <f t="shared" si="8"/>
        <v>2014000</v>
      </c>
      <c r="I195" s="6">
        <f t="shared" si="9"/>
        <v>615045.2916</v>
      </c>
      <c r="J195" s="620">
        <v>6.25</v>
      </c>
      <c r="K195" s="591"/>
      <c r="L195" s="6"/>
      <c r="M195" s="9">
        <v>12000.0</v>
      </c>
      <c r="N195" s="79">
        <f t="shared" si="10"/>
        <v>2274000</v>
      </c>
      <c r="O195" s="6">
        <f t="shared" si="2"/>
        <v>802687.7084</v>
      </c>
      <c r="P195" s="6"/>
      <c r="Q195" s="6">
        <f t="shared" si="11"/>
        <v>6316.314551</v>
      </c>
      <c r="R195" s="6">
        <f t="shared" si="12"/>
        <v>802687.7084</v>
      </c>
      <c r="S195" s="81">
        <f t="shared" si="3"/>
        <v>79.68450085</v>
      </c>
      <c r="T195" s="6"/>
      <c r="U195" s="6"/>
      <c r="V195" s="6"/>
      <c r="W195" s="6"/>
      <c r="X195" s="6"/>
    </row>
    <row r="196" ht="11.25" customHeight="1">
      <c r="A196" s="7"/>
      <c r="B196" s="68">
        <f t="shared" si="13"/>
        <v>191</v>
      </c>
      <c r="C196" s="607">
        <v>10600.0</v>
      </c>
      <c r="D196" s="6">
        <f t="shared" si="14"/>
        <v>3203.360894</v>
      </c>
      <c r="E196" s="6">
        <f t="shared" si="1"/>
        <v>7396.639106</v>
      </c>
      <c r="F196" s="6">
        <f t="shared" si="6"/>
        <v>1014064.348</v>
      </c>
      <c r="G196" s="6">
        <f t="shared" si="7"/>
        <v>1010535.652</v>
      </c>
      <c r="H196" s="6">
        <f t="shared" si="8"/>
        <v>2024600</v>
      </c>
      <c r="I196" s="6">
        <f t="shared" si="9"/>
        <v>607648.6525</v>
      </c>
      <c r="J196" s="620">
        <v>6.25</v>
      </c>
      <c r="K196" s="591"/>
      <c r="L196" s="6"/>
      <c r="M196" s="9">
        <v>12000.0</v>
      </c>
      <c r="N196" s="79">
        <f t="shared" si="10"/>
        <v>2286000</v>
      </c>
      <c r="O196" s="6">
        <f t="shared" si="2"/>
        <v>809042.3475</v>
      </c>
      <c r="P196" s="6"/>
      <c r="Q196" s="6">
        <f t="shared" si="11"/>
        <v>6354.639106</v>
      </c>
      <c r="R196" s="6">
        <f t="shared" si="12"/>
        <v>809042.3475</v>
      </c>
      <c r="S196" s="81">
        <f t="shared" si="3"/>
        <v>80.06074259</v>
      </c>
      <c r="T196" s="6"/>
      <c r="U196" s="6"/>
      <c r="V196" s="6"/>
      <c r="W196" s="6"/>
      <c r="X196" s="6"/>
    </row>
    <row r="197" ht="11.25" customHeight="1">
      <c r="A197" s="71"/>
      <c r="B197" s="72">
        <f t="shared" si="13"/>
        <v>192</v>
      </c>
      <c r="C197" s="607">
        <v>10600.0</v>
      </c>
      <c r="D197" s="10">
        <f t="shared" si="14"/>
        <v>3164.836732</v>
      </c>
      <c r="E197" s="10">
        <f t="shared" si="1"/>
        <v>7435.163268</v>
      </c>
      <c r="F197" s="10">
        <f t="shared" si="6"/>
        <v>1021499.511</v>
      </c>
      <c r="G197" s="10">
        <f t="shared" si="7"/>
        <v>1013700.489</v>
      </c>
      <c r="H197" s="10">
        <f t="shared" si="8"/>
        <v>2035200</v>
      </c>
      <c r="I197" s="10">
        <f t="shared" si="9"/>
        <v>600213.4892</v>
      </c>
      <c r="J197" s="620">
        <v>6.25</v>
      </c>
      <c r="K197" s="591"/>
      <c r="L197" s="6"/>
      <c r="M197" s="9">
        <v>12000.0</v>
      </c>
      <c r="N197" s="79">
        <f t="shared" si="10"/>
        <v>2298000</v>
      </c>
      <c r="O197" s="6">
        <f t="shared" si="2"/>
        <v>815435.5108</v>
      </c>
      <c r="P197" s="6"/>
      <c r="Q197" s="6">
        <f t="shared" si="11"/>
        <v>6393.163268</v>
      </c>
      <c r="R197" s="6">
        <f t="shared" si="12"/>
        <v>815435.5108</v>
      </c>
      <c r="S197" s="81">
        <f t="shared" si="3"/>
        <v>80.44146367</v>
      </c>
      <c r="T197" s="6"/>
      <c r="U197" s="6"/>
      <c r="V197" s="6"/>
      <c r="W197" s="6"/>
      <c r="X197" s="6"/>
    </row>
    <row r="198" ht="11.25" customHeight="1">
      <c r="A198" s="100">
        <v>17.0</v>
      </c>
      <c r="B198" s="66">
        <f t="shared" si="13"/>
        <v>193</v>
      </c>
      <c r="C198" s="607">
        <v>10600.0</v>
      </c>
      <c r="D198" s="617">
        <f t="shared" si="14"/>
        <v>3126.111923</v>
      </c>
      <c r="E198" s="617">
        <f t="shared" si="1"/>
        <v>7473.888077</v>
      </c>
      <c r="F198" s="617">
        <f t="shared" si="6"/>
        <v>1028973.399</v>
      </c>
      <c r="G198" s="617">
        <f t="shared" si="7"/>
        <v>1016826.601</v>
      </c>
      <c r="H198" s="617">
        <f t="shared" si="8"/>
        <v>2045800</v>
      </c>
      <c r="I198" s="617">
        <f t="shared" si="9"/>
        <v>592739.6011</v>
      </c>
      <c r="J198" s="620">
        <v>6.25</v>
      </c>
      <c r="K198" s="591"/>
      <c r="L198" s="6"/>
      <c r="M198" s="9">
        <v>12000.0</v>
      </c>
      <c r="N198" s="79">
        <f t="shared" si="10"/>
        <v>2310000</v>
      </c>
      <c r="O198" s="6">
        <f t="shared" si="2"/>
        <v>821867.3989</v>
      </c>
      <c r="P198" s="6"/>
      <c r="Q198" s="6">
        <f t="shared" si="11"/>
        <v>6431.888077</v>
      </c>
      <c r="R198" s="6">
        <f t="shared" si="12"/>
        <v>821867.3989</v>
      </c>
      <c r="S198" s="81">
        <f t="shared" si="3"/>
        <v>80.82670122</v>
      </c>
      <c r="T198" s="6"/>
      <c r="U198" s="6"/>
      <c r="V198" s="6"/>
      <c r="W198" s="6"/>
      <c r="X198" s="6"/>
    </row>
    <row r="199" ht="11.25" customHeight="1">
      <c r="A199" s="7"/>
      <c r="B199" s="68">
        <f t="shared" si="13"/>
        <v>194</v>
      </c>
      <c r="C199" s="607">
        <v>10600.0</v>
      </c>
      <c r="D199" s="6">
        <f t="shared" si="14"/>
        <v>3087.185423</v>
      </c>
      <c r="E199" s="6">
        <f t="shared" si="1"/>
        <v>7512.814577</v>
      </c>
      <c r="F199" s="6">
        <f t="shared" si="6"/>
        <v>1036486.213</v>
      </c>
      <c r="G199" s="6">
        <f t="shared" si="7"/>
        <v>1019913.787</v>
      </c>
      <c r="H199" s="6">
        <f t="shared" si="8"/>
        <v>2056400</v>
      </c>
      <c r="I199" s="6">
        <f t="shared" si="9"/>
        <v>585226.7866</v>
      </c>
      <c r="J199" s="620">
        <v>6.25</v>
      </c>
      <c r="K199" s="591"/>
      <c r="L199" s="6"/>
      <c r="M199" s="9">
        <v>12000.0</v>
      </c>
      <c r="N199" s="79">
        <f t="shared" si="10"/>
        <v>2322000</v>
      </c>
      <c r="O199" s="6">
        <f t="shared" si="2"/>
        <v>828338.2134</v>
      </c>
      <c r="P199" s="6"/>
      <c r="Q199" s="6">
        <f t="shared" si="11"/>
        <v>6470.814577</v>
      </c>
      <c r="R199" s="6">
        <f t="shared" si="12"/>
        <v>828338.2134</v>
      </c>
      <c r="S199" s="81">
        <f t="shared" si="3"/>
        <v>81.21649343</v>
      </c>
      <c r="T199" s="6"/>
      <c r="U199" s="6"/>
      <c r="V199" s="6"/>
      <c r="W199" s="6"/>
      <c r="X199" s="6"/>
    </row>
    <row r="200" ht="11.25" customHeight="1">
      <c r="A200" s="7"/>
      <c r="B200" s="68">
        <f t="shared" si="13"/>
        <v>195</v>
      </c>
      <c r="C200" s="607">
        <v>10600.0</v>
      </c>
      <c r="D200" s="6">
        <f t="shared" si="14"/>
        <v>3048.05618</v>
      </c>
      <c r="E200" s="6">
        <f t="shared" si="1"/>
        <v>7551.94382</v>
      </c>
      <c r="F200" s="6">
        <f t="shared" si="6"/>
        <v>1044038.157</v>
      </c>
      <c r="G200" s="6">
        <f t="shared" si="7"/>
        <v>1022961.843</v>
      </c>
      <c r="H200" s="6">
        <f t="shared" si="8"/>
        <v>2067000</v>
      </c>
      <c r="I200" s="6">
        <f t="shared" si="9"/>
        <v>577674.8427</v>
      </c>
      <c r="J200" s="620">
        <v>6.25</v>
      </c>
      <c r="K200" s="591"/>
      <c r="L200" s="6"/>
      <c r="M200" s="9">
        <v>12000.0</v>
      </c>
      <c r="N200" s="79">
        <f t="shared" si="10"/>
        <v>2334000</v>
      </c>
      <c r="O200" s="6">
        <f t="shared" si="2"/>
        <v>834848.1573</v>
      </c>
      <c r="P200" s="6"/>
      <c r="Q200" s="6">
        <f t="shared" si="11"/>
        <v>6509.94382</v>
      </c>
      <c r="R200" s="6">
        <f t="shared" si="12"/>
        <v>834848.1573</v>
      </c>
      <c r="S200" s="81">
        <f t="shared" si="3"/>
        <v>81.61087955</v>
      </c>
      <c r="T200" s="6"/>
      <c r="U200" s="6"/>
      <c r="V200" s="6"/>
      <c r="W200" s="6"/>
      <c r="X200" s="6"/>
    </row>
    <row r="201" ht="11.25" customHeight="1">
      <c r="A201" s="7"/>
      <c r="B201" s="68">
        <f t="shared" si="13"/>
        <v>196</v>
      </c>
      <c r="C201" s="607">
        <v>10600.0</v>
      </c>
      <c r="D201" s="6">
        <f t="shared" si="14"/>
        <v>3008.723139</v>
      </c>
      <c r="E201" s="6">
        <f t="shared" si="1"/>
        <v>7591.276861</v>
      </c>
      <c r="F201" s="6">
        <f t="shared" si="6"/>
        <v>1051629.434</v>
      </c>
      <c r="G201" s="6">
        <f t="shared" si="7"/>
        <v>1025970.566</v>
      </c>
      <c r="H201" s="6">
        <f t="shared" si="8"/>
        <v>2077600</v>
      </c>
      <c r="I201" s="6">
        <f t="shared" si="9"/>
        <v>570083.5659</v>
      </c>
      <c r="J201" s="620">
        <v>6.25</v>
      </c>
      <c r="K201" s="591"/>
      <c r="L201" s="6"/>
      <c r="M201" s="9">
        <v>12000.0</v>
      </c>
      <c r="N201" s="79">
        <f t="shared" si="10"/>
        <v>2346000</v>
      </c>
      <c r="O201" s="6">
        <f t="shared" si="2"/>
        <v>841397.4341</v>
      </c>
      <c r="P201" s="6"/>
      <c r="Q201" s="6">
        <f t="shared" si="11"/>
        <v>6549.276861</v>
      </c>
      <c r="R201" s="6">
        <f t="shared" si="12"/>
        <v>841397.4341</v>
      </c>
      <c r="S201" s="81">
        <f t="shared" si="3"/>
        <v>82.0098999</v>
      </c>
      <c r="T201" s="6"/>
      <c r="U201" s="6"/>
      <c r="V201" s="6"/>
      <c r="W201" s="6"/>
      <c r="X201" s="6"/>
    </row>
    <row r="202" ht="11.25" customHeight="1">
      <c r="A202" s="7"/>
      <c r="B202" s="68">
        <f t="shared" si="13"/>
        <v>197</v>
      </c>
      <c r="C202" s="607">
        <v>10600.0</v>
      </c>
      <c r="D202" s="6">
        <f t="shared" si="14"/>
        <v>2969.185239</v>
      </c>
      <c r="E202" s="6">
        <f t="shared" si="1"/>
        <v>7630.814761</v>
      </c>
      <c r="F202" s="6">
        <f t="shared" si="6"/>
        <v>1059260.249</v>
      </c>
      <c r="G202" s="6">
        <f t="shared" si="7"/>
        <v>1028939.751</v>
      </c>
      <c r="H202" s="6">
        <f t="shared" si="8"/>
        <v>2088200</v>
      </c>
      <c r="I202" s="6">
        <f t="shared" si="9"/>
        <v>562452.7511</v>
      </c>
      <c r="J202" s="620">
        <v>6.25</v>
      </c>
      <c r="K202" s="591"/>
      <c r="L202" s="6"/>
      <c r="M202" s="9">
        <v>12000.0</v>
      </c>
      <c r="N202" s="79">
        <f t="shared" si="10"/>
        <v>2358000</v>
      </c>
      <c r="O202" s="6">
        <f t="shared" si="2"/>
        <v>847986.2489</v>
      </c>
      <c r="P202" s="6"/>
      <c r="Q202" s="6">
        <f t="shared" si="11"/>
        <v>6588.814761</v>
      </c>
      <c r="R202" s="6">
        <f t="shared" si="12"/>
        <v>847986.2489</v>
      </c>
      <c r="S202" s="81">
        <f t="shared" si="3"/>
        <v>82.41359593</v>
      </c>
      <c r="T202" s="6"/>
      <c r="U202" s="6"/>
      <c r="V202" s="6"/>
      <c r="W202" s="6"/>
      <c r="X202" s="6"/>
    </row>
    <row r="203" ht="11.25" customHeight="1">
      <c r="A203" s="7"/>
      <c r="B203" s="68">
        <f t="shared" si="13"/>
        <v>198</v>
      </c>
      <c r="C203" s="607">
        <v>10600.0</v>
      </c>
      <c r="D203" s="6">
        <f t="shared" si="14"/>
        <v>2929.441412</v>
      </c>
      <c r="E203" s="6">
        <f t="shared" si="1"/>
        <v>7670.558588</v>
      </c>
      <c r="F203" s="6">
        <f t="shared" si="6"/>
        <v>1066930.807</v>
      </c>
      <c r="G203" s="6">
        <f t="shared" si="7"/>
        <v>1031869.193</v>
      </c>
      <c r="H203" s="6">
        <f t="shared" si="8"/>
        <v>2098800</v>
      </c>
      <c r="I203" s="6">
        <f t="shared" si="9"/>
        <v>554782.1925</v>
      </c>
      <c r="J203" s="620">
        <v>6.25</v>
      </c>
      <c r="K203" s="591"/>
      <c r="L203" s="6"/>
      <c r="M203" s="9">
        <v>12000.0</v>
      </c>
      <c r="N203" s="79">
        <f t="shared" si="10"/>
        <v>2370000</v>
      </c>
      <c r="O203" s="6">
        <f t="shared" si="2"/>
        <v>854614.8075</v>
      </c>
      <c r="P203" s="6"/>
      <c r="Q203" s="6">
        <f t="shared" si="11"/>
        <v>6628.558588</v>
      </c>
      <c r="R203" s="6">
        <f t="shared" si="12"/>
        <v>854614.8075</v>
      </c>
      <c r="S203" s="81">
        <f t="shared" si="3"/>
        <v>82.82201016</v>
      </c>
      <c r="T203" s="6"/>
      <c r="U203" s="6"/>
      <c r="V203" s="6"/>
      <c r="W203" s="6"/>
      <c r="X203" s="6"/>
    </row>
    <row r="204" ht="11.25" customHeight="1">
      <c r="A204" s="7"/>
      <c r="B204" s="68">
        <f t="shared" si="13"/>
        <v>199</v>
      </c>
      <c r="C204" s="607">
        <v>10600.0</v>
      </c>
      <c r="D204" s="6">
        <f t="shared" si="14"/>
        <v>2889.490586</v>
      </c>
      <c r="E204" s="6">
        <f t="shared" si="1"/>
        <v>7710.509414</v>
      </c>
      <c r="F204" s="6">
        <f t="shared" si="6"/>
        <v>1074641.317</v>
      </c>
      <c r="G204" s="6">
        <f t="shared" si="7"/>
        <v>1034758.683</v>
      </c>
      <c r="H204" s="6">
        <f t="shared" si="8"/>
        <v>2109400</v>
      </c>
      <c r="I204" s="6">
        <f t="shared" si="9"/>
        <v>547071.6831</v>
      </c>
      <c r="J204" s="620">
        <v>6.25</v>
      </c>
      <c r="K204" s="591"/>
      <c r="L204" s="6"/>
      <c r="M204" s="9">
        <v>12000.0</v>
      </c>
      <c r="N204" s="79">
        <f t="shared" si="10"/>
        <v>2382000</v>
      </c>
      <c r="O204" s="6">
        <f t="shared" si="2"/>
        <v>861283.3169</v>
      </c>
      <c r="P204" s="6"/>
      <c r="Q204" s="6">
        <f t="shared" si="11"/>
        <v>6668.509414</v>
      </c>
      <c r="R204" s="6">
        <f t="shared" si="12"/>
        <v>861283.3169</v>
      </c>
      <c r="S204" s="81">
        <f t="shared" si="3"/>
        <v>83.23518623</v>
      </c>
      <c r="T204" s="6"/>
      <c r="U204" s="6"/>
      <c r="V204" s="6"/>
      <c r="W204" s="6"/>
      <c r="X204" s="6"/>
    </row>
    <row r="205" ht="11.25" customHeight="1">
      <c r="A205" s="7"/>
      <c r="B205" s="68">
        <f t="shared" si="13"/>
        <v>200</v>
      </c>
      <c r="C205" s="607">
        <v>10600.0</v>
      </c>
      <c r="D205" s="6">
        <f t="shared" si="14"/>
        <v>2849.331683</v>
      </c>
      <c r="E205" s="6">
        <f t="shared" si="1"/>
        <v>7750.668317</v>
      </c>
      <c r="F205" s="6">
        <f t="shared" si="6"/>
        <v>1082391.985</v>
      </c>
      <c r="G205" s="6">
        <f t="shared" si="7"/>
        <v>1037608.015</v>
      </c>
      <c r="H205" s="6">
        <f t="shared" si="8"/>
        <v>2120000</v>
      </c>
      <c r="I205" s="6">
        <f t="shared" si="9"/>
        <v>539321.0148</v>
      </c>
      <c r="J205" s="620">
        <v>6.25</v>
      </c>
      <c r="K205" s="591"/>
      <c r="L205" s="6"/>
      <c r="M205" s="9">
        <v>12000.0</v>
      </c>
      <c r="N205" s="79">
        <f t="shared" si="10"/>
        <v>2394000</v>
      </c>
      <c r="O205" s="6">
        <f t="shared" si="2"/>
        <v>867991.9852</v>
      </c>
      <c r="P205" s="6"/>
      <c r="Q205" s="6">
        <f t="shared" si="11"/>
        <v>6708.668317</v>
      </c>
      <c r="R205" s="6">
        <f t="shared" si="12"/>
        <v>867991.9852</v>
      </c>
      <c r="S205" s="81">
        <f t="shared" si="3"/>
        <v>83.65316891</v>
      </c>
      <c r="T205" s="6"/>
      <c r="U205" s="6"/>
      <c r="V205" s="6"/>
      <c r="W205" s="6"/>
      <c r="X205" s="6"/>
    </row>
    <row r="206" ht="11.25" customHeight="1">
      <c r="A206" s="7"/>
      <c r="B206" s="68">
        <f t="shared" si="13"/>
        <v>201</v>
      </c>
      <c r="C206" s="607">
        <v>10600.0</v>
      </c>
      <c r="D206" s="6">
        <f t="shared" si="14"/>
        <v>2808.963619</v>
      </c>
      <c r="E206" s="6">
        <f t="shared" si="1"/>
        <v>7791.036381</v>
      </c>
      <c r="F206" s="6">
        <f t="shared" si="6"/>
        <v>1090183.022</v>
      </c>
      <c r="G206" s="6">
        <f t="shared" si="7"/>
        <v>1040416.978</v>
      </c>
      <c r="H206" s="6">
        <f t="shared" si="8"/>
        <v>2130600</v>
      </c>
      <c r="I206" s="6">
        <f t="shared" si="9"/>
        <v>531529.9784</v>
      </c>
      <c r="J206" s="620">
        <v>6.25</v>
      </c>
      <c r="K206" s="591"/>
      <c r="L206" s="6"/>
      <c r="M206" s="9">
        <v>12000.0</v>
      </c>
      <c r="N206" s="79">
        <f t="shared" si="10"/>
        <v>2406000</v>
      </c>
      <c r="O206" s="6">
        <f t="shared" si="2"/>
        <v>874741.0216</v>
      </c>
      <c r="P206" s="6"/>
      <c r="Q206" s="6">
        <f t="shared" si="11"/>
        <v>6749.036381</v>
      </c>
      <c r="R206" s="6">
        <f t="shared" si="12"/>
        <v>874741.0216</v>
      </c>
      <c r="S206" s="81">
        <f t="shared" si="3"/>
        <v>84.07600412</v>
      </c>
      <c r="T206" s="6"/>
      <c r="U206" s="6"/>
      <c r="V206" s="6"/>
      <c r="W206" s="6"/>
      <c r="X206" s="6"/>
    </row>
    <row r="207" ht="11.25" customHeight="1">
      <c r="A207" s="7"/>
      <c r="B207" s="68">
        <f t="shared" si="13"/>
        <v>202</v>
      </c>
      <c r="C207" s="607">
        <v>10600.0</v>
      </c>
      <c r="D207" s="6">
        <f t="shared" si="14"/>
        <v>2768.385304</v>
      </c>
      <c r="E207" s="6">
        <f t="shared" si="1"/>
        <v>7831.614696</v>
      </c>
      <c r="F207" s="6">
        <f t="shared" si="6"/>
        <v>1098014.636</v>
      </c>
      <c r="G207" s="6">
        <f t="shared" si="7"/>
        <v>1043185.364</v>
      </c>
      <c r="H207" s="6">
        <f t="shared" si="8"/>
        <v>2141200</v>
      </c>
      <c r="I207" s="6">
        <f t="shared" si="9"/>
        <v>523698.3637</v>
      </c>
      <c r="J207" s="620">
        <v>6.25</v>
      </c>
      <c r="K207" s="591"/>
      <c r="L207" s="6"/>
      <c r="M207" s="9">
        <v>12000.0</v>
      </c>
      <c r="N207" s="79">
        <f t="shared" si="10"/>
        <v>2418000</v>
      </c>
      <c r="O207" s="6">
        <f t="shared" si="2"/>
        <v>881530.6363</v>
      </c>
      <c r="P207" s="6"/>
      <c r="Q207" s="6">
        <f t="shared" si="11"/>
        <v>6789.614696</v>
      </c>
      <c r="R207" s="6">
        <f t="shared" si="12"/>
        <v>881530.6363</v>
      </c>
      <c r="S207" s="81">
        <f t="shared" si="3"/>
        <v>84.50373893</v>
      </c>
      <c r="T207" s="6"/>
      <c r="U207" s="6"/>
      <c r="V207" s="6"/>
      <c r="W207" s="6"/>
      <c r="X207" s="6"/>
    </row>
    <row r="208" ht="11.25" customHeight="1">
      <c r="A208" s="7"/>
      <c r="B208" s="68">
        <f t="shared" si="13"/>
        <v>203</v>
      </c>
      <c r="C208" s="607">
        <v>10600.0</v>
      </c>
      <c r="D208" s="6">
        <f t="shared" si="14"/>
        <v>2727.595644</v>
      </c>
      <c r="E208" s="6">
        <f t="shared" si="1"/>
        <v>7872.404356</v>
      </c>
      <c r="F208" s="6">
        <f t="shared" si="6"/>
        <v>1105887.041</v>
      </c>
      <c r="G208" s="6">
        <f t="shared" si="7"/>
        <v>1045912.959</v>
      </c>
      <c r="H208" s="6">
        <f t="shared" si="8"/>
        <v>2151800</v>
      </c>
      <c r="I208" s="6">
        <f t="shared" si="9"/>
        <v>515825.9594</v>
      </c>
      <c r="J208" s="620">
        <v>6.25</v>
      </c>
      <c r="K208" s="591"/>
      <c r="L208" s="6"/>
      <c r="M208" s="9">
        <v>12000.0</v>
      </c>
      <c r="N208" s="79">
        <f t="shared" si="10"/>
        <v>2430000</v>
      </c>
      <c r="O208" s="6">
        <f t="shared" si="2"/>
        <v>888361.0406</v>
      </c>
      <c r="P208" s="6"/>
      <c r="Q208" s="6">
        <f t="shared" si="11"/>
        <v>6830.404356</v>
      </c>
      <c r="R208" s="6">
        <f t="shared" si="12"/>
        <v>888361.0406</v>
      </c>
      <c r="S208" s="81">
        <f t="shared" si="3"/>
        <v>84.93642159</v>
      </c>
      <c r="T208" s="6"/>
      <c r="U208" s="6"/>
      <c r="V208" s="6"/>
      <c r="W208" s="6"/>
      <c r="X208" s="6"/>
    </row>
    <row r="209" ht="11.25" customHeight="1">
      <c r="A209" s="71"/>
      <c r="B209" s="72">
        <f t="shared" si="13"/>
        <v>204</v>
      </c>
      <c r="C209" s="607">
        <v>10600.0</v>
      </c>
      <c r="D209" s="10">
        <f t="shared" si="14"/>
        <v>2686.593538</v>
      </c>
      <c r="E209" s="10">
        <f t="shared" si="1"/>
        <v>7913.406462</v>
      </c>
      <c r="F209" s="10">
        <f t="shared" si="6"/>
        <v>1113800.447</v>
      </c>
      <c r="G209" s="10">
        <f t="shared" si="7"/>
        <v>1048599.553</v>
      </c>
      <c r="H209" s="10">
        <f t="shared" si="8"/>
        <v>2162400</v>
      </c>
      <c r="I209" s="10">
        <f t="shared" si="9"/>
        <v>507912.5529</v>
      </c>
      <c r="J209" s="620">
        <v>6.25</v>
      </c>
      <c r="K209" s="591"/>
      <c r="L209" s="6"/>
      <c r="M209" s="9">
        <v>12000.0</v>
      </c>
      <c r="N209" s="79">
        <f t="shared" si="10"/>
        <v>2442000</v>
      </c>
      <c r="O209" s="6">
        <f t="shared" si="2"/>
        <v>895232.4471</v>
      </c>
      <c r="P209" s="6"/>
      <c r="Q209" s="6">
        <f t="shared" si="11"/>
        <v>6871.406462</v>
      </c>
      <c r="R209" s="6">
        <f t="shared" si="12"/>
        <v>895232.4471</v>
      </c>
      <c r="S209" s="81">
        <f t="shared" si="3"/>
        <v>85.37410155</v>
      </c>
      <c r="T209" s="6"/>
      <c r="U209" s="6"/>
      <c r="V209" s="6"/>
      <c r="W209" s="6"/>
      <c r="X209" s="6"/>
    </row>
    <row r="210" ht="11.25" customHeight="1">
      <c r="A210" s="100">
        <v>18.0</v>
      </c>
      <c r="B210" s="66">
        <f t="shared" si="13"/>
        <v>205</v>
      </c>
      <c r="C210" s="607">
        <v>10600.0</v>
      </c>
      <c r="D210" s="617">
        <f t="shared" si="14"/>
        <v>2645.37788</v>
      </c>
      <c r="E210" s="617">
        <f t="shared" si="1"/>
        <v>7954.62212</v>
      </c>
      <c r="F210" s="617">
        <f t="shared" si="6"/>
        <v>1121755.069</v>
      </c>
      <c r="G210" s="617">
        <f t="shared" si="7"/>
        <v>1051244.931</v>
      </c>
      <c r="H210" s="617">
        <f t="shared" si="8"/>
        <v>2173000</v>
      </c>
      <c r="I210" s="617">
        <f t="shared" si="9"/>
        <v>499957.9308</v>
      </c>
      <c r="J210" s="620">
        <v>6.25</v>
      </c>
      <c r="K210" s="591"/>
      <c r="L210" s="6"/>
      <c r="M210" s="9">
        <v>12000.0</v>
      </c>
      <c r="N210" s="79">
        <f t="shared" si="10"/>
        <v>2454000</v>
      </c>
      <c r="O210" s="6">
        <f t="shared" si="2"/>
        <v>902145.0692</v>
      </c>
      <c r="P210" s="6"/>
      <c r="Q210" s="6">
        <f t="shared" si="11"/>
        <v>6912.62212</v>
      </c>
      <c r="R210" s="6">
        <f t="shared" si="12"/>
        <v>902145.0692</v>
      </c>
      <c r="S210" s="81">
        <f t="shared" si="3"/>
        <v>85.81682944</v>
      </c>
      <c r="T210" s="6"/>
      <c r="U210" s="6"/>
      <c r="V210" s="6"/>
      <c r="W210" s="6"/>
      <c r="X210" s="6"/>
    </row>
    <row r="211" ht="11.25" customHeight="1">
      <c r="A211" s="7"/>
      <c r="B211" s="68">
        <f t="shared" si="13"/>
        <v>206</v>
      </c>
      <c r="C211" s="607">
        <v>10600.0</v>
      </c>
      <c r="D211" s="6">
        <f t="shared" si="14"/>
        <v>2603.947556</v>
      </c>
      <c r="E211" s="6">
        <f t="shared" si="1"/>
        <v>7996.052444</v>
      </c>
      <c r="F211" s="6">
        <f t="shared" si="6"/>
        <v>1129751.122</v>
      </c>
      <c r="G211" s="6">
        <f t="shared" si="7"/>
        <v>1053848.878</v>
      </c>
      <c r="H211" s="6">
        <f t="shared" si="8"/>
        <v>2183600</v>
      </c>
      <c r="I211" s="6">
        <f t="shared" si="9"/>
        <v>491961.8783</v>
      </c>
      <c r="J211" s="620">
        <v>6.25</v>
      </c>
      <c r="K211" s="591"/>
      <c r="L211" s="6"/>
      <c r="M211" s="9">
        <v>12000.0</v>
      </c>
      <c r="N211" s="79">
        <f t="shared" si="10"/>
        <v>2466000</v>
      </c>
      <c r="O211" s="6">
        <f t="shared" si="2"/>
        <v>909099.1217</v>
      </c>
      <c r="P211" s="6"/>
      <c r="Q211" s="6">
        <f t="shared" si="11"/>
        <v>6954.052444</v>
      </c>
      <c r="R211" s="6">
        <f t="shared" si="12"/>
        <v>909099.1217</v>
      </c>
      <c r="S211" s="81">
        <f t="shared" si="3"/>
        <v>86.26465714</v>
      </c>
      <c r="T211" s="6"/>
      <c r="U211" s="6"/>
      <c r="V211" s="6"/>
      <c r="W211" s="6"/>
      <c r="X211" s="6"/>
    </row>
    <row r="212" ht="11.25" customHeight="1">
      <c r="A212" s="7"/>
      <c r="B212" s="68">
        <f t="shared" si="13"/>
        <v>207</v>
      </c>
      <c r="C212" s="607">
        <v>10600.0</v>
      </c>
      <c r="D212" s="6">
        <f t="shared" si="14"/>
        <v>2562.30145</v>
      </c>
      <c r="E212" s="6">
        <f t="shared" si="1"/>
        <v>8037.69855</v>
      </c>
      <c r="F212" s="6">
        <f t="shared" si="6"/>
        <v>1137788.82</v>
      </c>
      <c r="G212" s="6">
        <f t="shared" si="7"/>
        <v>1056411.18</v>
      </c>
      <c r="H212" s="6">
        <f t="shared" si="8"/>
        <v>2194200</v>
      </c>
      <c r="I212" s="6">
        <f t="shared" si="9"/>
        <v>483924.1798</v>
      </c>
      <c r="J212" s="620">
        <v>6.25</v>
      </c>
      <c r="K212" s="591"/>
      <c r="L212" s="6"/>
      <c r="M212" s="9">
        <v>12000.0</v>
      </c>
      <c r="N212" s="79">
        <f t="shared" si="10"/>
        <v>2478000</v>
      </c>
      <c r="O212" s="6">
        <f t="shared" si="2"/>
        <v>916094.8202</v>
      </c>
      <c r="P212" s="6"/>
      <c r="Q212" s="6">
        <f t="shared" si="11"/>
        <v>6995.69855</v>
      </c>
      <c r="R212" s="6">
        <f t="shared" si="12"/>
        <v>916094.8202</v>
      </c>
      <c r="S212" s="81">
        <f t="shared" si="3"/>
        <v>86.71763777</v>
      </c>
      <c r="T212" s="6"/>
      <c r="U212" s="6"/>
      <c r="V212" s="6"/>
      <c r="W212" s="6"/>
      <c r="X212" s="6"/>
    </row>
    <row r="213" ht="11.25" customHeight="1">
      <c r="A213" s="7"/>
      <c r="B213" s="68">
        <f t="shared" si="13"/>
        <v>208</v>
      </c>
      <c r="C213" s="607">
        <v>10600.0</v>
      </c>
      <c r="D213" s="6">
        <f t="shared" si="14"/>
        <v>2520.438436</v>
      </c>
      <c r="E213" s="6">
        <f t="shared" si="1"/>
        <v>8079.561564</v>
      </c>
      <c r="F213" s="6">
        <f t="shared" si="6"/>
        <v>1145868.382</v>
      </c>
      <c r="G213" s="6">
        <f t="shared" si="7"/>
        <v>1058931.618</v>
      </c>
      <c r="H213" s="6">
        <f t="shared" si="8"/>
        <v>2204800</v>
      </c>
      <c r="I213" s="6">
        <f t="shared" si="9"/>
        <v>475844.6182</v>
      </c>
      <c r="J213" s="620">
        <v>6.25</v>
      </c>
      <c r="K213" s="591"/>
      <c r="L213" s="6"/>
      <c r="M213" s="9">
        <v>12000.0</v>
      </c>
      <c r="N213" s="79">
        <f t="shared" si="10"/>
        <v>2490000</v>
      </c>
      <c r="O213" s="6">
        <f t="shared" si="2"/>
        <v>923132.3818</v>
      </c>
      <c r="P213" s="6"/>
      <c r="Q213" s="6">
        <f t="shared" si="11"/>
        <v>7037.561564</v>
      </c>
      <c r="R213" s="6">
        <f t="shared" si="12"/>
        <v>923132.3818</v>
      </c>
      <c r="S213" s="81">
        <f t="shared" si="3"/>
        <v>87.1758257</v>
      </c>
      <c r="T213" s="6"/>
      <c r="U213" s="6"/>
      <c r="V213" s="6"/>
      <c r="W213" s="6"/>
      <c r="X213" s="6"/>
    </row>
    <row r="214" ht="11.25" customHeight="1">
      <c r="A214" s="7"/>
      <c r="B214" s="68">
        <f t="shared" si="13"/>
        <v>209</v>
      </c>
      <c r="C214" s="607">
        <v>10600.0</v>
      </c>
      <c r="D214" s="6">
        <f t="shared" si="14"/>
        <v>2478.357387</v>
      </c>
      <c r="E214" s="6">
        <f t="shared" si="1"/>
        <v>8121.642613</v>
      </c>
      <c r="F214" s="6">
        <f t="shared" si="6"/>
        <v>1153990.024</v>
      </c>
      <c r="G214" s="6">
        <f t="shared" si="7"/>
        <v>1061409.976</v>
      </c>
      <c r="H214" s="6">
        <f t="shared" si="8"/>
        <v>2215400</v>
      </c>
      <c r="I214" s="6">
        <f t="shared" si="9"/>
        <v>467722.9756</v>
      </c>
      <c r="J214" s="620">
        <v>6.25</v>
      </c>
      <c r="K214" s="591"/>
      <c r="L214" s="6"/>
      <c r="M214" s="9">
        <v>12000.0</v>
      </c>
      <c r="N214" s="79">
        <f t="shared" si="10"/>
        <v>2502000</v>
      </c>
      <c r="O214" s="6">
        <f t="shared" si="2"/>
        <v>930212.0244</v>
      </c>
      <c r="P214" s="6"/>
      <c r="Q214" s="6">
        <f t="shared" si="11"/>
        <v>7079.642613</v>
      </c>
      <c r="R214" s="6">
        <f t="shared" si="12"/>
        <v>930212.0244</v>
      </c>
      <c r="S214" s="81">
        <f t="shared" si="3"/>
        <v>87.6392766</v>
      </c>
      <c r="T214" s="6"/>
      <c r="U214" s="6"/>
      <c r="V214" s="6"/>
      <c r="W214" s="6"/>
      <c r="X214" s="6"/>
    </row>
    <row r="215" ht="11.25" customHeight="1">
      <c r="A215" s="7"/>
      <c r="B215" s="68">
        <f t="shared" si="13"/>
        <v>210</v>
      </c>
      <c r="C215" s="607">
        <v>10600.0</v>
      </c>
      <c r="D215" s="6">
        <f t="shared" si="14"/>
        <v>2436.057165</v>
      </c>
      <c r="E215" s="6">
        <f t="shared" si="1"/>
        <v>8163.942835</v>
      </c>
      <c r="F215" s="6">
        <f t="shared" si="6"/>
        <v>1162153.967</v>
      </c>
      <c r="G215" s="6">
        <f t="shared" si="7"/>
        <v>1063846.033</v>
      </c>
      <c r="H215" s="6">
        <f t="shared" si="8"/>
        <v>2226000</v>
      </c>
      <c r="I215" s="6">
        <f t="shared" si="9"/>
        <v>459559.0328</v>
      </c>
      <c r="J215" s="620">
        <v>6.25</v>
      </c>
      <c r="K215" s="591"/>
      <c r="L215" s="6"/>
      <c r="M215" s="9">
        <v>12000.0</v>
      </c>
      <c r="N215" s="79">
        <f t="shared" si="10"/>
        <v>2514000</v>
      </c>
      <c r="O215" s="6">
        <f t="shared" si="2"/>
        <v>937333.9672</v>
      </c>
      <c r="P215" s="6"/>
      <c r="Q215" s="6">
        <f t="shared" si="11"/>
        <v>7121.942835</v>
      </c>
      <c r="R215" s="6">
        <f t="shared" si="12"/>
        <v>937333.9672</v>
      </c>
      <c r="S215" s="81">
        <f t="shared" si="3"/>
        <v>88.10804744</v>
      </c>
      <c r="T215" s="6"/>
      <c r="U215" s="6"/>
      <c r="V215" s="6"/>
      <c r="W215" s="6"/>
      <c r="X215" s="6"/>
    </row>
    <row r="216" ht="11.25" customHeight="1">
      <c r="A216" s="7"/>
      <c r="B216" s="68">
        <f t="shared" si="13"/>
        <v>211</v>
      </c>
      <c r="C216" s="607">
        <v>10600.0</v>
      </c>
      <c r="D216" s="6">
        <f t="shared" si="14"/>
        <v>2393.536629</v>
      </c>
      <c r="E216" s="6">
        <f t="shared" si="1"/>
        <v>8206.463371</v>
      </c>
      <c r="F216" s="6">
        <f t="shared" si="6"/>
        <v>1170360.431</v>
      </c>
      <c r="G216" s="6">
        <f t="shared" si="7"/>
        <v>1066239.569</v>
      </c>
      <c r="H216" s="6">
        <f t="shared" si="8"/>
        <v>2236600</v>
      </c>
      <c r="I216" s="6">
        <f t="shared" si="9"/>
        <v>451352.5694</v>
      </c>
      <c r="J216" s="620">
        <v>6.25</v>
      </c>
      <c r="K216" s="591"/>
      <c r="L216" s="6"/>
      <c r="M216" s="9">
        <v>12000.0</v>
      </c>
      <c r="N216" s="79">
        <f t="shared" si="10"/>
        <v>2526000</v>
      </c>
      <c r="O216" s="6">
        <f t="shared" si="2"/>
        <v>944498.4306</v>
      </c>
      <c r="P216" s="6"/>
      <c r="Q216" s="6">
        <f t="shared" si="11"/>
        <v>7164.463371</v>
      </c>
      <c r="R216" s="6">
        <f t="shared" si="12"/>
        <v>944498.4306</v>
      </c>
      <c r="S216" s="81">
        <f t="shared" si="3"/>
        <v>88.58219651</v>
      </c>
      <c r="T216" s="6"/>
      <c r="U216" s="6"/>
      <c r="V216" s="6"/>
      <c r="W216" s="6"/>
      <c r="X216" s="6"/>
    </row>
    <row r="217" ht="11.25" customHeight="1">
      <c r="A217" s="7"/>
      <c r="B217" s="68">
        <f t="shared" si="13"/>
        <v>212</v>
      </c>
      <c r="C217" s="607">
        <v>10600.0</v>
      </c>
      <c r="D217" s="6">
        <f t="shared" si="14"/>
        <v>2350.794632</v>
      </c>
      <c r="E217" s="6">
        <f t="shared" si="1"/>
        <v>8249.205368</v>
      </c>
      <c r="F217" s="6">
        <f t="shared" si="6"/>
        <v>1178609.636</v>
      </c>
      <c r="G217" s="6">
        <f t="shared" si="7"/>
        <v>1068590.364</v>
      </c>
      <c r="H217" s="6">
        <f t="shared" si="8"/>
        <v>2247200</v>
      </c>
      <c r="I217" s="6">
        <f t="shared" si="9"/>
        <v>443103.364</v>
      </c>
      <c r="J217" s="620">
        <v>6.25</v>
      </c>
      <c r="K217" s="591"/>
      <c r="L217" s="6"/>
      <c r="M217" s="9">
        <v>12000.0</v>
      </c>
      <c r="N217" s="79">
        <f t="shared" si="10"/>
        <v>2538000</v>
      </c>
      <c r="O217" s="6">
        <f t="shared" si="2"/>
        <v>951705.636</v>
      </c>
      <c r="P217" s="6"/>
      <c r="Q217" s="6">
        <f t="shared" si="11"/>
        <v>7207.205368</v>
      </c>
      <c r="R217" s="6">
        <f t="shared" si="12"/>
        <v>951705.636</v>
      </c>
      <c r="S217" s="81">
        <f t="shared" si="3"/>
        <v>89.06178345</v>
      </c>
      <c r="T217" s="6"/>
      <c r="U217" s="6"/>
      <c r="V217" s="6"/>
      <c r="W217" s="6"/>
      <c r="X217" s="6"/>
    </row>
    <row r="218" ht="11.25" customHeight="1">
      <c r="A218" s="7"/>
      <c r="B218" s="68">
        <f t="shared" si="13"/>
        <v>213</v>
      </c>
      <c r="C218" s="607">
        <v>10600.0</v>
      </c>
      <c r="D218" s="6">
        <f t="shared" si="14"/>
        <v>2307.830021</v>
      </c>
      <c r="E218" s="6">
        <f t="shared" si="1"/>
        <v>8292.169979</v>
      </c>
      <c r="F218" s="6">
        <f t="shared" si="6"/>
        <v>1186901.806</v>
      </c>
      <c r="G218" s="6">
        <f t="shared" si="7"/>
        <v>1070898.194</v>
      </c>
      <c r="H218" s="6">
        <f t="shared" si="8"/>
        <v>2257800</v>
      </c>
      <c r="I218" s="6">
        <f t="shared" si="9"/>
        <v>434811.1941</v>
      </c>
      <c r="J218" s="620">
        <v>6.25</v>
      </c>
      <c r="K218" s="591"/>
      <c r="L218" s="6"/>
      <c r="M218" s="9">
        <v>12000.0</v>
      </c>
      <c r="N218" s="79">
        <f t="shared" si="10"/>
        <v>2550000</v>
      </c>
      <c r="O218" s="6">
        <f t="shared" si="2"/>
        <v>958955.8059</v>
      </c>
      <c r="P218" s="6"/>
      <c r="Q218" s="6">
        <f t="shared" si="11"/>
        <v>7250.169979</v>
      </c>
      <c r="R218" s="6">
        <f t="shared" si="12"/>
        <v>958955.8059</v>
      </c>
      <c r="S218" s="81">
        <f t="shared" si="3"/>
        <v>89.54686928</v>
      </c>
      <c r="T218" s="6"/>
      <c r="U218" s="6"/>
      <c r="V218" s="6"/>
      <c r="W218" s="6"/>
      <c r="X218" s="6"/>
    </row>
    <row r="219" ht="11.25" customHeight="1">
      <c r="A219" s="7"/>
      <c r="B219" s="68">
        <f t="shared" si="13"/>
        <v>214</v>
      </c>
      <c r="C219" s="607">
        <v>10600.0</v>
      </c>
      <c r="D219" s="6">
        <f t="shared" si="14"/>
        <v>2264.641636</v>
      </c>
      <c r="E219" s="6">
        <f t="shared" si="1"/>
        <v>8335.358364</v>
      </c>
      <c r="F219" s="6">
        <f t="shared" si="6"/>
        <v>1195237.164</v>
      </c>
      <c r="G219" s="6">
        <f t="shared" si="7"/>
        <v>1073162.836</v>
      </c>
      <c r="H219" s="6">
        <f t="shared" si="8"/>
        <v>2268400</v>
      </c>
      <c r="I219" s="6">
        <f t="shared" si="9"/>
        <v>426475.8357</v>
      </c>
      <c r="J219" s="620">
        <v>6.25</v>
      </c>
      <c r="K219" s="591"/>
      <c r="L219" s="6"/>
      <c r="M219" s="9">
        <v>12000.0</v>
      </c>
      <c r="N219" s="79">
        <f t="shared" si="10"/>
        <v>2562000</v>
      </c>
      <c r="O219" s="6">
        <f t="shared" si="2"/>
        <v>966249.1643</v>
      </c>
      <c r="P219" s="6"/>
      <c r="Q219" s="6">
        <f t="shared" si="11"/>
        <v>7293.358364</v>
      </c>
      <c r="R219" s="6">
        <f t="shared" si="12"/>
        <v>966249.1643</v>
      </c>
      <c r="S219" s="81">
        <f t="shared" si="3"/>
        <v>90.03751641</v>
      </c>
      <c r="T219" s="6"/>
      <c r="U219" s="6"/>
      <c r="V219" s="6"/>
      <c r="W219" s="6"/>
      <c r="X219" s="6"/>
    </row>
    <row r="220" ht="11.25" customHeight="1">
      <c r="A220" s="7"/>
      <c r="B220" s="68">
        <f t="shared" si="13"/>
        <v>215</v>
      </c>
      <c r="C220" s="607">
        <v>10600.0</v>
      </c>
      <c r="D220" s="6">
        <f t="shared" si="14"/>
        <v>2221.228311</v>
      </c>
      <c r="E220" s="6">
        <f t="shared" si="1"/>
        <v>8378.771689</v>
      </c>
      <c r="F220" s="6">
        <f t="shared" si="6"/>
        <v>1203615.936</v>
      </c>
      <c r="G220" s="6">
        <f t="shared" si="7"/>
        <v>1075384.064</v>
      </c>
      <c r="H220" s="6">
        <f t="shared" si="8"/>
        <v>2279000</v>
      </c>
      <c r="I220" s="6">
        <f t="shared" si="9"/>
        <v>418097.064</v>
      </c>
      <c r="J220" s="620">
        <v>6.25</v>
      </c>
      <c r="K220" s="591"/>
      <c r="L220" s="6"/>
      <c r="M220" s="9">
        <v>12000.0</v>
      </c>
      <c r="N220" s="79">
        <f t="shared" si="10"/>
        <v>2574000</v>
      </c>
      <c r="O220" s="6">
        <f t="shared" si="2"/>
        <v>973585.936</v>
      </c>
      <c r="P220" s="6"/>
      <c r="Q220" s="6">
        <f t="shared" si="11"/>
        <v>7336.771689</v>
      </c>
      <c r="R220" s="6">
        <f t="shared" si="12"/>
        <v>973585.936</v>
      </c>
      <c r="S220" s="81">
        <f t="shared" si="3"/>
        <v>90.53378868</v>
      </c>
      <c r="T220" s="6"/>
      <c r="U220" s="6"/>
      <c r="V220" s="6"/>
      <c r="W220" s="6"/>
      <c r="X220" s="6"/>
    </row>
    <row r="221" ht="11.25" customHeight="1">
      <c r="A221" s="71"/>
      <c r="B221" s="72">
        <f t="shared" si="13"/>
        <v>216</v>
      </c>
      <c r="C221" s="607">
        <v>10600.0</v>
      </c>
      <c r="D221" s="10">
        <f t="shared" si="14"/>
        <v>2177.588875</v>
      </c>
      <c r="E221" s="10">
        <f t="shared" si="1"/>
        <v>8422.411125</v>
      </c>
      <c r="F221" s="10">
        <f t="shared" si="6"/>
        <v>1212038.347</v>
      </c>
      <c r="G221" s="10">
        <f t="shared" si="7"/>
        <v>1077561.653</v>
      </c>
      <c r="H221" s="10">
        <f t="shared" si="8"/>
        <v>2289600</v>
      </c>
      <c r="I221" s="10">
        <f t="shared" si="9"/>
        <v>409674.6529</v>
      </c>
      <c r="J221" s="620">
        <v>6.25</v>
      </c>
      <c r="K221" s="591"/>
      <c r="L221" s="6"/>
      <c r="M221" s="9">
        <v>12000.0</v>
      </c>
      <c r="N221" s="79">
        <f t="shared" si="10"/>
        <v>2586000</v>
      </c>
      <c r="O221" s="6">
        <f t="shared" si="2"/>
        <v>980966.3471</v>
      </c>
      <c r="P221" s="6"/>
      <c r="Q221" s="6">
        <f t="shared" si="11"/>
        <v>7380.411125</v>
      </c>
      <c r="R221" s="6">
        <f t="shared" si="12"/>
        <v>980966.3471</v>
      </c>
      <c r="S221" s="81">
        <f t="shared" si="3"/>
        <v>91.03575137</v>
      </c>
      <c r="T221" s="6"/>
      <c r="U221" s="6"/>
      <c r="V221" s="6"/>
      <c r="W221" s="6"/>
      <c r="X221" s="6"/>
    </row>
    <row r="222" ht="11.25" customHeight="1">
      <c r="A222" s="100">
        <v>19.0</v>
      </c>
      <c r="B222" s="66">
        <f t="shared" si="13"/>
        <v>217</v>
      </c>
      <c r="C222" s="607">
        <v>10600.0</v>
      </c>
      <c r="D222" s="617">
        <f t="shared" si="14"/>
        <v>2133.72215</v>
      </c>
      <c r="E222" s="617">
        <f t="shared" si="1"/>
        <v>8466.27785</v>
      </c>
      <c r="F222" s="617">
        <f t="shared" si="6"/>
        <v>1220504.625</v>
      </c>
      <c r="G222" s="617">
        <f t="shared" si="7"/>
        <v>1079695.375</v>
      </c>
      <c r="H222" s="617">
        <f t="shared" si="8"/>
        <v>2300200</v>
      </c>
      <c r="I222" s="617">
        <f t="shared" si="9"/>
        <v>401208.375</v>
      </c>
      <c r="J222" s="620">
        <v>6.25</v>
      </c>
      <c r="K222" s="591"/>
      <c r="L222" s="6"/>
      <c r="M222" s="9">
        <v>12000.0</v>
      </c>
      <c r="N222" s="79">
        <f t="shared" si="10"/>
        <v>2598000</v>
      </c>
      <c r="O222" s="6">
        <f t="shared" si="2"/>
        <v>988390.625</v>
      </c>
      <c r="P222" s="6"/>
      <c r="Q222" s="6">
        <f t="shared" si="11"/>
        <v>7424.27785</v>
      </c>
      <c r="R222" s="6">
        <f t="shared" si="12"/>
        <v>988390.625</v>
      </c>
      <c r="S222" s="81">
        <f t="shared" si="3"/>
        <v>91.54347123</v>
      </c>
      <c r="T222" s="6"/>
      <c r="U222" s="6"/>
      <c r="V222" s="6"/>
      <c r="W222" s="6"/>
      <c r="X222" s="6"/>
    </row>
    <row r="223" ht="11.25" customHeight="1">
      <c r="A223" s="7"/>
      <c r="B223" s="68">
        <f t="shared" si="13"/>
        <v>218</v>
      </c>
      <c r="C223" s="607">
        <v>10600.0</v>
      </c>
      <c r="D223" s="6">
        <f t="shared" si="14"/>
        <v>2089.626953</v>
      </c>
      <c r="E223" s="6">
        <f t="shared" si="1"/>
        <v>8510.373047</v>
      </c>
      <c r="F223" s="6">
        <f t="shared" si="6"/>
        <v>1229014.998</v>
      </c>
      <c r="G223" s="6">
        <f t="shared" si="7"/>
        <v>1081785.002</v>
      </c>
      <c r="H223" s="6">
        <f t="shared" si="8"/>
        <v>2310800</v>
      </c>
      <c r="I223" s="6">
        <f t="shared" si="9"/>
        <v>392698.002</v>
      </c>
      <c r="J223" s="620">
        <v>6.25</v>
      </c>
      <c r="K223" s="591"/>
      <c r="L223" s="6"/>
      <c r="M223" s="9">
        <v>12000.0</v>
      </c>
      <c r="N223" s="79">
        <f t="shared" si="10"/>
        <v>2610000</v>
      </c>
      <c r="O223" s="6">
        <f t="shared" si="2"/>
        <v>995858.998</v>
      </c>
      <c r="P223" s="6"/>
      <c r="Q223" s="6">
        <f t="shared" si="11"/>
        <v>7468.373047</v>
      </c>
      <c r="R223" s="6">
        <f t="shared" si="12"/>
        <v>995858.998</v>
      </c>
      <c r="S223" s="81">
        <f t="shared" si="3"/>
        <v>92.05701652</v>
      </c>
      <c r="T223" s="6"/>
      <c r="U223" s="6"/>
      <c r="V223" s="6"/>
      <c r="W223" s="6"/>
      <c r="X223" s="6"/>
    </row>
    <row r="224" ht="11.25" customHeight="1">
      <c r="A224" s="7"/>
      <c r="B224" s="68">
        <f t="shared" si="13"/>
        <v>219</v>
      </c>
      <c r="C224" s="607">
        <v>10600.0</v>
      </c>
      <c r="D224" s="6">
        <f t="shared" si="14"/>
        <v>2045.302094</v>
      </c>
      <c r="E224" s="6">
        <f t="shared" si="1"/>
        <v>8554.697906</v>
      </c>
      <c r="F224" s="6">
        <f t="shared" si="6"/>
        <v>1237569.696</v>
      </c>
      <c r="G224" s="6">
        <f t="shared" si="7"/>
        <v>1083830.304</v>
      </c>
      <c r="H224" s="6">
        <f t="shared" si="8"/>
        <v>2321400</v>
      </c>
      <c r="I224" s="6">
        <f t="shared" si="9"/>
        <v>384143.3041</v>
      </c>
      <c r="J224" s="620">
        <v>6.25</v>
      </c>
      <c r="K224" s="591"/>
      <c r="L224" s="6"/>
      <c r="M224" s="9">
        <v>12000.0</v>
      </c>
      <c r="N224" s="79">
        <f t="shared" si="10"/>
        <v>2622000</v>
      </c>
      <c r="O224" s="6">
        <f t="shared" si="2"/>
        <v>1003371.696</v>
      </c>
      <c r="P224" s="6"/>
      <c r="Q224" s="6">
        <f t="shared" si="11"/>
        <v>7512.697906</v>
      </c>
      <c r="R224" s="6">
        <f t="shared" si="12"/>
        <v>1003371.696</v>
      </c>
      <c r="S224" s="81">
        <f t="shared" si="3"/>
        <v>92.57645705</v>
      </c>
      <c r="T224" s="6"/>
      <c r="U224" s="6"/>
      <c r="V224" s="6"/>
      <c r="W224" s="6"/>
      <c r="X224" s="6"/>
    </row>
    <row r="225" ht="11.25" customHeight="1">
      <c r="A225" s="7"/>
      <c r="B225" s="68">
        <f t="shared" si="13"/>
        <v>220</v>
      </c>
      <c r="C225" s="607">
        <v>10600.0</v>
      </c>
      <c r="D225" s="6">
        <f t="shared" si="14"/>
        <v>2000.746375</v>
      </c>
      <c r="E225" s="6">
        <f t="shared" si="1"/>
        <v>8599.253625</v>
      </c>
      <c r="F225" s="6">
        <f t="shared" si="6"/>
        <v>1246168.95</v>
      </c>
      <c r="G225" s="6">
        <f t="shared" si="7"/>
        <v>1085831.05</v>
      </c>
      <c r="H225" s="6">
        <f t="shared" si="8"/>
        <v>2332000</v>
      </c>
      <c r="I225" s="6">
        <f t="shared" si="9"/>
        <v>375544.0504</v>
      </c>
      <c r="J225" s="620">
        <v>6.25</v>
      </c>
      <c r="K225" s="591"/>
      <c r="L225" s="6"/>
      <c r="M225" s="9">
        <v>12000.0</v>
      </c>
      <c r="N225" s="79">
        <f t="shared" si="10"/>
        <v>2634000</v>
      </c>
      <c r="O225" s="6">
        <f t="shared" si="2"/>
        <v>1010928.95</v>
      </c>
      <c r="P225" s="6"/>
      <c r="Q225" s="6">
        <f t="shared" si="11"/>
        <v>7557.253625</v>
      </c>
      <c r="R225" s="6">
        <f t="shared" si="12"/>
        <v>1010928.95</v>
      </c>
      <c r="S225" s="81">
        <f t="shared" si="3"/>
        <v>93.10186416</v>
      </c>
      <c r="T225" s="6"/>
      <c r="U225" s="6"/>
      <c r="V225" s="6"/>
      <c r="W225" s="6"/>
      <c r="X225" s="6"/>
    </row>
    <row r="226" ht="11.25" customHeight="1">
      <c r="A226" s="7"/>
      <c r="B226" s="68">
        <f t="shared" si="13"/>
        <v>221</v>
      </c>
      <c r="C226" s="607">
        <v>10600.0</v>
      </c>
      <c r="D226" s="6">
        <f t="shared" si="14"/>
        <v>1955.958596</v>
      </c>
      <c r="E226" s="6">
        <f t="shared" si="1"/>
        <v>8644.041404</v>
      </c>
      <c r="F226" s="6">
        <f t="shared" si="6"/>
        <v>1254812.991</v>
      </c>
      <c r="G226" s="6">
        <f t="shared" si="7"/>
        <v>1087787.009</v>
      </c>
      <c r="H226" s="6">
        <f t="shared" si="8"/>
        <v>2342600</v>
      </c>
      <c r="I226" s="6">
        <f t="shared" si="9"/>
        <v>366900.009</v>
      </c>
      <c r="J226" s="620">
        <v>6.25</v>
      </c>
      <c r="K226" s="591"/>
      <c r="L226" s="6"/>
      <c r="M226" s="9">
        <v>12000.0</v>
      </c>
      <c r="N226" s="79">
        <f t="shared" si="10"/>
        <v>2646000</v>
      </c>
      <c r="O226" s="6">
        <f t="shared" si="2"/>
        <v>1018530.991</v>
      </c>
      <c r="P226" s="6"/>
      <c r="Q226" s="6">
        <f t="shared" si="11"/>
        <v>7602.041404</v>
      </c>
      <c r="R226" s="6">
        <f t="shared" si="12"/>
        <v>1018530.991</v>
      </c>
      <c r="S226" s="81">
        <f t="shared" si="3"/>
        <v>93.63331079</v>
      </c>
      <c r="T226" s="6"/>
      <c r="U226" s="6"/>
      <c r="V226" s="6"/>
      <c r="W226" s="6"/>
      <c r="X226" s="6"/>
    </row>
    <row r="227" ht="11.25" customHeight="1">
      <c r="A227" s="7"/>
      <c r="B227" s="68">
        <f t="shared" si="13"/>
        <v>222</v>
      </c>
      <c r="C227" s="607">
        <v>10600.0</v>
      </c>
      <c r="D227" s="6">
        <f t="shared" si="14"/>
        <v>1910.937547</v>
      </c>
      <c r="E227" s="6">
        <f t="shared" si="1"/>
        <v>8689.062453</v>
      </c>
      <c r="F227" s="6">
        <f t="shared" si="6"/>
        <v>1263502.053</v>
      </c>
      <c r="G227" s="6">
        <f t="shared" si="7"/>
        <v>1089697.947</v>
      </c>
      <c r="H227" s="6">
        <f t="shared" si="8"/>
        <v>2353200</v>
      </c>
      <c r="I227" s="6">
        <f t="shared" si="9"/>
        <v>358210.9466</v>
      </c>
      <c r="J227" s="620">
        <v>6.25</v>
      </c>
      <c r="K227" s="591"/>
      <c r="L227" s="6"/>
      <c r="M227" s="9">
        <v>12000.0</v>
      </c>
      <c r="N227" s="79">
        <f t="shared" si="10"/>
        <v>2658000</v>
      </c>
      <c r="O227" s="6">
        <f t="shared" si="2"/>
        <v>1026178.053</v>
      </c>
      <c r="P227" s="6"/>
      <c r="Q227" s="6">
        <f t="shared" si="11"/>
        <v>7647.062453</v>
      </c>
      <c r="R227" s="6">
        <f t="shared" si="12"/>
        <v>1026178.053</v>
      </c>
      <c r="S227" s="81">
        <f t="shared" si="3"/>
        <v>94.17087154</v>
      </c>
      <c r="T227" s="6"/>
      <c r="U227" s="6"/>
      <c r="V227" s="6"/>
      <c r="W227" s="6"/>
      <c r="X227" s="6"/>
    </row>
    <row r="228" ht="11.25" customHeight="1">
      <c r="A228" s="7"/>
      <c r="B228" s="68">
        <f t="shared" si="13"/>
        <v>223</v>
      </c>
      <c r="C228" s="607">
        <v>10600.0</v>
      </c>
      <c r="D228" s="6">
        <f t="shared" si="14"/>
        <v>1865.682013</v>
      </c>
      <c r="E228" s="6">
        <f t="shared" si="1"/>
        <v>8734.317987</v>
      </c>
      <c r="F228" s="6">
        <f t="shared" si="6"/>
        <v>1272236.371</v>
      </c>
      <c r="G228" s="6">
        <f t="shared" si="7"/>
        <v>1091563.629</v>
      </c>
      <c r="H228" s="6">
        <f t="shared" si="8"/>
        <v>2363800</v>
      </c>
      <c r="I228" s="6">
        <f t="shared" si="9"/>
        <v>349476.6286</v>
      </c>
      <c r="J228" s="620">
        <v>6.25</v>
      </c>
      <c r="K228" s="591"/>
      <c r="L228" s="6"/>
      <c r="M228" s="9">
        <v>12000.0</v>
      </c>
      <c r="N228" s="79">
        <f t="shared" si="10"/>
        <v>2670000</v>
      </c>
      <c r="O228" s="6">
        <f t="shared" si="2"/>
        <v>1033870.371</v>
      </c>
      <c r="P228" s="6"/>
      <c r="Q228" s="6">
        <f t="shared" si="11"/>
        <v>7692.317987</v>
      </c>
      <c r="R228" s="6">
        <f t="shared" si="12"/>
        <v>1033870.371</v>
      </c>
      <c r="S228" s="81">
        <f t="shared" si="3"/>
        <v>94.71462261</v>
      </c>
      <c r="T228" s="6"/>
      <c r="U228" s="6"/>
      <c r="V228" s="6"/>
      <c r="W228" s="6"/>
      <c r="X228" s="6"/>
    </row>
    <row r="229" ht="11.25" customHeight="1">
      <c r="A229" s="7"/>
      <c r="B229" s="68">
        <f t="shared" si="13"/>
        <v>224</v>
      </c>
      <c r="C229" s="607">
        <v>10600.0</v>
      </c>
      <c r="D229" s="6">
        <f t="shared" si="14"/>
        <v>1820.190774</v>
      </c>
      <c r="E229" s="6">
        <f t="shared" si="1"/>
        <v>8779.809226</v>
      </c>
      <c r="F229" s="6">
        <f t="shared" si="6"/>
        <v>1281016.181</v>
      </c>
      <c r="G229" s="6">
        <f t="shared" si="7"/>
        <v>1093383.819</v>
      </c>
      <c r="H229" s="6">
        <f t="shared" si="8"/>
        <v>2374400</v>
      </c>
      <c r="I229" s="6">
        <f t="shared" si="9"/>
        <v>340696.8194</v>
      </c>
      <c r="J229" s="620">
        <v>6.25</v>
      </c>
      <c r="K229" s="591"/>
      <c r="L229" s="6"/>
      <c r="M229" s="9">
        <v>12000.0</v>
      </c>
      <c r="N229" s="79">
        <f t="shared" si="10"/>
        <v>2682000</v>
      </c>
      <c r="O229" s="6">
        <f t="shared" si="2"/>
        <v>1041608.181</v>
      </c>
      <c r="P229" s="6"/>
      <c r="Q229" s="6">
        <f t="shared" si="11"/>
        <v>7737.809226</v>
      </c>
      <c r="R229" s="6">
        <f t="shared" si="12"/>
        <v>1041608.181</v>
      </c>
      <c r="S229" s="81">
        <f t="shared" si="3"/>
        <v>95.26464195</v>
      </c>
      <c r="T229" s="6"/>
      <c r="U229" s="6"/>
      <c r="V229" s="6"/>
      <c r="W229" s="6"/>
      <c r="X229" s="6"/>
    </row>
    <row r="230" ht="11.25" customHeight="1">
      <c r="A230" s="7"/>
      <c r="B230" s="68">
        <f t="shared" si="13"/>
        <v>225</v>
      </c>
      <c r="C230" s="607">
        <v>10600.0</v>
      </c>
      <c r="D230" s="6">
        <f t="shared" si="14"/>
        <v>1774.462601</v>
      </c>
      <c r="E230" s="6">
        <f t="shared" si="1"/>
        <v>8825.537399</v>
      </c>
      <c r="F230" s="6">
        <f t="shared" si="6"/>
        <v>1289841.718</v>
      </c>
      <c r="G230" s="6">
        <f t="shared" si="7"/>
        <v>1095158.282</v>
      </c>
      <c r="H230" s="6">
        <f t="shared" si="8"/>
        <v>2385000</v>
      </c>
      <c r="I230" s="6">
        <f t="shared" si="9"/>
        <v>331871.282</v>
      </c>
      <c r="J230" s="620">
        <v>6.25</v>
      </c>
      <c r="K230" s="591"/>
      <c r="L230" s="6"/>
      <c r="M230" s="9">
        <v>12000.0</v>
      </c>
      <c r="N230" s="79">
        <f t="shared" si="10"/>
        <v>2694000</v>
      </c>
      <c r="O230" s="6">
        <f t="shared" si="2"/>
        <v>1049391.718</v>
      </c>
      <c r="P230" s="6"/>
      <c r="Q230" s="6">
        <f t="shared" si="11"/>
        <v>7783.537399</v>
      </c>
      <c r="R230" s="6">
        <f t="shared" si="12"/>
        <v>1049391.718</v>
      </c>
      <c r="S230" s="81">
        <f t="shared" si="3"/>
        <v>95.82100919</v>
      </c>
      <c r="T230" s="6"/>
      <c r="U230" s="6"/>
      <c r="V230" s="6"/>
      <c r="W230" s="6"/>
      <c r="X230" s="6"/>
    </row>
    <row r="231" ht="11.25" customHeight="1">
      <c r="A231" s="7"/>
      <c r="B231" s="68">
        <f t="shared" si="13"/>
        <v>226</v>
      </c>
      <c r="C231" s="607">
        <v>10600.0</v>
      </c>
      <c r="D231" s="6">
        <f t="shared" si="14"/>
        <v>1728.49626</v>
      </c>
      <c r="E231" s="6">
        <f t="shared" si="1"/>
        <v>8871.50374</v>
      </c>
      <c r="F231" s="6">
        <f t="shared" si="6"/>
        <v>1298713.222</v>
      </c>
      <c r="G231" s="6">
        <f t="shared" si="7"/>
        <v>1096886.778</v>
      </c>
      <c r="H231" s="6">
        <f t="shared" si="8"/>
        <v>2395600</v>
      </c>
      <c r="I231" s="6">
        <f t="shared" si="9"/>
        <v>322999.7782</v>
      </c>
      <c r="J231" s="620">
        <v>6.25</v>
      </c>
      <c r="K231" s="591"/>
      <c r="L231" s="6"/>
      <c r="M231" s="9">
        <v>12000.0</v>
      </c>
      <c r="N231" s="79">
        <f t="shared" si="10"/>
        <v>2706000</v>
      </c>
      <c r="O231" s="6">
        <f t="shared" si="2"/>
        <v>1057221.222</v>
      </c>
      <c r="P231" s="6"/>
      <c r="Q231" s="6">
        <f t="shared" si="11"/>
        <v>7829.50374</v>
      </c>
      <c r="R231" s="6">
        <f t="shared" si="12"/>
        <v>1057221.222</v>
      </c>
      <c r="S231" s="81">
        <f t="shared" si="3"/>
        <v>96.38380576</v>
      </c>
      <c r="T231" s="6"/>
      <c r="U231" s="6"/>
      <c r="V231" s="6"/>
      <c r="W231" s="6"/>
      <c r="X231" s="6"/>
    </row>
    <row r="232" ht="11.25" customHeight="1">
      <c r="A232" s="7"/>
      <c r="B232" s="68">
        <f t="shared" si="13"/>
        <v>227</v>
      </c>
      <c r="C232" s="607">
        <v>10600.0</v>
      </c>
      <c r="D232" s="6">
        <f t="shared" si="14"/>
        <v>1682.290512</v>
      </c>
      <c r="E232" s="6">
        <f t="shared" si="1"/>
        <v>8917.709488</v>
      </c>
      <c r="F232" s="6">
        <f t="shared" si="6"/>
        <v>1307630.931</v>
      </c>
      <c r="G232" s="6">
        <f t="shared" si="7"/>
        <v>1098569.069</v>
      </c>
      <c r="H232" s="6">
        <f t="shared" si="8"/>
        <v>2406200</v>
      </c>
      <c r="I232" s="6">
        <f t="shared" si="9"/>
        <v>314082.0688</v>
      </c>
      <c r="J232" s="620">
        <v>6.25</v>
      </c>
      <c r="K232" s="591"/>
      <c r="L232" s="6"/>
      <c r="M232" s="9">
        <v>12000.0</v>
      </c>
      <c r="N232" s="79">
        <f t="shared" si="10"/>
        <v>2718000</v>
      </c>
      <c r="O232" s="6">
        <f t="shared" si="2"/>
        <v>1065096.931</v>
      </c>
      <c r="P232" s="6"/>
      <c r="Q232" s="6">
        <f t="shared" si="11"/>
        <v>7875.709488</v>
      </c>
      <c r="R232" s="6">
        <f t="shared" si="12"/>
        <v>1065096.931</v>
      </c>
      <c r="S232" s="81">
        <f t="shared" si="3"/>
        <v>96.95311488</v>
      </c>
      <c r="T232" s="6"/>
      <c r="U232" s="6"/>
      <c r="V232" s="6"/>
      <c r="W232" s="6"/>
      <c r="X232" s="6"/>
    </row>
    <row r="233" ht="11.25" customHeight="1">
      <c r="A233" s="71"/>
      <c r="B233" s="72">
        <f t="shared" si="13"/>
        <v>228</v>
      </c>
      <c r="C233" s="607">
        <v>10600.0</v>
      </c>
      <c r="D233" s="10">
        <f t="shared" si="14"/>
        <v>1635.844108</v>
      </c>
      <c r="E233" s="10">
        <f t="shared" si="1"/>
        <v>8964.155892</v>
      </c>
      <c r="F233" s="10">
        <f t="shared" si="6"/>
        <v>1316595.087</v>
      </c>
      <c r="G233" s="10">
        <f t="shared" si="7"/>
        <v>1100204.913</v>
      </c>
      <c r="H233" s="10">
        <f t="shared" si="8"/>
        <v>2416800</v>
      </c>
      <c r="I233" s="10">
        <f t="shared" si="9"/>
        <v>305117.9129</v>
      </c>
      <c r="J233" s="620">
        <v>6.25</v>
      </c>
      <c r="K233" s="591"/>
      <c r="L233" s="6"/>
      <c r="M233" s="9">
        <v>12000.0</v>
      </c>
      <c r="N233" s="79">
        <f t="shared" si="10"/>
        <v>2730000</v>
      </c>
      <c r="O233" s="6">
        <f t="shared" si="2"/>
        <v>1073019.087</v>
      </c>
      <c r="P233" s="6"/>
      <c r="Q233" s="6">
        <f t="shared" si="11"/>
        <v>7922.155892</v>
      </c>
      <c r="R233" s="6">
        <f t="shared" si="12"/>
        <v>1073019.087</v>
      </c>
      <c r="S233" s="81">
        <f t="shared" si="3"/>
        <v>97.5290216</v>
      </c>
      <c r="T233" s="6"/>
      <c r="U233" s="6"/>
      <c r="V233" s="6"/>
      <c r="W233" s="6"/>
      <c r="X233" s="6"/>
    </row>
    <row r="234" ht="11.25" customHeight="1">
      <c r="A234" s="100">
        <v>20.0</v>
      </c>
      <c r="B234" s="66">
        <f t="shared" si="13"/>
        <v>229</v>
      </c>
      <c r="C234" s="607">
        <v>10600.0</v>
      </c>
      <c r="D234" s="617">
        <f t="shared" si="14"/>
        <v>1589.155796</v>
      </c>
      <c r="E234" s="617">
        <f t="shared" si="1"/>
        <v>9010.844204</v>
      </c>
      <c r="F234" s="617">
        <f t="shared" si="6"/>
        <v>1325605.931</v>
      </c>
      <c r="G234" s="617">
        <f t="shared" si="7"/>
        <v>1101794.069</v>
      </c>
      <c r="H234" s="617">
        <f t="shared" si="8"/>
        <v>2427400</v>
      </c>
      <c r="I234" s="617">
        <f t="shared" si="9"/>
        <v>296107.0687</v>
      </c>
      <c r="J234" s="620">
        <v>6.25</v>
      </c>
      <c r="K234" s="591"/>
      <c r="L234" s="6"/>
      <c r="M234" s="9">
        <v>12000.0</v>
      </c>
      <c r="N234" s="79">
        <f t="shared" si="10"/>
        <v>2742000</v>
      </c>
      <c r="O234" s="6">
        <f t="shared" si="2"/>
        <v>1080987.931</v>
      </c>
      <c r="P234" s="6"/>
      <c r="Q234" s="6">
        <f t="shared" si="11"/>
        <v>7968.844204</v>
      </c>
      <c r="R234" s="6">
        <f t="shared" si="12"/>
        <v>1080987.931</v>
      </c>
      <c r="S234" s="81">
        <f t="shared" si="3"/>
        <v>98.11161288</v>
      </c>
      <c r="T234" s="6"/>
      <c r="U234" s="6"/>
      <c r="V234" s="6"/>
      <c r="W234" s="6"/>
      <c r="X234" s="6"/>
    </row>
    <row r="235" ht="11.25" customHeight="1">
      <c r="A235" s="7"/>
      <c r="B235" s="68">
        <f t="shared" si="13"/>
        <v>230</v>
      </c>
      <c r="C235" s="607">
        <v>10600.0</v>
      </c>
      <c r="D235" s="6">
        <f t="shared" si="14"/>
        <v>1542.224316</v>
      </c>
      <c r="E235" s="6">
        <f t="shared" si="1"/>
        <v>9057.775684</v>
      </c>
      <c r="F235" s="6">
        <f t="shared" si="6"/>
        <v>1334663.707</v>
      </c>
      <c r="G235" s="6">
        <f t="shared" si="7"/>
        <v>1103336.293</v>
      </c>
      <c r="H235" s="6">
        <f t="shared" si="8"/>
        <v>2438000</v>
      </c>
      <c r="I235" s="6">
        <f t="shared" si="9"/>
        <v>287049.293</v>
      </c>
      <c r="J235" s="620">
        <v>6.25</v>
      </c>
      <c r="K235" s="591"/>
      <c r="L235" s="6"/>
      <c r="M235" s="9">
        <v>12000.0</v>
      </c>
      <c r="N235" s="79">
        <f t="shared" si="10"/>
        <v>2754000</v>
      </c>
      <c r="O235" s="6">
        <f t="shared" si="2"/>
        <v>1089003.707</v>
      </c>
      <c r="P235" s="6"/>
      <c r="Q235" s="6">
        <f t="shared" si="11"/>
        <v>8015.775684</v>
      </c>
      <c r="R235" s="6">
        <f t="shared" si="12"/>
        <v>1089003.707</v>
      </c>
      <c r="S235" s="81">
        <f t="shared" si="3"/>
        <v>98.70097757</v>
      </c>
      <c r="T235" s="6"/>
      <c r="U235" s="6"/>
      <c r="V235" s="6"/>
      <c r="W235" s="6"/>
      <c r="X235" s="6"/>
    </row>
    <row r="236" ht="11.25" customHeight="1">
      <c r="A236" s="7"/>
      <c r="B236" s="68">
        <f t="shared" si="13"/>
        <v>231</v>
      </c>
      <c r="C236" s="607">
        <v>10600.0</v>
      </c>
      <c r="D236" s="6">
        <f t="shared" si="14"/>
        <v>1495.048401</v>
      </c>
      <c r="E236" s="6">
        <f t="shared" si="1"/>
        <v>9104.951599</v>
      </c>
      <c r="F236" s="6">
        <f t="shared" si="6"/>
        <v>1343768.659</v>
      </c>
      <c r="G236" s="6">
        <f t="shared" si="7"/>
        <v>1104831.341</v>
      </c>
      <c r="H236" s="6">
        <f t="shared" si="8"/>
        <v>2448600</v>
      </c>
      <c r="I236" s="6">
        <f t="shared" si="9"/>
        <v>277944.3414</v>
      </c>
      <c r="J236" s="620">
        <v>6.25</v>
      </c>
      <c r="K236" s="591"/>
      <c r="L236" s="6"/>
      <c r="M236" s="9">
        <v>12000.0</v>
      </c>
      <c r="N236" s="79">
        <f t="shared" si="10"/>
        <v>2766000</v>
      </c>
      <c r="O236" s="6">
        <f t="shared" si="2"/>
        <v>1097066.659</v>
      </c>
      <c r="P236" s="6"/>
      <c r="Q236" s="6">
        <f t="shared" si="11"/>
        <v>8062.951599</v>
      </c>
      <c r="R236" s="6">
        <f t="shared" si="12"/>
        <v>1097066.659</v>
      </c>
      <c r="S236" s="81">
        <f t="shared" si="3"/>
        <v>99.29720651</v>
      </c>
      <c r="T236" s="6"/>
      <c r="U236" s="6"/>
      <c r="V236" s="6"/>
      <c r="W236" s="6"/>
      <c r="X236" s="6"/>
    </row>
    <row r="237" ht="11.25" customHeight="1">
      <c r="A237" s="7"/>
      <c r="B237" s="68">
        <f t="shared" si="13"/>
        <v>232</v>
      </c>
      <c r="C237" s="607">
        <v>10600.0</v>
      </c>
      <c r="D237" s="6">
        <f t="shared" si="14"/>
        <v>1447.626778</v>
      </c>
      <c r="E237" s="6">
        <f t="shared" si="1"/>
        <v>9152.373222</v>
      </c>
      <c r="F237" s="6">
        <f t="shared" si="6"/>
        <v>1352921.032</v>
      </c>
      <c r="G237" s="6">
        <f t="shared" si="7"/>
        <v>1106278.968</v>
      </c>
      <c r="H237" s="6">
        <f t="shared" si="8"/>
        <v>2459200</v>
      </c>
      <c r="I237" s="6">
        <f t="shared" si="9"/>
        <v>268791.9682</v>
      </c>
      <c r="J237" s="620">
        <v>6.25</v>
      </c>
      <c r="K237" s="591"/>
      <c r="L237" s="6"/>
      <c r="M237" s="9">
        <v>12000.0</v>
      </c>
      <c r="N237" s="79">
        <f t="shared" si="10"/>
        <v>2778000</v>
      </c>
      <c r="O237" s="6">
        <f t="shared" si="2"/>
        <v>1105177.032</v>
      </c>
      <c r="P237" s="6"/>
      <c r="Q237" s="6">
        <f t="shared" si="11"/>
        <v>8110.373222</v>
      </c>
      <c r="R237" s="6">
        <f t="shared" si="12"/>
        <v>1105177.032</v>
      </c>
      <c r="S237" s="81">
        <f t="shared" si="3"/>
        <v>99.90039255</v>
      </c>
      <c r="T237" s="6"/>
      <c r="U237" s="6"/>
      <c r="V237" s="6"/>
      <c r="W237" s="6"/>
      <c r="X237" s="6"/>
    </row>
    <row r="238" ht="11.25" customHeight="1">
      <c r="A238" s="7"/>
      <c r="B238" s="68">
        <f t="shared" si="13"/>
        <v>233</v>
      </c>
      <c r="C238" s="607">
        <v>10600.0</v>
      </c>
      <c r="D238" s="6">
        <f t="shared" si="14"/>
        <v>1399.958167</v>
      </c>
      <c r="E238" s="6">
        <f t="shared" si="1"/>
        <v>9200.041833</v>
      </c>
      <c r="F238" s="6">
        <f t="shared" si="6"/>
        <v>1362121.074</v>
      </c>
      <c r="G238" s="6">
        <f t="shared" si="7"/>
        <v>1107678.926</v>
      </c>
      <c r="H238" s="6">
        <f t="shared" si="8"/>
        <v>2469800</v>
      </c>
      <c r="I238" s="6">
        <f t="shared" si="9"/>
        <v>259591.9263</v>
      </c>
      <c r="J238" s="620">
        <v>6.25</v>
      </c>
      <c r="K238" s="591"/>
      <c r="L238" s="6"/>
      <c r="M238" s="9">
        <v>12000.0</v>
      </c>
      <c r="N238" s="79">
        <f t="shared" si="10"/>
        <v>2790000</v>
      </c>
      <c r="O238" s="6">
        <f t="shared" si="2"/>
        <v>1113335.074</v>
      </c>
      <c r="P238" s="6"/>
      <c r="Q238" s="6">
        <f t="shared" si="11"/>
        <v>8158.041833</v>
      </c>
      <c r="R238" s="6">
        <f t="shared" si="12"/>
        <v>1113335.074</v>
      </c>
      <c r="S238" s="81">
        <f t="shared" si="3"/>
        <v>100.5106306</v>
      </c>
      <c r="T238" s="6"/>
      <c r="U238" s="6"/>
      <c r="V238" s="6"/>
      <c r="W238" s="6"/>
      <c r="X238" s="6"/>
    </row>
    <row r="239" ht="11.25" customHeight="1">
      <c r="A239" s="7"/>
      <c r="B239" s="68">
        <f t="shared" si="13"/>
        <v>234</v>
      </c>
      <c r="C239" s="607">
        <v>10600.0</v>
      </c>
      <c r="D239" s="6">
        <f t="shared" si="14"/>
        <v>1352.041283</v>
      </c>
      <c r="E239" s="6">
        <f t="shared" si="1"/>
        <v>9247.958717</v>
      </c>
      <c r="F239" s="6">
        <f t="shared" si="6"/>
        <v>1371369.032</v>
      </c>
      <c r="G239" s="6">
        <f t="shared" si="7"/>
        <v>1109030.968</v>
      </c>
      <c r="H239" s="6">
        <f t="shared" si="8"/>
        <v>2480400</v>
      </c>
      <c r="I239" s="6">
        <f t="shared" si="9"/>
        <v>250343.9676</v>
      </c>
      <c r="J239" s="620">
        <v>6.25</v>
      </c>
      <c r="K239" s="591"/>
      <c r="L239" s="6"/>
      <c r="M239" s="9">
        <v>12000.0</v>
      </c>
      <c r="N239" s="79">
        <f t="shared" si="10"/>
        <v>2802000</v>
      </c>
      <c r="O239" s="6">
        <f t="shared" si="2"/>
        <v>1121541.032</v>
      </c>
      <c r="P239" s="6"/>
      <c r="Q239" s="6">
        <f t="shared" si="11"/>
        <v>8205.958717</v>
      </c>
      <c r="R239" s="6">
        <f t="shared" si="12"/>
        <v>1121541.032</v>
      </c>
      <c r="S239" s="81">
        <f t="shared" si="3"/>
        <v>101.1280176</v>
      </c>
      <c r="T239" s="6"/>
      <c r="U239" s="6"/>
      <c r="V239" s="6"/>
      <c r="W239" s="6"/>
      <c r="X239" s="6"/>
    </row>
    <row r="240" ht="11.25" customHeight="1">
      <c r="A240" s="7"/>
      <c r="B240" s="68">
        <f t="shared" si="13"/>
        <v>235</v>
      </c>
      <c r="C240" s="607">
        <v>10600.0</v>
      </c>
      <c r="D240" s="6">
        <f t="shared" si="14"/>
        <v>1303.874831</v>
      </c>
      <c r="E240" s="6">
        <f t="shared" si="1"/>
        <v>9296.125169</v>
      </c>
      <c r="F240" s="6">
        <f t="shared" si="6"/>
        <v>1380665.158</v>
      </c>
      <c r="G240" s="6">
        <f t="shared" si="7"/>
        <v>1110334.842</v>
      </c>
      <c r="H240" s="6">
        <f t="shared" si="8"/>
        <v>2491000</v>
      </c>
      <c r="I240" s="6">
        <f t="shared" si="9"/>
        <v>241047.8424</v>
      </c>
      <c r="J240" s="620">
        <v>6.25</v>
      </c>
      <c r="K240" s="591"/>
      <c r="L240" s="6"/>
      <c r="M240" s="9">
        <v>12000.0</v>
      </c>
      <c r="N240" s="79">
        <f t="shared" si="10"/>
        <v>2814000</v>
      </c>
      <c r="O240" s="6">
        <f t="shared" si="2"/>
        <v>1129795.158</v>
      </c>
      <c r="P240" s="6"/>
      <c r="Q240" s="6">
        <f t="shared" si="11"/>
        <v>8254.125169</v>
      </c>
      <c r="R240" s="6">
        <f t="shared" si="12"/>
        <v>1129795.158</v>
      </c>
      <c r="S240" s="81">
        <f t="shared" si="3"/>
        <v>101.7526528</v>
      </c>
      <c r="T240" s="6"/>
      <c r="U240" s="6"/>
      <c r="V240" s="6"/>
      <c r="W240" s="6"/>
      <c r="X240" s="6"/>
    </row>
    <row r="241" ht="11.25" customHeight="1">
      <c r="A241" s="7"/>
      <c r="B241" s="68">
        <f t="shared" si="13"/>
        <v>236</v>
      </c>
      <c r="C241" s="607">
        <v>10600.0</v>
      </c>
      <c r="D241" s="6">
        <f t="shared" si="14"/>
        <v>1255.457513</v>
      </c>
      <c r="E241" s="6">
        <f t="shared" si="1"/>
        <v>9344.542487</v>
      </c>
      <c r="F241" s="6">
        <f t="shared" si="6"/>
        <v>1390009.7</v>
      </c>
      <c r="G241" s="6">
        <f t="shared" si="7"/>
        <v>1111590.3</v>
      </c>
      <c r="H241" s="6">
        <f t="shared" si="8"/>
        <v>2501600</v>
      </c>
      <c r="I241" s="6">
        <f t="shared" si="9"/>
        <v>231703.2999</v>
      </c>
      <c r="J241" s="620">
        <v>6.25</v>
      </c>
      <c r="K241" s="591"/>
      <c r="L241" s="6"/>
      <c r="M241" s="9">
        <v>12000.0</v>
      </c>
      <c r="N241" s="79">
        <f t="shared" si="10"/>
        <v>2826000</v>
      </c>
      <c r="O241" s="6">
        <f t="shared" si="2"/>
        <v>1138097.7</v>
      </c>
      <c r="P241" s="6"/>
      <c r="Q241" s="6">
        <f t="shared" si="11"/>
        <v>8302.542487</v>
      </c>
      <c r="R241" s="6">
        <f t="shared" si="12"/>
        <v>1138097.7</v>
      </c>
      <c r="S241" s="81">
        <f t="shared" si="3"/>
        <v>102.3846376</v>
      </c>
      <c r="T241" s="6"/>
      <c r="U241" s="6"/>
      <c r="V241" s="6"/>
      <c r="W241" s="6"/>
      <c r="X241" s="6"/>
    </row>
    <row r="242" ht="11.25" customHeight="1">
      <c r="A242" s="7"/>
      <c r="B242" s="68">
        <f t="shared" si="13"/>
        <v>237</v>
      </c>
      <c r="C242" s="607">
        <v>10600.0</v>
      </c>
      <c r="D242" s="6">
        <f t="shared" si="14"/>
        <v>1206.788021</v>
      </c>
      <c r="E242" s="6">
        <f t="shared" si="1"/>
        <v>9393.211979</v>
      </c>
      <c r="F242" s="6">
        <f t="shared" si="6"/>
        <v>1399402.912</v>
      </c>
      <c r="G242" s="6">
        <f t="shared" si="7"/>
        <v>1112797.088</v>
      </c>
      <c r="H242" s="6">
        <f t="shared" si="8"/>
        <v>2512200</v>
      </c>
      <c r="I242" s="6">
        <f t="shared" si="9"/>
        <v>222310.088</v>
      </c>
      <c r="J242" s="620">
        <v>6.25</v>
      </c>
      <c r="K242" s="591"/>
      <c r="L242" s="6"/>
      <c r="M242" s="9">
        <v>12000.0</v>
      </c>
      <c r="N242" s="79">
        <f t="shared" si="10"/>
        <v>2838000</v>
      </c>
      <c r="O242" s="6">
        <f t="shared" si="2"/>
        <v>1146448.912</v>
      </c>
      <c r="P242" s="6"/>
      <c r="Q242" s="6">
        <f t="shared" si="11"/>
        <v>8351.211979</v>
      </c>
      <c r="R242" s="6">
        <f t="shared" si="12"/>
        <v>1146448.912</v>
      </c>
      <c r="S242" s="81">
        <f t="shared" si="3"/>
        <v>103.0240755</v>
      </c>
      <c r="T242" s="6"/>
      <c r="U242" s="6"/>
      <c r="V242" s="6"/>
      <c r="W242" s="6"/>
      <c r="X242" s="6"/>
    </row>
    <row r="243" ht="11.25" customHeight="1">
      <c r="A243" s="7"/>
      <c r="B243" s="68">
        <f t="shared" si="13"/>
        <v>238</v>
      </c>
      <c r="C243" s="607">
        <v>10600.0</v>
      </c>
      <c r="D243" s="6">
        <f t="shared" si="14"/>
        <v>1157.865041</v>
      </c>
      <c r="E243" s="6">
        <f t="shared" si="1"/>
        <v>9442.134959</v>
      </c>
      <c r="F243" s="6">
        <f t="shared" si="6"/>
        <v>1408845.047</v>
      </c>
      <c r="G243" s="6">
        <f t="shared" si="7"/>
        <v>1113954.953</v>
      </c>
      <c r="H243" s="6">
        <f t="shared" si="8"/>
        <v>2522800</v>
      </c>
      <c r="I243" s="6">
        <f t="shared" si="9"/>
        <v>212867.953</v>
      </c>
      <c r="J243" s="620">
        <v>6.25</v>
      </c>
      <c r="K243" s="591"/>
      <c r="L243" s="6"/>
      <c r="M243" s="9">
        <v>12000.0</v>
      </c>
      <c r="N243" s="79">
        <f t="shared" si="10"/>
        <v>2850000</v>
      </c>
      <c r="O243" s="6">
        <f t="shared" si="2"/>
        <v>1154849.047</v>
      </c>
      <c r="P243" s="6"/>
      <c r="Q243" s="6">
        <f t="shared" si="11"/>
        <v>8400.134959</v>
      </c>
      <c r="R243" s="6">
        <f t="shared" si="12"/>
        <v>1154849.047</v>
      </c>
      <c r="S243" s="81">
        <f t="shared" si="3"/>
        <v>103.6710725</v>
      </c>
      <c r="T243" s="6"/>
      <c r="U243" s="6"/>
      <c r="V243" s="6"/>
      <c r="W243" s="6"/>
      <c r="X243" s="6"/>
    </row>
    <row r="244" ht="11.25" customHeight="1">
      <c r="A244" s="7"/>
      <c r="B244" s="68">
        <f t="shared" si="13"/>
        <v>239</v>
      </c>
      <c r="C244" s="607">
        <v>10600.0</v>
      </c>
      <c r="D244" s="6">
        <f t="shared" si="14"/>
        <v>1108.687255</v>
      </c>
      <c r="E244" s="6">
        <f t="shared" si="1"/>
        <v>9491.312745</v>
      </c>
      <c r="F244" s="6">
        <f t="shared" si="6"/>
        <v>1418336.36</v>
      </c>
      <c r="G244" s="6">
        <f t="shared" si="7"/>
        <v>1115063.64</v>
      </c>
      <c r="H244" s="6">
        <f t="shared" si="8"/>
        <v>2533400</v>
      </c>
      <c r="I244" s="6">
        <f t="shared" si="9"/>
        <v>203376.6403</v>
      </c>
      <c r="J244" s="620">
        <v>6.25</v>
      </c>
      <c r="K244" s="591"/>
      <c r="L244" s="6"/>
      <c r="M244" s="9">
        <v>12000.0</v>
      </c>
      <c r="N244" s="79">
        <f t="shared" si="10"/>
        <v>2862000</v>
      </c>
      <c r="O244" s="6">
        <f t="shared" si="2"/>
        <v>1163298.36</v>
      </c>
      <c r="P244" s="6"/>
      <c r="Q244" s="6">
        <f t="shared" si="11"/>
        <v>8449.312745</v>
      </c>
      <c r="R244" s="6">
        <f t="shared" si="12"/>
        <v>1163298.36</v>
      </c>
      <c r="S244" s="81">
        <f t="shared" si="3"/>
        <v>104.3257369</v>
      </c>
      <c r="T244" s="6"/>
      <c r="U244" s="6"/>
      <c r="V244" s="6"/>
      <c r="W244" s="6"/>
      <c r="X244" s="6"/>
    </row>
    <row r="245" ht="11.25" customHeight="1">
      <c r="A245" s="71"/>
      <c r="B245" s="72">
        <f t="shared" si="13"/>
        <v>240</v>
      </c>
      <c r="C245" s="607">
        <v>10600.0</v>
      </c>
      <c r="D245" s="10">
        <f t="shared" si="14"/>
        <v>1059.253335</v>
      </c>
      <c r="E245" s="10">
        <f t="shared" si="1"/>
        <v>9540.746665</v>
      </c>
      <c r="F245" s="10">
        <f t="shared" si="6"/>
        <v>1427877.106</v>
      </c>
      <c r="G245" s="10">
        <f t="shared" si="7"/>
        <v>1116122.894</v>
      </c>
      <c r="H245" s="10">
        <f t="shared" si="8"/>
        <v>2544000</v>
      </c>
      <c r="I245" s="10">
        <f t="shared" si="9"/>
        <v>193835.8936</v>
      </c>
      <c r="J245" s="620">
        <v>6.25</v>
      </c>
      <c r="K245" s="591"/>
      <c r="L245" s="6"/>
      <c r="M245" s="9">
        <v>12000.0</v>
      </c>
      <c r="N245" s="79">
        <f t="shared" si="10"/>
        <v>2874000</v>
      </c>
      <c r="O245" s="6">
        <f t="shared" si="2"/>
        <v>1171797.106</v>
      </c>
      <c r="P245" s="6"/>
      <c r="Q245" s="6">
        <f t="shared" si="11"/>
        <v>8498.746665</v>
      </c>
      <c r="R245" s="6">
        <f t="shared" si="12"/>
        <v>1171797.106</v>
      </c>
      <c r="S245" s="81">
        <f t="shared" si="3"/>
        <v>104.9881794</v>
      </c>
      <c r="T245" s="6"/>
      <c r="U245" s="6"/>
      <c r="V245" s="6"/>
      <c r="W245" s="6"/>
      <c r="X245" s="6"/>
    </row>
    <row r="246" ht="11.25" customHeight="1">
      <c r="A246" s="100">
        <v>21.0</v>
      </c>
      <c r="B246" s="66">
        <f t="shared" si="13"/>
        <v>241</v>
      </c>
      <c r="C246" s="607">
        <v>10600.0</v>
      </c>
      <c r="D246" s="617">
        <f t="shared" si="14"/>
        <v>1009.561946</v>
      </c>
      <c r="E246" s="617">
        <f t="shared" si="1"/>
        <v>9590.438054</v>
      </c>
      <c r="F246" s="617">
        <f t="shared" si="6"/>
        <v>1437467.544</v>
      </c>
      <c r="G246" s="617">
        <f t="shared" si="7"/>
        <v>1117132.456</v>
      </c>
      <c r="H246" s="617">
        <f t="shared" si="8"/>
        <v>2554600</v>
      </c>
      <c r="I246" s="617">
        <f t="shared" si="9"/>
        <v>184245.4555</v>
      </c>
      <c r="J246" s="620">
        <v>6.25</v>
      </c>
      <c r="K246" s="591"/>
      <c r="L246" s="6"/>
      <c r="M246" s="9">
        <v>12000.0</v>
      </c>
      <c r="N246" s="79">
        <f t="shared" si="10"/>
        <v>2886000</v>
      </c>
      <c r="O246" s="6">
        <f t="shared" si="2"/>
        <v>1180345.544</v>
      </c>
      <c r="P246" s="6"/>
      <c r="Q246" s="6">
        <f t="shared" si="11"/>
        <v>8548.438054</v>
      </c>
      <c r="R246" s="6">
        <f t="shared" si="12"/>
        <v>1180345.544</v>
      </c>
      <c r="S246" s="81">
        <f t="shared" si="3"/>
        <v>105.6585133</v>
      </c>
      <c r="T246" s="6"/>
      <c r="U246" s="6"/>
      <c r="V246" s="6"/>
      <c r="W246" s="6"/>
      <c r="X246" s="6"/>
    </row>
    <row r="247" ht="11.25" customHeight="1">
      <c r="A247" s="7"/>
      <c r="B247" s="68">
        <f t="shared" si="13"/>
        <v>242</v>
      </c>
      <c r="C247" s="607">
        <v>10600.0</v>
      </c>
      <c r="D247" s="6">
        <f t="shared" si="14"/>
        <v>959.6117476</v>
      </c>
      <c r="E247" s="6">
        <f t="shared" si="1"/>
        <v>9640.388252</v>
      </c>
      <c r="F247" s="6">
        <f t="shared" si="6"/>
        <v>1447107.933</v>
      </c>
      <c r="G247" s="6">
        <f t="shared" si="7"/>
        <v>1118092.067</v>
      </c>
      <c r="H247" s="6">
        <f t="shared" si="8"/>
        <v>2565200</v>
      </c>
      <c r="I247" s="6">
        <f t="shared" si="9"/>
        <v>174605.0673</v>
      </c>
      <c r="J247" s="620">
        <v>6.25</v>
      </c>
      <c r="K247" s="591"/>
      <c r="L247" s="6"/>
      <c r="M247" s="9">
        <v>12000.0</v>
      </c>
      <c r="N247" s="79">
        <f t="shared" si="10"/>
        <v>2898000</v>
      </c>
      <c r="O247" s="6">
        <f t="shared" si="2"/>
        <v>1188943.933</v>
      </c>
      <c r="P247" s="6"/>
      <c r="Q247" s="6">
        <f t="shared" si="11"/>
        <v>8598.388252</v>
      </c>
      <c r="R247" s="6">
        <f t="shared" si="12"/>
        <v>1188943.933</v>
      </c>
      <c r="S247" s="81">
        <f t="shared" si="3"/>
        <v>106.3368543</v>
      </c>
      <c r="T247" s="6"/>
      <c r="U247" s="6"/>
      <c r="V247" s="6"/>
      <c r="W247" s="6"/>
      <c r="X247" s="6"/>
    </row>
    <row r="248" ht="11.25" customHeight="1">
      <c r="A248" s="7"/>
      <c r="B248" s="68">
        <f t="shared" si="13"/>
        <v>243</v>
      </c>
      <c r="C248" s="607">
        <v>10600.0</v>
      </c>
      <c r="D248" s="6">
        <f t="shared" si="14"/>
        <v>909.4013921</v>
      </c>
      <c r="E248" s="6">
        <f t="shared" si="1"/>
        <v>9690.598608</v>
      </c>
      <c r="F248" s="6">
        <f t="shared" si="6"/>
        <v>1456798.531</v>
      </c>
      <c r="G248" s="6">
        <f t="shared" si="7"/>
        <v>1119001.469</v>
      </c>
      <c r="H248" s="6">
        <f t="shared" si="8"/>
        <v>2575800</v>
      </c>
      <c r="I248" s="6">
        <f t="shared" si="9"/>
        <v>164914.4687</v>
      </c>
      <c r="J248" s="620">
        <v>6.25</v>
      </c>
      <c r="K248" s="591"/>
      <c r="L248" s="6"/>
      <c r="M248" s="9">
        <v>12000.0</v>
      </c>
      <c r="N248" s="79">
        <f t="shared" si="10"/>
        <v>2910000</v>
      </c>
      <c r="O248" s="6">
        <f t="shared" si="2"/>
        <v>1197592.531</v>
      </c>
      <c r="P248" s="6"/>
      <c r="Q248" s="6">
        <f t="shared" si="11"/>
        <v>8648.598608</v>
      </c>
      <c r="R248" s="6">
        <f t="shared" si="12"/>
        <v>1197592.531</v>
      </c>
      <c r="S248" s="81">
        <f t="shared" si="3"/>
        <v>107.0233208</v>
      </c>
      <c r="T248" s="6"/>
      <c r="U248" s="6"/>
      <c r="V248" s="6"/>
      <c r="W248" s="6"/>
      <c r="X248" s="6"/>
    </row>
    <row r="249" ht="11.25" customHeight="1">
      <c r="A249" s="7"/>
      <c r="B249" s="68">
        <f t="shared" si="13"/>
        <v>244</v>
      </c>
      <c r="C249" s="607">
        <v>10600.0</v>
      </c>
      <c r="D249" s="6">
        <f t="shared" si="14"/>
        <v>858.9295244</v>
      </c>
      <c r="E249" s="6">
        <f t="shared" si="1"/>
        <v>9741.070476</v>
      </c>
      <c r="F249" s="6">
        <f t="shared" si="6"/>
        <v>1466539.602</v>
      </c>
      <c r="G249" s="6">
        <f t="shared" si="7"/>
        <v>1119860.398</v>
      </c>
      <c r="H249" s="6">
        <f t="shared" si="8"/>
        <v>2586400</v>
      </c>
      <c r="I249" s="6">
        <f t="shared" si="9"/>
        <v>155173.3982</v>
      </c>
      <c r="J249" s="620">
        <v>6.25</v>
      </c>
      <c r="K249" s="591"/>
      <c r="L249" s="6"/>
      <c r="M249" s="9">
        <v>12000.0</v>
      </c>
      <c r="N249" s="79">
        <f t="shared" si="10"/>
        <v>2922000</v>
      </c>
      <c r="O249" s="6">
        <f t="shared" si="2"/>
        <v>1206291.602</v>
      </c>
      <c r="P249" s="6"/>
      <c r="Q249" s="6">
        <f t="shared" si="11"/>
        <v>8699.070476</v>
      </c>
      <c r="R249" s="6">
        <f t="shared" si="12"/>
        <v>1206291.602</v>
      </c>
      <c r="S249" s="81">
        <f t="shared" si="3"/>
        <v>107.7180338</v>
      </c>
      <c r="T249" s="6"/>
      <c r="U249" s="6"/>
      <c r="V249" s="6"/>
      <c r="W249" s="6"/>
      <c r="X249" s="6"/>
    </row>
    <row r="250" ht="11.25" customHeight="1">
      <c r="A250" s="7"/>
      <c r="B250" s="68">
        <f t="shared" si="13"/>
        <v>245</v>
      </c>
      <c r="C250" s="607">
        <v>10600.0</v>
      </c>
      <c r="D250" s="6">
        <f t="shared" si="14"/>
        <v>808.1947823</v>
      </c>
      <c r="E250" s="6">
        <f t="shared" si="1"/>
        <v>9791.805218</v>
      </c>
      <c r="F250" s="6">
        <f t="shared" si="6"/>
        <v>1476331.407</v>
      </c>
      <c r="G250" s="6">
        <f t="shared" si="7"/>
        <v>1120668.593</v>
      </c>
      <c r="H250" s="6">
        <f t="shared" si="8"/>
        <v>2597000</v>
      </c>
      <c r="I250" s="6">
        <f t="shared" si="9"/>
        <v>145381.593</v>
      </c>
      <c r="J250" s="620">
        <v>6.25</v>
      </c>
      <c r="K250" s="591"/>
      <c r="L250" s="6"/>
      <c r="M250" s="9">
        <v>12000.0</v>
      </c>
      <c r="N250" s="79">
        <f t="shared" si="10"/>
        <v>2934000</v>
      </c>
      <c r="O250" s="6">
        <f t="shared" si="2"/>
        <v>1215041.407</v>
      </c>
      <c r="P250" s="6"/>
      <c r="Q250" s="6">
        <f t="shared" si="11"/>
        <v>8749.805218</v>
      </c>
      <c r="R250" s="6">
        <f t="shared" si="12"/>
        <v>1215041.407</v>
      </c>
      <c r="S250" s="81">
        <f t="shared" si="3"/>
        <v>108.4211171</v>
      </c>
      <c r="T250" s="6"/>
      <c r="U250" s="6"/>
      <c r="V250" s="6"/>
      <c r="W250" s="6"/>
      <c r="X250" s="6"/>
    </row>
    <row r="251" ht="11.25" customHeight="1">
      <c r="A251" s="7"/>
      <c r="B251" s="68">
        <f t="shared" si="13"/>
        <v>246</v>
      </c>
      <c r="C251" s="607">
        <v>10600.0</v>
      </c>
      <c r="D251" s="6">
        <f t="shared" si="14"/>
        <v>757.1957968</v>
      </c>
      <c r="E251" s="6">
        <f t="shared" si="1"/>
        <v>9842.804203</v>
      </c>
      <c r="F251" s="6">
        <f t="shared" si="6"/>
        <v>1486174.211</v>
      </c>
      <c r="G251" s="6">
        <f t="shared" si="7"/>
        <v>1121425.789</v>
      </c>
      <c r="H251" s="6">
        <f t="shared" si="8"/>
        <v>2607600</v>
      </c>
      <c r="I251" s="6">
        <f t="shared" si="9"/>
        <v>135538.7888</v>
      </c>
      <c r="J251" s="620">
        <v>6.25</v>
      </c>
      <c r="K251" s="591"/>
      <c r="L251" s="6"/>
      <c r="M251" s="9">
        <v>12000.0</v>
      </c>
      <c r="N251" s="79">
        <f t="shared" si="10"/>
        <v>2946000</v>
      </c>
      <c r="O251" s="6">
        <f t="shared" si="2"/>
        <v>1223842.211</v>
      </c>
      <c r="P251" s="6"/>
      <c r="Q251" s="6">
        <f t="shared" si="11"/>
        <v>8800.804203</v>
      </c>
      <c r="R251" s="6">
        <f t="shared" si="12"/>
        <v>1223842.211</v>
      </c>
      <c r="S251" s="81">
        <f t="shared" si="3"/>
        <v>109.1326973</v>
      </c>
      <c r="T251" s="6"/>
      <c r="U251" s="6"/>
      <c r="V251" s="6"/>
      <c r="W251" s="6"/>
      <c r="X251" s="6"/>
    </row>
    <row r="252" ht="11.25" customHeight="1">
      <c r="A252" s="7"/>
      <c r="B252" s="68">
        <f t="shared" si="13"/>
        <v>247</v>
      </c>
      <c r="C252" s="607">
        <v>10600.0</v>
      </c>
      <c r="D252" s="6">
        <f t="shared" si="14"/>
        <v>705.9311916</v>
      </c>
      <c r="E252" s="6">
        <f t="shared" si="1"/>
        <v>9894.068808</v>
      </c>
      <c r="F252" s="6">
        <f t="shared" si="6"/>
        <v>1496068.28</v>
      </c>
      <c r="G252" s="6">
        <f t="shared" si="7"/>
        <v>1122131.72</v>
      </c>
      <c r="H252" s="6">
        <f t="shared" si="8"/>
        <v>2618200</v>
      </c>
      <c r="I252" s="6">
        <f t="shared" si="9"/>
        <v>125644.72</v>
      </c>
      <c r="J252" s="620">
        <v>6.25</v>
      </c>
      <c r="K252" s="591"/>
      <c r="L252" s="6"/>
      <c r="M252" s="9">
        <v>12000.0</v>
      </c>
      <c r="N252" s="79">
        <f t="shared" si="10"/>
        <v>2958000</v>
      </c>
      <c r="O252" s="6">
        <f t="shared" si="2"/>
        <v>1232694.28</v>
      </c>
      <c r="P252" s="6"/>
      <c r="Q252" s="6">
        <f t="shared" si="11"/>
        <v>8852.068808</v>
      </c>
      <c r="R252" s="6">
        <f t="shared" si="12"/>
        <v>1232694.28</v>
      </c>
      <c r="S252" s="81">
        <f t="shared" si="3"/>
        <v>109.8529039</v>
      </c>
      <c r="T252" s="6"/>
      <c r="U252" s="6"/>
      <c r="V252" s="6"/>
      <c r="W252" s="6"/>
      <c r="X252" s="6"/>
    </row>
    <row r="253" ht="11.25" customHeight="1">
      <c r="A253" s="7"/>
      <c r="B253" s="68">
        <f t="shared" si="13"/>
        <v>248</v>
      </c>
      <c r="C253" s="607">
        <v>10600.0</v>
      </c>
      <c r="D253" s="6">
        <f t="shared" si="14"/>
        <v>654.3995832</v>
      </c>
      <c r="E253" s="6">
        <f t="shared" si="1"/>
        <v>9945.600417</v>
      </c>
      <c r="F253" s="6">
        <f t="shared" si="6"/>
        <v>1506013.88</v>
      </c>
      <c r="G253" s="6">
        <f t="shared" si="7"/>
        <v>1122786.12</v>
      </c>
      <c r="H253" s="6">
        <f t="shared" si="8"/>
        <v>2628800</v>
      </c>
      <c r="I253" s="6">
        <f t="shared" si="9"/>
        <v>115699.1196</v>
      </c>
      <c r="J253" s="620">
        <v>6.25</v>
      </c>
      <c r="K253" s="591"/>
      <c r="L253" s="6"/>
      <c r="M253" s="9">
        <v>12000.0</v>
      </c>
      <c r="N253" s="79">
        <f t="shared" si="10"/>
        <v>2970000</v>
      </c>
      <c r="O253" s="6">
        <f t="shared" si="2"/>
        <v>1241597.88</v>
      </c>
      <c r="P253" s="6"/>
      <c r="Q253" s="6">
        <f t="shared" si="11"/>
        <v>8903.600417</v>
      </c>
      <c r="R253" s="6">
        <f t="shared" si="12"/>
        <v>1241597.88</v>
      </c>
      <c r="S253" s="81">
        <f t="shared" si="3"/>
        <v>110.5818694</v>
      </c>
      <c r="T253" s="6"/>
      <c r="U253" s="6"/>
      <c r="V253" s="6"/>
      <c r="W253" s="6"/>
      <c r="X253" s="6"/>
    </row>
    <row r="254" ht="11.25" customHeight="1">
      <c r="A254" s="7"/>
      <c r="B254" s="68">
        <f t="shared" si="13"/>
        <v>249</v>
      </c>
      <c r="C254" s="607">
        <v>10600.0</v>
      </c>
      <c r="D254" s="6">
        <f t="shared" si="14"/>
        <v>602.599581</v>
      </c>
      <c r="E254" s="6">
        <f t="shared" si="1"/>
        <v>9997.400419</v>
      </c>
      <c r="F254" s="6">
        <f t="shared" si="6"/>
        <v>1516011.281</v>
      </c>
      <c r="G254" s="6">
        <f t="shared" si="7"/>
        <v>1123388.719</v>
      </c>
      <c r="H254" s="6">
        <f t="shared" si="8"/>
        <v>2639400</v>
      </c>
      <c r="I254" s="6">
        <f t="shared" si="9"/>
        <v>105701.7191</v>
      </c>
      <c r="J254" s="620">
        <v>6.25</v>
      </c>
      <c r="K254" s="591"/>
      <c r="L254" s="6"/>
      <c r="M254" s="9">
        <v>12000.0</v>
      </c>
      <c r="N254" s="79">
        <f t="shared" si="10"/>
        <v>2982000</v>
      </c>
      <c r="O254" s="6">
        <f t="shared" si="2"/>
        <v>1250553.281</v>
      </c>
      <c r="P254" s="6"/>
      <c r="Q254" s="6">
        <f t="shared" si="11"/>
        <v>8955.400419</v>
      </c>
      <c r="R254" s="6">
        <f t="shared" si="12"/>
        <v>1250553.281</v>
      </c>
      <c r="S254" s="81">
        <f t="shared" si="3"/>
        <v>111.3197293</v>
      </c>
      <c r="T254" s="6"/>
      <c r="U254" s="6"/>
      <c r="V254" s="6"/>
      <c r="W254" s="6"/>
      <c r="X254" s="6"/>
    </row>
    <row r="255" ht="11.25" customHeight="1">
      <c r="A255" s="7"/>
      <c r="B255" s="68">
        <f t="shared" si="13"/>
        <v>250</v>
      </c>
      <c r="C255" s="607">
        <v>10600.0</v>
      </c>
      <c r="D255" s="6">
        <f t="shared" si="14"/>
        <v>550.5297872</v>
      </c>
      <c r="E255" s="6">
        <f t="shared" si="1"/>
        <v>10049.47021</v>
      </c>
      <c r="F255" s="6">
        <f t="shared" si="6"/>
        <v>1526060.751</v>
      </c>
      <c r="G255" s="6">
        <f t="shared" si="7"/>
        <v>1123939.249</v>
      </c>
      <c r="H255" s="6">
        <f t="shared" si="8"/>
        <v>2650000</v>
      </c>
      <c r="I255" s="6">
        <f t="shared" si="9"/>
        <v>95652.24893</v>
      </c>
      <c r="J255" s="620">
        <v>6.25</v>
      </c>
      <c r="K255" s="591"/>
      <c r="L255" s="6"/>
      <c r="M255" s="9">
        <v>12000.0</v>
      </c>
      <c r="N255" s="79">
        <f t="shared" si="10"/>
        <v>2994000</v>
      </c>
      <c r="O255" s="6">
        <f t="shared" si="2"/>
        <v>1259560.751</v>
      </c>
      <c r="P255" s="6"/>
      <c r="Q255" s="6">
        <f t="shared" si="11"/>
        <v>9007.470213</v>
      </c>
      <c r="R255" s="6">
        <f t="shared" si="12"/>
        <v>1259560.751</v>
      </c>
      <c r="S255" s="81">
        <f t="shared" si="3"/>
        <v>112.0666221</v>
      </c>
      <c r="T255" s="6"/>
      <c r="U255" s="6"/>
      <c r="V255" s="6"/>
      <c r="W255" s="6"/>
      <c r="X255" s="6"/>
    </row>
    <row r="256" ht="11.25" customHeight="1">
      <c r="A256" s="7"/>
      <c r="B256" s="68">
        <f t="shared" si="13"/>
        <v>251</v>
      </c>
      <c r="C256" s="607">
        <v>10600.0</v>
      </c>
      <c r="D256" s="6">
        <f t="shared" si="14"/>
        <v>498.1887965</v>
      </c>
      <c r="E256" s="6">
        <f t="shared" si="1"/>
        <v>10101.8112</v>
      </c>
      <c r="F256" s="6">
        <f t="shared" si="6"/>
        <v>1536162.562</v>
      </c>
      <c r="G256" s="6">
        <f t="shared" si="7"/>
        <v>1124437.438</v>
      </c>
      <c r="H256" s="6">
        <f t="shared" si="8"/>
        <v>2660600</v>
      </c>
      <c r="I256" s="6">
        <f t="shared" si="9"/>
        <v>85550.43773</v>
      </c>
      <c r="J256" s="620">
        <v>6.25</v>
      </c>
      <c r="K256" s="591"/>
      <c r="L256" s="6"/>
      <c r="M256" s="9">
        <v>12000.0</v>
      </c>
      <c r="N256" s="79">
        <f t="shared" si="10"/>
        <v>3006000</v>
      </c>
      <c r="O256" s="6">
        <f t="shared" si="2"/>
        <v>1268620.562</v>
      </c>
      <c r="P256" s="6"/>
      <c r="Q256" s="6">
        <f t="shared" si="11"/>
        <v>9059.811203</v>
      </c>
      <c r="R256" s="6">
        <f t="shared" si="12"/>
        <v>1268620.562</v>
      </c>
      <c r="S256" s="81">
        <f t="shared" si="3"/>
        <v>112.8226898</v>
      </c>
      <c r="T256" s="6"/>
      <c r="U256" s="6"/>
      <c r="V256" s="6"/>
      <c r="W256" s="6"/>
      <c r="X256" s="6"/>
    </row>
    <row r="257" ht="11.25" customHeight="1">
      <c r="A257" s="71"/>
      <c r="B257" s="72">
        <f t="shared" si="13"/>
        <v>252</v>
      </c>
      <c r="C257" s="607">
        <v>10600.0</v>
      </c>
      <c r="D257" s="10">
        <f t="shared" si="14"/>
        <v>445.5751965</v>
      </c>
      <c r="E257" s="10">
        <f t="shared" si="1"/>
        <v>10154.4248</v>
      </c>
      <c r="F257" s="10">
        <f t="shared" si="6"/>
        <v>1546316.987</v>
      </c>
      <c r="G257" s="10">
        <f t="shared" si="7"/>
        <v>1124883.013</v>
      </c>
      <c r="H257" s="10">
        <f t="shared" si="8"/>
        <v>2671200</v>
      </c>
      <c r="I257" s="10">
        <f t="shared" si="9"/>
        <v>75396.01292</v>
      </c>
      <c r="J257" s="620">
        <v>6.25</v>
      </c>
      <c r="K257" s="591"/>
      <c r="L257" s="6"/>
      <c r="M257" s="9">
        <v>12000.0</v>
      </c>
      <c r="N257" s="79">
        <f t="shared" si="10"/>
        <v>3018000</v>
      </c>
      <c r="O257" s="6">
        <f t="shared" si="2"/>
        <v>1277732.987</v>
      </c>
      <c r="P257" s="6"/>
      <c r="Q257" s="6">
        <f t="shared" si="11"/>
        <v>9112.424804</v>
      </c>
      <c r="R257" s="6">
        <f t="shared" si="12"/>
        <v>1277732.987</v>
      </c>
      <c r="S257" s="81">
        <f t="shared" si="3"/>
        <v>113.5880774</v>
      </c>
      <c r="T257" s="6"/>
      <c r="U257" s="6"/>
      <c r="V257" s="6"/>
      <c r="W257" s="6"/>
      <c r="X257" s="6"/>
    </row>
    <row r="258" ht="11.25" customHeight="1">
      <c r="A258" s="100">
        <v>22.0</v>
      </c>
      <c r="B258" s="66">
        <f t="shared" si="13"/>
        <v>253</v>
      </c>
      <c r="C258" s="607">
        <v>10600.0</v>
      </c>
      <c r="D258" s="617">
        <f t="shared" si="14"/>
        <v>392.6875673</v>
      </c>
      <c r="E258" s="617">
        <f t="shared" si="1"/>
        <v>10207.31243</v>
      </c>
      <c r="F258" s="617">
        <f t="shared" si="6"/>
        <v>1556524.3</v>
      </c>
      <c r="G258" s="617">
        <f t="shared" si="7"/>
        <v>1125275.7</v>
      </c>
      <c r="H258" s="617">
        <f t="shared" si="8"/>
        <v>2681800</v>
      </c>
      <c r="I258" s="617">
        <f t="shared" si="9"/>
        <v>65188.70049</v>
      </c>
      <c r="J258" s="620">
        <v>6.25</v>
      </c>
      <c r="K258" s="591"/>
      <c r="L258" s="6"/>
      <c r="M258" s="9">
        <v>12000.0</v>
      </c>
      <c r="N258" s="79">
        <f t="shared" si="10"/>
        <v>3030000</v>
      </c>
      <c r="O258" s="6">
        <f t="shared" si="2"/>
        <v>1286898.3</v>
      </c>
      <c r="P258" s="6"/>
      <c r="Q258" s="6">
        <f t="shared" si="11"/>
        <v>9165.312433</v>
      </c>
      <c r="R258" s="6">
        <f t="shared" si="12"/>
        <v>1286898.3</v>
      </c>
      <c r="S258" s="81">
        <f t="shared" si="3"/>
        <v>114.3629334</v>
      </c>
      <c r="T258" s="6"/>
      <c r="U258" s="6"/>
      <c r="V258" s="6"/>
      <c r="W258" s="6"/>
      <c r="X258" s="6"/>
    </row>
    <row r="259" ht="11.25" customHeight="1">
      <c r="A259" s="7"/>
      <c r="B259" s="68">
        <f t="shared" si="13"/>
        <v>254</v>
      </c>
      <c r="C259" s="607">
        <v>10600.0</v>
      </c>
      <c r="D259" s="6">
        <f t="shared" si="14"/>
        <v>339.5244817</v>
      </c>
      <c r="E259" s="6">
        <f t="shared" si="1"/>
        <v>10260.47552</v>
      </c>
      <c r="F259" s="6">
        <f t="shared" si="6"/>
        <v>1566784.775</v>
      </c>
      <c r="G259" s="6">
        <f t="shared" si="7"/>
        <v>1125615.225</v>
      </c>
      <c r="H259" s="6">
        <f t="shared" si="8"/>
        <v>2692400</v>
      </c>
      <c r="I259" s="6">
        <f t="shared" si="9"/>
        <v>54928.22497</v>
      </c>
      <c r="J259" s="620">
        <v>6.25</v>
      </c>
      <c r="K259" s="591"/>
      <c r="L259" s="6"/>
      <c r="M259" s="9">
        <v>12000.0</v>
      </c>
      <c r="N259" s="79">
        <f t="shared" si="10"/>
        <v>3042000</v>
      </c>
      <c r="O259" s="6">
        <f t="shared" si="2"/>
        <v>1296116.775</v>
      </c>
      <c r="P259" s="6"/>
      <c r="Q259" s="6">
        <f t="shared" si="11"/>
        <v>9218.475518</v>
      </c>
      <c r="R259" s="6">
        <f t="shared" si="12"/>
        <v>1296116.775</v>
      </c>
      <c r="S259" s="81">
        <f t="shared" si="3"/>
        <v>115.1474097</v>
      </c>
      <c r="T259" s="6"/>
      <c r="U259" s="6"/>
      <c r="V259" s="6"/>
      <c r="W259" s="6"/>
      <c r="X259" s="6"/>
    </row>
    <row r="260" ht="11.25" customHeight="1">
      <c r="A260" s="7"/>
      <c r="B260" s="68">
        <f t="shared" si="13"/>
        <v>255</v>
      </c>
      <c r="C260" s="607">
        <v>10600.0</v>
      </c>
      <c r="D260" s="6">
        <f t="shared" si="14"/>
        <v>286.0845051</v>
      </c>
      <c r="E260" s="6">
        <f t="shared" si="1"/>
        <v>10313.91549</v>
      </c>
      <c r="F260" s="6">
        <f t="shared" si="6"/>
        <v>1577098.691</v>
      </c>
      <c r="G260" s="6">
        <f t="shared" si="7"/>
        <v>1125901.309</v>
      </c>
      <c r="H260" s="6">
        <f t="shared" si="8"/>
        <v>2703000</v>
      </c>
      <c r="I260" s="6">
        <f t="shared" si="9"/>
        <v>44614.30948</v>
      </c>
      <c r="J260" s="620">
        <v>6.25</v>
      </c>
      <c r="K260" s="591"/>
      <c r="L260" s="6"/>
      <c r="M260" s="9">
        <v>12000.0</v>
      </c>
      <c r="N260" s="79">
        <f t="shared" si="10"/>
        <v>3054000</v>
      </c>
      <c r="O260" s="6">
        <f t="shared" si="2"/>
        <v>1305388.691</v>
      </c>
      <c r="P260" s="6"/>
      <c r="Q260" s="6">
        <f t="shared" si="11"/>
        <v>9271.915495</v>
      </c>
      <c r="R260" s="6">
        <f t="shared" si="12"/>
        <v>1305388.691</v>
      </c>
      <c r="S260" s="81">
        <f t="shared" si="3"/>
        <v>115.941662</v>
      </c>
      <c r="T260" s="6"/>
      <c r="U260" s="6"/>
      <c r="V260" s="6"/>
      <c r="W260" s="6"/>
      <c r="X260" s="6"/>
    </row>
    <row r="261" ht="11.25" customHeight="1">
      <c r="A261" s="7"/>
      <c r="B261" s="68">
        <f t="shared" si="13"/>
        <v>256</v>
      </c>
      <c r="C261" s="607">
        <v>10600.0</v>
      </c>
      <c r="D261" s="6">
        <f t="shared" si="14"/>
        <v>232.3661952</v>
      </c>
      <c r="E261" s="6">
        <f t="shared" si="1"/>
        <v>10367.6338</v>
      </c>
      <c r="F261" s="6">
        <f t="shared" si="6"/>
        <v>1587466.324</v>
      </c>
      <c r="G261" s="6">
        <f t="shared" si="7"/>
        <v>1126133.676</v>
      </c>
      <c r="H261" s="6">
        <f t="shared" si="8"/>
        <v>2713600</v>
      </c>
      <c r="I261" s="6">
        <f t="shared" si="9"/>
        <v>34246.67567</v>
      </c>
      <c r="J261" s="620">
        <v>6.25</v>
      </c>
      <c r="K261" s="591"/>
      <c r="L261" s="6"/>
      <c r="M261" s="9">
        <v>12000.0</v>
      </c>
      <c r="N261" s="79">
        <f t="shared" si="10"/>
        <v>3066000</v>
      </c>
      <c r="O261" s="6">
        <f t="shared" si="2"/>
        <v>1314714.324</v>
      </c>
      <c r="P261" s="6"/>
      <c r="Q261" s="6">
        <f t="shared" si="11"/>
        <v>9325.633805</v>
      </c>
      <c r="R261" s="6">
        <f t="shared" si="12"/>
        <v>1314714.324</v>
      </c>
      <c r="S261" s="81">
        <f t="shared" si="3"/>
        <v>116.7458493</v>
      </c>
      <c r="T261" s="6"/>
      <c r="U261" s="6"/>
      <c r="V261" s="6"/>
      <c r="W261" s="6"/>
      <c r="X261" s="6"/>
    </row>
    <row r="262" ht="11.25" customHeight="1">
      <c r="A262" s="7"/>
      <c r="B262" s="68">
        <f t="shared" si="13"/>
        <v>257</v>
      </c>
      <c r="C262" s="607">
        <v>10600.0</v>
      </c>
      <c r="D262" s="6">
        <f t="shared" si="14"/>
        <v>178.3681025</v>
      </c>
      <c r="E262" s="6">
        <f t="shared" si="1"/>
        <v>10421.6319</v>
      </c>
      <c r="F262" s="6">
        <f t="shared" si="6"/>
        <v>1597887.956</v>
      </c>
      <c r="G262" s="6">
        <f t="shared" si="7"/>
        <v>1126312.044</v>
      </c>
      <c r="H262" s="6">
        <f t="shared" si="8"/>
        <v>2724200</v>
      </c>
      <c r="I262" s="6">
        <f t="shared" si="9"/>
        <v>23825.04377</v>
      </c>
      <c r="J262" s="620">
        <v>6.25</v>
      </c>
      <c r="K262" s="591"/>
      <c r="L262" s="6"/>
      <c r="M262" s="9">
        <v>12000.0</v>
      </c>
      <c r="N262" s="79">
        <f t="shared" si="10"/>
        <v>3078000</v>
      </c>
      <c r="O262" s="6">
        <f t="shared" si="2"/>
        <v>1324093.956</v>
      </c>
      <c r="P262" s="6"/>
      <c r="Q262" s="6">
        <f t="shared" si="11"/>
        <v>9379.631898</v>
      </c>
      <c r="R262" s="6">
        <f t="shared" si="12"/>
        <v>1324093.956</v>
      </c>
      <c r="S262" s="81">
        <f t="shared" si="3"/>
        <v>117.5601347</v>
      </c>
      <c r="T262" s="6"/>
      <c r="U262" s="6"/>
      <c r="V262" s="6"/>
      <c r="W262" s="6"/>
      <c r="X262" s="6"/>
    </row>
    <row r="263" ht="11.25" customHeight="1">
      <c r="A263" s="7"/>
      <c r="B263" s="68">
        <f t="shared" si="13"/>
        <v>258</v>
      </c>
      <c r="C263" s="607">
        <v>10600.0</v>
      </c>
      <c r="D263" s="6">
        <f t="shared" si="14"/>
        <v>124.0887697</v>
      </c>
      <c r="E263" s="6">
        <f t="shared" si="1"/>
        <v>10475.91123</v>
      </c>
      <c r="F263" s="6">
        <f t="shared" si="6"/>
        <v>1608363.867</v>
      </c>
      <c r="G263" s="6">
        <f t="shared" si="7"/>
        <v>1126436.133</v>
      </c>
      <c r="H263" s="6">
        <f t="shared" si="8"/>
        <v>2734800</v>
      </c>
      <c r="I263" s="6">
        <f t="shared" si="9"/>
        <v>13349.13254</v>
      </c>
      <c r="J263" s="620">
        <v>6.25</v>
      </c>
      <c r="K263" s="591"/>
      <c r="L263" s="6"/>
      <c r="M263" s="9">
        <v>12000.0</v>
      </c>
      <c r="N263" s="79">
        <f t="shared" si="10"/>
        <v>3090000</v>
      </c>
      <c r="O263" s="6">
        <f t="shared" si="2"/>
        <v>1333527.867</v>
      </c>
      <c r="P263" s="6"/>
      <c r="Q263" s="6">
        <f t="shared" si="11"/>
        <v>9433.91123</v>
      </c>
      <c r="R263" s="6">
        <f t="shared" si="12"/>
        <v>1333527.867</v>
      </c>
      <c r="S263" s="81">
        <f t="shared" si="3"/>
        <v>118.384685</v>
      </c>
      <c r="T263" s="6"/>
      <c r="U263" s="6"/>
      <c r="V263" s="6"/>
      <c r="W263" s="6"/>
      <c r="X263" s="6"/>
    </row>
    <row r="264" ht="11.25" customHeight="1">
      <c r="A264" s="7"/>
      <c r="B264" s="68">
        <f t="shared" si="13"/>
        <v>259</v>
      </c>
      <c r="C264" s="607">
        <v>10600.0</v>
      </c>
      <c r="D264" s="6">
        <f t="shared" si="14"/>
        <v>69.526732</v>
      </c>
      <c r="E264" s="6">
        <f t="shared" si="1"/>
        <v>10530.47327</v>
      </c>
      <c r="F264" s="6">
        <f t="shared" si="6"/>
        <v>1618894.341</v>
      </c>
      <c r="G264" s="6">
        <f t="shared" si="7"/>
        <v>1126505.659</v>
      </c>
      <c r="H264" s="6">
        <f t="shared" si="8"/>
        <v>2745400</v>
      </c>
      <c r="I264" s="6">
        <f t="shared" si="9"/>
        <v>2818.659275</v>
      </c>
      <c r="J264" s="620">
        <v>6.25</v>
      </c>
      <c r="K264" s="591"/>
      <c r="L264" s="6"/>
      <c r="M264" s="9">
        <v>12000.0</v>
      </c>
      <c r="N264" s="79">
        <f t="shared" si="10"/>
        <v>3102000</v>
      </c>
      <c r="O264" s="6">
        <f t="shared" si="2"/>
        <v>1343016.341</v>
      </c>
      <c r="P264" s="6"/>
      <c r="Q264" s="6">
        <f t="shared" si="11"/>
        <v>9488.473268</v>
      </c>
      <c r="R264" s="6">
        <f t="shared" si="12"/>
        <v>1343016.341</v>
      </c>
      <c r="S264" s="81">
        <f t="shared" si="3"/>
        <v>119.219671</v>
      </c>
      <c r="T264" s="6"/>
      <c r="U264" s="6"/>
      <c r="V264" s="6"/>
      <c r="W264" s="6"/>
      <c r="X264" s="6"/>
    </row>
    <row r="265" ht="11.25" customHeight="1">
      <c r="A265" s="7"/>
      <c r="B265" s="68">
        <f t="shared" si="13"/>
        <v>260</v>
      </c>
      <c r="C265" s="607">
        <v>10600.0</v>
      </c>
      <c r="D265" s="6">
        <f t="shared" si="14"/>
        <v>14.68051706</v>
      </c>
      <c r="E265" s="6">
        <f t="shared" si="1"/>
        <v>10585.31948</v>
      </c>
      <c r="F265" s="6">
        <f t="shared" si="6"/>
        <v>1629479.66</v>
      </c>
      <c r="G265" s="6">
        <f t="shared" si="7"/>
        <v>1126520.34</v>
      </c>
      <c r="H265" s="6">
        <f t="shared" si="8"/>
        <v>2756000</v>
      </c>
      <c r="I265" s="6">
        <f t="shared" si="9"/>
        <v>-7766.660207</v>
      </c>
      <c r="J265" s="620">
        <v>6.25</v>
      </c>
      <c r="K265" s="591"/>
      <c r="L265" s="6"/>
      <c r="M265" s="9">
        <v>12000.0</v>
      </c>
      <c r="N265" s="79">
        <f t="shared" si="10"/>
        <v>3114000</v>
      </c>
      <c r="O265" s="6">
        <f t="shared" si="2"/>
        <v>1352559.66</v>
      </c>
      <c r="P265" s="6"/>
      <c r="Q265" s="6">
        <f t="shared" si="11"/>
        <v>9543.319483</v>
      </c>
      <c r="R265" s="6">
        <f t="shared" si="12"/>
        <v>1352559.66</v>
      </c>
      <c r="S265" s="81">
        <f t="shared" si="3"/>
        <v>120.0652676</v>
      </c>
      <c r="T265" s="6"/>
      <c r="U265" s="6"/>
      <c r="V265" s="6"/>
      <c r="W265" s="6"/>
      <c r="X265" s="6"/>
    </row>
    <row r="266" ht="11.25" customHeight="1">
      <c r="A266" s="7"/>
      <c r="B266" s="68">
        <f t="shared" si="13"/>
        <v>261</v>
      </c>
      <c r="C266" s="607">
        <v>10600.0</v>
      </c>
      <c r="D266" s="6">
        <f t="shared" si="14"/>
        <v>-40.45135525</v>
      </c>
      <c r="E266" s="6">
        <f t="shared" si="1"/>
        <v>10640.45136</v>
      </c>
      <c r="F266" s="6">
        <f t="shared" si="6"/>
        <v>1640120.112</v>
      </c>
      <c r="G266" s="6">
        <f t="shared" si="7"/>
        <v>1126479.888</v>
      </c>
      <c r="H266" s="6">
        <f t="shared" si="8"/>
        <v>2766600</v>
      </c>
      <c r="I266" s="6">
        <f t="shared" si="9"/>
        <v>-18407.11156</v>
      </c>
      <c r="J266" s="620">
        <v>6.25</v>
      </c>
      <c r="K266" s="591"/>
      <c r="L266" s="6"/>
      <c r="M266" s="9">
        <v>12000.0</v>
      </c>
      <c r="N266" s="79">
        <f t="shared" si="10"/>
        <v>3126000</v>
      </c>
      <c r="O266" s="6">
        <f t="shared" si="2"/>
        <v>1362158.112</v>
      </c>
      <c r="P266" s="6"/>
      <c r="Q266" s="6">
        <f t="shared" si="11"/>
        <v>9598.451355</v>
      </c>
      <c r="R266" s="6">
        <f t="shared" si="12"/>
        <v>1362158.112</v>
      </c>
      <c r="S266" s="81">
        <f t="shared" si="3"/>
        <v>120.9216539</v>
      </c>
      <c r="T266" s="6"/>
      <c r="U266" s="6"/>
      <c r="V266" s="6"/>
      <c r="W266" s="6"/>
      <c r="X266" s="6"/>
    </row>
    <row r="267" ht="11.25" customHeight="1">
      <c r="A267" s="7"/>
      <c r="B267" s="68">
        <f t="shared" si="13"/>
        <v>262</v>
      </c>
      <c r="C267" s="607">
        <v>10600.0</v>
      </c>
      <c r="D267" s="6">
        <f t="shared" si="14"/>
        <v>-95.87037272</v>
      </c>
      <c r="E267" s="6">
        <f t="shared" si="1"/>
        <v>10695.87037</v>
      </c>
      <c r="F267" s="6">
        <f t="shared" si="6"/>
        <v>1650815.982</v>
      </c>
      <c r="G267" s="6">
        <f t="shared" si="7"/>
        <v>1126384.018</v>
      </c>
      <c r="H267" s="6">
        <f t="shared" si="8"/>
        <v>2777200</v>
      </c>
      <c r="I267" s="6">
        <f t="shared" si="9"/>
        <v>-29102.98194</v>
      </c>
      <c r="J267" s="620">
        <v>6.25</v>
      </c>
      <c r="K267" s="591"/>
      <c r="L267" s="6"/>
      <c r="M267" s="9">
        <v>12000.0</v>
      </c>
      <c r="N267" s="79">
        <f t="shared" si="10"/>
        <v>3138000</v>
      </c>
      <c r="O267" s="6">
        <f t="shared" si="2"/>
        <v>1371811.982</v>
      </c>
      <c r="P267" s="6"/>
      <c r="Q267" s="6">
        <f t="shared" si="11"/>
        <v>9653.870373</v>
      </c>
      <c r="R267" s="6">
        <f t="shared" si="12"/>
        <v>1371811.982</v>
      </c>
      <c r="S267" s="81">
        <f t="shared" si="3"/>
        <v>121.7890133</v>
      </c>
      <c r="T267" s="6"/>
      <c r="U267" s="6"/>
      <c r="V267" s="6"/>
      <c r="W267" s="6"/>
      <c r="X267" s="6"/>
    </row>
    <row r="268" ht="11.25" customHeight="1">
      <c r="A268" s="7"/>
      <c r="B268" s="68">
        <f t="shared" si="13"/>
        <v>263</v>
      </c>
      <c r="C268" s="607">
        <v>10600.0</v>
      </c>
      <c r="D268" s="6">
        <f t="shared" si="14"/>
        <v>-151.5780309</v>
      </c>
      <c r="E268" s="6">
        <f t="shared" si="1"/>
        <v>10751.57803</v>
      </c>
      <c r="F268" s="6">
        <f t="shared" si="6"/>
        <v>1661567.56</v>
      </c>
      <c r="G268" s="6">
        <f t="shared" si="7"/>
        <v>1126232.44</v>
      </c>
      <c r="H268" s="6">
        <f t="shared" si="8"/>
        <v>2787800</v>
      </c>
      <c r="I268" s="6">
        <f t="shared" si="9"/>
        <v>-39854.55997</v>
      </c>
      <c r="J268" s="620">
        <v>6.25</v>
      </c>
      <c r="K268" s="591"/>
      <c r="L268" s="6"/>
      <c r="M268" s="9">
        <v>12000.0</v>
      </c>
      <c r="N268" s="79">
        <f t="shared" si="10"/>
        <v>3150000</v>
      </c>
      <c r="O268" s="6">
        <f t="shared" si="2"/>
        <v>1381521.56</v>
      </c>
      <c r="P268" s="6"/>
      <c r="Q268" s="6">
        <f t="shared" si="11"/>
        <v>9709.578031</v>
      </c>
      <c r="R268" s="6">
        <f t="shared" si="12"/>
        <v>1381521.56</v>
      </c>
      <c r="S268" s="81">
        <f t="shared" si="3"/>
        <v>122.6675339</v>
      </c>
      <c r="T268" s="6"/>
      <c r="U268" s="6"/>
      <c r="V268" s="6"/>
      <c r="W268" s="6"/>
      <c r="X268" s="6"/>
    </row>
    <row r="269" ht="11.25" customHeight="1">
      <c r="A269" s="71"/>
      <c r="B269" s="72">
        <f t="shared" si="13"/>
        <v>264</v>
      </c>
      <c r="C269" s="607">
        <v>10600.0</v>
      </c>
      <c r="D269" s="10">
        <f t="shared" si="14"/>
        <v>-207.5758332</v>
      </c>
      <c r="E269" s="10">
        <f t="shared" si="1"/>
        <v>10807.57583</v>
      </c>
      <c r="F269" s="10">
        <f t="shared" si="6"/>
        <v>1672375.136</v>
      </c>
      <c r="G269" s="10">
        <f t="shared" si="7"/>
        <v>1126024.864</v>
      </c>
      <c r="H269" s="10">
        <f t="shared" si="8"/>
        <v>2798400</v>
      </c>
      <c r="I269" s="10">
        <f t="shared" si="9"/>
        <v>-50662.1358</v>
      </c>
      <c r="J269" s="620">
        <v>6.25</v>
      </c>
      <c r="K269" s="591"/>
      <c r="L269" s="6"/>
      <c r="M269" s="9">
        <v>12000.0</v>
      </c>
      <c r="N269" s="79">
        <f t="shared" si="10"/>
        <v>3162000</v>
      </c>
      <c r="O269" s="6">
        <f t="shared" si="2"/>
        <v>1391287.136</v>
      </c>
      <c r="P269" s="6"/>
      <c r="Q269" s="6">
        <f t="shared" si="11"/>
        <v>9765.575833</v>
      </c>
      <c r="R269" s="6">
        <f t="shared" si="12"/>
        <v>1391287.136</v>
      </c>
      <c r="S269" s="81">
        <f t="shared" si="3"/>
        <v>123.557408</v>
      </c>
      <c r="T269" s="6"/>
      <c r="U269" s="6"/>
      <c r="V269" s="6"/>
      <c r="W269" s="6"/>
      <c r="X269" s="6"/>
    </row>
    <row r="270" ht="11.25" customHeight="1">
      <c r="A270" s="100">
        <v>23.0</v>
      </c>
      <c r="B270" s="66">
        <f t="shared" si="13"/>
        <v>265</v>
      </c>
      <c r="C270" s="607">
        <v>10600.0</v>
      </c>
      <c r="D270" s="617">
        <f t="shared" si="14"/>
        <v>-263.8652906</v>
      </c>
      <c r="E270" s="617">
        <f t="shared" si="1"/>
        <v>10863.86529</v>
      </c>
      <c r="F270" s="617">
        <f t="shared" si="6"/>
        <v>1683239.001</v>
      </c>
      <c r="G270" s="617">
        <f t="shared" si="7"/>
        <v>1125760.999</v>
      </c>
      <c r="H270" s="617">
        <f t="shared" si="8"/>
        <v>2809000</v>
      </c>
      <c r="I270" s="617">
        <f t="shared" si="9"/>
        <v>-61526.00109</v>
      </c>
      <c r="J270" s="620">
        <v>6.25</v>
      </c>
      <c r="K270" s="591"/>
      <c r="L270" s="6"/>
      <c r="M270" s="9">
        <v>12000.0</v>
      </c>
      <c r="N270" s="79">
        <f t="shared" si="10"/>
        <v>3174000</v>
      </c>
      <c r="O270" s="6">
        <f t="shared" si="2"/>
        <v>1401109.001</v>
      </c>
      <c r="P270" s="6"/>
      <c r="Q270" s="6">
        <f t="shared" si="11"/>
        <v>9821.865291</v>
      </c>
      <c r="R270" s="6">
        <f t="shared" si="12"/>
        <v>1401109.001</v>
      </c>
      <c r="S270" s="81">
        <f t="shared" si="3"/>
        <v>124.458833</v>
      </c>
      <c r="T270" s="6"/>
      <c r="U270" s="6"/>
      <c r="V270" s="6"/>
      <c r="W270" s="6"/>
      <c r="X270" s="6"/>
    </row>
    <row r="271" ht="11.25" customHeight="1">
      <c r="A271" s="7"/>
      <c r="B271" s="68">
        <f t="shared" si="13"/>
        <v>266</v>
      </c>
      <c r="C271" s="607">
        <v>10600.0</v>
      </c>
      <c r="D271" s="6">
        <f t="shared" si="14"/>
        <v>-320.4479223</v>
      </c>
      <c r="E271" s="6">
        <f t="shared" si="1"/>
        <v>10920.44792</v>
      </c>
      <c r="F271" s="6">
        <f t="shared" si="6"/>
        <v>1694159.449</v>
      </c>
      <c r="G271" s="6">
        <f t="shared" si="7"/>
        <v>1125440.551</v>
      </c>
      <c r="H271" s="6">
        <f t="shared" si="8"/>
        <v>2819600</v>
      </c>
      <c r="I271" s="6">
        <f t="shared" si="9"/>
        <v>-72446.44901</v>
      </c>
      <c r="J271" s="620">
        <v>6.25</v>
      </c>
      <c r="K271" s="591"/>
      <c r="L271" s="6"/>
      <c r="M271" s="9">
        <v>12000.0</v>
      </c>
      <c r="N271" s="79">
        <f t="shared" si="10"/>
        <v>3186000</v>
      </c>
      <c r="O271" s="6">
        <f t="shared" si="2"/>
        <v>1410987.449</v>
      </c>
      <c r="P271" s="6"/>
      <c r="Q271" s="6">
        <f t="shared" si="11"/>
        <v>9878.447922</v>
      </c>
      <c r="R271" s="6">
        <f t="shared" si="12"/>
        <v>1410987.449</v>
      </c>
      <c r="S271" s="81">
        <f t="shared" si="3"/>
        <v>125.3720108</v>
      </c>
      <c r="T271" s="6"/>
      <c r="U271" s="6"/>
      <c r="V271" s="6"/>
      <c r="W271" s="6"/>
      <c r="X271" s="6"/>
    </row>
    <row r="272" ht="11.25" customHeight="1">
      <c r="A272" s="7"/>
      <c r="B272" s="68">
        <f t="shared" si="13"/>
        <v>267</v>
      </c>
      <c r="C272" s="607">
        <v>10600.0</v>
      </c>
      <c r="D272" s="6">
        <f t="shared" si="14"/>
        <v>-377.3252553</v>
      </c>
      <c r="E272" s="6">
        <f t="shared" si="1"/>
        <v>10977.32526</v>
      </c>
      <c r="F272" s="6">
        <f t="shared" si="6"/>
        <v>1705136.774</v>
      </c>
      <c r="G272" s="6">
        <f t="shared" si="7"/>
        <v>1125063.226</v>
      </c>
      <c r="H272" s="6">
        <f t="shared" si="8"/>
        <v>2830200</v>
      </c>
      <c r="I272" s="6">
        <f t="shared" si="9"/>
        <v>-83423.77427</v>
      </c>
      <c r="J272" s="620">
        <v>6.25</v>
      </c>
      <c r="K272" s="591"/>
      <c r="L272" s="6"/>
      <c r="M272" s="9">
        <v>12000.0</v>
      </c>
      <c r="N272" s="79">
        <f t="shared" si="10"/>
        <v>3198000</v>
      </c>
      <c r="O272" s="6">
        <f t="shared" si="2"/>
        <v>1420922.774</v>
      </c>
      <c r="P272" s="6"/>
      <c r="Q272" s="6">
        <f t="shared" si="11"/>
        <v>9935.325255</v>
      </c>
      <c r="R272" s="6">
        <f t="shared" si="12"/>
        <v>1420922.774</v>
      </c>
      <c r="S272" s="81">
        <f t="shared" si="3"/>
        <v>126.2971486</v>
      </c>
      <c r="T272" s="6"/>
      <c r="U272" s="6"/>
      <c r="V272" s="6"/>
      <c r="W272" s="6"/>
      <c r="X272" s="6"/>
    </row>
    <row r="273" ht="11.25" customHeight="1">
      <c r="A273" s="7"/>
      <c r="B273" s="68">
        <f t="shared" si="13"/>
        <v>268</v>
      </c>
      <c r="C273" s="607">
        <v>10600.0</v>
      </c>
      <c r="D273" s="6">
        <f t="shared" si="14"/>
        <v>-434.4988243</v>
      </c>
      <c r="E273" s="6">
        <f t="shared" si="1"/>
        <v>11034.49882</v>
      </c>
      <c r="F273" s="6">
        <f t="shared" si="6"/>
        <v>1716171.273</v>
      </c>
      <c r="G273" s="6">
        <f t="shared" si="7"/>
        <v>1124628.727</v>
      </c>
      <c r="H273" s="6">
        <f t="shared" si="8"/>
        <v>2840800</v>
      </c>
      <c r="I273" s="6">
        <f t="shared" si="9"/>
        <v>-94458.27309</v>
      </c>
      <c r="J273" s="620">
        <v>6.25</v>
      </c>
      <c r="K273" s="591"/>
      <c r="L273" s="6"/>
      <c r="M273" s="9">
        <v>12000.0</v>
      </c>
      <c r="N273" s="79">
        <f t="shared" si="10"/>
        <v>3210000</v>
      </c>
      <c r="O273" s="6">
        <f t="shared" si="2"/>
        <v>1430915.273</v>
      </c>
      <c r="P273" s="6"/>
      <c r="Q273" s="6">
        <f t="shared" si="11"/>
        <v>9992.498824</v>
      </c>
      <c r="R273" s="6">
        <f t="shared" si="12"/>
        <v>1430915.273</v>
      </c>
      <c r="S273" s="81">
        <f t="shared" si="3"/>
        <v>127.2344587</v>
      </c>
      <c r="T273" s="6"/>
      <c r="U273" s="6"/>
      <c r="V273" s="6"/>
      <c r="W273" s="6"/>
      <c r="X273" s="6"/>
    </row>
    <row r="274" ht="11.25" customHeight="1">
      <c r="A274" s="7"/>
      <c r="B274" s="68">
        <f t="shared" si="13"/>
        <v>269</v>
      </c>
      <c r="C274" s="607">
        <v>10600.0</v>
      </c>
      <c r="D274" s="6">
        <f t="shared" si="14"/>
        <v>-491.9701724</v>
      </c>
      <c r="E274" s="6">
        <f t="shared" si="1"/>
        <v>11091.97017</v>
      </c>
      <c r="F274" s="6">
        <f t="shared" si="6"/>
        <v>1727263.243</v>
      </c>
      <c r="G274" s="6">
        <f t="shared" si="7"/>
        <v>1124136.757</v>
      </c>
      <c r="H274" s="6">
        <f t="shared" si="8"/>
        <v>2851400</v>
      </c>
      <c r="I274" s="6">
        <f t="shared" si="9"/>
        <v>-105550.2433</v>
      </c>
      <c r="J274" s="620">
        <v>6.25</v>
      </c>
      <c r="K274" s="591"/>
      <c r="L274" s="6"/>
      <c r="M274" s="9">
        <v>12000.0</v>
      </c>
      <c r="N274" s="79">
        <f t="shared" si="10"/>
        <v>3222000</v>
      </c>
      <c r="O274" s="6">
        <f t="shared" si="2"/>
        <v>1440965.243</v>
      </c>
      <c r="P274" s="6"/>
      <c r="Q274" s="6">
        <f t="shared" si="11"/>
        <v>10049.97017</v>
      </c>
      <c r="R274" s="6">
        <f t="shared" si="12"/>
        <v>1440965.243</v>
      </c>
      <c r="S274" s="81">
        <f t="shared" si="3"/>
        <v>128.1841586</v>
      </c>
      <c r="T274" s="6"/>
      <c r="U274" s="6"/>
      <c r="V274" s="6"/>
      <c r="W274" s="6"/>
      <c r="X274" s="6"/>
    </row>
    <row r="275" ht="11.25" customHeight="1">
      <c r="A275" s="7"/>
      <c r="B275" s="68">
        <f t="shared" si="13"/>
        <v>270</v>
      </c>
      <c r="C275" s="607">
        <v>10600.0</v>
      </c>
      <c r="D275" s="6">
        <f t="shared" si="14"/>
        <v>-549.7408503</v>
      </c>
      <c r="E275" s="6">
        <f t="shared" si="1"/>
        <v>11149.74085</v>
      </c>
      <c r="F275" s="6">
        <f t="shared" si="6"/>
        <v>1738412.984</v>
      </c>
      <c r="G275" s="6">
        <f t="shared" si="7"/>
        <v>1123587.016</v>
      </c>
      <c r="H275" s="6">
        <f t="shared" si="8"/>
        <v>2862000</v>
      </c>
      <c r="I275" s="6">
        <f t="shared" si="9"/>
        <v>-116699.9841</v>
      </c>
      <c r="J275" s="620">
        <v>6.25</v>
      </c>
      <c r="K275" s="591"/>
      <c r="L275" s="6"/>
      <c r="M275" s="9">
        <v>12000.0</v>
      </c>
      <c r="N275" s="79">
        <f t="shared" si="10"/>
        <v>3234000</v>
      </c>
      <c r="O275" s="6">
        <f t="shared" si="2"/>
        <v>1451072.984</v>
      </c>
      <c r="P275" s="6"/>
      <c r="Q275" s="6">
        <f t="shared" si="11"/>
        <v>10107.74085</v>
      </c>
      <c r="R275" s="6">
        <f t="shared" si="12"/>
        <v>1451072.984</v>
      </c>
      <c r="S275" s="81">
        <f t="shared" si="3"/>
        <v>129.1464714</v>
      </c>
      <c r="T275" s="6"/>
      <c r="U275" s="6"/>
      <c r="V275" s="6"/>
      <c r="W275" s="6"/>
      <c r="X275" s="6"/>
    </row>
    <row r="276" ht="11.25" customHeight="1">
      <c r="A276" s="7"/>
      <c r="B276" s="68">
        <f t="shared" si="13"/>
        <v>271</v>
      </c>
      <c r="C276" s="607">
        <v>10600.0</v>
      </c>
      <c r="D276" s="6">
        <f t="shared" si="14"/>
        <v>-607.8124173</v>
      </c>
      <c r="E276" s="6">
        <f t="shared" si="1"/>
        <v>11207.81242</v>
      </c>
      <c r="F276" s="6">
        <f t="shared" si="6"/>
        <v>1749620.797</v>
      </c>
      <c r="G276" s="6">
        <f t="shared" si="7"/>
        <v>1122979.203</v>
      </c>
      <c r="H276" s="6">
        <f t="shared" si="8"/>
        <v>2872600</v>
      </c>
      <c r="I276" s="6">
        <f t="shared" si="9"/>
        <v>-127907.7965</v>
      </c>
      <c r="J276" s="620">
        <v>6.25</v>
      </c>
      <c r="K276" s="591"/>
      <c r="L276" s="6"/>
      <c r="M276" s="9">
        <v>12000.0</v>
      </c>
      <c r="N276" s="79">
        <f t="shared" si="10"/>
        <v>3246000</v>
      </c>
      <c r="O276" s="6">
        <f t="shared" si="2"/>
        <v>1461238.797</v>
      </c>
      <c r="P276" s="6"/>
      <c r="Q276" s="6">
        <f t="shared" si="11"/>
        <v>10165.81242</v>
      </c>
      <c r="R276" s="6">
        <f t="shared" si="12"/>
        <v>1461238.797</v>
      </c>
      <c r="S276" s="81">
        <f t="shared" si="3"/>
        <v>130.1216258</v>
      </c>
      <c r="T276" s="6"/>
      <c r="U276" s="6"/>
      <c r="V276" s="6"/>
      <c r="W276" s="6"/>
      <c r="X276" s="6"/>
    </row>
    <row r="277" ht="11.25" customHeight="1">
      <c r="A277" s="7"/>
      <c r="B277" s="68">
        <f t="shared" si="13"/>
        <v>272</v>
      </c>
      <c r="C277" s="607">
        <v>10600.0</v>
      </c>
      <c r="D277" s="6">
        <f t="shared" si="14"/>
        <v>-666.1864403</v>
      </c>
      <c r="E277" s="6">
        <f t="shared" si="1"/>
        <v>11266.18644</v>
      </c>
      <c r="F277" s="6">
        <f t="shared" si="6"/>
        <v>1760886.983</v>
      </c>
      <c r="G277" s="6">
        <f t="shared" si="7"/>
        <v>1122313.017</v>
      </c>
      <c r="H277" s="6">
        <f t="shared" si="8"/>
        <v>2883200</v>
      </c>
      <c r="I277" s="6">
        <f t="shared" si="9"/>
        <v>-139173.983</v>
      </c>
      <c r="J277" s="620">
        <v>6.25</v>
      </c>
      <c r="K277" s="591"/>
      <c r="L277" s="6"/>
      <c r="M277" s="9">
        <v>12000.0</v>
      </c>
      <c r="N277" s="79">
        <f t="shared" si="10"/>
        <v>3258000</v>
      </c>
      <c r="O277" s="6">
        <f t="shared" si="2"/>
        <v>1471462.983</v>
      </c>
      <c r="P277" s="6"/>
      <c r="Q277" s="6">
        <f t="shared" si="11"/>
        <v>10224.18644</v>
      </c>
      <c r="R277" s="6">
        <f t="shared" si="12"/>
        <v>1471462.983</v>
      </c>
      <c r="S277" s="81">
        <f t="shared" si="3"/>
        <v>131.1098562</v>
      </c>
      <c r="T277" s="6"/>
      <c r="U277" s="6"/>
      <c r="V277" s="6"/>
      <c r="W277" s="6"/>
      <c r="X277" s="6"/>
    </row>
    <row r="278" ht="11.25" customHeight="1">
      <c r="A278" s="7"/>
      <c r="B278" s="68">
        <f t="shared" si="13"/>
        <v>273</v>
      </c>
      <c r="C278" s="607">
        <v>10600.0</v>
      </c>
      <c r="D278" s="6">
        <f t="shared" si="14"/>
        <v>-724.8644946</v>
      </c>
      <c r="E278" s="6">
        <f t="shared" si="1"/>
        <v>11324.86449</v>
      </c>
      <c r="F278" s="6">
        <f t="shared" si="6"/>
        <v>1772211.847</v>
      </c>
      <c r="G278" s="6">
        <f t="shared" si="7"/>
        <v>1121588.153</v>
      </c>
      <c r="H278" s="6">
        <f t="shared" si="8"/>
        <v>2893800</v>
      </c>
      <c r="I278" s="6">
        <f t="shared" si="9"/>
        <v>-150498.8475</v>
      </c>
      <c r="J278" s="620">
        <v>6.25</v>
      </c>
      <c r="K278" s="591"/>
      <c r="L278" s="6"/>
      <c r="M278" s="9">
        <v>12000.0</v>
      </c>
      <c r="N278" s="79">
        <f t="shared" si="10"/>
        <v>3270000</v>
      </c>
      <c r="O278" s="6">
        <f t="shared" si="2"/>
        <v>1481745.847</v>
      </c>
      <c r="P278" s="6"/>
      <c r="Q278" s="6">
        <f t="shared" si="11"/>
        <v>10282.86449</v>
      </c>
      <c r="R278" s="6">
        <f t="shared" si="12"/>
        <v>1481745.847</v>
      </c>
      <c r="S278" s="81">
        <f t="shared" si="3"/>
        <v>132.1114033</v>
      </c>
      <c r="T278" s="6"/>
      <c r="U278" s="6"/>
      <c r="V278" s="6"/>
      <c r="W278" s="6"/>
      <c r="X278" s="6"/>
    </row>
    <row r="279" ht="11.25" customHeight="1">
      <c r="A279" s="7"/>
      <c r="B279" s="68">
        <f t="shared" si="13"/>
        <v>274</v>
      </c>
      <c r="C279" s="607">
        <v>10600.0</v>
      </c>
      <c r="D279" s="6">
        <f t="shared" si="14"/>
        <v>-783.8481639</v>
      </c>
      <c r="E279" s="6">
        <f t="shared" si="1"/>
        <v>11383.84816</v>
      </c>
      <c r="F279" s="6">
        <f t="shared" si="6"/>
        <v>1783595.696</v>
      </c>
      <c r="G279" s="6">
        <f t="shared" si="7"/>
        <v>1120804.304</v>
      </c>
      <c r="H279" s="6">
        <f t="shared" si="8"/>
        <v>2904400</v>
      </c>
      <c r="I279" s="6">
        <f t="shared" si="9"/>
        <v>-161882.6956</v>
      </c>
      <c r="J279" s="620">
        <v>6.25</v>
      </c>
      <c r="K279" s="591"/>
      <c r="L279" s="6"/>
      <c r="M279" s="9">
        <v>12000.0</v>
      </c>
      <c r="N279" s="79">
        <f t="shared" si="10"/>
        <v>3282000</v>
      </c>
      <c r="O279" s="6">
        <f t="shared" si="2"/>
        <v>1492087.696</v>
      </c>
      <c r="P279" s="6"/>
      <c r="Q279" s="6">
        <f t="shared" si="11"/>
        <v>10341.84816</v>
      </c>
      <c r="R279" s="6">
        <f t="shared" si="12"/>
        <v>1492087.696</v>
      </c>
      <c r="S279" s="81">
        <f t="shared" si="3"/>
        <v>133.1265137</v>
      </c>
      <c r="T279" s="6"/>
      <c r="U279" s="6"/>
      <c r="V279" s="6"/>
      <c r="W279" s="6"/>
      <c r="X279" s="6"/>
    </row>
    <row r="280" ht="11.25" customHeight="1">
      <c r="A280" s="7"/>
      <c r="B280" s="68">
        <f t="shared" si="13"/>
        <v>275</v>
      </c>
      <c r="C280" s="607">
        <v>10600.0</v>
      </c>
      <c r="D280" s="6">
        <f t="shared" si="14"/>
        <v>-843.1390397</v>
      </c>
      <c r="E280" s="6">
        <f t="shared" si="1"/>
        <v>11443.13904</v>
      </c>
      <c r="F280" s="6">
        <f t="shared" si="6"/>
        <v>1795038.835</v>
      </c>
      <c r="G280" s="6">
        <f t="shared" si="7"/>
        <v>1119961.165</v>
      </c>
      <c r="H280" s="6">
        <f t="shared" si="8"/>
        <v>2915000</v>
      </c>
      <c r="I280" s="6">
        <f t="shared" si="9"/>
        <v>-173325.8347</v>
      </c>
      <c r="J280" s="620">
        <v>6.25</v>
      </c>
      <c r="K280" s="591"/>
      <c r="L280" s="6"/>
      <c r="M280" s="9">
        <v>12000.0</v>
      </c>
      <c r="N280" s="79">
        <f t="shared" si="10"/>
        <v>3294000</v>
      </c>
      <c r="O280" s="6">
        <f t="shared" si="2"/>
        <v>1502488.835</v>
      </c>
      <c r="P280" s="6"/>
      <c r="Q280" s="6">
        <f t="shared" si="11"/>
        <v>10401.13904</v>
      </c>
      <c r="R280" s="6">
        <f t="shared" si="12"/>
        <v>1502488.835</v>
      </c>
      <c r="S280" s="81">
        <f t="shared" si="3"/>
        <v>134.1554405</v>
      </c>
      <c r="T280" s="6"/>
      <c r="U280" s="6"/>
      <c r="V280" s="6"/>
      <c r="W280" s="6"/>
      <c r="X280" s="6"/>
    </row>
    <row r="281" ht="11.25" customHeight="1">
      <c r="A281" s="71"/>
      <c r="B281" s="72">
        <f t="shared" si="13"/>
        <v>276</v>
      </c>
      <c r="C281" s="607">
        <v>10600.0</v>
      </c>
      <c r="D281" s="10">
        <f t="shared" si="14"/>
        <v>-902.7387222</v>
      </c>
      <c r="E281" s="10">
        <f t="shared" si="1"/>
        <v>11502.73872</v>
      </c>
      <c r="F281" s="10">
        <f t="shared" si="6"/>
        <v>1806541.573</v>
      </c>
      <c r="G281" s="10">
        <f t="shared" si="7"/>
        <v>1119058.427</v>
      </c>
      <c r="H281" s="10">
        <f t="shared" si="8"/>
        <v>2925600</v>
      </c>
      <c r="I281" s="10">
        <f t="shared" si="9"/>
        <v>-184828.5734</v>
      </c>
      <c r="J281" s="620">
        <v>6.25</v>
      </c>
      <c r="K281" s="591"/>
      <c r="L281" s="6"/>
      <c r="M281" s="9">
        <v>12000.0</v>
      </c>
      <c r="N281" s="79">
        <f t="shared" si="10"/>
        <v>3306000</v>
      </c>
      <c r="O281" s="6">
        <f t="shared" si="2"/>
        <v>1512949.573</v>
      </c>
      <c r="P281" s="6"/>
      <c r="Q281" s="6">
        <f t="shared" si="11"/>
        <v>10460.73872</v>
      </c>
      <c r="R281" s="6">
        <f t="shared" si="12"/>
        <v>1512949.573</v>
      </c>
      <c r="S281" s="81">
        <f t="shared" si="3"/>
        <v>135.1984434</v>
      </c>
      <c r="T281" s="6"/>
      <c r="U281" s="6"/>
      <c r="V281" s="6"/>
      <c r="W281" s="6"/>
      <c r="X281" s="6"/>
    </row>
    <row r="282" ht="11.25" customHeight="1">
      <c r="A282" s="100">
        <v>24.0</v>
      </c>
      <c r="B282" s="66">
        <f t="shared" si="13"/>
        <v>277</v>
      </c>
      <c r="C282" s="607">
        <v>10600.0</v>
      </c>
      <c r="D282" s="617">
        <f t="shared" si="14"/>
        <v>-962.6488198</v>
      </c>
      <c r="E282" s="617">
        <f t="shared" si="1"/>
        <v>11562.64882</v>
      </c>
      <c r="F282" s="617">
        <f t="shared" si="6"/>
        <v>1818104.222</v>
      </c>
      <c r="G282" s="617">
        <f t="shared" si="7"/>
        <v>1118095.778</v>
      </c>
      <c r="H282" s="617">
        <f t="shared" si="8"/>
        <v>2936200</v>
      </c>
      <c r="I282" s="617">
        <f t="shared" si="9"/>
        <v>-196391.2222</v>
      </c>
      <c r="J282" s="620">
        <v>6.25</v>
      </c>
      <c r="K282" s="591"/>
      <c r="L282" s="6"/>
      <c r="M282" s="9">
        <v>12000.0</v>
      </c>
      <c r="N282" s="79">
        <f t="shared" si="10"/>
        <v>3318000</v>
      </c>
      <c r="O282" s="6">
        <f t="shared" si="2"/>
        <v>1523470.222</v>
      </c>
      <c r="P282" s="6"/>
      <c r="Q282" s="6">
        <f t="shared" si="11"/>
        <v>10520.64882</v>
      </c>
      <c r="R282" s="6">
        <f t="shared" si="12"/>
        <v>1523470.222</v>
      </c>
      <c r="S282" s="81">
        <f t="shared" si="3"/>
        <v>136.2557889</v>
      </c>
      <c r="T282" s="6"/>
      <c r="U282" s="6"/>
      <c r="V282" s="6"/>
      <c r="W282" s="6"/>
      <c r="X282" s="6"/>
    </row>
    <row r="283" ht="11.25" customHeight="1">
      <c r="A283" s="7"/>
      <c r="B283" s="68">
        <f t="shared" si="13"/>
        <v>278</v>
      </c>
      <c r="C283" s="607">
        <v>10600.0</v>
      </c>
      <c r="D283" s="6">
        <f t="shared" si="14"/>
        <v>-1022.870949</v>
      </c>
      <c r="E283" s="6">
        <f t="shared" si="1"/>
        <v>11622.87095</v>
      </c>
      <c r="F283" s="6">
        <f t="shared" si="6"/>
        <v>1829727.093</v>
      </c>
      <c r="G283" s="6">
        <f t="shared" si="7"/>
        <v>1117072.907</v>
      </c>
      <c r="H283" s="6">
        <f t="shared" si="8"/>
        <v>2946800</v>
      </c>
      <c r="I283" s="6">
        <f t="shared" si="9"/>
        <v>-208014.0932</v>
      </c>
      <c r="J283" s="620">
        <v>6.25</v>
      </c>
      <c r="K283" s="591"/>
      <c r="L283" s="6"/>
      <c r="M283" s="9">
        <v>12000.0</v>
      </c>
      <c r="N283" s="79">
        <f t="shared" si="10"/>
        <v>3330000</v>
      </c>
      <c r="O283" s="6">
        <f t="shared" si="2"/>
        <v>1534051.093</v>
      </c>
      <c r="P283" s="6"/>
      <c r="Q283" s="6">
        <f t="shared" si="11"/>
        <v>10580.87095</v>
      </c>
      <c r="R283" s="6">
        <f t="shared" si="12"/>
        <v>1534051.093</v>
      </c>
      <c r="S283" s="81">
        <f t="shared" si="3"/>
        <v>137.3277504</v>
      </c>
      <c r="T283" s="6"/>
      <c r="U283" s="6"/>
      <c r="V283" s="6"/>
      <c r="W283" s="6"/>
      <c r="X283" s="6"/>
    </row>
    <row r="284" ht="11.25" customHeight="1">
      <c r="A284" s="7"/>
      <c r="B284" s="68">
        <f t="shared" si="13"/>
        <v>279</v>
      </c>
      <c r="C284" s="607">
        <v>10600.0</v>
      </c>
      <c r="D284" s="6">
        <f t="shared" si="14"/>
        <v>-1083.406735</v>
      </c>
      <c r="E284" s="6">
        <f t="shared" si="1"/>
        <v>11683.40674</v>
      </c>
      <c r="F284" s="6">
        <f t="shared" si="6"/>
        <v>1841410.5</v>
      </c>
      <c r="G284" s="6">
        <f t="shared" si="7"/>
        <v>1115989.5</v>
      </c>
      <c r="H284" s="6">
        <f t="shared" si="8"/>
        <v>2957400</v>
      </c>
      <c r="I284" s="6">
        <f t="shared" si="9"/>
        <v>-219697.4999</v>
      </c>
      <c r="J284" s="620">
        <v>6.25</v>
      </c>
      <c r="K284" s="591"/>
      <c r="L284" s="6"/>
      <c r="M284" s="9">
        <v>12000.0</v>
      </c>
      <c r="N284" s="79">
        <f t="shared" si="10"/>
        <v>3342000</v>
      </c>
      <c r="O284" s="6">
        <f t="shared" si="2"/>
        <v>1544692.5</v>
      </c>
      <c r="P284" s="6"/>
      <c r="Q284" s="6">
        <f t="shared" si="11"/>
        <v>10641.40674</v>
      </c>
      <c r="R284" s="6">
        <f t="shared" si="12"/>
        <v>1544692.5</v>
      </c>
      <c r="S284" s="81">
        <f t="shared" si="3"/>
        <v>138.4146087</v>
      </c>
      <c r="T284" s="6"/>
      <c r="U284" s="6"/>
      <c r="V284" s="6"/>
      <c r="W284" s="6"/>
      <c r="X284" s="6"/>
    </row>
    <row r="285" ht="11.25" customHeight="1">
      <c r="A285" s="7"/>
      <c r="B285" s="68">
        <f t="shared" si="13"/>
        <v>280</v>
      </c>
      <c r="C285" s="607">
        <v>10600.0</v>
      </c>
      <c r="D285" s="6">
        <f t="shared" si="14"/>
        <v>-1144.257812</v>
      </c>
      <c r="E285" s="6">
        <f t="shared" si="1"/>
        <v>11744.25781</v>
      </c>
      <c r="F285" s="6">
        <f t="shared" si="6"/>
        <v>1853154.758</v>
      </c>
      <c r="G285" s="6">
        <f t="shared" si="7"/>
        <v>1114845.242</v>
      </c>
      <c r="H285" s="6">
        <f t="shared" si="8"/>
        <v>2968000</v>
      </c>
      <c r="I285" s="6">
        <f t="shared" si="9"/>
        <v>-231441.7577</v>
      </c>
      <c r="J285" s="620">
        <v>6.25</v>
      </c>
      <c r="K285" s="591"/>
      <c r="L285" s="6"/>
      <c r="M285" s="9">
        <v>12000.0</v>
      </c>
      <c r="N285" s="79">
        <f t="shared" si="10"/>
        <v>3354000</v>
      </c>
      <c r="O285" s="6">
        <f t="shared" si="2"/>
        <v>1555394.758</v>
      </c>
      <c r="P285" s="6"/>
      <c r="Q285" s="6">
        <f t="shared" si="11"/>
        <v>10702.25781</v>
      </c>
      <c r="R285" s="6">
        <f t="shared" si="12"/>
        <v>1555394.758</v>
      </c>
      <c r="S285" s="81">
        <f t="shared" si="3"/>
        <v>139.5166521</v>
      </c>
      <c r="T285" s="6"/>
      <c r="U285" s="6"/>
      <c r="V285" s="6"/>
      <c r="W285" s="6"/>
      <c r="X285" s="6"/>
    </row>
    <row r="286" ht="11.25" customHeight="1">
      <c r="A286" s="7"/>
      <c r="B286" s="68">
        <f t="shared" si="13"/>
        <v>281</v>
      </c>
      <c r="C286" s="607">
        <v>10600.0</v>
      </c>
      <c r="D286" s="6">
        <f t="shared" si="14"/>
        <v>-1205.425821</v>
      </c>
      <c r="E286" s="6">
        <f t="shared" si="1"/>
        <v>11805.42582</v>
      </c>
      <c r="F286" s="6">
        <f t="shared" si="6"/>
        <v>1864960.184</v>
      </c>
      <c r="G286" s="6">
        <f t="shared" si="7"/>
        <v>1113639.816</v>
      </c>
      <c r="H286" s="6">
        <f t="shared" si="8"/>
        <v>2978600</v>
      </c>
      <c r="I286" s="6">
        <f t="shared" si="9"/>
        <v>-243247.1835</v>
      </c>
      <c r="J286" s="620">
        <v>6.25</v>
      </c>
      <c r="K286" s="591"/>
      <c r="L286" s="6"/>
      <c r="M286" s="9">
        <v>12000.0</v>
      </c>
      <c r="N286" s="79">
        <f t="shared" si="10"/>
        <v>3366000</v>
      </c>
      <c r="O286" s="6">
        <f t="shared" si="2"/>
        <v>1566158.184</v>
      </c>
      <c r="P286" s="6"/>
      <c r="Q286" s="6">
        <f t="shared" si="11"/>
        <v>10763.42582</v>
      </c>
      <c r="R286" s="6">
        <f t="shared" si="12"/>
        <v>1566158.184</v>
      </c>
      <c r="S286" s="81">
        <f t="shared" si="3"/>
        <v>140.6341764</v>
      </c>
      <c r="T286" s="6"/>
      <c r="U286" s="6"/>
      <c r="V286" s="6"/>
      <c r="W286" s="6"/>
      <c r="X286" s="6"/>
    </row>
    <row r="287" ht="11.25" customHeight="1">
      <c r="A287" s="7"/>
      <c r="B287" s="68">
        <f t="shared" si="13"/>
        <v>282</v>
      </c>
      <c r="C287" s="607">
        <v>10600.0</v>
      </c>
      <c r="D287" s="6">
        <f t="shared" si="14"/>
        <v>-1266.912414</v>
      </c>
      <c r="E287" s="6">
        <f t="shared" si="1"/>
        <v>11866.91241</v>
      </c>
      <c r="F287" s="6">
        <f t="shared" si="6"/>
        <v>1876827.096</v>
      </c>
      <c r="G287" s="6">
        <f t="shared" si="7"/>
        <v>1112372.904</v>
      </c>
      <c r="H287" s="6">
        <f t="shared" si="8"/>
        <v>2989200</v>
      </c>
      <c r="I287" s="6">
        <f t="shared" si="9"/>
        <v>-255114.0959</v>
      </c>
      <c r="J287" s="620">
        <v>6.25</v>
      </c>
      <c r="K287" s="591"/>
      <c r="L287" s="6"/>
      <c r="M287" s="9">
        <v>12000.0</v>
      </c>
      <c r="N287" s="79">
        <f t="shared" si="10"/>
        <v>3378000</v>
      </c>
      <c r="O287" s="6">
        <f t="shared" si="2"/>
        <v>1576983.096</v>
      </c>
      <c r="P287" s="6"/>
      <c r="Q287" s="6">
        <f t="shared" si="11"/>
        <v>10824.91241</v>
      </c>
      <c r="R287" s="6">
        <f t="shared" si="12"/>
        <v>1576983.096</v>
      </c>
      <c r="S287" s="81">
        <f t="shared" si="3"/>
        <v>141.7674855</v>
      </c>
      <c r="T287" s="6"/>
      <c r="U287" s="6"/>
      <c r="V287" s="6"/>
      <c r="W287" s="6"/>
      <c r="X287" s="6"/>
    </row>
    <row r="288" ht="11.25" customHeight="1">
      <c r="A288" s="7"/>
      <c r="B288" s="68">
        <f t="shared" si="13"/>
        <v>283</v>
      </c>
      <c r="C288" s="607">
        <v>10600.0</v>
      </c>
      <c r="D288" s="6">
        <f t="shared" si="14"/>
        <v>-1328.71925</v>
      </c>
      <c r="E288" s="6">
        <f t="shared" si="1"/>
        <v>11928.71925</v>
      </c>
      <c r="F288" s="6">
        <f t="shared" si="6"/>
        <v>1888755.815</v>
      </c>
      <c r="G288" s="6">
        <f t="shared" si="7"/>
        <v>1111044.185</v>
      </c>
      <c r="H288" s="6">
        <f t="shared" si="8"/>
        <v>2999800</v>
      </c>
      <c r="I288" s="6">
        <f t="shared" si="9"/>
        <v>-267042.8152</v>
      </c>
      <c r="J288" s="620">
        <v>6.25</v>
      </c>
      <c r="K288" s="591"/>
      <c r="L288" s="6"/>
      <c r="M288" s="9">
        <v>12000.0</v>
      </c>
      <c r="N288" s="79">
        <f t="shared" si="10"/>
        <v>3390000</v>
      </c>
      <c r="O288" s="6">
        <f t="shared" si="2"/>
        <v>1587869.815</v>
      </c>
      <c r="P288" s="6"/>
      <c r="Q288" s="6">
        <f t="shared" si="11"/>
        <v>10886.71925</v>
      </c>
      <c r="R288" s="6">
        <f t="shared" si="12"/>
        <v>1587869.815</v>
      </c>
      <c r="S288" s="81">
        <f t="shared" si="3"/>
        <v>142.9168918</v>
      </c>
      <c r="T288" s="6"/>
      <c r="U288" s="6"/>
      <c r="V288" s="6"/>
      <c r="W288" s="6"/>
      <c r="X288" s="6"/>
    </row>
    <row r="289" ht="11.25" customHeight="1">
      <c r="A289" s="7"/>
      <c r="B289" s="68">
        <f t="shared" si="13"/>
        <v>284</v>
      </c>
      <c r="C289" s="607">
        <v>10600.0</v>
      </c>
      <c r="D289" s="6">
        <f t="shared" si="14"/>
        <v>-1390.847996</v>
      </c>
      <c r="E289" s="6">
        <f t="shared" si="1"/>
        <v>11990.848</v>
      </c>
      <c r="F289" s="6">
        <f t="shared" si="6"/>
        <v>1900746.663</v>
      </c>
      <c r="G289" s="6">
        <f t="shared" si="7"/>
        <v>1109653.337</v>
      </c>
      <c r="H289" s="6">
        <f t="shared" si="8"/>
        <v>3010400</v>
      </c>
      <c r="I289" s="6">
        <f t="shared" si="9"/>
        <v>-279033.6632</v>
      </c>
      <c r="J289" s="620">
        <v>6.25</v>
      </c>
      <c r="K289" s="591"/>
      <c r="L289" s="6"/>
      <c r="M289" s="9">
        <v>12000.0</v>
      </c>
      <c r="N289" s="79">
        <f t="shared" si="10"/>
        <v>3402000</v>
      </c>
      <c r="O289" s="6">
        <f t="shared" si="2"/>
        <v>1598818.663</v>
      </c>
      <c r="P289" s="6"/>
      <c r="Q289" s="6">
        <f t="shared" si="11"/>
        <v>10948.848</v>
      </c>
      <c r="R289" s="6">
        <f t="shared" si="12"/>
        <v>1598818.663</v>
      </c>
      <c r="S289" s="81">
        <f t="shared" si="3"/>
        <v>144.0827158</v>
      </c>
      <c r="T289" s="6"/>
      <c r="U289" s="6"/>
      <c r="V289" s="6"/>
      <c r="W289" s="6"/>
      <c r="X289" s="6"/>
    </row>
    <row r="290" ht="11.25" customHeight="1">
      <c r="A290" s="7"/>
      <c r="B290" s="68">
        <f t="shared" si="13"/>
        <v>285</v>
      </c>
      <c r="C290" s="607">
        <v>10600.0</v>
      </c>
      <c r="D290" s="6">
        <f t="shared" si="14"/>
        <v>-1453.300329</v>
      </c>
      <c r="E290" s="6">
        <f t="shared" si="1"/>
        <v>12053.30033</v>
      </c>
      <c r="F290" s="6">
        <f t="shared" si="6"/>
        <v>1912799.964</v>
      </c>
      <c r="G290" s="6">
        <f t="shared" si="7"/>
        <v>1108200.036</v>
      </c>
      <c r="H290" s="6">
        <f t="shared" si="8"/>
        <v>3021000</v>
      </c>
      <c r="I290" s="6">
        <f t="shared" si="9"/>
        <v>-291086.9635</v>
      </c>
      <c r="J290" s="620">
        <v>6.25</v>
      </c>
      <c r="K290" s="591"/>
      <c r="L290" s="6"/>
      <c r="M290" s="9">
        <v>12000.0</v>
      </c>
      <c r="N290" s="79">
        <f t="shared" si="10"/>
        <v>3414000</v>
      </c>
      <c r="O290" s="6">
        <f t="shared" si="2"/>
        <v>1609829.964</v>
      </c>
      <c r="P290" s="6"/>
      <c r="Q290" s="6">
        <f t="shared" si="11"/>
        <v>11011.30033</v>
      </c>
      <c r="R290" s="6">
        <f t="shared" si="12"/>
        <v>1609829.964</v>
      </c>
      <c r="S290" s="81">
        <f t="shared" si="3"/>
        <v>145.265287</v>
      </c>
      <c r="T290" s="6"/>
      <c r="U290" s="6"/>
      <c r="V290" s="6"/>
      <c r="W290" s="6"/>
      <c r="X290" s="6"/>
    </row>
    <row r="291" ht="11.25" customHeight="1">
      <c r="A291" s="7"/>
      <c r="B291" s="68">
        <f t="shared" si="13"/>
        <v>286</v>
      </c>
      <c r="C291" s="607">
        <v>10600.0</v>
      </c>
      <c r="D291" s="6">
        <f t="shared" si="14"/>
        <v>-1516.077935</v>
      </c>
      <c r="E291" s="6">
        <f t="shared" si="1"/>
        <v>12116.07793</v>
      </c>
      <c r="F291" s="6">
        <f t="shared" si="6"/>
        <v>1924916.041</v>
      </c>
      <c r="G291" s="6">
        <f t="shared" si="7"/>
        <v>1106683.959</v>
      </c>
      <c r="H291" s="6">
        <f t="shared" si="8"/>
        <v>3031600</v>
      </c>
      <c r="I291" s="6">
        <f t="shared" si="9"/>
        <v>-303203.0415</v>
      </c>
      <c r="J291" s="620">
        <v>6.25</v>
      </c>
      <c r="K291" s="591"/>
      <c r="L291" s="6"/>
      <c r="M291" s="9">
        <v>12000.0</v>
      </c>
      <c r="N291" s="79">
        <f t="shared" si="10"/>
        <v>3426000</v>
      </c>
      <c r="O291" s="6">
        <f t="shared" si="2"/>
        <v>1620904.041</v>
      </c>
      <c r="P291" s="6"/>
      <c r="Q291" s="6">
        <f t="shared" si="11"/>
        <v>11074.07793</v>
      </c>
      <c r="R291" s="6">
        <f t="shared" si="12"/>
        <v>1620904.041</v>
      </c>
      <c r="S291" s="81">
        <f t="shared" si="3"/>
        <v>146.4649441</v>
      </c>
      <c r="T291" s="6"/>
      <c r="U291" s="6"/>
      <c r="V291" s="6"/>
      <c r="W291" s="6"/>
      <c r="X291" s="6"/>
    </row>
    <row r="292" ht="11.25" customHeight="1">
      <c r="A292" s="7"/>
      <c r="B292" s="68">
        <f t="shared" si="13"/>
        <v>287</v>
      </c>
      <c r="C292" s="607">
        <v>10600.0</v>
      </c>
      <c r="D292" s="6">
        <f t="shared" si="14"/>
        <v>-1579.182508</v>
      </c>
      <c r="E292" s="6">
        <f t="shared" si="1"/>
        <v>12179.18251</v>
      </c>
      <c r="F292" s="6">
        <f t="shared" si="6"/>
        <v>1937095.224</v>
      </c>
      <c r="G292" s="6">
        <f t="shared" si="7"/>
        <v>1105104.776</v>
      </c>
      <c r="H292" s="6">
        <f t="shared" si="8"/>
        <v>3042200</v>
      </c>
      <c r="I292" s="6">
        <f t="shared" si="9"/>
        <v>-315382.224</v>
      </c>
      <c r="J292" s="620">
        <v>6.25</v>
      </c>
      <c r="K292" s="591"/>
      <c r="L292" s="6"/>
      <c r="M292" s="9">
        <v>12000.0</v>
      </c>
      <c r="N292" s="79">
        <f t="shared" si="10"/>
        <v>3438000</v>
      </c>
      <c r="O292" s="6">
        <f t="shared" si="2"/>
        <v>1632041.224</v>
      </c>
      <c r="P292" s="6"/>
      <c r="Q292" s="6">
        <f t="shared" si="11"/>
        <v>11137.18251</v>
      </c>
      <c r="R292" s="6">
        <f t="shared" si="12"/>
        <v>1632041.224</v>
      </c>
      <c r="S292" s="81">
        <f t="shared" si="3"/>
        <v>147.6820352</v>
      </c>
      <c r="T292" s="6"/>
      <c r="U292" s="6"/>
      <c r="V292" s="6"/>
      <c r="W292" s="6"/>
      <c r="X292" s="6"/>
    </row>
    <row r="293" ht="11.25" customHeight="1">
      <c r="A293" s="71"/>
      <c r="B293" s="72">
        <f t="shared" si="13"/>
        <v>288</v>
      </c>
      <c r="C293" s="607">
        <v>10600.0</v>
      </c>
      <c r="D293" s="10">
        <f t="shared" si="14"/>
        <v>-1642.61575</v>
      </c>
      <c r="E293" s="10">
        <f t="shared" si="1"/>
        <v>12242.61575</v>
      </c>
      <c r="F293" s="10">
        <f t="shared" si="6"/>
        <v>1949337.84</v>
      </c>
      <c r="G293" s="10">
        <f t="shared" si="7"/>
        <v>1103462.16</v>
      </c>
      <c r="H293" s="10">
        <f t="shared" si="8"/>
        <v>3052800</v>
      </c>
      <c r="I293" s="10">
        <f t="shared" si="9"/>
        <v>-327624.8397</v>
      </c>
      <c r="J293" s="620">
        <v>6.25</v>
      </c>
      <c r="K293" s="591"/>
      <c r="L293" s="6"/>
      <c r="M293" s="9">
        <v>12000.0</v>
      </c>
      <c r="N293" s="79">
        <f t="shared" si="10"/>
        <v>3450000</v>
      </c>
      <c r="O293" s="6">
        <f t="shared" si="2"/>
        <v>1643241.84</v>
      </c>
      <c r="P293" s="6"/>
      <c r="Q293" s="6">
        <f t="shared" si="11"/>
        <v>11200.61575</v>
      </c>
      <c r="R293" s="6">
        <f t="shared" si="12"/>
        <v>1643241.84</v>
      </c>
      <c r="S293" s="81">
        <f t="shared" si="3"/>
        <v>148.9169179</v>
      </c>
      <c r="T293" s="6"/>
      <c r="U293" s="6"/>
      <c r="V293" s="6"/>
      <c r="W293" s="6"/>
      <c r="X293" s="6"/>
    </row>
    <row r="294" ht="11.25" customHeight="1">
      <c r="A294" s="100">
        <v>25.0</v>
      </c>
      <c r="B294" s="66">
        <f t="shared" si="13"/>
        <v>289</v>
      </c>
      <c r="C294" s="607">
        <v>10600.0</v>
      </c>
      <c r="D294" s="617">
        <f t="shared" si="14"/>
        <v>-1706.379373</v>
      </c>
      <c r="E294" s="617">
        <f t="shared" si="1"/>
        <v>12306.37937</v>
      </c>
      <c r="F294" s="617">
        <f t="shared" si="6"/>
        <v>1961644.219</v>
      </c>
      <c r="G294" s="617">
        <f t="shared" si="7"/>
        <v>1101755.781</v>
      </c>
      <c r="H294" s="617">
        <f t="shared" si="8"/>
        <v>3063400</v>
      </c>
      <c r="I294" s="617">
        <f t="shared" si="9"/>
        <v>-339931.2191</v>
      </c>
      <c r="J294" s="620">
        <v>6.25</v>
      </c>
      <c r="K294" s="591"/>
      <c r="L294" s="6"/>
      <c r="M294" s="9">
        <v>12000.0</v>
      </c>
      <c r="N294" s="79">
        <f t="shared" si="10"/>
        <v>3462000</v>
      </c>
      <c r="O294" s="6">
        <f t="shared" si="2"/>
        <v>1654506.219</v>
      </c>
      <c r="P294" s="6"/>
      <c r="Q294" s="6">
        <f t="shared" si="11"/>
        <v>11264.37937</v>
      </c>
      <c r="R294" s="6">
        <f t="shared" si="12"/>
        <v>1654506.219</v>
      </c>
      <c r="S294" s="81">
        <f t="shared" si="3"/>
        <v>150.1699603</v>
      </c>
      <c r="T294" s="6"/>
      <c r="U294" s="6"/>
      <c r="V294" s="6"/>
      <c r="W294" s="6"/>
      <c r="X294" s="6"/>
    </row>
    <row r="295" ht="11.25" customHeight="1">
      <c r="A295" s="7"/>
      <c r="B295" s="68">
        <f t="shared" si="13"/>
        <v>290</v>
      </c>
      <c r="C295" s="607">
        <v>10600.0</v>
      </c>
      <c r="D295" s="6">
        <f t="shared" si="14"/>
        <v>-1770.475099</v>
      </c>
      <c r="E295" s="6">
        <f t="shared" si="1"/>
        <v>12370.4751</v>
      </c>
      <c r="F295" s="6">
        <f t="shared" si="6"/>
        <v>1974014.694</v>
      </c>
      <c r="G295" s="6">
        <f t="shared" si="7"/>
        <v>1099985.306</v>
      </c>
      <c r="H295" s="6">
        <f t="shared" si="8"/>
        <v>3074000</v>
      </c>
      <c r="I295" s="6">
        <f t="shared" si="9"/>
        <v>-352301.6942</v>
      </c>
      <c r="J295" s="620">
        <v>6.25</v>
      </c>
      <c r="K295" s="591"/>
      <c r="L295" s="6"/>
      <c r="M295" s="9">
        <v>12000.0</v>
      </c>
      <c r="N295" s="79">
        <f t="shared" si="10"/>
        <v>3474000</v>
      </c>
      <c r="O295" s="6">
        <f t="shared" si="2"/>
        <v>1665834.694</v>
      </c>
      <c r="P295" s="6"/>
      <c r="Q295" s="6">
        <f t="shared" si="11"/>
        <v>11328.4751</v>
      </c>
      <c r="R295" s="6">
        <f t="shared" si="12"/>
        <v>1665834.694</v>
      </c>
      <c r="S295" s="81">
        <f t="shared" si="3"/>
        <v>151.4415407</v>
      </c>
      <c r="T295" s="6"/>
      <c r="U295" s="6"/>
      <c r="V295" s="6"/>
      <c r="W295" s="6"/>
      <c r="X295" s="6"/>
    </row>
    <row r="296" ht="11.25" customHeight="1">
      <c r="A296" s="7"/>
      <c r="B296" s="68">
        <f t="shared" si="13"/>
        <v>291</v>
      </c>
      <c r="C296" s="607">
        <v>10600.0</v>
      </c>
      <c r="D296" s="6">
        <f t="shared" si="14"/>
        <v>-1834.904657</v>
      </c>
      <c r="E296" s="6">
        <f t="shared" si="1"/>
        <v>12434.90466</v>
      </c>
      <c r="F296" s="6">
        <f t="shared" si="6"/>
        <v>1986449.599</v>
      </c>
      <c r="G296" s="6">
        <f t="shared" si="7"/>
        <v>1098150.401</v>
      </c>
      <c r="H296" s="6">
        <f t="shared" si="8"/>
        <v>3084600</v>
      </c>
      <c r="I296" s="6">
        <f t="shared" si="9"/>
        <v>-364736.5988</v>
      </c>
      <c r="J296" s="620">
        <v>6.25</v>
      </c>
      <c r="K296" s="591"/>
      <c r="L296" s="6"/>
      <c r="M296" s="9">
        <v>12000.0</v>
      </c>
      <c r="N296" s="79">
        <f t="shared" si="10"/>
        <v>3486000</v>
      </c>
      <c r="O296" s="6">
        <f t="shared" si="2"/>
        <v>1677227.599</v>
      </c>
      <c r="P296" s="6"/>
      <c r="Q296" s="6">
        <f t="shared" si="11"/>
        <v>11392.90466</v>
      </c>
      <c r="R296" s="6">
        <f t="shared" si="12"/>
        <v>1677227.599</v>
      </c>
      <c r="S296" s="81">
        <f t="shared" si="3"/>
        <v>152.7320481</v>
      </c>
      <c r="T296" s="6"/>
      <c r="U296" s="6"/>
      <c r="V296" s="6"/>
      <c r="W296" s="6"/>
      <c r="X296" s="6"/>
    </row>
    <row r="297" ht="11.25" customHeight="1">
      <c r="A297" s="7"/>
      <c r="B297" s="68">
        <f t="shared" si="13"/>
        <v>292</v>
      </c>
      <c r="C297" s="607">
        <v>10600.0</v>
      </c>
      <c r="D297" s="6">
        <f t="shared" si="14"/>
        <v>-1899.669786</v>
      </c>
      <c r="E297" s="6">
        <f t="shared" si="1"/>
        <v>12499.66979</v>
      </c>
      <c r="F297" s="6">
        <f t="shared" si="6"/>
        <v>1998949.269</v>
      </c>
      <c r="G297" s="6">
        <f t="shared" si="7"/>
        <v>1096250.731</v>
      </c>
      <c r="H297" s="6">
        <f t="shared" si="8"/>
        <v>3095200</v>
      </c>
      <c r="I297" s="6">
        <f t="shared" si="9"/>
        <v>-377236.2686</v>
      </c>
      <c r="J297" s="620">
        <v>6.25</v>
      </c>
      <c r="K297" s="591"/>
      <c r="L297" s="6"/>
      <c r="M297" s="9">
        <v>12000.0</v>
      </c>
      <c r="N297" s="79">
        <f t="shared" si="10"/>
        <v>3498000</v>
      </c>
      <c r="O297" s="6">
        <f t="shared" si="2"/>
        <v>1688685.269</v>
      </c>
      <c r="P297" s="6"/>
      <c r="Q297" s="6">
        <f t="shared" si="11"/>
        <v>11457.66979</v>
      </c>
      <c r="R297" s="6">
        <f t="shared" si="12"/>
        <v>1688685.269</v>
      </c>
      <c r="S297" s="81">
        <f t="shared" si="3"/>
        <v>154.041883</v>
      </c>
      <c r="T297" s="6"/>
      <c r="U297" s="6"/>
      <c r="V297" s="6"/>
      <c r="W297" s="6"/>
      <c r="X297" s="6"/>
    </row>
    <row r="298" ht="11.25" customHeight="1">
      <c r="A298" s="7"/>
      <c r="B298" s="68">
        <f t="shared" si="13"/>
        <v>293</v>
      </c>
      <c r="C298" s="607">
        <v>10600.0</v>
      </c>
      <c r="D298" s="6">
        <f t="shared" si="14"/>
        <v>-1964.772232</v>
      </c>
      <c r="E298" s="6">
        <f t="shared" si="1"/>
        <v>12564.77223</v>
      </c>
      <c r="F298" s="6">
        <f t="shared" si="6"/>
        <v>2011514.041</v>
      </c>
      <c r="G298" s="6">
        <f t="shared" si="7"/>
        <v>1094285.959</v>
      </c>
      <c r="H298" s="6">
        <f t="shared" si="8"/>
        <v>3105800</v>
      </c>
      <c r="I298" s="6">
        <f t="shared" si="9"/>
        <v>-389801.0409</v>
      </c>
      <c r="J298" s="620">
        <v>6.25</v>
      </c>
      <c r="K298" s="591"/>
      <c r="L298" s="6"/>
      <c r="M298" s="9">
        <v>12000.0</v>
      </c>
      <c r="N298" s="79">
        <f t="shared" si="10"/>
        <v>3510000</v>
      </c>
      <c r="O298" s="6">
        <f t="shared" si="2"/>
        <v>1700208.041</v>
      </c>
      <c r="P298" s="6"/>
      <c r="Q298" s="6">
        <f t="shared" si="11"/>
        <v>11522.77223</v>
      </c>
      <c r="R298" s="6">
        <f t="shared" si="12"/>
        <v>1700208.041</v>
      </c>
      <c r="S298" s="81">
        <f t="shared" si="3"/>
        <v>155.3714572</v>
      </c>
      <c r="T298" s="6"/>
      <c r="U298" s="6"/>
      <c r="V298" s="6"/>
      <c r="W298" s="6"/>
      <c r="X298" s="6"/>
    </row>
    <row r="299" ht="11.25" customHeight="1">
      <c r="A299" s="7"/>
      <c r="B299" s="68">
        <f t="shared" si="13"/>
        <v>294</v>
      </c>
      <c r="C299" s="607">
        <v>10600.0</v>
      </c>
      <c r="D299" s="6">
        <f t="shared" si="14"/>
        <v>-2030.213754</v>
      </c>
      <c r="E299" s="6">
        <f t="shared" si="1"/>
        <v>12630.21375</v>
      </c>
      <c r="F299" s="6">
        <f t="shared" si="6"/>
        <v>2024144.255</v>
      </c>
      <c r="G299" s="6">
        <f t="shared" si="7"/>
        <v>1092255.745</v>
      </c>
      <c r="H299" s="6">
        <f t="shared" si="8"/>
        <v>3116400</v>
      </c>
      <c r="I299" s="6">
        <f t="shared" si="9"/>
        <v>-402431.2546</v>
      </c>
      <c r="J299" s="620">
        <v>6.25</v>
      </c>
      <c r="K299" s="591"/>
      <c r="L299" s="6"/>
      <c r="M299" s="9">
        <v>12000.0</v>
      </c>
      <c r="N299" s="79">
        <f t="shared" si="10"/>
        <v>3522000</v>
      </c>
      <c r="O299" s="6">
        <f t="shared" si="2"/>
        <v>1711796.255</v>
      </c>
      <c r="P299" s="6"/>
      <c r="Q299" s="6">
        <f t="shared" si="11"/>
        <v>11588.21375</v>
      </c>
      <c r="R299" s="6">
        <f t="shared" si="12"/>
        <v>1711796.255</v>
      </c>
      <c r="S299" s="81">
        <f t="shared" si="3"/>
        <v>156.7211948</v>
      </c>
      <c r="T299" s="6"/>
      <c r="U299" s="6"/>
      <c r="V299" s="6"/>
      <c r="W299" s="6"/>
      <c r="X299" s="6"/>
    </row>
    <row r="300" ht="11.25" customHeight="1">
      <c r="A300" s="7"/>
      <c r="B300" s="68">
        <f t="shared" si="13"/>
        <v>295</v>
      </c>
      <c r="C300" s="607">
        <v>10600.0</v>
      </c>
      <c r="D300" s="6">
        <f t="shared" si="14"/>
        <v>-2095.996118</v>
      </c>
      <c r="E300" s="6">
        <f t="shared" si="1"/>
        <v>12695.99612</v>
      </c>
      <c r="F300" s="6">
        <f t="shared" si="6"/>
        <v>2036840.251</v>
      </c>
      <c r="G300" s="6">
        <f t="shared" si="7"/>
        <v>1090159.749</v>
      </c>
      <c r="H300" s="6">
        <f t="shared" si="8"/>
        <v>3127000</v>
      </c>
      <c r="I300" s="6">
        <f t="shared" si="9"/>
        <v>-415127.2507</v>
      </c>
      <c r="J300" s="620">
        <v>6.25</v>
      </c>
      <c r="K300" s="591"/>
      <c r="L300" s="6"/>
      <c r="M300" s="9">
        <v>12000.0</v>
      </c>
      <c r="N300" s="79">
        <f t="shared" si="10"/>
        <v>3534000</v>
      </c>
      <c r="O300" s="6">
        <f t="shared" si="2"/>
        <v>1723450.251</v>
      </c>
      <c r="P300" s="6"/>
      <c r="Q300" s="6">
        <f t="shared" si="11"/>
        <v>11653.99612</v>
      </c>
      <c r="R300" s="6">
        <f t="shared" si="12"/>
        <v>1723450.251</v>
      </c>
      <c r="S300" s="81">
        <f t="shared" si="3"/>
        <v>158.0915322</v>
      </c>
      <c r="T300" s="6"/>
      <c r="U300" s="6"/>
      <c r="V300" s="6"/>
      <c r="W300" s="6"/>
      <c r="X300" s="6"/>
    </row>
    <row r="301" ht="11.25" customHeight="1">
      <c r="A301" s="7"/>
      <c r="B301" s="68">
        <f t="shared" si="13"/>
        <v>296</v>
      </c>
      <c r="C301" s="607">
        <v>10600.0</v>
      </c>
      <c r="D301" s="6">
        <f t="shared" si="14"/>
        <v>-2162.121098</v>
      </c>
      <c r="E301" s="6">
        <f t="shared" si="1"/>
        <v>12762.1211</v>
      </c>
      <c r="F301" s="6">
        <f t="shared" si="6"/>
        <v>2049602.372</v>
      </c>
      <c r="G301" s="6">
        <f t="shared" si="7"/>
        <v>1087997.628</v>
      </c>
      <c r="H301" s="6">
        <f t="shared" si="8"/>
        <v>3137600</v>
      </c>
      <c r="I301" s="6">
        <f t="shared" si="9"/>
        <v>-427889.3718</v>
      </c>
      <c r="J301" s="620">
        <v>6.25</v>
      </c>
      <c r="K301" s="591"/>
      <c r="L301" s="6"/>
      <c r="M301" s="9">
        <v>12000.0</v>
      </c>
      <c r="N301" s="79">
        <f t="shared" si="10"/>
        <v>3546000</v>
      </c>
      <c r="O301" s="6">
        <f t="shared" si="2"/>
        <v>1735170.372</v>
      </c>
      <c r="P301" s="6"/>
      <c r="Q301" s="6">
        <f t="shared" si="11"/>
        <v>11720.1211</v>
      </c>
      <c r="R301" s="6">
        <f t="shared" si="12"/>
        <v>1735170.372</v>
      </c>
      <c r="S301" s="81">
        <f t="shared" si="3"/>
        <v>159.4829186</v>
      </c>
      <c r="T301" s="6"/>
      <c r="U301" s="6"/>
      <c r="V301" s="6"/>
      <c r="W301" s="6"/>
      <c r="X301" s="6"/>
    </row>
    <row r="302" ht="11.25" customHeight="1">
      <c r="A302" s="7"/>
      <c r="B302" s="68">
        <f t="shared" si="13"/>
        <v>297</v>
      </c>
      <c r="C302" s="607">
        <v>10600.0</v>
      </c>
      <c r="D302" s="6">
        <f t="shared" si="14"/>
        <v>-2228.590478</v>
      </c>
      <c r="E302" s="6">
        <f t="shared" si="1"/>
        <v>12828.59048</v>
      </c>
      <c r="F302" s="6">
        <f t="shared" si="6"/>
        <v>2062430.962</v>
      </c>
      <c r="G302" s="6">
        <f t="shared" si="7"/>
        <v>1085769.038</v>
      </c>
      <c r="H302" s="6">
        <f t="shared" si="8"/>
        <v>3148200</v>
      </c>
      <c r="I302" s="6">
        <f t="shared" si="9"/>
        <v>-440717.9623</v>
      </c>
      <c r="J302" s="620">
        <v>6.25</v>
      </c>
      <c r="K302" s="591"/>
      <c r="L302" s="6"/>
      <c r="M302" s="9">
        <v>12000.0</v>
      </c>
      <c r="N302" s="79">
        <f t="shared" si="10"/>
        <v>3558000</v>
      </c>
      <c r="O302" s="6">
        <f t="shared" si="2"/>
        <v>1746956.962</v>
      </c>
      <c r="P302" s="6"/>
      <c r="Q302" s="6">
        <f t="shared" si="11"/>
        <v>11786.59048</v>
      </c>
      <c r="R302" s="6">
        <f t="shared" si="12"/>
        <v>1746956.962</v>
      </c>
      <c r="S302" s="81">
        <f t="shared" si="3"/>
        <v>160.8958169</v>
      </c>
      <c r="T302" s="6"/>
      <c r="U302" s="6"/>
      <c r="V302" s="6"/>
      <c r="W302" s="6"/>
      <c r="X302" s="6"/>
    </row>
    <row r="303" ht="11.25" customHeight="1">
      <c r="A303" s="7"/>
      <c r="B303" s="68">
        <f t="shared" si="13"/>
        <v>298</v>
      </c>
      <c r="C303" s="607">
        <v>10600.0</v>
      </c>
      <c r="D303" s="6">
        <f t="shared" si="14"/>
        <v>-2295.406054</v>
      </c>
      <c r="E303" s="6">
        <f t="shared" si="1"/>
        <v>12895.40605</v>
      </c>
      <c r="F303" s="6">
        <f t="shared" si="6"/>
        <v>2075326.368</v>
      </c>
      <c r="G303" s="6">
        <f t="shared" si="7"/>
        <v>1083473.632</v>
      </c>
      <c r="H303" s="6">
        <f t="shared" si="8"/>
        <v>3158800</v>
      </c>
      <c r="I303" s="6">
        <f t="shared" si="9"/>
        <v>-453613.3684</v>
      </c>
      <c r="J303" s="620">
        <v>6.25</v>
      </c>
      <c r="K303" s="591"/>
      <c r="L303" s="6"/>
      <c r="M303" s="9">
        <v>12000.0</v>
      </c>
      <c r="N303" s="79">
        <f t="shared" si="10"/>
        <v>3570000</v>
      </c>
      <c r="O303" s="6">
        <f t="shared" si="2"/>
        <v>1758810.368</v>
      </c>
      <c r="P303" s="6"/>
      <c r="Q303" s="6">
        <f t="shared" si="11"/>
        <v>11853.40605</v>
      </c>
      <c r="R303" s="6">
        <f t="shared" si="12"/>
        <v>1758810.368</v>
      </c>
      <c r="S303" s="81">
        <f t="shared" si="3"/>
        <v>162.3307035</v>
      </c>
      <c r="T303" s="6"/>
      <c r="U303" s="6"/>
      <c r="V303" s="6"/>
      <c r="W303" s="6"/>
      <c r="X303" s="6"/>
    </row>
    <row r="304" ht="11.25" customHeight="1">
      <c r="A304" s="7"/>
      <c r="B304" s="68">
        <f t="shared" si="13"/>
        <v>299</v>
      </c>
      <c r="C304" s="607">
        <v>10600.0</v>
      </c>
      <c r="D304" s="6">
        <f t="shared" si="14"/>
        <v>-2362.569627</v>
      </c>
      <c r="E304" s="6">
        <f t="shared" si="1"/>
        <v>12962.56963</v>
      </c>
      <c r="F304" s="6">
        <f t="shared" si="6"/>
        <v>2088288.938</v>
      </c>
      <c r="G304" s="6">
        <f t="shared" si="7"/>
        <v>1081111.062</v>
      </c>
      <c r="H304" s="6">
        <f t="shared" si="8"/>
        <v>3169400</v>
      </c>
      <c r="I304" s="6">
        <f t="shared" si="9"/>
        <v>-466575.938</v>
      </c>
      <c r="J304" s="620">
        <v>6.25</v>
      </c>
      <c r="K304" s="591"/>
      <c r="L304" s="6"/>
      <c r="M304" s="9">
        <v>12000.0</v>
      </c>
      <c r="N304" s="79">
        <f t="shared" si="10"/>
        <v>3582000</v>
      </c>
      <c r="O304" s="6">
        <f t="shared" si="2"/>
        <v>1770730.938</v>
      </c>
      <c r="P304" s="6"/>
      <c r="Q304" s="6">
        <f t="shared" si="11"/>
        <v>11920.56963</v>
      </c>
      <c r="R304" s="6">
        <f t="shared" si="12"/>
        <v>1770730.938</v>
      </c>
      <c r="S304" s="81">
        <f t="shared" si="3"/>
        <v>163.7880695</v>
      </c>
      <c r="T304" s="6"/>
      <c r="U304" s="6"/>
      <c r="V304" s="6"/>
      <c r="W304" s="6"/>
      <c r="X304" s="6"/>
    </row>
    <row r="305" ht="11.25" customHeight="1">
      <c r="A305" s="71"/>
      <c r="B305" s="72">
        <f t="shared" si="13"/>
        <v>300</v>
      </c>
      <c r="C305" s="607">
        <v>10600.0</v>
      </c>
      <c r="D305" s="10">
        <f t="shared" si="14"/>
        <v>-2430.08301</v>
      </c>
      <c r="E305" s="10">
        <f t="shared" si="1"/>
        <v>13030.08301</v>
      </c>
      <c r="F305" s="10">
        <f t="shared" si="6"/>
        <v>2101319.021</v>
      </c>
      <c r="G305" s="10">
        <f t="shared" si="7"/>
        <v>1078680.979</v>
      </c>
      <c r="H305" s="10">
        <f t="shared" si="8"/>
        <v>3180000</v>
      </c>
      <c r="I305" s="10">
        <f t="shared" si="9"/>
        <v>-479606.021</v>
      </c>
      <c r="J305" s="620">
        <v>6.25</v>
      </c>
      <c r="K305" s="591"/>
      <c r="L305" s="6"/>
      <c r="M305" s="9">
        <v>12000.0</v>
      </c>
      <c r="N305" s="79">
        <f t="shared" si="10"/>
        <v>3594000</v>
      </c>
      <c r="O305" s="6">
        <f t="shared" si="2"/>
        <v>1782719.021</v>
      </c>
      <c r="P305" s="6"/>
      <c r="Q305" s="6">
        <f t="shared" si="11"/>
        <v>11988.08301</v>
      </c>
      <c r="R305" s="6">
        <f t="shared" si="12"/>
        <v>1782719.021</v>
      </c>
      <c r="S305" s="81">
        <f t="shared" si="3"/>
        <v>165.2684209</v>
      </c>
      <c r="T305" s="6"/>
      <c r="U305" s="6"/>
      <c r="V305" s="6"/>
      <c r="W305" s="6"/>
      <c r="X305" s="6"/>
    </row>
    <row r="306" ht="11.25" customHeight="1">
      <c r="A306" s="100">
        <v>26.0</v>
      </c>
      <c r="B306" s="66">
        <f t="shared" si="13"/>
        <v>301</v>
      </c>
      <c r="C306" s="607">
        <v>10600.0</v>
      </c>
      <c r="D306" s="617">
        <f t="shared" si="14"/>
        <v>-2497.948026</v>
      </c>
      <c r="E306" s="617">
        <f t="shared" si="1"/>
        <v>13097.94803</v>
      </c>
      <c r="F306" s="617">
        <f t="shared" si="6"/>
        <v>2114416.969</v>
      </c>
      <c r="G306" s="617">
        <f t="shared" si="7"/>
        <v>1076183.031</v>
      </c>
      <c r="H306" s="617">
        <f t="shared" si="8"/>
        <v>3190600</v>
      </c>
      <c r="I306" s="617">
        <f t="shared" si="9"/>
        <v>-492703.969</v>
      </c>
      <c r="J306" s="620">
        <v>6.25</v>
      </c>
      <c r="K306" s="591"/>
      <c r="L306" s="6"/>
      <c r="M306" s="9">
        <v>12000.0</v>
      </c>
      <c r="N306" s="79">
        <f t="shared" si="10"/>
        <v>3606000</v>
      </c>
      <c r="O306" s="6">
        <f t="shared" si="2"/>
        <v>1794774.969</v>
      </c>
      <c r="P306" s="6"/>
      <c r="Q306" s="6">
        <f t="shared" si="11"/>
        <v>12055.94803</v>
      </c>
      <c r="R306" s="6">
        <f t="shared" si="12"/>
        <v>1794774.969</v>
      </c>
      <c r="S306" s="81">
        <f t="shared" si="3"/>
        <v>166.7722792</v>
      </c>
      <c r="T306" s="6"/>
      <c r="U306" s="6"/>
      <c r="V306" s="6"/>
      <c r="W306" s="6"/>
      <c r="X306" s="6"/>
    </row>
    <row r="307" ht="11.25" customHeight="1">
      <c r="A307" s="7"/>
      <c r="B307" s="68">
        <f t="shared" si="13"/>
        <v>302</v>
      </c>
      <c r="C307" s="607">
        <v>10600.0</v>
      </c>
      <c r="D307" s="6">
        <f t="shared" si="14"/>
        <v>-2566.166505</v>
      </c>
      <c r="E307" s="6">
        <f t="shared" si="1"/>
        <v>13166.16651</v>
      </c>
      <c r="F307" s="6">
        <f t="shared" si="6"/>
        <v>2127583.136</v>
      </c>
      <c r="G307" s="6">
        <f t="shared" si="7"/>
        <v>1073616.864</v>
      </c>
      <c r="H307" s="6">
        <f t="shared" si="8"/>
        <v>3201200</v>
      </c>
      <c r="I307" s="6">
        <f t="shared" si="9"/>
        <v>-505870.1355</v>
      </c>
      <c r="J307" s="620">
        <v>6.25</v>
      </c>
      <c r="K307" s="591"/>
      <c r="L307" s="6"/>
      <c r="M307" s="9">
        <v>12000.0</v>
      </c>
      <c r="N307" s="79">
        <f t="shared" si="10"/>
        <v>3618000</v>
      </c>
      <c r="O307" s="6">
        <f t="shared" si="2"/>
        <v>1806899.136</v>
      </c>
      <c r="P307" s="6"/>
      <c r="Q307" s="6">
        <f t="shared" si="11"/>
        <v>12124.16651</v>
      </c>
      <c r="R307" s="6">
        <f t="shared" si="12"/>
        <v>1806899.136</v>
      </c>
      <c r="S307" s="81">
        <f t="shared" si="3"/>
        <v>168.3001819</v>
      </c>
      <c r="T307" s="6"/>
      <c r="U307" s="6"/>
      <c r="V307" s="6"/>
      <c r="W307" s="6"/>
      <c r="X307" s="6"/>
    </row>
    <row r="308" ht="11.25" customHeight="1">
      <c r="A308" s="7"/>
      <c r="B308" s="68">
        <f t="shared" si="13"/>
        <v>303</v>
      </c>
      <c r="C308" s="607">
        <v>10600.0</v>
      </c>
      <c r="D308" s="6">
        <f t="shared" si="14"/>
        <v>-2634.740289</v>
      </c>
      <c r="E308" s="6">
        <f t="shared" si="1"/>
        <v>13234.74029</v>
      </c>
      <c r="F308" s="6">
        <f t="shared" si="6"/>
        <v>2140817.876</v>
      </c>
      <c r="G308" s="6">
        <f t="shared" si="7"/>
        <v>1070982.124</v>
      </c>
      <c r="H308" s="6">
        <f t="shared" si="8"/>
        <v>3211800</v>
      </c>
      <c r="I308" s="6">
        <f t="shared" si="9"/>
        <v>-519104.8758</v>
      </c>
      <c r="J308" s="620">
        <v>6.25</v>
      </c>
      <c r="K308" s="591"/>
      <c r="L308" s="6"/>
      <c r="M308" s="9">
        <v>12000.0</v>
      </c>
      <c r="N308" s="79">
        <f t="shared" si="10"/>
        <v>3630000</v>
      </c>
      <c r="O308" s="6">
        <f t="shared" si="2"/>
        <v>1819091.876</v>
      </c>
      <c r="P308" s="6"/>
      <c r="Q308" s="6">
        <f t="shared" si="11"/>
        <v>12192.74029</v>
      </c>
      <c r="R308" s="6">
        <f t="shared" si="12"/>
        <v>1819091.876</v>
      </c>
      <c r="S308" s="81">
        <f t="shared" si="3"/>
        <v>169.8526833</v>
      </c>
      <c r="T308" s="6"/>
      <c r="U308" s="6"/>
      <c r="V308" s="6"/>
      <c r="W308" s="6"/>
      <c r="X308" s="6"/>
    </row>
    <row r="309" ht="11.25" customHeight="1">
      <c r="A309" s="7"/>
      <c r="B309" s="68">
        <f t="shared" si="13"/>
        <v>304</v>
      </c>
      <c r="C309" s="607">
        <v>10600.0</v>
      </c>
      <c r="D309" s="6">
        <f t="shared" si="14"/>
        <v>-2703.671228</v>
      </c>
      <c r="E309" s="6">
        <f t="shared" si="1"/>
        <v>13303.67123</v>
      </c>
      <c r="F309" s="6">
        <f t="shared" si="6"/>
        <v>2154121.547</v>
      </c>
      <c r="G309" s="6">
        <f t="shared" si="7"/>
        <v>1068278.453</v>
      </c>
      <c r="H309" s="6">
        <f t="shared" si="8"/>
        <v>3222400</v>
      </c>
      <c r="I309" s="6">
        <f t="shared" si="9"/>
        <v>-532408.547</v>
      </c>
      <c r="J309" s="620">
        <v>6.25</v>
      </c>
      <c r="K309" s="591"/>
      <c r="L309" s="6"/>
      <c r="M309" s="9">
        <v>12000.0</v>
      </c>
      <c r="N309" s="79">
        <f t="shared" si="10"/>
        <v>3642000</v>
      </c>
      <c r="O309" s="6">
        <f t="shared" si="2"/>
        <v>1831353.547</v>
      </c>
      <c r="P309" s="6"/>
      <c r="Q309" s="6">
        <f t="shared" si="11"/>
        <v>12261.67123</v>
      </c>
      <c r="R309" s="6">
        <f t="shared" si="12"/>
        <v>1831353.547</v>
      </c>
      <c r="S309" s="81">
        <f t="shared" si="3"/>
        <v>171.4303553</v>
      </c>
      <c r="T309" s="6"/>
      <c r="U309" s="6"/>
      <c r="V309" s="6"/>
      <c r="W309" s="6"/>
      <c r="X309" s="6"/>
    </row>
    <row r="310" ht="11.25" customHeight="1">
      <c r="A310" s="7"/>
      <c r="B310" s="68">
        <f t="shared" si="13"/>
        <v>305</v>
      </c>
      <c r="C310" s="607">
        <v>10600.0</v>
      </c>
      <c r="D310" s="6">
        <f t="shared" si="14"/>
        <v>-2772.961183</v>
      </c>
      <c r="E310" s="6">
        <f t="shared" si="1"/>
        <v>13372.96118</v>
      </c>
      <c r="F310" s="6">
        <f t="shared" si="6"/>
        <v>2167494.508</v>
      </c>
      <c r="G310" s="6">
        <f t="shared" si="7"/>
        <v>1065505.492</v>
      </c>
      <c r="H310" s="6">
        <f t="shared" si="8"/>
        <v>3233000</v>
      </c>
      <c r="I310" s="6">
        <f t="shared" si="9"/>
        <v>-545781.5082</v>
      </c>
      <c r="J310" s="620">
        <v>6.25</v>
      </c>
      <c r="K310" s="591"/>
      <c r="L310" s="6"/>
      <c r="M310" s="9">
        <v>12000.0</v>
      </c>
      <c r="N310" s="79">
        <f t="shared" si="10"/>
        <v>3654000</v>
      </c>
      <c r="O310" s="6">
        <f t="shared" si="2"/>
        <v>1843684.508</v>
      </c>
      <c r="P310" s="6"/>
      <c r="Q310" s="6">
        <f t="shared" si="11"/>
        <v>12330.96118</v>
      </c>
      <c r="R310" s="6">
        <f t="shared" si="12"/>
        <v>1843684.508</v>
      </c>
      <c r="S310" s="81">
        <f t="shared" si="3"/>
        <v>173.0337875</v>
      </c>
      <c r="T310" s="6"/>
      <c r="U310" s="6"/>
      <c r="V310" s="6"/>
      <c r="W310" s="6"/>
      <c r="X310" s="6"/>
    </row>
    <row r="311" ht="11.25" customHeight="1">
      <c r="A311" s="7"/>
      <c r="B311" s="68">
        <f t="shared" si="13"/>
        <v>306</v>
      </c>
      <c r="C311" s="607">
        <v>10600.0</v>
      </c>
      <c r="D311" s="6">
        <f t="shared" si="14"/>
        <v>-2842.612022</v>
      </c>
      <c r="E311" s="6">
        <f t="shared" si="1"/>
        <v>13442.61202</v>
      </c>
      <c r="F311" s="6">
        <f t="shared" si="6"/>
        <v>2180937.12</v>
      </c>
      <c r="G311" s="6">
        <f t="shared" si="7"/>
        <v>1062662.88</v>
      </c>
      <c r="H311" s="6">
        <f t="shared" si="8"/>
        <v>3243600</v>
      </c>
      <c r="I311" s="6">
        <f t="shared" si="9"/>
        <v>-559224.1203</v>
      </c>
      <c r="J311" s="620">
        <v>6.25</v>
      </c>
      <c r="K311" s="591"/>
      <c r="L311" s="6"/>
      <c r="M311" s="9">
        <v>12000.0</v>
      </c>
      <c r="N311" s="79">
        <f t="shared" si="10"/>
        <v>3666000</v>
      </c>
      <c r="O311" s="6">
        <f t="shared" si="2"/>
        <v>1856085.12</v>
      </c>
      <c r="P311" s="6"/>
      <c r="Q311" s="6">
        <f t="shared" si="11"/>
        <v>12400.61202</v>
      </c>
      <c r="R311" s="6">
        <f t="shared" si="12"/>
        <v>1856085.12</v>
      </c>
      <c r="S311" s="81">
        <f t="shared" si="3"/>
        <v>174.6635886</v>
      </c>
      <c r="T311" s="6"/>
      <c r="U311" s="6"/>
      <c r="V311" s="6"/>
      <c r="W311" s="6"/>
      <c r="X311" s="6"/>
    </row>
    <row r="312" ht="11.25" customHeight="1">
      <c r="A312" s="7"/>
      <c r="B312" s="68">
        <f t="shared" si="13"/>
        <v>307</v>
      </c>
      <c r="C312" s="607">
        <v>10600.0</v>
      </c>
      <c r="D312" s="6">
        <f t="shared" si="14"/>
        <v>-2912.625626</v>
      </c>
      <c r="E312" s="6">
        <f t="shared" si="1"/>
        <v>13512.62563</v>
      </c>
      <c r="F312" s="6">
        <f t="shared" si="6"/>
        <v>2194449.746</v>
      </c>
      <c r="G312" s="6">
        <f t="shared" si="7"/>
        <v>1059750.254</v>
      </c>
      <c r="H312" s="6">
        <f t="shared" si="8"/>
        <v>3254200</v>
      </c>
      <c r="I312" s="6">
        <f t="shared" si="9"/>
        <v>-572736.7459</v>
      </c>
      <c r="J312" s="620">
        <v>6.25</v>
      </c>
      <c r="K312" s="591"/>
      <c r="L312" s="6"/>
      <c r="M312" s="9">
        <v>12000.0</v>
      </c>
      <c r="N312" s="79">
        <f t="shared" si="10"/>
        <v>3678000</v>
      </c>
      <c r="O312" s="6">
        <f t="shared" si="2"/>
        <v>1868555.746</v>
      </c>
      <c r="P312" s="6"/>
      <c r="Q312" s="6">
        <f t="shared" si="11"/>
        <v>12470.62563</v>
      </c>
      <c r="R312" s="6">
        <f t="shared" si="12"/>
        <v>1868555.746</v>
      </c>
      <c r="S312" s="81">
        <f t="shared" si="3"/>
        <v>176.3203867</v>
      </c>
      <c r="T312" s="6"/>
      <c r="U312" s="6"/>
      <c r="V312" s="6"/>
      <c r="W312" s="6"/>
      <c r="X312" s="6"/>
    </row>
    <row r="313" ht="11.25" customHeight="1">
      <c r="A313" s="7"/>
      <c r="B313" s="68">
        <f t="shared" si="13"/>
        <v>308</v>
      </c>
      <c r="C313" s="607">
        <v>10600.0</v>
      </c>
      <c r="D313" s="6">
        <f t="shared" si="14"/>
        <v>-2983.003885</v>
      </c>
      <c r="E313" s="6">
        <f t="shared" si="1"/>
        <v>13583.00388</v>
      </c>
      <c r="F313" s="6">
        <f t="shared" si="6"/>
        <v>2208032.75</v>
      </c>
      <c r="G313" s="6">
        <f t="shared" si="7"/>
        <v>1056767.25</v>
      </c>
      <c r="H313" s="6">
        <f t="shared" si="8"/>
        <v>3264800</v>
      </c>
      <c r="I313" s="6">
        <f t="shared" si="9"/>
        <v>-586319.7498</v>
      </c>
      <c r="J313" s="620">
        <v>6.25</v>
      </c>
      <c r="K313" s="591"/>
      <c r="L313" s="6"/>
      <c r="M313" s="9">
        <v>12000.0</v>
      </c>
      <c r="N313" s="79">
        <f t="shared" si="10"/>
        <v>3690000</v>
      </c>
      <c r="O313" s="6">
        <f t="shared" si="2"/>
        <v>1881096.75</v>
      </c>
      <c r="P313" s="6"/>
      <c r="Q313" s="6">
        <f t="shared" si="11"/>
        <v>12541.00388</v>
      </c>
      <c r="R313" s="6">
        <f t="shared" si="12"/>
        <v>1881096.75</v>
      </c>
      <c r="S313" s="81">
        <f t="shared" si="3"/>
        <v>178.0048302</v>
      </c>
      <c r="T313" s="6"/>
      <c r="U313" s="6"/>
      <c r="V313" s="6"/>
      <c r="W313" s="6"/>
      <c r="X313" s="6"/>
    </row>
    <row r="314" ht="11.25" customHeight="1">
      <c r="A314" s="7"/>
      <c r="B314" s="68">
        <f t="shared" si="13"/>
        <v>309</v>
      </c>
      <c r="C314" s="607">
        <v>10600.0</v>
      </c>
      <c r="D314" s="6">
        <f t="shared" si="14"/>
        <v>-3053.748697</v>
      </c>
      <c r="E314" s="6">
        <f t="shared" si="1"/>
        <v>13653.7487</v>
      </c>
      <c r="F314" s="6">
        <f t="shared" si="6"/>
        <v>2221686.498</v>
      </c>
      <c r="G314" s="6">
        <f t="shared" si="7"/>
        <v>1053713.502</v>
      </c>
      <c r="H314" s="6">
        <f t="shared" si="8"/>
        <v>3275400</v>
      </c>
      <c r="I314" s="6">
        <f t="shared" si="9"/>
        <v>-599973.4985</v>
      </c>
      <c r="J314" s="620">
        <v>6.25</v>
      </c>
      <c r="K314" s="591"/>
      <c r="L314" s="6"/>
      <c r="M314" s="9">
        <v>12000.0</v>
      </c>
      <c r="N314" s="79">
        <f t="shared" si="10"/>
        <v>3702000</v>
      </c>
      <c r="O314" s="6">
        <f t="shared" si="2"/>
        <v>1893708.498</v>
      </c>
      <c r="P314" s="6"/>
      <c r="Q314" s="6">
        <f t="shared" si="11"/>
        <v>12611.7487</v>
      </c>
      <c r="R314" s="6">
        <f t="shared" si="12"/>
        <v>1893708.498</v>
      </c>
      <c r="S314" s="81">
        <f t="shared" si="3"/>
        <v>179.7175889</v>
      </c>
      <c r="T314" s="6"/>
      <c r="U314" s="6"/>
      <c r="V314" s="6"/>
      <c r="W314" s="6"/>
      <c r="X314" s="6"/>
    </row>
    <row r="315" ht="11.25" customHeight="1">
      <c r="A315" s="7"/>
      <c r="B315" s="68">
        <f t="shared" si="13"/>
        <v>310</v>
      </c>
      <c r="C315" s="607">
        <v>10600.0</v>
      </c>
      <c r="D315" s="6">
        <f t="shared" si="14"/>
        <v>-3124.861971</v>
      </c>
      <c r="E315" s="6">
        <f t="shared" si="1"/>
        <v>13724.86197</v>
      </c>
      <c r="F315" s="6">
        <f t="shared" si="6"/>
        <v>2235411.36</v>
      </c>
      <c r="G315" s="6">
        <f t="shared" si="7"/>
        <v>1050588.64</v>
      </c>
      <c r="H315" s="6">
        <f t="shared" si="8"/>
        <v>3286000</v>
      </c>
      <c r="I315" s="6">
        <f t="shared" si="9"/>
        <v>-613698.3604</v>
      </c>
      <c r="J315" s="620">
        <v>6.25</v>
      </c>
      <c r="K315" s="591"/>
      <c r="L315" s="6"/>
      <c r="M315" s="9">
        <v>12000.0</v>
      </c>
      <c r="N315" s="79">
        <f t="shared" si="10"/>
        <v>3714000</v>
      </c>
      <c r="O315" s="6">
        <f t="shared" si="2"/>
        <v>1906391.36</v>
      </c>
      <c r="P315" s="6"/>
      <c r="Q315" s="6">
        <f t="shared" si="11"/>
        <v>12682.86197</v>
      </c>
      <c r="R315" s="6">
        <f t="shared" si="12"/>
        <v>1906391.36</v>
      </c>
      <c r="S315" s="81">
        <f t="shared" si="3"/>
        <v>181.4593542</v>
      </c>
      <c r="T315" s="6"/>
      <c r="U315" s="6"/>
      <c r="V315" s="6"/>
      <c r="W315" s="6"/>
      <c r="X315" s="6"/>
    </row>
    <row r="316" ht="11.25" customHeight="1">
      <c r="A316" s="7"/>
      <c r="B316" s="68">
        <f t="shared" si="13"/>
        <v>311</v>
      </c>
      <c r="C316" s="607">
        <v>10600.0</v>
      </c>
      <c r="D316" s="6">
        <f t="shared" si="14"/>
        <v>-3196.345627</v>
      </c>
      <c r="E316" s="6">
        <f t="shared" si="1"/>
        <v>13796.34563</v>
      </c>
      <c r="F316" s="6">
        <f t="shared" si="6"/>
        <v>2249207.706</v>
      </c>
      <c r="G316" s="6">
        <f t="shared" si="7"/>
        <v>1047392.294</v>
      </c>
      <c r="H316" s="6">
        <f t="shared" si="8"/>
        <v>3296600</v>
      </c>
      <c r="I316" s="6">
        <f t="shared" si="9"/>
        <v>-627494.7061</v>
      </c>
      <c r="J316" s="620">
        <v>6.25</v>
      </c>
      <c r="K316" s="591"/>
      <c r="L316" s="6"/>
      <c r="M316" s="9">
        <v>12000.0</v>
      </c>
      <c r="N316" s="79">
        <f t="shared" si="10"/>
        <v>3726000</v>
      </c>
      <c r="O316" s="6">
        <f t="shared" si="2"/>
        <v>1919145.706</v>
      </c>
      <c r="P316" s="6"/>
      <c r="Q316" s="6">
        <f t="shared" si="11"/>
        <v>12754.34563</v>
      </c>
      <c r="R316" s="6">
        <f t="shared" si="12"/>
        <v>1919145.706</v>
      </c>
      <c r="S316" s="81">
        <f t="shared" si="3"/>
        <v>183.2308407</v>
      </c>
      <c r="T316" s="6"/>
      <c r="U316" s="6"/>
      <c r="V316" s="6"/>
      <c r="W316" s="6"/>
      <c r="X316" s="6"/>
    </row>
    <row r="317" ht="11.25" customHeight="1">
      <c r="A317" s="71"/>
      <c r="B317" s="72">
        <f t="shared" si="13"/>
        <v>312</v>
      </c>
      <c r="C317" s="607">
        <v>10600.0</v>
      </c>
      <c r="D317" s="10">
        <f t="shared" si="14"/>
        <v>-3268.201594</v>
      </c>
      <c r="E317" s="10">
        <f t="shared" si="1"/>
        <v>13868.20159</v>
      </c>
      <c r="F317" s="10">
        <f t="shared" si="6"/>
        <v>2263075.908</v>
      </c>
      <c r="G317" s="10">
        <f t="shared" si="7"/>
        <v>1044124.092</v>
      </c>
      <c r="H317" s="10">
        <f t="shared" si="8"/>
        <v>3307200</v>
      </c>
      <c r="I317" s="10">
        <f t="shared" si="9"/>
        <v>-641362.9077</v>
      </c>
      <c r="J317" s="620">
        <v>6.25</v>
      </c>
      <c r="K317" s="591"/>
      <c r="L317" s="6"/>
      <c r="M317" s="9">
        <v>12000.0</v>
      </c>
      <c r="N317" s="79">
        <f t="shared" si="10"/>
        <v>3738000</v>
      </c>
      <c r="O317" s="6">
        <f t="shared" si="2"/>
        <v>1931971.908</v>
      </c>
      <c r="P317" s="6"/>
      <c r="Q317" s="6">
        <f t="shared" si="11"/>
        <v>12826.20159</v>
      </c>
      <c r="R317" s="6">
        <f t="shared" si="12"/>
        <v>1931971.908</v>
      </c>
      <c r="S317" s="81">
        <f t="shared" si="3"/>
        <v>185.032787</v>
      </c>
      <c r="T317" s="6"/>
      <c r="U317" s="6"/>
      <c r="V317" s="6"/>
      <c r="W317" s="6"/>
      <c r="X317" s="6"/>
    </row>
    <row r="318" ht="11.25" customHeight="1">
      <c r="A318" s="100">
        <v>27.0</v>
      </c>
      <c r="B318" s="66">
        <f t="shared" si="13"/>
        <v>313</v>
      </c>
      <c r="C318" s="607">
        <v>10600.0</v>
      </c>
      <c r="D318" s="617">
        <f t="shared" si="14"/>
        <v>-3340.431811</v>
      </c>
      <c r="E318" s="617">
        <f t="shared" si="1"/>
        <v>13940.43181</v>
      </c>
      <c r="F318" s="617">
        <f t="shared" si="6"/>
        <v>2277016.339</v>
      </c>
      <c r="G318" s="617">
        <f t="shared" si="7"/>
        <v>1040783.661</v>
      </c>
      <c r="H318" s="617">
        <f t="shared" si="8"/>
        <v>3317800</v>
      </c>
      <c r="I318" s="617">
        <f t="shared" si="9"/>
        <v>-655303.3395</v>
      </c>
      <c r="J318" s="620">
        <v>6.25</v>
      </c>
      <c r="K318" s="591"/>
      <c r="L318" s="6"/>
      <c r="M318" s="9">
        <v>12000.0</v>
      </c>
      <c r="N318" s="79">
        <f t="shared" si="10"/>
        <v>3750000</v>
      </c>
      <c r="O318" s="6">
        <f t="shared" si="2"/>
        <v>1944870.339</v>
      </c>
      <c r="P318" s="6"/>
      <c r="Q318" s="6">
        <f t="shared" si="11"/>
        <v>12898.43181</v>
      </c>
      <c r="R318" s="6">
        <f t="shared" si="12"/>
        <v>1944870.339</v>
      </c>
      <c r="S318" s="81">
        <f t="shared" si="3"/>
        <v>186.8659562</v>
      </c>
      <c r="T318" s="6"/>
      <c r="U318" s="6"/>
      <c r="V318" s="6"/>
      <c r="W318" s="6"/>
      <c r="X318" s="6"/>
    </row>
    <row r="319" ht="11.25" customHeight="1">
      <c r="A319" s="7"/>
      <c r="B319" s="68">
        <f t="shared" si="13"/>
        <v>314</v>
      </c>
      <c r="C319" s="607">
        <v>10600.0</v>
      </c>
      <c r="D319" s="6">
        <f t="shared" si="14"/>
        <v>-3413.038226</v>
      </c>
      <c r="E319" s="6">
        <f t="shared" si="1"/>
        <v>14013.03823</v>
      </c>
      <c r="F319" s="6">
        <f t="shared" si="6"/>
        <v>2291029.378</v>
      </c>
      <c r="G319" s="6">
        <f t="shared" si="7"/>
        <v>1037370.622</v>
      </c>
      <c r="H319" s="6">
        <f t="shared" si="8"/>
        <v>3328400</v>
      </c>
      <c r="I319" s="6">
        <f t="shared" si="9"/>
        <v>-669316.3777</v>
      </c>
      <c r="J319" s="620">
        <v>6.25</v>
      </c>
      <c r="K319" s="591"/>
      <c r="L319" s="6"/>
      <c r="M319" s="9">
        <v>12000.0</v>
      </c>
      <c r="N319" s="79">
        <f t="shared" si="10"/>
        <v>3762000</v>
      </c>
      <c r="O319" s="6">
        <f t="shared" si="2"/>
        <v>1957841.378</v>
      </c>
      <c r="P319" s="6"/>
      <c r="Q319" s="6">
        <f t="shared" si="11"/>
        <v>12971.03823</v>
      </c>
      <c r="R319" s="6">
        <f t="shared" si="12"/>
        <v>1957841.378</v>
      </c>
      <c r="S319" s="81">
        <f t="shared" si="3"/>
        <v>188.7311377</v>
      </c>
      <c r="T319" s="6"/>
      <c r="U319" s="6"/>
      <c r="V319" s="6"/>
      <c r="W319" s="6"/>
      <c r="X319" s="6"/>
    </row>
    <row r="320" ht="11.25" customHeight="1">
      <c r="A320" s="7"/>
      <c r="B320" s="68">
        <f t="shared" si="13"/>
        <v>315</v>
      </c>
      <c r="C320" s="607">
        <v>10600.0</v>
      </c>
      <c r="D320" s="6">
        <f t="shared" si="14"/>
        <v>-3486.0228</v>
      </c>
      <c r="E320" s="6">
        <f t="shared" si="1"/>
        <v>14086.0228</v>
      </c>
      <c r="F320" s="6">
        <f t="shared" si="6"/>
        <v>2305115.4</v>
      </c>
      <c r="G320" s="6">
        <f t="shared" si="7"/>
        <v>1033884.6</v>
      </c>
      <c r="H320" s="6">
        <f t="shared" si="8"/>
        <v>3339000</v>
      </c>
      <c r="I320" s="6">
        <f t="shared" si="9"/>
        <v>-683402.4005</v>
      </c>
      <c r="J320" s="620">
        <v>6.25</v>
      </c>
      <c r="K320" s="591"/>
      <c r="L320" s="6"/>
      <c r="M320" s="9">
        <v>12000.0</v>
      </c>
      <c r="N320" s="79">
        <f t="shared" si="10"/>
        <v>3774000</v>
      </c>
      <c r="O320" s="6">
        <f t="shared" si="2"/>
        <v>1970885.4</v>
      </c>
      <c r="P320" s="6"/>
      <c r="Q320" s="6">
        <f t="shared" si="11"/>
        <v>13044.0228</v>
      </c>
      <c r="R320" s="6">
        <f t="shared" si="12"/>
        <v>1970885.4</v>
      </c>
      <c r="S320" s="81">
        <f t="shared" si="3"/>
        <v>190.6291477</v>
      </c>
      <c r="T320" s="6"/>
      <c r="U320" s="6"/>
      <c r="V320" s="6"/>
      <c r="W320" s="6"/>
      <c r="X320" s="6"/>
    </row>
    <row r="321" ht="11.25" customHeight="1">
      <c r="A321" s="7"/>
      <c r="B321" s="68">
        <f t="shared" si="13"/>
        <v>316</v>
      </c>
      <c r="C321" s="607">
        <v>10600.0</v>
      </c>
      <c r="D321" s="6">
        <f t="shared" si="14"/>
        <v>-3559.387503</v>
      </c>
      <c r="E321" s="6">
        <f t="shared" si="1"/>
        <v>14159.3875</v>
      </c>
      <c r="F321" s="6">
        <f t="shared" si="6"/>
        <v>2319274.788</v>
      </c>
      <c r="G321" s="6">
        <f t="shared" si="7"/>
        <v>1030325.212</v>
      </c>
      <c r="H321" s="6">
        <f t="shared" si="8"/>
        <v>3349600</v>
      </c>
      <c r="I321" s="6">
        <f t="shared" si="9"/>
        <v>-697561.788</v>
      </c>
      <c r="J321" s="620">
        <v>6.25</v>
      </c>
      <c r="K321" s="591"/>
      <c r="L321" s="6"/>
      <c r="M321" s="9">
        <v>12000.0</v>
      </c>
      <c r="N321" s="79">
        <f t="shared" si="10"/>
        <v>3786000</v>
      </c>
      <c r="O321" s="6">
        <f t="shared" si="2"/>
        <v>1984002.788</v>
      </c>
      <c r="P321" s="6"/>
      <c r="Q321" s="6">
        <f t="shared" si="11"/>
        <v>13117.3875</v>
      </c>
      <c r="R321" s="6">
        <f t="shared" si="12"/>
        <v>1984002.788</v>
      </c>
      <c r="S321" s="81">
        <f t="shared" si="3"/>
        <v>192.5608308</v>
      </c>
      <c r="T321" s="6"/>
      <c r="U321" s="6"/>
      <c r="V321" s="6"/>
      <c r="W321" s="6"/>
      <c r="X321" s="6"/>
    </row>
    <row r="322" ht="11.25" customHeight="1">
      <c r="A322" s="7"/>
      <c r="B322" s="68">
        <f t="shared" si="13"/>
        <v>317</v>
      </c>
      <c r="C322" s="607">
        <v>10600.0</v>
      </c>
      <c r="D322" s="6">
        <f t="shared" si="14"/>
        <v>-3633.134312</v>
      </c>
      <c r="E322" s="6">
        <f t="shared" si="1"/>
        <v>14233.13431</v>
      </c>
      <c r="F322" s="6">
        <f t="shared" si="6"/>
        <v>2333507.922</v>
      </c>
      <c r="G322" s="6">
        <f t="shared" si="7"/>
        <v>1026692.078</v>
      </c>
      <c r="H322" s="6">
        <f t="shared" si="8"/>
        <v>3360200</v>
      </c>
      <c r="I322" s="6">
        <f t="shared" si="9"/>
        <v>-711794.9223</v>
      </c>
      <c r="J322" s="620">
        <v>6.25</v>
      </c>
      <c r="K322" s="591"/>
      <c r="L322" s="6"/>
      <c r="M322" s="9">
        <v>12000.0</v>
      </c>
      <c r="N322" s="79">
        <f t="shared" si="10"/>
        <v>3798000</v>
      </c>
      <c r="O322" s="6">
        <f t="shared" si="2"/>
        <v>1997193.922</v>
      </c>
      <c r="P322" s="6"/>
      <c r="Q322" s="6">
        <f t="shared" si="11"/>
        <v>13191.13431</v>
      </c>
      <c r="R322" s="6">
        <f t="shared" si="12"/>
        <v>1997193.922</v>
      </c>
      <c r="S322" s="81">
        <f t="shared" si="3"/>
        <v>194.5270608</v>
      </c>
      <c r="T322" s="6"/>
      <c r="U322" s="6"/>
      <c r="V322" s="6"/>
      <c r="W322" s="6"/>
      <c r="X322" s="6"/>
    </row>
    <row r="323" ht="11.25" customHeight="1">
      <c r="A323" s="7"/>
      <c r="B323" s="68">
        <f t="shared" si="13"/>
        <v>318</v>
      </c>
      <c r="C323" s="607">
        <v>10600.0</v>
      </c>
      <c r="D323" s="6">
        <f t="shared" si="14"/>
        <v>-3707.26522</v>
      </c>
      <c r="E323" s="6">
        <f t="shared" si="1"/>
        <v>14307.26522</v>
      </c>
      <c r="F323" s="6">
        <f t="shared" si="6"/>
        <v>2347815.188</v>
      </c>
      <c r="G323" s="6">
        <f t="shared" si="7"/>
        <v>1022984.812</v>
      </c>
      <c r="H323" s="6">
        <f t="shared" si="8"/>
        <v>3370800</v>
      </c>
      <c r="I323" s="6">
        <f t="shared" si="9"/>
        <v>-726102.1875</v>
      </c>
      <c r="J323" s="620">
        <v>6.25</v>
      </c>
      <c r="K323" s="591"/>
      <c r="L323" s="6"/>
      <c r="M323" s="9">
        <v>12000.0</v>
      </c>
      <c r="N323" s="79">
        <f t="shared" si="10"/>
        <v>3810000</v>
      </c>
      <c r="O323" s="6">
        <f t="shared" si="2"/>
        <v>2010459.188</v>
      </c>
      <c r="P323" s="6"/>
      <c r="Q323" s="6">
        <f t="shared" si="11"/>
        <v>13265.26522</v>
      </c>
      <c r="R323" s="6">
        <f t="shared" si="12"/>
        <v>2010459.188</v>
      </c>
      <c r="S323" s="81">
        <f t="shared" si="3"/>
        <v>196.5287425</v>
      </c>
      <c r="T323" s="6"/>
      <c r="U323" s="6"/>
      <c r="V323" s="6"/>
      <c r="W323" s="6"/>
      <c r="X323" s="6"/>
    </row>
    <row r="324" ht="11.25" customHeight="1">
      <c r="A324" s="7"/>
      <c r="B324" s="68">
        <f t="shared" si="13"/>
        <v>319</v>
      </c>
      <c r="C324" s="607">
        <v>10600.0</v>
      </c>
      <c r="D324" s="6">
        <f t="shared" si="14"/>
        <v>-3781.782227</v>
      </c>
      <c r="E324" s="6">
        <f t="shared" si="1"/>
        <v>14381.78223</v>
      </c>
      <c r="F324" s="6">
        <f t="shared" si="6"/>
        <v>2362196.97</v>
      </c>
      <c r="G324" s="6">
        <f t="shared" si="7"/>
        <v>1019203.03</v>
      </c>
      <c r="H324" s="6">
        <f t="shared" si="8"/>
        <v>3381400</v>
      </c>
      <c r="I324" s="6">
        <f t="shared" si="9"/>
        <v>-740483.9698</v>
      </c>
      <c r="J324" s="620">
        <v>6.25</v>
      </c>
      <c r="K324" s="591"/>
      <c r="L324" s="6"/>
      <c r="M324" s="9">
        <v>12000.0</v>
      </c>
      <c r="N324" s="79">
        <f t="shared" si="10"/>
        <v>3822000</v>
      </c>
      <c r="O324" s="6">
        <f t="shared" si="2"/>
        <v>2023798.97</v>
      </c>
      <c r="P324" s="6"/>
      <c r="Q324" s="6">
        <f t="shared" si="11"/>
        <v>13339.78223</v>
      </c>
      <c r="R324" s="6">
        <f t="shared" si="12"/>
        <v>2023798.97</v>
      </c>
      <c r="S324" s="81">
        <f t="shared" si="3"/>
        <v>198.5668125</v>
      </c>
      <c r="T324" s="6"/>
      <c r="U324" s="6"/>
      <c r="V324" s="6"/>
      <c r="W324" s="6"/>
      <c r="X324" s="6"/>
    </row>
    <row r="325" ht="11.25" customHeight="1">
      <c r="A325" s="7"/>
      <c r="B325" s="68">
        <f t="shared" si="13"/>
        <v>320</v>
      </c>
      <c r="C325" s="607">
        <v>10600.0</v>
      </c>
      <c r="D325" s="6">
        <f t="shared" si="14"/>
        <v>-3856.687342</v>
      </c>
      <c r="E325" s="6">
        <f t="shared" si="1"/>
        <v>14456.68734</v>
      </c>
      <c r="F325" s="6">
        <f t="shared" si="6"/>
        <v>2376653.657</v>
      </c>
      <c r="G325" s="6">
        <f t="shared" si="7"/>
        <v>1015346.343</v>
      </c>
      <c r="H325" s="6">
        <f t="shared" si="8"/>
        <v>3392000</v>
      </c>
      <c r="I325" s="6">
        <f t="shared" si="9"/>
        <v>-754940.6571</v>
      </c>
      <c r="J325" s="620">
        <v>6.25</v>
      </c>
      <c r="K325" s="591"/>
      <c r="L325" s="6"/>
      <c r="M325" s="9">
        <v>12000.0</v>
      </c>
      <c r="N325" s="79">
        <f t="shared" si="10"/>
        <v>3834000</v>
      </c>
      <c r="O325" s="6">
        <f t="shared" si="2"/>
        <v>2037213.657</v>
      </c>
      <c r="P325" s="6"/>
      <c r="Q325" s="6">
        <f t="shared" si="11"/>
        <v>13414.68734</v>
      </c>
      <c r="R325" s="6">
        <f t="shared" si="12"/>
        <v>2037213.657</v>
      </c>
      <c r="S325" s="81">
        <f t="shared" si="3"/>
        <v>200.6422411</v>
      </c>
      <c r="T325" s="6"/>
      <c r="U325" s="6"/>
      <c r="V325" s="6"/>
      <c r="W325" s="6"/>
      <c r="X325" s="6"/>
    </row>
    <row r="326" ht="11.25" customHeight="1">
      <c r="A326" s="7"/>
      <c r="B326" s="68">
        <f t="shared" si="13"/>
        <v>321</v>
      </c>
      <c r="C326" s="607">
        <v>10600.0</v>
      </c>
      <c r="D326" s="6">
        <f t="shared" si="14"/>
        <v>-3931.982589</v>
      </c>
      <c r="E326" s="6">
        <f t="shared" si="1"/>
        <v>14531.98259</v>
      </c>
      <c r="F326" s="6">
        <f t="shared" si="6"/>
        <v>2391185.64</v>
      </c>
      <c r="G326" s="6">
        <f t="shared" si="7"/>
        <v>1011414.36</v>
      </c>
      <c r="H326" s="6">
        <f t="shared" si="8"/>
        <v>3402600</v>
      </c>
      <c r="I326" s="6">
        <f t="shared" si="9"/>
        <v>-769472.6397</v>
      </c>
      <c r="J326" s="620">
        <v>6.25</v>
      </c>
      <c r="K326" s="591"/>
      <c r="L326" s="6"/>
      <c r="M326" s="9">
        <v>12000.0</v>
      </c>
      <c r="N326" s="79">
        <f t="shared" si="10"/>
        <v>3846000</v>
      </c>
      <c r="O326" s="6">
        <f t="shared" si="2"/>
        <v>2050703.64</v>
      </c>
      <c r="P326" s="6"/>
      <c r="Q326" s="6">
        <f t="shared" si="11"/>
        <v>13489.98259</v>
      </c>
      <c r="R326" s="6">
        <f t="shared" si="12"/>
        <v>2050703.64</v>
      </c>
      <c r="S326" s="81">
        <f t="shared" si="3"/>
        <v>202.7560335</v>
      </c>
      <c r="T326" s="6"/>
      <c r="U326" s="6"/>
      <c r="V326" s="6"/>
      <c r="W326" s="6"/>
      <c r="X326" s="6"/>
    </row>
    <row r="327" ht="11.25" customHeight="1">
      <c r="A327" s="7"/>
      <c r="B327" s="68">
        <f t="shared" si="13"/>
        <v>322</v>
      </c>
      <c r="C327" s="607">
        <v>10600.0</v>
      </c>
      <c r="D327" s="6">
        <f t="shared" si="14"/>
        <v>-4007.669998</v>
      </c>
      <c r="E327" s="6">
        <f t="shared" si="1"/>
        <v>14607.67</v>
      </c>
      <c r="F327" s="6">
        <f t="shared" si="6"/>
        <v>2405793.31</v>
      </c>
      <c r="G327" s="6">
        <f t="shared" si="7"/>
        <v>1007406.69</v>
      </c>
      <c r="H327" s="6">
        <f t="shared" si="8"/>
        <v>3413200</v>
      </c>
      <c r="I327" s="6">
        <f t="shared" si="9"/>
        <v>-784080.3097</v>
      </c>
      <c r="J327" s="620">
        <v>6.25</v>
      </c>
      <c r="K327" s="591"/>
      <c r="L327" s="6"/>
      <c r="M327" s="9">
        <v>12000.0</v>
      </c>
      <c r="N327" s="79">
        <f t="shared" si="10"/>
        <v>3858000</v>
      </c>
      <c r="O327" s="6">
        <f t="shared" si="2"/>
        <v>2064269.31</v>
      </c>
      <c r="P327" s="6"/>
      <c r="Q327" s="6">
        <f t="shared" si="11"/>
        <v>13565.67</v>
      </c>
      <c r="R327" s="6">
        <f t="shared" si="12"/>
        <v>2064269.31</v>
      </c>
      <c r="S327" s="81">
        <f t="shared" si="3"/>
        <v>204.9092317</v>
      </c>
      <c r="T327" s="6"/>
      <c r="U327" s="6"/>
      <c r="V327" s="6"/>
      <c r="W327" s="6"/>
      <c r="X327" s="6"/>
    </row>
    <row r="328" ht="11.25" customHeight="1">
      <c r="A328" s="7"/>
      <c r="B328" s="68">
        <f t="shared" si="13"/>
        <v>323</v>
      </c>
      <c r="C328" s="607">
        <v>10600.0</v>
      </c>
      <c r="D328" s="6">
        <f t="shared" si="14"/>
        <v>-4083.751613</v>
      </c>
      <c r="E328" s="6">
        <f t="shared" si="1"/>
        <v>14683.75161</v>
      </c>
      <c r="F328" s="6">
        <f t="shared" si="6"/>
        <v>2420477.061</v>
      </c>
      <c r="G328" s="6">
        <f t="shared" si="7"/>
        <v>1003322.939</v>
      </c>
      <c r="H328" s="6">
        <f t="shared" si="8"/>
        <v>3423800</v>
      </c>
      <c r="I328" s="6">
        <f t="shared" si="9"/>
        <v>-798764.0613</v>
      </c>
      <c r="J328" s="620">
        <v>6.25</v>
      </c>
      <c r="K328" s="591"/>
      <c r="L328" s="6"/>
      <c r="M328" s="9">
        <v>12000.0</v>
      </c>
      <c r="N328" s="79">
        <f t="shared" si="10"/>
        <v>3870000</v>
      </c>
      <c r="O328" s="6">
        <f t="shared" si="2"/>
        <v>2077911.061</v>
      </c>
      <c r="P328" s="6"/>
      <c r="Q328" s="6">
        <f t="shared" si="11"/>
        <v>13641.75161</v>
      </c>
      <c r="R328" s="6">
        <f t="shared" si="12"/>
        <v>2077911.061</v>
      </c>
      <c r="S328" s="81">
        <f t="shared" si="3"/>
        <v>207.1029158</v>
      </c>
      <c r="T328" s="6"/>
      <c r="U328" s="6"/>
      <c r="V328" s="6"/>
      <c r="W328" s="6"/>
      <c r="X328" s="6"/>
    </row>
    <row r="329" ht="11.25" customHeight="1">
      <c r="A329" s="71"/>
      <c r="B329" s="72">
        <f t="shared" si="13"/>
        <v>324</v>
      </c>
      <c r="C329" s="607">
        <v>10600.0</v>
      </c>
      <c r="D329" s="10">
        <f t="shared" si="14"/>
        <v>-4160.229486</v>
      </c>
      <c r="E329" s="10">
        <f t="shared" si="1"/>
        <v>14760.22949</v>
      </c>
      <c r="F329" s="10">
        <f t="shared" si="6"/>
        <v>2435237.291</v>
      </c>
      <c r="G329" s="10">
        <f t="shared" si="7"/>
        <v>999162.7092</v>
      </c>
      <c r="H329" s="10">
        <f t="shared" si="8"/>
        <v>3434400</v>
      </c>
      <c r="I329" s="10">
        <f t="shared" si="9"/>
        <v>-813524.2908</v>
      </c>
      <c r="J329" s="620">
        <v>6.25</v>
      </c>
      <c r="K329" s="591"/>
      <c r="L329" s="6"/>
      <c r="M329" s="9">
        <v>12000.0</v>
      </c>
      <c r="N329" s="79">
        <f t="shared" si="10"/>
        <v>3882000</v>
      </c>
      <c r="O329" s="6">
        <f t="shared" si="2"/>
        <v>2091629.291</v>
      </c>
      <c r="P329" s="6"/>
      <c r="Q329" s="6">
        <f t="shared" si="11"/>
        <v>13718.22949</v>
      </c>
      <c r="R329" s="6">
        <f t="shared" si="12"/>
        <v>2091629.291</v>
      </c>
      <c r="S329" s="81">
        <f t="shared" si="3"/>
        <v>209.338206</v>
      </c>
      <c r="T329" s="6"/>
      <c r="U329" s="6"/>
      <c r="V329" s="6"/>
      <c r="W329" s="6"/>
      <c r="X329" s="6"/>
    </row>
    <row r="330" ht="11.25" customHeight="1">
      <c r="A330" s="100">
        <v>28.0</v>
      </c>
      <c r="B330" s="66">
        <f t="shared" si="13"/>
        <v>325</v>
      </c>
      <c r="C330" s="607">
        <v>10600.0</v>
      </c>
      <c r="D330" s="617">
        <f t="shared" si="14"/>
        <v>-4237.105681</v>
      </c>
      <c r="E330" s="617">
        <f t="shared" si="1"/>
        <v>14837.10568</v>
      </c>
      <c r="F330" s="617">
        <f t="shared" si="6"/>
        <v>2450074.396</v>
      </c>
      <c r="G330" s="617">
        <f t="shared" si="7"/>
        <v>994925.6035</v>
      </c>
      <c r="H330" s="617">
        <f t="shared" si="8"/>
        <v>3445000</v>
      </c>
      <c r="I330" s="617">
        <f t="shared" si="9"/>
        <v>-828361.3965</v>
      </c>
      <c r="J330" s="620">
        <v>6.25</v>
      </c>
      <c r="K330" s="591"/>
      <c r="L330" s="6"/>
      <c r="M330" s="9">
        <v>12000.0</v>
      </c>
      <c r="N330" s="79">
        <f t="shared" si="10"/>
        <v>3894000</v>
      </c>
      <c r="O330" s="6">
        <f t="shared" si="2"/>
        <v>2105424.396</v>
      </c>
      <c r="P330" s="6"/>
      <c r="Q330" s="6">
        <f t="shared" si="11"/>
        <v>13795.10568</v>
      </c>
      <c r="R330" s="6">
        <f t="shared" si="12"/>
        <v>2105424.396</v>
      </c>
      <c r="S330" s="81">
        <f t="shared" si="3"/>
        <v>211.6162645</v>
      </c>
      <c r="T330" s="6"/>
      <c r="U330" s="6"/>
      <c r="V330" s="6"/>
      <c r="W330" s="6"/>
      <c r="X330" s="6"/>
    </row>
    <row r="331" ht="11.25" customHeight="1">
      <c r="A331" s="7"/>
      <c r="B331" s="68">
        <f t="shared" si="13"/>
        <v>326</v>
      </c>
      <c r="C331" s="607">
        <v>10600.0</v>
      </c>
      <c r="D331" s="6">
        <f t="shared" si="14"/>
        <v>-4314.382273</v>
      </c>
      <c r="E331" s="6">
        <f t="shared" si="1"/>
        <v>14914.38227</v>
      </c>
      <c r="F331" s="6">
        <f t="shared" si="6"/>
        <v>2464988.779</v>
      </c>
      <c r="G331" s="6">
        <f t="shared" si="7"/>
        <v>990611.2213</v>
      </c>
      <c r="H331" s="6">
        <f t="shared" si="8"/>
        <v>3455600</v>
      </c>
      <c r="I331" s="6">
        <f t="shared" si="9"/>
        <v>-843275.7787</v>
      </c>
      <c r="J331" s="620">
        <v>6.25</v>
      </c>
      <c r="K331" s="591"/>
      <c r="L331" s="6"/>
      <c r="M331" s="9">
        <v>12000.0</v>
      </c>
      <c r="N331" s="79">
        <f t="shared" si="10"/>
        <v>3906000</v>
      </c>
      <c r="O331" s="6">
        <f t="shared" si="2"/>
        <v>2119296.779</v>
      </c>
      <c r="P331" s="6"/>
      <c r="Q331" s="6">
        <f t="shared" si="11"/>
        <v>13872.38227</v>
      </c>
      <c r="R331" s="6">
        <f t="shared" si="12"/>
        <v>2119296.779</v>
      </c>
      <c r="S331" s="81">
        <f t="shared" si="3"/>
        <v>213.9382972</v>
      </c>
      <c r="T331" s="6"/>
      <c r="U331" s="6"/>
      <c r="V331" s="6"/>
      <c r="W331" s="6"/>
      <c r="X331" s="6"/>
    </row>
    <row r="332" ht="11.25" customHeight="1">
      <c r="A332" s="7"/>
      <c r="B332" s="68">
        <f t="shared" si="13"/>
        <v>327</v>
      </c>
      <c r="C332" s="607">
        <v>10600.0</v>
      </c>
      <c r="D332" s="6">
        <f t="shared" si="14"/>
        <v>-4392.061348</v>
      </c>
      <c r="E332" s="6">
        <f t="shared" si="1"/>
        <v>14992.06135</v>
      </c>
      <c r="F332" s="6">
        <f t="shared" si="6"/>
        <v>2479980.84</v>
      </c>
      <c r="G332" s="6">
        <f t="shared" si="7"/>
        <v>986219.1599</v>
      </c>
      <c r="H332" s="6">
        <f t="shared" si="8"/>
        <v>3466200</v>
      </c>
      <c r="I332" s="6">
        <f t="shared" si="9"/>
        <v>-858267.8401</v>
      </c>
      <c r="J332" s="620">
        <v>6.25</v>
      </c>
      <c r="K332" s="591"/>
      <c r="L332" s="6"/>
      <c r="M332" s="9">
        <v>12000.0</v>
      </c>
      <c r="N332" s="79">
        <f t="shared" si="10"/>
        <v>3918000</v>
      </c>
      <c r="O332" s="6">
        <f t="shared" si="2"/>
        <v>2133246.84</v>
      </c>
      <c r="P332" s="6"/>
      <c r="Q332" s="6">
        <f t="shared" si="11"/>
        <v>13950.06135</v>
      </c>
      <c r="R332" s="6">
        <f t="shared" si="12"/>
        <v>2133246.84</v>
      </c>
      <c r="S332" s="81">
        <f t="shared" si="3"/>
        <v>216.3055563</v>
      </c>
      <c r="T332" s="6"/>
      <c r="U332" s="6"/>
      <c r="V332" s="6"/>
      <c r="W332" s="6"/>
      <c r="X332" s="6"/>
    </row>
    <row r="333" ht="11.25" customHeight="1">
      <c r="A333" s="7"/>
      <c r="B333" s="68">
        <f t="shared" si="13"/>
        <v>328</v>
      </c>
      <c r="C333" s="607">
        <v>10600.0</v>
      </c>
      <c r="D333" s="6">
        <f t="shared" si="14"/>
        <v>-4470.145</v>
      </c>
      <c r="E333" s="6">
        <f t="shared" si="1"/>
        <v>15070.145</v>
      </c>
      <c r="F333" s="6">
        <f t="shared" si="6"/>
        <v>2495050.985</v>
      </c>
      <c r="G333" s="6">
        <f t="shared" si="7"/>
        <v>981749.0149</v>
      </c>
      <c r="H333" s="6">
        <f t="shared" si="8"/>
        <v>3476800</v>
      </c>
      <c r="I333" s="6">
        <f t="shared" si="9"/>
        <v>-873337.9851</v>
      </c>
      <c r="J333" s="620">
        <v>6.25</v>
      </c>
      <c r="K333" s="591"/>
      <c r="L333" s="6"/>
      <c r="M333" s="9">
        <v>12000.0</v>
      </c>
      <c r="N333" s="79">
        <f t="shared" si="10"/>
        <v>3930000</v>
      </c>
      <c r="O333" s="6">
        <f t="shared" si="2"/>
        <v>2147274.985</v>
      </c>
      <c r="P333" s="6"/>
      <c r="Q333" s="6">
        <f t="shared" si="11"/>
        <v>14028.145</v>
      </c>
      <c r="R333" s="6">
        <f t="shared" si="12"/>
        <v>2147274.985</v>
      </c>
      <c r="S333" s="81">
        <f t="shared" si="3"/>
        <v>218.719342</v>
      </c>
      <c r="T333" s="6"/>
      <c r="U333" s="6"/>
      <c r="V333" s="6"/>
      <c r="W333" s="6"/>
      <c r="X333" s="6"/>
    </row>
    <row r="334" ht="11.25" customHeight="1">
      <c r="A334" s="7"/>
      <c r="B334" s="68">
        <f t="shared" si="13"/>
        <v>329</v>
      </c>
      <c r="C334" s="607">
        <v>10600.0</v>
      </c>
      <c r="D334" s="6">
        <f t="shared" si="14"/>
        <v>-4548.635339</v>
      </c>
      <c r="E334" s="6">
        <f t="shared" si="1"/>
        <v>15148.63534</v>
      </c>
      <c r="F334" s="6">
        <f t="shared" si="6"/>
        <v>2510199.62</v>
      </c>
      <c r="G334" s="6">
        <f t="shared" si="7"/>
        <v>977200.3796</v>
      </c>
      <c r="H334" s="6">
        <f t="shared" si="8"/>
        <v>3487400</v>
      </c>
      <c r="I334" s="6">
        <f t="shared" si="9"/>
        <v>-888486.6204</v>
      </c>
      <c r="J334" s="620">
        <v>6.25</v>
      </c>
      <c r="K334" s="591"/>
      <c r="L334" s="6"/>
      <c r="M334" s="9">
        <v>12000.0</v>
      </c>
      <c r="N334" s="79">
        <f t="shared" si="10"/>
        <v>3942000</v>
      </c>
      <c r="O334" s="6">
        <f t="shared" si="2"/>
        <v>2161381.62</v>
      </c>
      <c r="P334" s="6"/>
      <c r="Q334" s="6">
        <f t="shared" si="11"/>
        <v>14106.63534</v>
      </c>
      <c r="R334" s="6">
        <f t="shared" si="12"/>
        <v>2161381.62</v>
      </c>
      <c r="S334" s="81">
        <f t="shared" si="3"/>
        <v>221.181005</v>
      </c>
      <c r="T334" s="6"/>
      <c r="U334" s="6"/>
      <c r="V334" s="6"/>
      <c r="W334" s="6"/>
      <c r="X334" s="6"/>
    </row>
    <row r="335" ht="11.25" customHeight="1">
      <c r="A335" s="7"/>
      <c r="B335" s="68">
        <f t="shared" si="13"/>
        <v>330</v>
      </c>
      <c r="C335" s="607">
        <v>10600.0</v>
      </c>
      <c r="D335" s="6">
        <f t="shared" si="14"/>
        <v>-4627.534481</v>
      </c>
      <c r="E335" s="6">
        <f t="shared" si="1"/>
        <v>15227.53448</v>
      </c>
      <c r="F335" s="6">
        <f t="shared" si="6"/>
        <v>2525427.155</v>
      </c>
      <c r="G335" s="6">
        <f t="shared" si="7"/>
        <v>972572.8451</v>
      </c>
      <c r="H335" s="6">
        <f t="shared" si="8"/>
        <v>3498000</v>
      </c>
      <c r="I335" s="6">
        <f t="shared" si="9"/>
        <v>-903714.1549</v>
      </c>
      <c r="J335" s="620">
        <v>6.25</v>
      </c>
      <c r="K335" s="591"/>
      <c r="L335" s="6"/>
      <c r="M335" s="9">
        <v>12000.0</v>
      </c>
      <c r="N335" s="79">
        <f t="shared" si="10"/>
        <v>3954000</v>
      </c>
      <c r="O335" s="6">
        <f t="shared" si="2"/>
        <v>2175567.155</v>
      </c>
      <c r="P335" s="6"/>
      <c r="Q335" s="6">
        <f t="shared" si="11"/>
        <v>14185.53448</v>
      </c>
      <c r="R335" s="6">
        <f t="shared" si="12"/>
        <v>2175567.155</v>
      </c>
      <c r="S335" s="81">
        <f t="shared" si="3"/>
        <v>223.6919492</v>
      </c>
      <c r="T335" s="6"/>
      <c r="U335" s="6"/>
      <c r="V335" s="6"/>
      <c r="W335" s="6"/>
      <c r="X335" s="6"/>
    </row>
    <row r="336" ht="11.25" customHeight="1">
      <c r="A336" s="7"/>
      <c r="B336" s="68">
        <f t="shared" si="13"/>
        <v>331</v>
      </c>
      <c r="C336" s="607">
        <v>10600.0</v>
      </c>
      <c r="D336" s="6">
        <f t="shared" si="14"/>
        <v>-4706.844557</v>
      </c>
      <c r="E336" s="6">
        <f t="shared" si="1"/>
        <v>15306.84456</v>
      </c>
      <c r="F336" s="6">
        <f t="shared" si="6"/>
        <v>2540733.999</v>
      </c>
      <c r="G336" s="6">
        <f t="shared" si="7"/>
        <v>967866.0005</v>
      </c>
      <c r="H336" s="6">
        <f t="shared" si="8"/>
        <v>3508600</v>
      </c>
      <c r="I336" s="6">
        <f t="shared" si="9"/>
        <v>-919020.9995</v>
      </c>
      <c r="J336" s="620">
        <v>6.25</v>
      </c>
      <c r="K336" s="591"/>
      <c r="L336" s="6"/>
      <c r="M336" s="9">
        <v>12000.0</v>
      </c>
      <c r="N336" s="79">
        <f t="shared" si="10"/>
        <v>3966000</v>
      </c>
      <c r="O336" s="6">
        <f t="shared" si="2"/>
        <v>2189831.999</v>
      </c>
      <c r="P336" s="6"/>
      <c r="Q336" s="6">
        <f t="shared" si="11"/>
        <v>14264.84456</v>
      </c>
      <c r="R336" s="6">
        <f t="shared" si="12"/>
        <v>2189831.999</v>
      </c>
      <c r="S336" s="81">
        <f t="shared" si="3"/>
        <v>226.2536341</v>
      </c>
      <c r="T336" s="6"/>
      <c r="U336" s="6"/>
      <c r="V336" s="6"/>
      <c r="W336" s="6"/>
      <c r="X336" s="6"/>
    </row>
    <row r="337" ht="11.25" customHeight="1">
      <c r="A337" s="7"/>
      <c r="B337" s="68">
        <f t="shared" si="13"/>
        <v>332</v>
      </c>
      <c r="C337" s="607">
        <v>10600.0</v>
      </c>
      <c r="D337" s="6">
        <f t="shared" si="14"/>
        <v>-4786.567706</v>
      </c>
      <c r="E337" s="6">
        <f t="shared" si="1"/>
        <v>15386.56771</v>
      </c>
      <c r="F337" s="6">
        <f t="shared" si="6"/>
        <v>2556120.567</v>
      </c>
      <c r="G337" s="6">
        <f t="shared" si="7"/>
        <v>963079.4328</v>
      </c>
      <c r="H337" s="6">
        <f t="shared" si="8"/>
        <v>3519200</v>
      </c>
      <c r="I337" s="6">
        <f t="shared" si="9"/>
        <v>-934407.5672</v>
      </c>
      <c r="J337" s="620">
        <v>6.25</v>
      </c>
      <c r="K337" s="591"/>
      <c r="L337" s="6"/>
      <c r="M337" s="9">
        <v>12000.0</v>
      </c>
      <c r="N337" s="79">
        <f t="shared" si="10"/>
        <v>3978000</v>
      </c>
      <c r="O337" s="6">
        <f t="shared" si="2"/>
        <v>2204176.567</v>
      </c>
      <c r="P337" s="6"/>
      <c r="Q337" s="6">
        <f t="shared" si="11"/>
        <v>14344.56771</v>
      </c>
      <c r="R337" s="6">
        <f t="shared" si="12"/>
        <v>2204176.567</v>
      </c>
      <c r="S337" s="81">
        <f t="shared" si="3"/>
        <v>228.8675775</v>
      </c>
      <c r="T337" s="6"/>
      <c r="U337" s="6"/>
      <c r="V337" s="6"/>
      <c r="W337" s="6"/>
      <c r="X337" s="6"/>
    </row>
    <row r="338" ht="11.25" customHeight="1">
      <c r="A338" s="7"/>
      <c r="B338" s="68">
        <f t="shared" si="13"/>
        <v>333</v>
      </c>
      <c r="C338" s="607">
        <v>10600.0</v>
      </c>
      <c r="D338" s="6">
        <f t="shared" si="14"/>
        <v>-4866.706079</v>
      </c>
      <c r="E338" s="6">
        <f t="shared" si="1"/>
        <v>15466.70608</v>
      </c>
      <c r="F338" s="6">
        <f t="shared" si="6"/>
        <v>2571587.273</v>
      </c>
      <c r="G338" s="6">
        <f t="shared" si="7"/>
        <v>958212.7268</v>
      </c>
      <c r="H338" s="6">
        <f t="shared" si="8"/>
        <v>3529800</v>
      </c>
      <c r="I338" s="6">
        <f t="shared" si="9"/>
        <v>-949874.2732</v>
      </c>
      <c r="J338" s="620">
        <v>6.25</v>
      </c>
      <c r="K338" s="591"/>
      <c r="L338" s="6"/>
      <c r="M338" s="9">
        <v>12000.0</v>
      </c>
      <c r="N338" s="79">
        <f t="shared" si="10"/>
        <v>3990000</v>
      </c>
      <c r="O338" s="6">
        <f t="shared" si="2"/>
        <v>2218601.273</v>
      </c>
      <c r="P338" s="6"/>
      <c r="Q338" s="6">
        <f t="shared" si="11"/>
        <v>14424.70608</v>
      </c>
      <c r="R338" s="6">
        <f t="shared" si="12"/>
        <v>2218601.273</v>
      </c>
      <c r="S338" s="81">
        <f t="shared" si="3"/>
        <v>231.5353586</v>
      </c>
      <c r="T338" s="6"/>
      <c r="U338" s="6"/>
      <c r="V338" s="6"/>
      <c r="W338" s="6"/>
      <c r="X338" s="6"/>
    </row>
    <row r="339" ht="11.25" customHeight="1">
      <c r="A339" s="7"/>
      <c r="B339" s="68">
        <f t="shared" si="13"/>
        <v>334</v>
      </c>
      <c r="C339" s="607">
        <v>10600.0</v>
      </c>
      <c r="D339" s="6">
        <f t="shared" si="14"/>
        <v>-4947.26184</v>
      </c>
      <c r="E339" s="6">
        <f t="shared" si="1"/>
        <v>15547.26184</v>
      </c>
      <c r="F339" s="6">
        <f t="shared" si="6"/>
        <v>2587134.535</v>
      </c>
      <c r="G339" s="6">
        <f t="shared" si="7"/>
        <v>953265.4649</v>
      </c>
      <c r="H339" s="6">
        <f t="shared" si="8"/>
        <v>3540400</v>
      </c>
      <c r="I339" s="6">
        <f t="shared" si="9"/>
        <v>-965421.5351</v>
      </c>
      <c r="J339" s="620">
        <v>6.25</v>
      </c>
      <c r="K339" s="591"/>
      <c r="L339" s="6"/>
      <c r="M339" s="9">
        <v>12000.0</v>
      </c>
      <c r="N339" s="79">
        <f t="shared" si="10"/>
        <v>4002000</v>
      </c>
      <c r="O339" s="6">
        <f t="shared" si="2"/>
        <v>2233106.535</v>
      </c>
      <c r="P339" s="6"/>
      <c r="Q339" s="6">
        <f t="shared" si="11"/>
        <v>14505.26184</v>
      </c>
      <c r="R339" s="6">
        <f t="shared" si="12"/>
        <v>2233106.535</v>
      </c>
      <c r="S339" s="81">
        <f t="shared" si="3"/>
        <v>234.2586213</v>
      </c>
      <c r="T339" s="6"/>
      <c r="U339" s="6"/>
      <c r="V339" s="6"/>
      <c r="W339" s="6"/>
      <c r="X339" s="6"/>
    </row>
    <row r="340" ht="11.25" customHeight="1">
      <c r="A340" s="7"/>
      <c r="B340" s="68">
        <f t="shared" si="13"/>
        <v>335</v>
      </c>
      <c r="C340" s="607">
        <v>10600.0</v>
      </c>
      <c r="D340" s="6">
        <f t="shared" si="14"/>
        <v>-5028.237162</v>
      </c>
      <c r="E340" s="6">
        <f t="shared" si="1"/>
        <v>15628.23716</v>
      </c>
      <c r="F340" s="6">
        <f t="shared" si="6"/>
        <v>2602762.772</v>
      </c>
      <c r="G340" s="6">
        <f t="shared" si="7"/>
        <v>948237.2278</v>
      </c>
      <c r="H340" s="6">
        <f t="shared" si="8"/>
        <v>3551000</v>
      </c>
      <c r="I340" s="6">
        <f t="shared" si="9"/>
        <v>-981049.7722</v>
      </c>
      <c r="J340" s="620">
        <v>6.25</v>
      </c>
      <c r="K340" s="591"/>
      <c r="L340" s="6"/>
      <c r="M340" s="9">
        <v>12000.0</v>
      </c>
      <c r="N340" s="79">
        <f t="shared" si="10"/>
        <v>4014000</v>
      </c>
      <c r="O340" s="6">
        <f t="shared" si="2"/>
        <v>2247692.772</v>
      </c>
      <c r="P340" s="6"/>
      <c r="Q340" s="6">
        <f t="shared" si="11"/>
        <v>14586.23716</v>
      </c>
      <c r="R340" s="6">
        <f t="shared" si="12"/>
        <v>2247692.772</v>
      </c>
      <c r="S340" s="81">
        <f t="shared" si="3"/>
        <v>237.039077</v>
      </c>
      <c r="T340" s="6"/>
      <c r="U340" s="6"/>
      <c r="V340" s="6"/>
      <c r="W340" s="6"/>
      <c r="X340" s="6"/>
    </row>
    <row r="341" ht="11.25" customHeight="1">
      <c r="A341" s="71"/>
      <c r="B341" s="72">
        <f t="shared" si="13"/>
        <v>336</v>
      </c>
      <c r="C341" s="607">
        <v>10600.0</v>
      </c>
      <c r="D341" s="10">
        <f t="shared" si="14"/>
        <v>-5109.63423</v>
      </c>
      <c r="E341" s="10">
        <f t="shared" si="1"/>
        <v>15709.63423</v>
      </c>
      <c r="F341" s="10">
        <f t="shared" si="6"/>
        <v>2618472.406</v>
      </c>
      <c r="G341" s="10">
        <f t="shared" si="7"/>
        <v>943127.5935</v>
      </c>
      <c r="H341" s="10">
        <f t="shared" si="8"/>
        <v>3561600</v>
      </c>
      <c r="I341" s="10">
        <f t="shared" si="9"/>
        <v>-996759.4065</v>
      </c>
      <c r="J341" s="620">
        <v>6.25</v>
      </c>
      <c r="K341" s="591"/>
      <c r="L341" s="6"/>
      <c r="M341" s="9">
        <v>12000.0</v>
      </c>
      <c r="N341" s="79">
        <f t="shared" si="10"/>
        <v>4026000</v>
      </c>
      <c r="O341" s="6">
        <f t="shared" si="2"/>
        <v>2262360.406</v>
      </c>
      <c r="P341" s="6"/>
      <c r="Q341" s="6">
        <f t="shared" si="11"/>
        <v>14667.63423</v>
      </c>
      <c r="R341" s="6">
        <f t="shared" si="12"/>
        <v>2262360.406</v>
      </c>
      <c r="S341" s="81">
        <f t="shared" si="3"/>
        <v>239.8785087</v>
      </c>
      <c r="T341" s="6"/>
      <c r="U341" s="6"/>
      <c r="V341" s="6"/>
      <c r="W341" s="6"/>
      <c r="X341" s="6"/>
    </row>
    <row r="342" ht="11.25" customHeight="1">
      <c r="A342" s="100">
        <v>29.0</v>
      </c>
      <c r="B342" s="66">
        <f t="shared" si="13"/>
        <v>337</v>
      </c>
      <c r="C342" s="607">
        <v>10600.0</v>
      </c>
      <c r="D342" s="617">
        <f t="shared" si="14"/>
        <v>-5191.455242</v>
      </c>
      <c r="E342" s="617">
        <f t="shared" si="1"/>
        <v>15791.45524</v>
      </c>
      <c r="F342" s="617">
        <f t="shared" si="6"/>
        <v>2634263.862</v>
      </c>
      <c r="G342" s="617">
        <f t="shared" si="7"/>
        <v>937936.1383</v>
      </c>
      <c r="H342" s="617">
        <f t="shared" si="8"/>
        <v>3572200</v>
      </c>
      <c r="I342" s="617">
        <f t="shared" si="9"/>
        <v>-1012550.862</v>
      </c>
      <c r="J342" s="620">
        <v>6.25</v>
      </c>
      <c r="K342" s="591"/>
      <c r="L342" s="6"/>
      <c r="M342" s="9">
        <v>12000.0</v>
      </c>
      <c r="N342" s="79">
        <f t="shared" si="10"/>
        <v>4038000</v>
      </c>
      <c r="O342" s="6">
        <f t="shared" si="2"/>
        <v>2277109.862</v>
      </c>
      <c r="P342" s="6"/>
      <c r="Q342" s="6">
        <f t="shared" si="11"/>
        <v>14749.45524</v>
      </c>
      <c r="R342" s="6">
        <f t="shared" si="12"/>
        <v>2277109.862</v>
      </c>
      <c r="S342" s="81">
        <f t="shared" si="3"/>
        <v>242.7787745</v>
      </c>
      <c r="T342" s="6"/>
      <c r="U342" s="6"/>
      <c r="V342" s="6"/>
      <c r="W342" s="6"/>
      <c r="X342" s="6"/>
    </row>
    <row r="343" ht="11.25" customHeight="1">
      <c r="A343" s="7"/>
      <c r="B343" s="68">
        <f t="shared" si="13"/>
        <v>338</v>
      </c>
      <c r="C343" s="607">
        <v>10600.0</v>
      </c>
      <c r="D343" s="6">
        <f t="shared" si="14"/>
        <v>-5273.702405</v>
      </c>
      <c r="E343" s="6">
        <f t="shared" si="1"/>
        <v>15873.7024</v>
      </c>
      <c r="F343" s="6">
        <f t="shared" si="6"/>
        <v>2650137.564</v>
      </c>
      <c r="G343" s="6">
        <f t="shared" si="7"/>
        <v>932662.4359</v>
      </c>
      <c r="H343" s="6">
        <f t="shared" si="8"/>
        <v>3582800</v>
      </c>
      <c r="I343" s="6">
        <f t="shared" si="9"/>
        <v>-1028424.564</v>
      </c>
      <c r="J343" s="620">
        <v>6.25</v>
      </c>
      <c r="K343" s="591"/>
      <c r="L343" s="6"/>
      <c r="M343" s="9">
        <v>12000.0</v>
      </c>
      <c r="N343" s="79">
        <f t="shared" si="10"/>
        <v>4050000</v>
      </c>
      <c r="O343" s="6">
        <f t="shared" si="2"/>
        <v>2291941.564</v>
      </c>
      <c r="P343" s="6"/>
      <c r="Q343" s="6">
        <f t="shared" si="11"/>
        <v>14831.7024</v>
      </c>
      <c r="R343" s="6">
        <f t="shared" si="12"/>
        <v>2291941.564</v>
      </c>
      <c r="S343" s="81">
        <f t="shared" si="3"/>
        <v>245.7418114</v>
      </c>
      <c r="T343" s="6"/>
      <c r="U343" s="6"/>
      <c r="V343" s="6"/>
      <c r="W343" s="6"/>
      <c r="X343" s="6"/>
    </row>
    <row r="344" ht="11.25" customHeight="1">
      <c r="A344" s="7"/>
      <c r="B344" s="68">
        <f t="shared" si="13"/>
        <v>339</v>
      </c>
      <c r="C344" s="607">
        <v>10600.0</v>
      </c>
      <c r="D344" s="6">
        <f t="shared" si="14"/>
        <v>-5356.377938</v>
      </c>
      <c r="E344" s="6">
        <f t="shared" si="1"/>
        <v>15956.37794</v>
      </c>
      <c r="F344" s="6">
        <f t="shared" si="6"/>
        <v>2666093.942</v>
      </c>
      <c r="G344" s="6">
        <f t="shared" si="7"/>
        <v>927306.0579</v>
      </c>
      <c r="H344" s="6">
        <f t="shared" si="8"/>
        <v>3593400</v>
      </c>
      <c r="I344" s="6">
        <f t="shared" si="9"/>
        <v>-1044380.942</v>
      </c>
      <c r="J344" s="620">
        <v>6.25</v>
      </c>
      <c r="K344" s="591"/>
      <c r="L344" s="6"/>
      <c r="M344" s="9">
        <v>12000.0</v>
      </c>
      <c r="N344" s="79">
        <f t="shared" si="10"/>
        <v>4062000</v>
      </c>
      <c r="O344" s="6">
        <f t="shared" si="2"/>
        <v>2306855.942</v>
      </c>
      <c r="P344" s="6"/>
      <c r="Q344" s="6">
        <f t="shared" si="11"/>
        <v>14914.37794</v>
      </c>
      <c r="R344" s="6">
        <f t="shared" si="12"/>
        <v>2306855.942</v>
      </c>
      <c r="S344" s="81">
        <f t="shared" si="3"/>
        <v>248.76964</v>
      </c>
      <c r="T344" s="6"/>
      <c r="U344" s="6"/>
      <c r="V344" s="6"/>
      <c r="W344" s="6"/>
      <c r="X344" s="6"/>
    </row>
    <row r="345" ht="11.25" customHeight="1">
      <c r="A345" s="7"/>
      <c r="B345" s="68">
        <f t="shared" si="13"/>
        <v>340</v>
      </c>
      <c r="C345" s="607">
        <v>10600.0</v>
      </c>
      <c r="D345" s="6">
        <f t="shared" si="14"/>
        <v>-5439.484073</v>
      </c>
      <c r="E345" s="6">
        <f t="shared" si="1"/>
        <v>16039.48407</v>
      </c>
      <c r="F345" s="6">
        <f t="shared" si="6"/>
        <v>2682133.426</v>
      </c>
      <c r="G345" s="6">
        <f t="shared" si="7"/>
        <v>921866.5739</v>
      </c>
      <c r="H345" s="6">
        <f t="shared" si="8"/>
        <v>3604000</v>
      </c>
      <c r="I345" s="6">
        <f t="shared" si="9"/>
        <v>-1060420.426</v>
      </c>
      <c r="J345" s="620">
        <v>6.25</v>
      </c>
      <c r="K345" s="591"/>
      <c r="L345" s="6"/>
      <c r="M345" s="9">
        <v>12000.0</v>
      </c>
      <c r="N345" s="79">
        <f t="shared" si="10"/>
        <v>4074000</v>
      </c>
      <c r="O345" s="6">
        <f t="shared" si="2"/>
        <v>2321853.426</v>
      </c>
      <c r="P345" s="6"/>
      <c r="Q345" s="6">
        <f t="shared" si="11"/>
        <v>14997.48407</v>
      </c>
      <c r="R345" s="6">
        <f t="shared" si="12"/>
        <v>2321853.426</v>
      </c>
      <c r="S345" s="81">
        <f t="shared" si="3"/>
        <v>251.8643687</v>
      </c>
      <c r="T345" s="6"/>
      <c r="U345" s="6"/>
      <c r="V345" s="6"/>
      <c r="W345" s="6"/>
      <c r="X345" s="6"/>
    </row>
    <row r="346" ht="11.25" customHeight="1">
      <c r="A346" s="7"/>
      <c r="B346" s="68">
        <f t="shared" si="13"/>
        <v>341</v>
      </c>
      <c r="C346" s="607">
        <v>10600.0</v>
      </c>
      <c r="D346" s="6">
        <f t="shared" si="14"/>
        <v>-5523.023053</v>
      </c>
      <c r="E346" s="6">
        <f t="shared" si="1"/>
        <v>16123.02305</v>
      </c>
      <c r="F346" s="6">
        <f t="shared" si="6"/>
        <v>2698256.449</v>
      </c>
      <c r="G346" s="6">
        <f t="shared" si="7"/>
        <v>916343.5508</v>
      </c>
      <c r="H346" s="6">
        <f t="shared" si="8"/>
        <v>3614600</v>
      </c>
      <c r="I346" s="6">
        <f t="shared" si="9"/>
        <v>-1076543.449</v>
      </c>
      <c r="J346" s="620">
        <v>6.25</v>
      </c>
      <c r="K346" s="591"/>
      <c r="L346" s="6"/>
      <c r="M346" s="9">
        <v>12000.0</v>
      </c>
      <c r="N346" s="79">
        <f t="shared" si="10"/>
        <v>4086000</v>
      </c>
      <c r="O346" s="6">
        <f t="shared" si="2"/>
        <v>2336934.449</v>
      </c>
      <c r="P346" s="6"/>
      <c r="Q346" s="6">
        <f t="shared" si="11"/>
        <v>15081.02305</v>
      </c>
      <c r="R346" s="6">
        <f t="shared" si="12"/>
        <v>2336934.449</v>
      </c>
      <c r="S346" s="81">
        <f t="shared" si="3"/>
        <v>255.0281984</v>
      </c>
      <c r="T346" s="6"/>
      <c r="U346" s="6"/>
      <c r="V346" s="6"/>
      <c r="W346" s="6"/>
      <c r="X346" s="6"/>
    </row>
    <row r="347" ht="11.25" customHeight="1">
      <c r="A347" s="7"/>
      <c r="B347" s="68">
        <f t="shared" si="13"/>
        <v>342</v>
      </c>
      <c r="C347" s="607">
        <v>10600.0</v>
      </c>
      <c r="D347" s="6">
        <f t="shared" si="14"/>
        <v>-5606.997131</v>
      </c>
      <c r="E347" s="6">
        <f t="shared" si="1"/>
        <v>16206.99713</v>
      </c>
      <c r="F347" s="6">
        <f t="shared" si="6"/>
        <v>2714463.446</v>
      </c>
      <c r="G347" s="6">
        <f t="shared" si="7"/>
        <v>910736.5537</v>
      </c>
      <c r="H347" s="6">
        <f t="shared" si="8"/>
        <v>3625200</v>
      </c>
      <c r="I347" s="6">
        <f t="shared" si="9"/>
        <v>-1092750.446</v>
      </c>
      <c r="J347" s="620">
        <v>6.25</v>
      </c>
      <c r="K347" s="591"/>
      <c r="L347" s="6"/>
      <c r="M347" s="9">
        <v>12000.0</v>
      </c>
      <c r="N347" s="79">
        <f t="shared" si="10"/>
        <v>4098000</v>
      </c>
      <c r="O347" s="6">
        <f t="shared" si="2"/>
        <v>2352099.446</v>
      </c>
      <c r="P347" s="6"/>
      <c r="Q347" s="6">
        <f t="shared" si="11"/>
        <v>15164.99713</v>
      </c>
      <c r="R347" s="6">
        <f t="shared" si="12"/>
        <v>2352099.446</v>
      </c>
      <c r="S347" s="81">
        <f t="shared" si="3"/>
        <v>258.2634283</v>
      </c>
      <c r="T347" s="6"/>
      <c r="U347" s="6"/>
      <c r="V347" s="6"/>
      <c r="W347" s="6"/>
      <c r="X347" s="6"/>
    </row>
    <row r="348" ht="11.25" customHeight="1">
      <c r="A348" s="7"/>
      <c r="B348" s="68">
        <f t="shared" si="13"/>
        <v>343</v>
      </c>
      <c r="C348" s="607">
        <v>10600.0</v>
      </c>
      <c r="D348" s="6">
        <f t="shared" si="14"/>
        <v>-5691.408575</v>
      </c>
      <c r="E348" s="6">
        <f t="shared" si="1"/>
        <v>16291.40857</v>
      </c>
      <c r="F348" s="6">
        <f t="shared" si="6"/>
        <v>2730754.855</v>
      </c>
      <c r="G348" s="6">
        <f t="shared" si="7"/>
        <v>905045.1451</v>
      </c>
      <c r="H348" s="6">
        <f t="shared" si="8"/>
        <v>3635800</v>
      </c>
      <c r="I348" s="6">
        <f t="shared" si="9"/>
        <v>-1109041.855</v>
      </c>
      <c r="J348" s="620">
        <v>6.25</v>
      </c>
      <c r="K348" s="591"/>
      <c r="L348" s="6"/>
      <c r="M348" s="9">
        <v>12000.0</v>
      </c>
      <c r="N348" s="79">
        <f t="shared" si="10"/>
        <v>4110000</v>
      </c>
      <c r="O348" s="6">
        <f t="shared" si="2"/>
        <v>2367348.855</v>
      </c>
      <c r="P348" s="6"/>
      <c r="Q348" s="6">
        <f t="shared" si="11"/>
        <v>15249.40857</v>
      </c>
      <c r="R348" s="6">
        <f t="shared" si="12"/>
        <v>2367348.855</v>
      </c>
      <c r="S348" s="81">
        <f t="shared" si="3"/>
        <v>261.5724605</v>
      </c>
      <c r="T348" s="6"/>
      <c r="U348" s="6"/>
      <c r="V348" s="6"/>
      <c r="W348" s="6"/>
      <c r="X348" s="6"/>
    </row>
    <row r="349" ht="11.25" customHeight="1">
      <c r="A349" s="7"/>
      <c r="B349" s="68">
        <f t="shared" si="13"/>
        <v>344</v>
      </c>
      <c r="C349" s="607">
        <v>10600.0</v>
      </c>
      <c r="D349" s="6">
        <f t="shared" si="14"/>
        <v>-5776.259661</v>
      </c>
      <c r="E349" s="6">
        <f t="shared" si="1"/>
        <v>16376.25966</v>
      </c>
      <c r="F349" s="6">
        <f t="shared" si="6"/>
        <v>2747131.115</v>
      </c>
      <c r="G349" s="6">
        <f t="shared" si="7"/>
        <v>899268.8854</v>
      </c>
      <c r="H349" s="6">
        <f t="shared" si="8"/>
        <v>3646400</v>
      </c>
      <c r="I349" s="6">
        <f t="shared" si="9"/>
        <v>-1125418.115</v>
      </c>
      <c r="J349" s="620">
        <v>6.25</v>
      </c>
      <c r="K349" s="591"/>
      <c r="L349" s="6"/>
      <c r="M349" s="9">
        <v>12000.0</v>
      </c>
      <c r="N349" s="79">
        <f t="shared" si="10"/>
        <v>4122000</v>
      </c>
      <c r="O349" s="6">
        <f t="shared" si="2"/>
        <v>2382683.115</v>
      </c>
      <c r="P349" s="6"/>
      <c r="Q349" s="6">
        <f t="shared" si="11"/>
        <v>15334.25966</v>
      </c>
      <c r="R349" s="6">
        <f t="shared" si="12"/>
        <v>2382683.115</v>
      </c>
      <c r="S349" s="81">
        <f t="shared" si="3"/>
        <v>264.9578066</v>
      </c>
      <c r="T349" s="6"/>
      <c r="U349" s="6"/>
      <c r="V349" s="6"/>
      <c r="W349" s="6"/>
      <c r="X349" s="6"/>
    </row>
    <row r="350" ht="11.25" customHeight="1">
      <c r="A350" s="7"/>
      <c r="B350" s="68">
        <f t="shared" si="13"/>
        <v>345</v>
      </c>
      <c r="C350" s="607">
        <v>10600.0</v>
      </c>
      <c r="D350" s="6">
        <f t="shared" si="14"/>
        <v>-5861.55268</v>
      </c>
      <c r="E350" s="6">
        <f t="shared" si="1"/>
        <v>16461.55268</v>
      </c>
      <c r="F350" s="6">
        <f t="shared" si="6"/>
        <v>2763592.667</v>
      </c>
      <c r="G350" s="6">
        <f t="shared" si="7"/>
        <v>893407.3328</v>
      </c>
      <c r="H350" s="6">
        <f t="shared" si="8"/>
        <v>3657000</v>
      </c>
      <c r="I350" s="6">
        <f t="shared" si="9"/>
        <v>-1141879.667</v>
      </c>
      <c r="J350" s="620">
        <v>6.25</v>
      </c>
      <c r="K350" s="591"/>
      <c r="L350" s="6"/>
      <c r="M350" s="9">
        <v>12000.0</v>
      </c>
      <c r="N350" s="79">
        <f t="shared" si="10"/>
        <v>4134000</v>
      </c>
      <c r="O350" s="6">
        <f t="shared" si="2"/>
        <v>2398102.667</v>
      </c>
      <c r="P350" s="6"/>
      <c r="Q350" s="6">
        <f t="shared" si="11"/>
        <v>15419.55268</v>
      </c>
      <c r="R350" s="6">
        <f t="shared" si="12"/>
        <v>2398102.667</v>
      </c>
      <c r="S350" s="81">
        <f t="shared" si="3"/>
        <v>268.4220936</v>
      </c>
      <c r="T350" s="6"/>
      <c r="U350" s="6"/>
      <c r="V350" s="6"/>
      <c r="W350" s="6"/>
      <c r="X350" s="6"/>
    </row>
    <row r="351" ht="11.25" customHeight="1">
      <c r="A351" s="7"/>
      <c r="B351" s="68">
        <f t="shared" si="13"/>
        <v>346</v>
      </c>
      <c r="C351" s="607">
        <v>10600.0</v>
      </c>
      <c r="D351" s="6">
        <f t="shared" si="14"/>
        <v>-5947.289934</v>
      </c>
      <c r="E351" s="6">
        <f t="shared" si="1"/>
        <v>16547.28993</v>
      </c>
      <c r="F351" s="6">
        <f t="shared" si="6"/>
        <v>2780139.957</v>
      </c>
      <c r="G351" s="6">
        <f t="shared" si="7"/>
        <v>887460.0428</v>
      </c>
      <c r="H351" s="6">
        <f t="shared" si="8"/>
        <v>3667600</v>
      </c>
      <c r="I351" s="6">
        <f t="shared" si="9"/>
        <v>-1158426.957</v>
      </c>
      <c r="J351" s="620">
        <v>6.25</v>
      </c>
      <c r="K351" s="591"/>
      <c r="L351" s="6"/>
      <c r="M351" s="9">
        <v>12000.0</v>
      </c>
      <c r="N351" s="79">
        <f t="shared" si="10"/>
        <v>4146000</v>
      </c>
      <c r="O351" s="6">
        <f t="shared" si="2"/>
        <v>2413607.957</v>
      </c>
      <c r="P351" s="6"/>
      <c r="Q351" s="6">
        <f t="shared" si="11"/>
        <v>15505.28993</v>
      </c>
      <c r="R351" s="6">
        <f t="shared" si="12"/>
        <v>2413607.957</v>
      </c>
      <c r="S351" s="81">
        <f t="shared" si="3"/>
        <v>271.9680707</v>
      </c>
      <c r="T351" s="6"/>
      <c r="U351" s="6"/>
      <c r="V351" s="6"/>
      <c r="W351" s="6"/>
      <c r="X351" s="6"/>
    </row>
    <row r="352" ht="11.25" customHeight="1">
      <c r="A352" s="7"/>
      <c r="B352" s="68">
        <f t="shared" si="13"/>
        <v>347</v>
      </c>
      <c r="C352" s="607">
        <v>10600.0</v>
      </c>
      <c r="D352" s="6">
        <f t="shared" si="14"/>
        <v>-6033.473735</v>
      </c>
      <c r="E352" s="6">
        <f t="shared" si="1"/>
        <v>16633.47374</v>
      </c>
      <c r="F352" s="6">
        <f t="shared" si="6"/>
        <v>2796773.431</v>
      </c>
      <c r="G352" s="6">
        <f t="shared" si="7"/>
        <v>881426.5691</v>
      </c>
      <c r="H352" s="6">
        <f t="shared" si="8"/>
        <v>3678200</v>
      </c>
      <c r="I352" s="6">
        <f t="shared" si="9"/>
        <v>-1175060.431</v>
      </c>
      <c r="J352" s="620">
        <v>6.25</v>
      </c>
      <c r="K352" s="591"/>
      <c r="L352" s="6"/>
      <c r="M352" s="9">
        <v>12000.0</v>
      </c>
      <c r="N352" s="79">
        <f t="shared" si="10"/>
        <v>4158000</v>
      </c>
      <c r="O352" s="6">
        <f t="shared" si="2"/>
        <v>2429199.431</v>
      </c>
      <c r="P352" s="6"/>
      <c r="Q352" s="6">
        <f t="shared" si="11"/>
        <v>15591.47374</v>
      </c>
      <c r="R352" s="6">
        <f t="shared" si="12"/>
        <v>2429199.431</v>
      </c>
      <c r="S352" s="81">
        <f t="shared" si="3"/>
        <v>275.5986166</v>
      </c>
      <c r="T352" s="6"/>
      <c r="U352" s="6"/>
      <c r="V352" s="6"/>
      <c r="W352" s="6"/>
      <c r="X352" s="6"/>
    </row>
    <row r="353" ht="11.25" customHeight="1">
      <c r="A353" s="71"/>
      <c r="B353" s="72">
        <f t="shared" si="13"/>
        <v>348</v>
      </c>
      <c r="C353" s="607">
        <v>10600.0</v>
      </c>
      <c r="D353" s="10">
        <f t="shared" si="14"/>
        <v>-6120.106411</v>
      </c>
      <c r="E353" s="10">
        <f t="shared" si="1"/>
        <v>16720.10641</v>
      </c>
      <c r="F353" s="10">
        <f t="shared" si="6"/>
        <v>2813493.537</v>
      </c>
      <c r="G353" s="10">
        <f t="shared" si="7"/>
        <v>875306.4627</v>
      </c>
      <c r="H353" s="10">
        <f t="shared" si="8"/>
        <v>3688800</v>
      </c>
      <c r="I353" s="10">
        <f t="shared" si="9"/>
        <v>-1191780.537</v>
      </c>
      <c r="J353" s="620">
        <v>6.25</v>
      </c>
      <c r="K353" s="591"/>
      <c r="L353" s="6"/>
      <c r="M353" s="9">
        <v>12000.0</v>
      </c>
      <c r="N353" s="79">
        <f t="shared" si="10"/>
        <v>4170000</v>
      </c>
      <c r="O353" s="6">
        <f t="shared" si="2"/>
        <v>2444877.537</v>
      </c>
      <c r="P353" s="6"/>
      <c r="Q353" s="6">
        <f t="shared" si="11"/>
        <v>15678.10641</v>
      </c>
      <c r="R353" s="6">
        <f t="shared" si="12"/>
        <v>2444877.537</v>
      </c>
      <c r="S353" s="81">
        <f t="shared" si="3"/>
        <v>279.3167469</v>
      </c>
      <c r="T353" s="6"/>
      <c r="U353" s="6"/>
      <c r="V353" s="6"/>
      <c r="W353" s="6"/>
      <c r="X353" s="6"/>
    </row>
    <row r="354" ht="11.25" customHeight="1">
      <c r="A354" s="7">
        <v>30.0</v>
      </c>
      <c r="B354" s="68">
        <f t="shared" si="13"/>
        <v>349</v>
      </c>
      <c r="C354" s="607">
        <v>10600.0</v>
      </c>
      <c r="D354" s="6">
        <f t="shared" si="14"/>
        <v>-6207.190299</v>
      </c>
      <c r="E354" s="6">
        <f t="shared" si="1"/>
        <v>16807.1903</v>
      </c>
      <c r="F354" s="6">
        <f t="shared" si="6"/>
        <v>2830300.728</v>
      </c>
      <c r="G354" s="6">
        <f t="shared" si="7"/>
        <v>869099.2724</v>
      </c>
      <c r="H354" s="6">
        <f t="shared" si="8"/>
        <v>3699400</v>
      </c>
      <c r="I354" s="6">
        <f t="shared" si="9"/>
        <v>-1208587.728</v>
      </c>
      <c r="J354" s="620">
        <v>6.25</v>
      </c>
      <c r="K354" s="591"/>
      <c r="L354" s="6"/>
      <c r="M354" s="9">
        <v>12000.0</v>
      </c>
      <c r="N354" s="79">
        <f t="shared" si="10"/>
        <v>4182000</v>
      </c>
      <c r="O354" s="6">
        <f t="shared" si="2"/>
        <v>2460642.728</v>
      </c>
      <c r="P354" s="6"/>
      <c r="Q354" s="6">
        <f t="shared" si="11"/>
        <v>15765.1903</v>
      </c>
      <c r="R354" s="6">
        <f t="shared" si="12"/>
        <v>2460642.728</v>
      </c>
      <c r="S354" s="81">
        <f t="shared" si="3"/>
        <v>283.1256228</v>
      </c>
      <c r="T354" s="6"/>
      <c r="U354" s="6"/>
      <c r="V354" s="6"/>
      <c r="W354" s="6"/>
      <c r="X354" s="6"/>
    </row>
    <row r="355" ht="11.25" customHeight="1">
      <c r="A355" s="7"/>
      <c r="B355" s="68">
        <f t="shared" si="13"/>
        <v>350</v>
      </c>
      <c r="C355" s="607">
        <v>10600.0</v>
      </c>
      <c r="D355" s="6">
        <f t="shared" si="14"/>
        <v>-6294.727748</v>
      </c>
      <c r="E355" s="6">
        <f t="shared" si="1"/>
        <v>16894.72775</v>
      </c>
      <c r="F355" s="6">
        <f t="shared" si="6"/>
        <v>2847195.455</v>
      </c>
      <c r="G355" s="6">
        <f t="shared" si="7"/>
        <v>862804.5446</v>
      </c>
      <c r="H355" s="6">
        <f t="shared" si="8"/>
        <v>3710000</v>
      </c>
      <c r="I355" s="6">
        <f t="shared" si="9"/>
        <v>-1225482.455</v>
      </c>
      <c r="J355" s="620">
        <v>6.25</v>
      </c>
      <c r="K355" s="591"/>
      <c r="L355" s="6"/>
      <c r="M355" s="9">
        <v>12000.0</v>
      </c>
      <c r="N355" s="79">
        <f t="shared" si="10"/>
        <v>4194000</v>
      </c>
      <c r="O355" s="6">
        <f t="shared" si="2"/>
        <v>2476495.455</v>
      </c>
      <c r="P355" s="6"/>
      <c r="Q355" s="6">
        <f t="shared" si="11"/>
        <v>15852.72775</v>
      </c>
      <c r="R355" s="6">
        <f t="shared" si="12"/>
        <v>2476495.455</v>
      </c>
      <c r="S355" s="81">
        <f t="shared" si="3"/>
        <v>287.0285595</v>
      </c>
      <c r="T355" s="6"/>
      <c r="U355" s="6"/>
      <c r="V355" s="6"/>
      <c r="W355" s="6"/>
      <c r="X355" s="6"/>
    </row>
    <row r="356" ht="11.25" customHeight="1">
      <c r="A356" s="7"/>
      <c r="B356" s="68">
        <f t="shared" si="13"/>
        <v>351</v>
      </c>
      <c r="C356" s="607">
        <v>10600.0</v>
      </c>
      <c r="D356" s="6">
        <f t="shared" si="14"/>
        <v>-6382.721122</v>
      </c>
      <c r="E356" s="6">
        <f t="shared" si="1"/>
        <v>16982.72112</v>
      </c>
      <c r="F356" s="6">
        <f t="shared" si="6"/>
        <v>2864178.176</v>
      </c>
      <c r="G356" s="6">
        <f t="shared" si="7"/>
        <v>856421.8235</v>
      </c>
      <c r="H356" s="6">
        <f t="shared" si="8"/>
        <v>3720600</v>
      </c>
      <c r="I356" s="6">
        <f t="shared" si="9"/>
        <v>-1242465.176</v>
      </c>
      <c r="J356" s="620">
        <v>6.25</v>
      </c>
      <c r="K356" s="591"/>
      <c r="L356" s="6"/>
      <c r="M356" s="9">
        <v>12000.0</v>
      </c>
      <c r="N356" s="79">
        <f t="shared" si="10"/>
        <v>4206000</v>
      </c>
      <c r="O356" s="6">
        <f t="shared" si="2"/>
        <v>2492436.176</v>
      </c>
      <c r="P356" s="6"/>
      <c r="Q356" s="6">
        <f t="shared" si="11"/>
        <v>15940.72112</v>
      </c>
      <c r="R356" s="6">
        <f t="shared" si="12"/>
        <v>2492436.176</v>
      </c>
      <c r="S356" s="81">
        <f t="shared" si="3"/>
        <v>291.0290359</v>
      </c>
      <c r="T356" s="6"/>
      <c r="U356" s="6"/>
      <c r="V356" s="6"/>
      <c r="W356" s="6"/>
      <c r="X356" s="6"/>
    </row>
    <row r="357" ht="11.25" customHeight="1">
      <c r="A357" s="7"/>
      <c r="B357" s="68">
        <f t="shared" si="13"/>
        <v>352</v>
      </c>
      <c r="C357" s="607">
        <v>10600.0</v>
      </c>
      <c r="D357" s="6">
        <f t="shared" si="14"/>
        <v>-6471.172794</v>
      </c>
      <c r="E357" s="6">
        <f t="shared" si="1"/>
        <v>17071.17279</v>
      </c>
      <c r="F357" s="6">
        <f t="shared" si="6"/>
        <v>2881249.349</v>
      </c>
      <c r="G357" s="6">
        <f t="shared" si="7"/>
        <v>849950.6507</v>
      </c>
      <c r="H357" s="6">
        <f t="shared" si="8"/>
        <v>3731200</v>
      </c>
      <c r="I357" s="6">
        <f t="shared" si="9"/>
        <v>-1259536.349</v>
      </c>
      <c r="J357" s="620">
        <v>6.25</v>
      </c>
      <c r="K357" s="591"/>
      <c r="L357" s="6"/>
      <c r="M357" s="9">
        <v>12000.0</v>
      </c>
      <c r="N357" s="79">
        <f t="shared" si="10"/>
        <v>4218000</v>
      </c>
      <c r="O357" s="6">
        <f t="shared" si="2"/>
        <v>2508465.349</v>
      </c>
      <c r="P357" s="6"/>
      <c r="Q357" s="6">
        <f t="shared" si="11"/>
        <v>16029.17279</v>
      </c>
      <c r="R357" s="6">
        <f t="shared" si="12"/>
        <v>2508465.349</v>
      </c>
      <c r="S357" s="81">
        <f t="shared" si="3"/>
        <v>295.1307052</v>
      </c>
      <c r="T357" s="6"/>
      <c r="U357" s="6"/>
      <c r="V357" s="6"/>
      <c r="W357" s="6"/>
      <c r="X357" s="6"/>
    </row>
    <row r="358" ht="11.25" customHeight="1">
      <c r="A358" s="7"/>
      <c r="B358" s="68">
        <f t="shared" si="13"/>
        <v>353</v>
      </c>
      <c r="C358" s="607">
        <v>10600.0</v>
      </c>
      <c r="D358" s="6">
        <f t="shared" si="14"/>
        <v>-6560.085152</v>
      </c>
      <c r="E358" s="6">
        <f t="shared" si="1"/>
        <v>17160.08515</v>
      </c>
      <c r="F358" s="6">
        <f t="shared" si="6"/>
        <v>2898409.434</v>
      </c>
      <c r="G358" s="6">
        <f t="shared" si="7"/>
        <v>843390.5656</v>
      </c>
      <c r="H358" s="6">
        <f t="shared" si="8"/>
        <v>3741800</v>
      </c>
      <c r="I358" s="6">
        <f t="shared" si="9"/>
        <v>-1276696.434</v>
      </c>
      <c r="J358" s="620">
        <v>6.25</v>
      </c>
      <c r="K358" s="591"/>
      <c r="L358" s="6"/>
      <c r="M358" s="9">
        <v>12000.0</v>
      </c>
      <c r="N358" s="79">
        <f t="shared" si="10"/>
        <v>4230000</v>
      </c>
      <c r="O358" s="6">
        <f t="shared" si="2"/>
        <v>2524583.434</v>
      </c>
      <c r="P358" s="6"/>
      <c r="Q358" s="6">
        <f t="shared" si="11"/>
        <v>16118.08515</v>
      </c>
      <c r="R358" s="6">
        <f t="shared" si="12"/>
        <v>2524583.434</v>
      </c>
      <c r="S358" s="81">
        <f t="shared" si="3"/>
        <v>299.3374052</v>
      </c>
      <c r="T358" s="6"/>
      <c r="U358" s="6"/>
      <c r="V358" s="6"/>
      <c r="W358" s="6"/>
      <c r="X358" s="6"/>
    </row>
    <row r="359" ht="11.25" customHeight="1">
      <c r="A359" s="7"/>
      <c r="B359" s="68">
        <f t="shared" si="13"/>
        <v>354</v>
      </c>
      <c r="C359" s="607">
        <v>10600.0</v>
      </c>
      <c r="D359" s="6">
        <f t="shared" si="14"/>
        <v>-6649.460596</v>
      </c>
      <c r="E359" s="6">
        <f t="shared" si="1"/>
        <v>17249.4606</v>
      </c>
      <c r="F359" s="6">
        <f t="shared" si="6"/>
        <v>2915658.895</v>
      </c>
      <c r="G359" s="6">
        <f t="shared" si="7"/>
        <v>836741.105</v>
      </c>
      <c r="H359" s="6">
        <f t="shared" si="8"/>
        <v>3752400</v>
      </c>
      <c r="I359" s="6">
        <f t="shared" si="9"/>
        <v>-1293945.895</v>
      </c>
      <c r="J359" s="620">
        <v>6.25</v>
      </c>
      <c r="K359" s="591"/>
      <c r="L359" s="6"/>
      <c r="M359" s="9">
        <v>12000.0</v>
      </c>
      <c r="N359" s="79">
        <f t="shared" si="10"/>
        <v>4242000</v>
      </c>
      <c r="O359" s="6">
        <f t="shared" si="2"/>
        <v>2540790.895</v>
      </c>
      <c r="P359" s="6"/>
      <c r="Q359" s="6">
        <f t="shared" si="11"/>
        <v>16207.4606</v>
      </c>
      <c r="R359" s="6">
        <f t="shared" si="12"/>
        <v>2540790.895</v>
      </c>
      <c r="S359" s="81">
        <f t="shared" si="3"/>
        <v>303.6531706</v>
      </c>
      <c r="T359" s="6"/>
      <c r="U359" s="6"/>
      <c r="V359" s="6"/>
      <c r="W359" s="6"/>
      <c r="X359" s="6"/>
    </row>
    <row r="360" ht="11.25" customHeight="1">
      <c r="A360" s="7"/>
      <c r="B360" s="68">
        <f t="shared" si="13"/>
        <v>355</v>
      </c>
      <c r="C360" s="607">
        <v>10600.0</v>
      </c>
      <c r="D360" s="6">
        <f t="shared" si="14"/>
        <v>-6739.301537</v>
      </c>
      <c r="E360" s="6">
        <f t="shared" si="1"/>
        <v>17339.30154</v>
      </c>
      <c r="F360" s="6">
        <f t="shared" si="6"/>
        <v>2932998.197</v>
      </c>
      <c r="G360" s="6">
        <f t="shared" si="7"/>
        <v>830001.8034</v>
      </c>
      <c r="H360" s="6">
        <f t="shared" si="8"/>
        <v>3763000</v>
      </c>
      <c r="I360" s="6">
        <f t="shared" si="9"/>
        <v>-1311285.197</v>
      </c>
      <c r="J360" s="620">
        <v>6.25</v>
      </c>
      <c r="K360" s="591"/>
      <c r="L360" s="6"/>
      <c r="M360" s="9">
        <v>12000.0</v>
      </c>
      <c r="N360" s="79">
        <f t="shared" si="10"/>
        <v>4254000</v>
      </c>
      <c r="O360" s="6">
        <f t="shared" si="2"/>
        <v>2557088.197</v>
      </c>
      <c r="P360" s="6"/>
      <c r="Q360" s="6">
        <f t="shared" si="11"/>
        <v>16297.30154</v>
      </c>
      <c r="R360" s="6">
        <f t="shared" si="12"/>
        <v>2557088.197</v>
      </c>
      <c r="S360" s="81">
        <f t="shared" si="3"/>
        <v>308.0822458</v>
      </c>
      <c r="T360" s="6"/>
      <c r="U360" s="6"/>
      <c r="V360" s="6"/>
      <c r="W360" s="6"/>
      <c r="X360" s="6"/>
    </row>
    <row r="361" ht="11.25" customHeight="1">
      <c r="A361" s="7"/>
      <c r="B361" s="68">
        <f t="shared" si="13"/>
        <v>356</v>
      </c>
      <c r="C361" s="607">
        <v>10600.0</v>
      </c>
      <c r="D361" s="6">
        <f t="shared" si="14"/>
        <v>-6829.610399</v>
      </c>
      <c r="E361" s="6">
        <f t="shared" si="1"/>
        <v>17429.6104</v>
      </c>
      <c r="F361" s="6">
        <f t="shared" si="6"/>
        <v>2950427.807</v>
      </c>
      <c r="G361" s="6">
        <f t="shared" si="7"/>
        <v>823172.193</v>
      </c>
      <c r="H361" s="6">
        <f t="shared" si="8"/>
        <v>3773600</v>
      </c>
      <c r="I361" s="6">
        <f t="shared" si="9"/>
        <v>-1328714.807</v>
      </c>
      <c r="J361" s="620">
        <v>6.25</v>
      </c>
      <c r="K361" s="591"/>
      <c r="L361" s="6"/>
      <c r="M361" s="9">
        <v>12000.0</v>
      </c>
      <c r="N361" s="79">
        <f t="shared" si="10"/>
        <v>4266000</v>
      </c>
      <c r="O361" s="6">
        <f t="shared" si="2"/>
        <v>2573475.807</v>
      </c>
      <c r="P361" s="6"/>
      <c r="Q361" s="6">
        <f t="shared" si="11"/>
        <v>16387.6104</v>
      </c>
      <c r="R361" s="6">
        <f t="shared" si="12"/>
        <v>2573475.807</v>
      </c>
      <c r="S361" s="81">
        <f t="shared" si="3"/>
        <v>312.6290986</v>
      </c>
      <c r="T361" s="6"/>
      <c r="U361" s="6"/>
      <c r="V361" s="6"/>
      <c r="W361" s="6"/>
      <c r="X361" s="6"/>
    </row>
    <row r="362" ht="11.25" customHeight="1">
      <c r="A362" s="7"/>
      <c r="B362" s="68">
        <f t="shared" si="13"/>
        <v>357</v>
      </c>
      <c r="C362" s="607">
        <v>10600.0</v>
      </c>
      <c r="D362" s="6">
        <f t="shared" si="14"/>
        <v>-6920.38962</v>
      </c>
      <c r="E362" s="6">
        <f t="shared" si="1"/>
        <v>17520.38962</v>
      </c>
      <c r="F362" s="6">
        <f t="shared" si="6"/>
        <v>2967948.197</v>
      </c>
      <c r="G362" s="6">
        <f t="shared" si="7"/>
        <v>816251.8034</v>
      </c>
      <c r="H362" s="6">
        <f t="shared" si="8"/>
        <v>3784200</v>
      </c>
      <c r="I362" s="6">
        <f t="shared" si="9"/>
        <v>-1346235.197</v>
      </c>
      <c r="J362" s="620">
        <v>6.25</v>
      </c>
      <c r="K362" s="591"/>
      <c r="L362" s="6"/>
      <c r="M362" s="9">
        <v>12000.0</v>
      </c>
      <c r="N362" s="79">
        <f t="shared" si="10"/>
        <v>4278000</v>
      </c>
      <c r="O362" s="6">
        <f t="shared" si="2"/>
        <v>2589954.197</v>
      </c>
      <c r="P362" s="6"/>
      <c r="Q362" s="6">
        <f t="shared" si="11"/>
        <v>16478.38962</v>
      </c>
      <c r="R362" s="6">
        <f t="shared" si="12"/>
        <v>2589954.197</v>
      </c>
      <c r="S362" s="81">
        <f t="shared" si="3"/>
        <v>317.2984348</v>
      </c>
      <c r="T362" s="6"/>
      <c r="U362" s="6"/>
      <c r="V362" s="6"/>
      <c r="W362" s="6"/>
      <c r="X362" s="6"/>
    </row>
    <row r="363" ht="11.25" customHeight="1">
      <c r="A363" s="7"/>
      <c r="B363" s="68">
        <f t="shared" si="13"/>
        <v>358</v>
      </c>
      <c r="C363" s="607">
        <v>10600.0</v>
      </c>
      <c r="D363" s="6">
        <f t="shared" si="14"/>
        <v>-7011.641649</v>
      </c>
      <c r="E363" s="6">
        <f t="shared" si="1"/>
        <v>17611.64165</v>
      </c>
      <c r="F363" s="6">
        <f t="shared" si="6"/>
        <v>2985559.838</v>
      </c>
      <c r="G363" s="6">
        <f t="shared" si="7"/>
        <v>809240.1618</v>
      </c>
      <c r="H363" s="6">
        <f t="shared" si="8"/>
        <v>3794800</v>
      </c>
      <c r="I363" s="6">
        <f t="shared" si="9"/>
        <v>-1363846.838</v>
      </c>
      <c r="J363" s="620">
        <v>6.25</v>
      </c>
      <c r="K363" s="591"/>
      <c r="L363" s="6"/>
      <c r="M363" s="9">
        <v>12000.0</v>
      </c>
      <c r="N363" s="79">
        <f t="shared" si="10"/>
        <v>4290000</v>
      </c>
      <c r="O363" s="6">
        <f t="shared" si="2"/>
        <v>2606523.838</v>
      </c>
      <c r="P363" s="6"/>
      <c r="Q363" s="6">
        <f t="shared" si="11"/>
        <v>16569.64165</v>
      </c>
      <c r="R363" s="6">
        <f t="shared" si="12"/>
        <v>2606523.838</v>
      </c>
      <c r="S363" s="81">
        <f t="shared" si="3"/>
        <v>322.0952149</v>
      </c>
      <c r="T363" s="6"/>
      <c r="U363" s="6"/>
      <c r="V363" s="6"/>
      <c r="W363" s="6"/>
      <c r="X363" s="6"/>
    </row>
    <row r="364" ht="11.25" customHeight="1">
      <c r="A364" s="7"/>
      <c r="B364" s="68">
        <f t="shared" si="13"/>
        <v>359</v>
      </c>
      <c r="C364" s="607">
        <v>10600.0</v>
      </c>
      <c r="D364" s="6">
        <f t="shared" si="14"/>
        <v>-7103.368949</v>
      </c>
      <c r="E364" s="6">
        <f t="shared" si="1"/>
        <v>17703.36895</v>
      </c>
      <c r="F364" s="6">
        <f t="shared" si="6"/>
        <v>3003263.207</v>
      </c>
      <c r="G364" s="6">
        <f t="shared" si="7"/>
        <v>802136.7928</v>
      </c>
      <c r="H364" s="6">
        <f t="shared" si="8"/>
        <v>3805400</v>
      </c>
      <c r="I364" s="6">
        <f t="shared" si="9"/>
        <v>-1381550.207</v>
      </c>
      <c r="J364" s="620">
        <v>6.25</v>
      </c>
      <c r="K364" s="591"/>
      <c r="L364" s="6"/>
      <c r="M364" s="9">
        <v>12000.0</v>
      </c>
      <c r="N364" s="79">
        <f t="shared" si="10"/>
        <v>4302000</v>
      </c>
      <c r="O364" s="6">
        <f t="shared" si="2"/>
        <v>2623185.207</v>
      </c>
      <c r="P364" s="6"/>
      <c r="Q364" s="6">
        <f t="shared" si="11"/>
        <v>16661.36895</v>
      </c>
      <c r="R364" s="6">
        <f t="shared" si="12"/>
        <v>2623185.207</v>
      </c>
      <c r="S364" s="81">
        <f t="shared" si="3"/>
        <v>327.0246709</v>
      </c>
      <c r="T364" s="6"/>
      <c r="U364" s="6"/>
      <c r="V364" s="6"/>
      <c r="W364" s="6"/>
      <c r="X364" s="6"/>
    </row>
    <row r="365" ht="12.0" customHeight="1">
      <c r="A365" s="7"/>
      <c r="B365" s="106">
        <f t="shared" si="13"/>
        <v>360</v>
      </c>
      <c r="C365" s="607">
        <v>10600.0</v>
      </c>
      <c r="D365" s="113">
        <f t="shared" si="14"/>
        <v>-7195.573996</v>
      </c>
      <c r="E365" s="113">
        <f t="shared" si="1"/>
        <v>17795.574</v>
      </c>
      <c r="F365" s="113">
        <f t="shared" si="6"/>
        <v>3021058.781</v>
      </c>
      <c r="G365" s="113">
        <f t="shared" si="7"/>
        <v>794941.2188</v>
      </c>
      <c r="H365" s="113">
        <f t="shared" si="8"/>
        <v>3816000</v>
      </c>
      <c r="I365" s="113">
        <f t="shared" si="9"/>
        <v>-1399345.781</v>
      </c>
      <c r="J365" s="620">
        <v>6.25</v>
      </c>
      <c r="K365" s="591"/>
      <c r="L365" s="6"/>
      <c r="M365" s="9">
        <v>12000.0</v>
      </c>
      <c r="N365" s="79">
        <f t="shared" si="10"/>
        <v>4314000</v>
      </c>
      <c r="O365" s="6">
        <f t="shared" si="2"/>
        <v>2639938.781</v>
      </c>
      <c r="P365" s="6"/>
      <c r="Q365" s="6">
        <f t="shared" si="11"/>
        <v>16753.574</v>
      </c>
      <c r="R365" s="6">
        <f t="shared" si="12"/>
        <v>2639938.781</v>
      </c>
      <c r="S365" s="81">
        <f t="shared" si="3"/>
        <v>332.0923257</v>
      </c>
      <c r="T365" s="6"/>
      <c r="U365" s="6"/>
      <c r="V365" s="6"/>
      <c r="W365" s="6"/>
      <c r="X365" s="6"/>
    </row>
    <row r="366" ht="11.25" customHeight="1">
      <c r="A366" s="7"/>
      <c r="B366" s="5"/>
      <c r="C366" s="6"/>
      <c r="D366" s="6"/>
      <c r="E366" s="6"/>
      <c r="F366" s="6"/>
      <c r="G366" s="6"/>
      <c r="H366" s="6"/>
      <c r="I366" s="6"/>
      <c r="J366" s="11"/>
      <c r="K366" s="591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 ht="11.25" customHeight="1">
      <c r="A367" s="7"/>
      <c r="B367" s="5"/>
      <c r="C367" s="6"/>
      <c r="D367" s="6"/>
      <c r="E367" s="6"/>
      <c r="F367" s="6"/>
      <c r="G367" s="6"/>
      <c r="H367" s="6"/>
      <c r="I367" s="6"/>
      <c r="J367" s="11"/>
      <c r="K367" s="591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 ht="11.25" customHeight="1">
      <c r="A368" s="7"/>
      <c r="B368" s="5"/>
      <c r="C368" s="6"/>
      <c r="D368" s="6"/>
      <c r="E368" s="6"/>
      <c r="F368" s="6"/>
      <c r="G368" s="6"/>
      <c r="H368" s="6"/>
      <c r="I368" s="6"/>
      <c r="J368" s="11"/>
      <c r="K368" s="591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 ht="11.25" customHeight="1">
      <c r="A369" s="7"/>
      <c r="B369" s="5"/>
      <c r="C369" s="6"/>
      <c r="D369" s="6"/>
      <c r="E369" s="6"/>
      <c r="F369" s="6"/>
      <c r="G369" s="6"/>
      <c r="H369" s="6"/>
      <c r="I369" s="6"/>
      <c r="J369" s="11"/>
      <c r="K369" s="591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 ht="11.25" customHeight="1">
      <c r="A370" s="7"/>
      <c r="B370" s="5"/>
      <c r="C370" s="6"/>
      <c r="D370" s="6"/>
      <c r="E370" s="6"/>
      <c r="F370" s="6"/>
      <c r="G370" s="6"/>
      <c r="H370" s="6"/>
      <c r="I370" s="6"/>
      <c r="J370" s="11"/>
      <c r="K370" s="591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 ht="11.25" customHeight="1">
      <c r="A371" s="7"/>
      <c r="B371" s="5"/>
      <c r="C371" s="6"/>
      <c r="D371" s="6"/>
      <c r="E371" s="6"/>
      <c r="F371" s="6"/>
      <c r="G371" s="6"/>
      <c r="H371" s="6"/>
      <c r="I371" s="6"/>
      <c r="J371" s="11"/>
      <c r="K371" s="591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 ht="11.25" customHeight="1">
      <c r="A372" s="7"/>
      <c r="B372" s="5"/>
      <c r="C372" s="6"/>
      <c r="D372" s="6"/>
      <c r="E372" s="6"/>
      <c r="F372" s="6"/>
      <c r="G372" s="6"/>
      <c r="H372" s="6"/>
      <c r="I372" s="6"/>
      <c r="J372" s="11"/>
      <c r="K372" s="591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 ht="11.25" customHeight="1">
      <c r="A373" s="7"/>
      <c r="B373" s="5"/>
      <c r="C373" s="6"/>
      <c r="D373" s="6"/>
      <c r="E373" s="6"/>
      <c r="F373" s="6"/>
      <c r="G373" s="6"/>
      <c r="H373" s="6"/>
      <c r="I373" s="6"/>
      <c r="J373" s="11"/>
      <c r="K373" s="591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 ht="11.25" customHeight="1">
      <c r="A374" s="7"/>
      <c r="B374" s="5"/>
      <c r="C374" s="6"/>
      <c r="D374" s="6"/>
      <c r="E374" s="6"/>
      <c r="F374" s="6"/>
      <c r="G374" s="6"/>
      <c r="H374" s="6"/>
      <c r="I374" s="6"/>
      <c r="J374" s="11"/>
      <c r="K374" s="591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 ht="11.25" customHeight="1">
      <c r="A375" s="7"/>
      <c r="B375" s="5"/>
      <c r="C375" s="6"/>
      <c r="D375" s="6"/>
      <c r="E375" s="6"/>
      <c r="F375" s="6"/>
      <c r="G375" s="6"/>
      <c r="H375" s="6"/>
      <c r="I375" s="6"/>
      <c r="J375" s="11"/>
      <c r="K375" s="591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 ht="11.25" customHeight="1">
      <c r="A376" s="7"/>
      <c r="B376" s="5"/>
      <c r="C376" s="6"/>
      <c r="D376" s="6"/>
      <c r="E376" s="6"/>
      <c r="F376" s="6"/>
      <c r="G376" s="6"/>
      <c r="H376" s="6"/>
      <c r="I376" s="6"/>
      <c r="J376" s="11"/>
      <c r="K376" s="591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 ht="11.25" customHeight="1">
      <c r="A377" s="7"/>
      <c r="B377" s="5"/>
      <c r="C377" s="6"/>
      <c r="D377" s="6"/>
      <c r="E377" s="6"/>
      <c r="F377" s="6"/>
      <c r="G377" s="6"/>
      <c r="H377" s="6"/>
      <c r="I377" s="6"/>
      <c r="J377" s="11"/>
      <c r="K377" s="591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 ht="11.25" customHeight="1">
      <c r="A378" s="7"/>
      <c r="B378" s="5"/>
      <c r="C378" s="6"/>
      <c r="D378" s="6"/>
      <c r="E378" s="6"/>
      <c r="F378" s="6"/>
      <c r="G378" s="6"/>
      <c r="H378" s="6"/>
      <c r="I378" s="6"/>
      <c r="J378" s="11"/>
      <c r="K378" s="591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 ht="11.25" customHeight="1">
      <c r="A379" s="7"/>
      <c r="B379" s="5"/>
      <c r="C379" s="6"/>
      <c r="D379" s="6"/>
      <c r="E379" s="6"/>
      <c r="F379" s="6"/>
      <c r="G379" s="6"/>
      <c r="H379" s="6"/>
      <c r="I379" s="6"/>
      <c r="J379" s="11"/>
      <c r="K379" s="591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 ht="11.25" customHeight="1">
      <c r="A380" s="7"/>
      <c r="B380" s="5"/>
      <c r="C380" s="6"/>
      <c r="D380" s="6"/>
      <c r="E380" s="6"/>
      <c r="F380" s="6"/>
      <c r="G380" s="6"/>
      <c r="H380" s="6"/>
      <c r="I380" s="6"/>
      <c r="J380" s="11"/>
      <c r="K380" s="591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 ht="11.25" customHeight="1">
      <c r="A381" s="7"/>
      <c r="B381" s="5"/>
      <c r="C381" s="6"/>
      <c r="D381" s="6"/>
      <c r="E381" s="6"/>
      <c r="F381" s="6"/>
      <c r="G381" s="6"/>
      <c r="H381" s="6"/>
      <c r="I381" s="6"/>
      <c r="J381" s="11"/>
      <c r="K381" s="591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 ht="11.25" customHeight="1">
      <c r="A382" s="7"/>
      <c r="B382" s="5"/>
      <c r="C382" s="6"/>
      <c r="D382" s="6"/>
      <c r="E382" s="6"/>
      <c r="F382" s="6"/>
      <c r="G382" s="6"/>
      <c r="H382" s="6"/>
      <c r="I382" s="6"/>
      <c r="J382" s="11"/>
      <c r="K382" s="591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 ht="11.25" customHeight="1">
      <c r="A383" s="7"/>
      <c r="B383" s="5"/>
      <c r="C383" s="6"/>
      <c r="D383" s="6"/>
      <c r="E383" s="6"/>
      <c r="F383" s="6"/>
      <c r="G383" s="6"/>
      <c r="H383" s="6"/>
      <c r="I383" s="6"/>
      <c r="J383" s="11"/>
      <c r="K383" s="591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 ht="11.25" customHeight="1">
      <c r="A384" s="7"/>
      <c r="B384" s="5"/>
      <c r="C384" s="6"/>
      <c r="D384" s="6"/>
      <c r="E384" s="6"/>
      <c r="F384" s="6"/>
      <c r="G384" s="6"/>
      <c r="H384" s="6"/>
      <c r="I384" s="6"/>
      <c r="J384" s="11"/>
      <c r="K384" s="591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 ht="11.25" customHeight="1">
      <c r="A385" s="7"/>
      <c r="B385" s="5"/>
      <c r="C385" s="6"/>
      <c r="D385" s="6"/>
      <c r="E385" s="6"/>
      <c r="F385" s="6"/>
      <c r="G385" s="6"/>
      <c r="H385" s="6"/>
      <c r="I385" s="6"/>
      <c r="J385" s="11"/>
      <c r="K385" s="591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 ht="11.25" customHeight="1">
      <c r="A386" s="7"/>
      <c r="B386" s="5"/>
      <c r="C386" s="6"/>
      <c r="D386" s="6"/>
      <c r="E386" s="6"/>
      <c r="F386" s="6"/>
      <c r="G386" s="6"/>
      <c r="H386" s="6"/>
      <c r="I386" s="6"/>
      <c r="J386" s="11"/>
      <c r="K386" s="591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 ht="11.25" customHeight="1">
      <c r="A387" s="7"/>
      <c r="B387" s="5"/>
      <c r="C387" s="6"/>
      <c r="D387" s="6"/>
      <c r="E387" s="6"/>
      <c r="F387" s="6"/>
      <c r="G387" s="6"/>
      <c r="H387" s="6"/>
      <c r="I387" s="6"/>
      <c r="J387" s="11"/>
      <c r="K387" s="591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 ht="11.25" customHeight="1">
      <c r="A388" s="7"/>
      <c r="B388" s="5"/>
      <c r="C388" s="6"/>
      <c r="D388" s="6"/>
      <c r="E388" s="6"/>
      <c r="F388" s="6"/>
      <c r="G388" s="6"/>
      <c r="H388" s="6"/>
      <c r="I388" s="6"/>
      <c r="J388" s="11"/>
      <c r="K388" s="591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 ht="11.25" customHeight="1">
      <c r="A389" s="7"/>
      <c r="B389" s="5"/>
      <c r="C389" s="6"/>
      <c r="D389" s="6"/>
      <c r="E389" s="6"/>
      <c r="F389" s="6"/>
      <c r="G389" s="6"/>
      <c r="H389" s="6"/>
      <c r="I389" s="6"/>
      <c r="J389" s="11"/>
      <c r="K389" s="591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 ht="11.25" customHeight="1">
      <c r="A390" s="7"/>
      <c r="B390" s="5"/>
      <c r="C390" s="6"/>
      <c r="D390" s="6"/>
      <c r="E390" s="6"/>
      <c r="F390" s="6"/>
      <c r="G390" s="6"/>
      <c r="H390" s="6"/>
      <c r="I390" s="6"/>
      <c r="J390" s="11"/>
      <c r="K390" s="591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 ht="11.25" customHeight="1">
      <c r="A391" s="7"/>
      <c r="B391" s="5"/>
      <c r="C391" s="6"/>
      <c r="D391" s="6"/>
      <c r="E391" s="6"/>
      <c r="F391" s="6"/>
      <c r="G391" s="6"/>
      <c r="H391" s="6"/>
      <c r="I391" s="6"/>
      <c r="J391" s="11"/>
      <c r="K391" s="591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 ht="11.25" customHeight="1">
      <c r="A392" s="7"/>
      <c r="B392" s="5"/>
      <c r="C392" s="6"/>
      <c r="D392" s="6"/>
      <c r="E392" s="6"/>
      <c r="F392" s="6"/>
      <c r="G392" s="6"/>
      <c r="H392" s="6"/>
      <c r="I392" s="6"/>
      <c r="J392" s="11"/>
      <c r="K392" s="591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 ht="11.25" customHeight="1">
      <c r="A393" s="7"/>
      <c r="B393" s="5"/>
      <c r="C393" s="6"/>
      <c r="D393" s="6"/>
      <c r="E393" s="6"/>
      <c r="F393" s="6"/>
      <c r="G393" s="6"/>
      <c r="H393" s="6"/>
      <c r="I393" s="6"/>
      <c r="J393" s="11"/>
      <c r="K393" s="591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 ht="11.25" customHeight="1">
      <c r="A394" s="7"/>
      <c r="B394" s="5"/>
      <c r="C394" s="6"/>
      <c r="D394" s="6"/>
      <c r="E394" s="6"/>
      <c r="F394" s="6"/>
      <c r="G394" s="6"/>
      <c r="H394" s="6"/>
      <c r="I394" s="6"/>
      <c r="J394" s="11"/>
      <c r="K394" s="591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 ht="11.25" customHeight="1">
      <c r="A395" s="7"/>
      <c r="B395" s="5"/>
      <c r="C395" s="6"/>
      <c r="D395" s="6"/>
      <c r="E395" s="6"/>
      <c r="F395" s="6"/>
      <c r="G395" s="6"/>
      <c r="H395" s="6"/>
      <c r="I395" s="6"/>
      <c r="J395" s="11"/>
      <c r="K395" s="591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 ht="11.25" customHeight="1">
      <c r="A396" s="7"/>
      <c r="B396" s="5"/>
      <c r="C396" s="6"/>
      <c r="D396" s="6"/>
      <c r="E396" s="6"/>
      <c r="F396" s="6"/>
      <c r="G396" s="6"/>
      <c r="H396" s="6"/>
      <c r="I396" s="6"/>
      <c r="J396" s="11"/>
      <c r="K396" s="591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 ht="11.25" customHeight="1">
      <c r="A397" s="7"/>
      <c r="B397" s="5"/>
      <c r="C397" s="6"/>
      <c r="D397" s="6"/>
      <c r="E397" s="6"/>
      <c r="F397" s="6"/>
      <c r="G397" s="6"/>
      <c r="H397" s="6"/>
      <c r="I397" s="6"/>
      <c r="J397" s="11"/>
      <c r="K397" s="591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 ht="11.25" customHeight="1">
      <c r="A398" s="7"/>
      <c r="B398" s="5"/>
      <c r="C398" s="6"/>
      <c r="D398" s="6"/>
      <c r="E398" s="6"/>
      <c r="F398" s="6"/>
      <c r="G398" s="6"/>
      <c r="H398" s="6"/>
      <c r="I398" s="6"/>
      <c r="J398" s="11"/>
      <c r="K398" s="591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 ht="11.25" customHeight="1">
      <c r="A399" s="7"/>
      <c r="B399" s="5"/>
      <c r="C399" s="6"/>
      <c r="D399" s="6"/>
      <c r="E399" s="6"/>
      <c r="F399" s="6"/>
      <c r="G399" s="6"/>
      <c r="H399" s="6"/>
      <c r="I399" s="6"/>
      <c r="J399" s="11"/>
      <c r="K399" s="591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 ht="11.25" customHeight="1">
      <c r="A400" s="7"/>
      <c r="B400" s="5"/>
      <c r="C400" s="6"/>
      <c r="D400" s="6"/>
      <c r="E400" s="6"/>
      <c r="F400" s="6"/>
      <c r="G400" s="6"/>
      <c r="H400" s="6"/>
      <c r="I400" s="6"/>
      <c r="J400" s="11"/>
      <c r="K400" s="591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 ht="11.25" customHeight="1">
      <c r="A401" s="7"/>
      <c r="B401" s="5"/>
      <c r="C401" s="6"/>
      <c r="D401" s="6"/>
      <c r="E401" s="6"/>
      <c r="F401" s="6"/>
      <c r="G401" s="6"/>
      <c r="H401" s="6"/>
      <c r="I401" s="6"/>
      <c r="J401" s="11"/>
      <c r="K401" s="591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 ht="11.25" customHeight="1">
      <c r="A402" s="7"/>
      <c r="B402" s="5"/>
      <c r="C402" s="6"/>
      <c r="D402" s="6"/>
      <c r="E402" s="6"/>
      <c r="F402" s="6"/>
      <c r="G402" s="6"/>
      <c r="H402" s="6"/>
      <c r="I402" s="6"/>
      <c r="J402" s="11"/>
      <c r="K402" s="591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 ht="11.25" customHeight="1">
      <c r="A403" s="7"/>
      <c r="B403" s="5"/>
      <c r="C403" s="6"/>
      <c r="D403" s="6"/>
      <c r="E403" s="6"/>
      <c r="F403" s="6"/>
      <c r="G403" s="6"/>
      <c r="H403" s="6"/>
      <c r="I403" s="6"/>
      <c r="J403" s="11"/>
      <c r="K403" s="591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 ht="11.25" customHeight="1">
      <c r="A404" s="7"/>
      <c r="B404" s="5"/>
      <c r="C404" s="6"/>
      <c r="D404" s="6"/>
      <c r="E404" s="6"/>
      <c r="F404" s="6"/>
      <c r="G404" s="6"/>
      <c r="H404" s="6"/>
      <c r="I404" s="6"/>
      <c r="J404" s="11"/>
      <c r="K404" s="591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 ht="11.25" customHeight="1">
      <c r="A405" s="7"/>
      <c r="B405" s="5"/>
      <c r="C405" s="6"/>
      <c r="D405" s="6"/>
      <c r="E405" s="6"/>
      <c r="F405" s="6"/>
      <c r="G405" s="6"/>
      <c r="H405" s="6"/>
      <c r="I405" s="6"/>
      <c r="J405" s="11"/>
      <c r="K405" s="591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 ht="11.25" customHeight="1">
      <c r="A406" s="7"/>
      <c r="B406" s="5"/>
      <c r="C406" s="6"/>
      <c r="D406" s="6"/>
      <c r="E406" s="6"/>
      <c r="F406" s="6"/>
      <c r="G406" s="6"/>
      <c r="H406" s="6"/>
      <c r="I406" s="6"/>
      <c r="J406" s="11"/>
      <c r="K406" s="591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 ht="11.25" customHeight="1">
      <c r="A407" s="7"/>
      <c r="B407" s="5"/>
      <c r="C407" s="6"/>
      <c r="D407" s="6"/>
      <c r="E407" s="6"/>
      <c r="F407" s="6"/>
      <c r="G407" s="6"/>
      <c r="H407" s="6"/>
      <c r="I407" s="6"/>
      <c r="J407" s="11"/>
      <c r="K407" s="591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 ht="11.25" customHeight="1">
      <c r="A408" s="7"/>
      <c r="B408" s="5"/>
      <c r="C408" s="6"/>
      <c r="D408" s="6"/>
      <c r="E408" s="6"/>
      <c r="F408" s="6"/>
      <c r="G408" s="6"/>
      <c r="H408" s="6"/>
      <c r="I408" s="6"/>
      <c r="J408" s="11"/>
      <c r="K408" s="591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 ht="11.25" customHeight="1">
      <c r="A409" s="7"/>
      <c r="B409" s="5"/>
      <c r="C409" s="6"/>
      <c r="D409" s="6"/>
      <c r="E409" s="6"/>
      <c r="F409" s="6"/>
      <c r="G409" s="6"/>
      <c r="H409" s="6"/>
      <c r="I409" s="6"/>
      <c r="J409" s="11"/>
      <c r="K409" s="591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 ht="11.25" customHeight="1">
      <c r="A410" s="7"/>
      <c r="B410" s="5"/>
      <c r="C410" s="6"/>
      <c r="D410" s="6"/>
      <c r="E410" s="6"/>
      <c r="F410" s="6"/>
      <c r="G410" s="6"/>
      <c r="H410" s="6"/>
      <c r="I410" s="6"/>
      <c r="J410" s="11"/>
      <c r="K410" s="591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 ht="11.25" customHeight="1">
      <c r="A411" s="7"/>
      <c r="B411" s="5"/>
      <c r="C411" s="6"/>
      <c r="D411" s="6"/>
      <c r="E411" s="6"/>
      <c r="F411" s="6"/>
      <c r="G411" s="6"/>
      <c r="H411" s="6"/>
      <c r="I411" s="6"/>
      <c r="J411" s="11"/>
      <c r="K411" s="591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 ht="11.25" customHeight="1">
      <c r="A412" s="7"/>
      <c r="B412" s="5"/>
      <c r="C412" s="6"/>
      <c r="D412" s="6"/>
      <c r="E412" s="6"/>
      <c r="F412" s="6"/>
      <c r="G412" s="6"/>
      <c r="H412" s="6"/>
      <c r="I412" s="6"/>
      <c r="J412" s="11"/>
      <c r="K412" s="591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 ht="11.25" customHeight="1">
      <c r="A413" s="7"/>
      <c r="B413" s="5"/>
      <c r="C413" s="6"/>
      <c r="D413" s="6"/>
      <c r="E413" s="6"/>
      <c r="F413" s="6"/>
      <c r="G413" s="6"/>
      <c r="H413" s="6"/>
      <c r="I413" s="6"/>
      <c r="J413" s="11"/>
      <c r="K413" s="591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 ht="11.25" customHeight="1">
      <c r="A414" s="7"/>
      <c r="B414" s="5"/>
      <c r="C414" s="6"/>
      <c r="D414" s="6"/>
      <c r="E414" s="6"/>
      <c r="F414" s="6"/>
      <c r="G414" s="6"/>
      <c r="H414" s="6"/>
      <c r="I414" s="6"/>
      <c r="J414" s="11"/>
      <c r="K414" s="591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 ht="11.25" customHeight="1">
      <c r="A415" s="7"/>
      <c r="B415" s="5"/>
      <c r="C415" s="6"/>
      <c r="D415" s="6"/>
      <c r="E415" s="6"/>
      <c r="F415" s="6"/>
      <c r="G415" s="6"/>
      <c r="H415" s="6"/>
      <c r="I415" s="6"/>
      <c r="J415" s="11"/>
      <c r="K415" s="591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 ht="11.25" customHeight="1">
      <c r="A416" s="7"/>
      <c r="B416" s="5"/>
      <c r="C416" s="6"/>
      <c r="D416" s="6"/>
      <c r="E416" s="6"/>
      <c r="F416" s="6"/>
      <c r="G416" s="6"/>
      <c r="H416" s="6"/>
      <c r="I416" s="6"/>
      <c r="J416" s="11"/>
      <c r="K416" s="591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 ht="11.25" customHeight="1">
      <c r="A417" s="7"/>
      <c r="B417" s="5"/>
      <c r="C417" s="6"/>
      <c r="D417" s="6"/>
      <c r="E417" s="6"/>
      <c r="F417" s="6"/>
      <c r="G417" s="6"/>
      <c r="H417" s="6"/>
      <c r="I417" s="6"/>
      <c r="J417" s="11"/>
      <c r="K417" s="591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 ht="11.25" customHeight="1">
      <c r="A418" s="7"/>
      <c r="B418" s="5"/>
      <c r="C418" s="6"/>
      <c r="D418" s="6"/>
      <c r="E418" s="6"/>
      <c r="F418" s="6"/>
      <c r="G418" s="6"/>
      <c r="H418" s="6"/>
      <c r="I418" s="6"/>
      <c r="J418" s="11"/>
      <c r="K418" s="591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 ht="11.25" customHeight="1">
      <c r="A419" s="7"/>
      <c r="B419" s="5"/>
      <c r="C419" s="6"/>
      <c r="D419" s="6"/>
      <c r="E419" s="6"/>
      <c r="F419" s="6"/>
      <c r="G419" s="6"/>
      <c r="H419" s="6"/>
      <c r="I419" s="6"/>
      <c r="J419" s="11"/>
      <c r="K419" s="591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 ht="11.25" customHeight="1">
      <c r="A420" s="7"/>
      <c r="B420" s="5"/>
      <c r="C420" s="6"/>
      <c r="D420" s="6"/>
      <c r="E420" s="6"/>
      <c r="F420" s="6"/>
      <c r="G420" s="6"/>
      <c r="H420" s="6"/>
      <c r="I420" s="6"/>
      <c r="J420" s="11"/>
      <c r="K420" s="591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 ht="11.25" customHeight="1">
      <c r="A421" s="7"/>
      <c r="B421" s="5"/>
      <c r="C421" s="6"/>
      <c r="D421" s="6"/>
      <c r="E421" s="6"/>
      <c r="F421" s="6"/>
      <c r="G421" s="6"/>
      <c r="H421" s="6"/>
      <c r="I421" s="6"/>
      <c r="J421" s="11"/>
      <c r="K421" s="591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 ht="11.25" customHeight="1">
      <c r="A422" s="7"/>
      <c r="B422" s="5"/>
      <c r="C422" s="6"/>
      <c r="D422" s="6"/>
      <c r="E422" s="6"/>
      <c r="F422" s="6"/>
      <c r="G422" s="6"/>
      <c r="H422" s="6"/>
      <c r="I422" s="6"/>
      <c r="J422" s="11"/>
      <c r="K422" s="591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 ht="11.25" customHeight="1">
      <c r="A423" s="7"/>
      <c r="B423" s="5"/>
      <c r="C423" s="6"/>
      <c r="D423" s="6"/>
      <c r="E423" s="6"/>
      <c r="F423" s="6"/>
      <c r="G423" s="6"/>
      <c r="H423" s="6"/>
      <c r="I423" s="6"/>
      <c r="J423" s="11"/>
      <c r="K423" s="591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 ht="11.25" customHeight="1">
      <c r="A424" s="7"/>
      <c r="B424" s="5"/>
      <c r="C424" s="6"/>
      <c r="D424" s="6"/>
      <c r="E424" s="6"/>
      <c r="F424" s="6"/>
      <c r="G424" s="6"/>
      <c r="H424" s="6"/>
      <c r="I424" s="6"/>
      <c r="J424" s="11"/>
      <c r="K424" s="591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 ht="11.25" customHeight="1">
      <c r="A425" s="7"/>
      <c r="B425" s="5"/>
      <c r="C425" s="6"/>
      <c r="D425" s="6"/>
      <c r="E425" s="6"/>
      <c r="F425" s="6"/>
      <c r="G425" s="6"/>
      <c r="H425" s="6"/>
      <c r="I425" s="6"/>
      <c r="J425" s="11"/>
      <c r="K425" s="591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 ht="11.25" customHeight="1">
      <c r="A426" s="7"/>
      <c r="B426" s="5"/>
      <c r="C426" s="6"/>
      <c r="D426" s="6"/>
      <c r="E426" s="6"/>
      <c r="F426" s="6"/>
      <c r="G426" s="6"/>
      <c r="H426" s="6"/>
      <c r="I426" s="6"/>
      <c r="J426" s="11"/>
      <c r="K426" s="591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 ht="11.25" customHeight="1">
      <c r="A427" s="7"/>
      <c r="B427" s="5"/>
      <c r="C427" s="6"/>
      <c r="D427" s="6"/>
      <c r="E427" s="6"/>
      <c r="F427" s="6"/>
      <c r="G427" s="6"/>
      <c r="H427" s="6"/>
      <c r="I427" s="6"/>
      <c r="J427" s="11"/>
      <c r="K427" s="591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 ht="11.25" customHeight="1">
      <c r="A428" s="7"/>
      <c r="B428" s="5"/>
      <c r="C428" s="6"/>
      <c r="D428" s="6"/>
      <c r="E428" s="6"/>
      <c r="F428" s="6"/>
      <c r="G428" s="6"/>
      <c r="H428" s="6"/>
      <c r="I428" s="6"/>
      <c r="J428" s="11"/>
      <c r="K428" s="591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 ht="11.25" customHeight="1">
      <c r="A429" s="7"/>
      <c r="B429" s="5"/>
      <c r="C429" s="6"/>
      <c r="D429" s="6"/>
      <c r="E429" s="6"/>
      <c r="F429" s="6"/>
      <c r="G429" s="6"/>
      <c r="H429" s="6"/>
      <c r="I429" s="6"/>
      <c r="J429" s="11"/>
      <c r="K429" s="591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 ht="11.25" customHeight="1">
      <c r="A430" s="7"/>
      <c r="B430" s="5"/>
      <c r="C430" s="6"/>
      <c r="D430" s="6"/>
      <c r="E430" s="6"/>
      <c r="F430" s="6"/>
      <c r="G430" s="6"/>
      <c r="H430" s="6"/>
      <c r="I430" s="6"/>
      <c r="J430" s="11"/>
      <c r="K430" s="591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 ht="11.25" customHeight="1">
      <c r="A431" s="7"/>
      <c r="B431" s="5"/>
      <c r="C431" s="6"/>
      <c r="D431" s="6"/>
      <c r="E431" s="6"/>
      <c r="F431" s="6"/>
      <c r="G431" s="6"/>
      <c r="H431" s="6"/>
      <c r="I431" s="6"/>
      <c r="J431" s="11"/>
      <c r="K431" s="591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 ht="11.25" customHeight="1">
      <c r="A432" s="7"/>
      <c r="B432" s="5"/>
      <c r="C432" s="6"/>
      <c r="D432" s="6"/>
      <c r="E432" s="6"/>
      <c r="F432" s="6"/>
      <c r="G432" s="6"/>
      <c r="H432" s="6"/>
      <c r="I432" s="6"/>
      <c r="J432" s="11"/>
      <c r="K432" s="591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 ht="11.25" customHeight="1">
      <c r="A433" s="7"/>
      <c r="B433" s="5"/>
      <c r="C433" s="6"/>
      <c r="D433" s="6"/>
      <c r="E433" s="6"/>
      <c r="F433" s="6"/>
      <c r="G433" s="6"/>
      <c r="H433" s="6"/>
      <c r="I433" s="6"/>
      <c r="J433" s="11"/>
      <c r="K433" s="591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 ht="11.25" customHeight="1">
      <c r="A434" s="7"/>
      <c r="B434" s="5"/>
      <c r="C434" s="6"/>
      <c r="D434" s="6"/>
      <c r="E434" s="6"/>
      <c r="F434" s="6"/>
      <c r="G434" s="6"/>
      <c r="H434" s="6"/>
      <c r="I434" s="6"/>
      <c r="J434" s="11"/>
      <c r="K434" s="591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 ht="11.25" customHeight="1">
      <c r="A435" s="7"/>
      <c r="B435" s="5"/>
      <c r="C435" s="6"/>
      <c r="D435" s="6"/>
      <c r="E435" s="6"/>
      <c r="F435" s="6"/>
      <c r="G435" s="6"/>
      <c r="H435" s="6"/>
      <c r="I435" s="6"/>
      <c r="J435" s="11"/>
      <c r="K435" s="591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 ht="11.25" customHeight="1">
      <c r="A436" s="7"/>
      <c r="B436" s="5"/>
      <c r="C436" s="6"/>
      <c r="D436" s="6"/>
      <c r="E436" s="6"/>
      <c r="F436" s="6"/>
      <c r="G436" s="6"/>
      <c r="H436" s="6"/>
      <c r="I436" s="6"/>
      <c r="J436" s="11"/>
      <c r="K436" s="591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 ht="11.25" customHeight="1">
      <c r="A437" s="7"/>
      <c r="B437" s="5"/>
      <c r="C437" s="6"/>
      <c r="D437" s="6"/>
      <c r="E437" s="6"/>
      <c r="F437" s="6"/>
      <c r="G437" s="6"/>
      <c r="H437" s="6"/>
      <c r="I437" s="6"/>
      <c r="J437" s="11"/>
      <c r="K437" s="591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 ht="11.25" customHeight="1">
      <c r="A438" s="7"/>
      <c r="B438" s="5"/>
      <c r="C438" s="6"/>
      <c r="D438" s="6"/>
      <c r="E438" s="6"/>
      <c r="F438" s="6"/>
      <c r="G438" s="6"/>
      <c r="H438" s="6"/>
      <c r="I438" s="6"/>
      <c r="J438" s="11"/>
      <c r="K438" s="591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 ht="11.25" customHeight="1">
      <c r="A439" s="7"/>
      <c r="B439" s="5"/>
      <c r="C439" s="6"/>
      <c r="D439" s="6"/>
      <c r="E439" s="6"/>
      <c r="F439" s="6"/>
      <c r="G439" s="6"/>
      <c r="H439" s="6"/>
      <c r="I439" s="6"/>
      <c r="J439" s="11"/>
      <c r="K439" s="591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 ht="11.25" customHeight="1">
      <c r="A440" s="7"/>
      <c r="B440" s="5"/>
      <c r="C440" s="6"/>
      <c r="D440" s="6"/>
      <c r="E440" s="6"/>
      <c r="F440" s="6"/>
      <c r="G440" s="6"/>
      <c r="H440" s="6"/>
      <c r="I440" s="6"/>
      <c r="J440" s="11"/>
      <c r="K440" s="591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 ht="11.25" customHeight="1">
      <c r="A441" s="7"/>
      <c r="B441" s="5"/>
      <c r="C441" s="6"/>
      <c r="D441" s="6"/>
      <c r="E441" s="6"/>
      <c r="F441" s="6"/>
      <c r="G441" s="6"/>
      <c r="H441" s="6"/>
      <c r="I441" s="6"/>
      <c r="J441" s="11"/>
      <c r="K441" s="591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 ht="11.25" customHeight="1">
      <c r="A442" s="7"/>
      <c r="B442" s="5"/>
      <c r="C442" s="6"/>
      <c r="D442" s="6"/>
      <c r="E442" s="6"/>
      <c r="F442" s="6"/>
      <c r="G442" s="6"/>
      <c r="H442" s="6"/>
      <c r="I442" s="6"/>
      <c r="J442" s="11"/>
      <c r="K442" s="591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 ht="11.25" customHeight="1">
      <c r="A443" s="7"/>
      <c r="B443" s="5"/>
      <c r="C443" s="6"/>
      <c r="D443" s="6"/>
      <c r="E443" s="6"/>
      <c r="F443" s="6"/>
      <c r="G443" s="6"/>
      <c r="H443" s="6"/>
      <c r="I443" s="6"/>
      <c r="J443" s="11"/>
      <c r="K443" s="591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 ht="11.25" customHeight="1">
      <c r="A444" s="7"/>
      <c r="B444" s="5"/>
      <c r="C444" s="6"/>
      <c r="D444" s="6"/>
      <c r="E444" s="6"/>
      <c r="F444" s="6"/>
      <c r="G444" s="6"/>
      <c r="H444" s="6"/>
      <c r="I444" s="6"/>
      <c r="J444" s="11"/>
      <c r="K444" s="591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 ht="11.25" customHeight="1">
      <c r="A445" s="7"/>
      <c r="B445" s="5"/>
      <c r="C445" s="6"/>
      <c r="D445" s="6"/>
      <c r="E445" s="6"/>
      <c r="F445" s="6"/>
      <c r="G445" s="6"/>
      <c r="H445" s="6"/>
      <c r="I445" s="6"/>
      <c r="J445" s="11"/>
      <c r="K445" s="591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 ht="11.25" customHeight="1">
      <c r="A446" s="7"/>
      <c r="B446" s="5"/>
      <c r="C446" s="6"/>
      <c r="D446" s="6"/>
      <c r="E446" s="6"/>
      <c r="F446" s="6"/>
      <c r="G446" s="6"/>
      <c r="H446" s="6"/>
      <c r="I446" s="6"/>
      <c r="J446" s="11"/>
      <c r="K446" s="591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 ht="11.25" customHeight="1">
      <c r="A447" s="7"/>
      <c r="B447" s="5"/>
      <c r="C447" s="6"/>
      <c r="D447" s="6"/>
      <c r="E447" s="6"/>
      <c r="F447" s="6"/>
      <c r="G447" s="6"/>
      <c r="H447" s="6"/>
      <c r="I447" s="6"/>
      <c r="J447" s="11"/>
      <c r="K447" s="591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 ht="11.25" customHeight="1">
      <c r="A448" s="7"/>
      <c r="B448" s="5"/>
      <c r="C448" s="6"/>
      <c r="D448" s="6"/>
      <c r="E448" s="6"/>
      <c r="F448" s="6"/>
      <c r="G448" s="6"/>
      <c r="H448" s="6"/>
      <c r="I448" s="6"/>
      <c r="J448" s="11"/>
      <c r="K448" s="591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 ht="11.25" customHeight="1">
      <c r="A449" s="7"/>
      <c r="B449" s="5"/>
      <c r="C449" s="6"/>
      <c r="D449" s="6"/>
      <c r="E449" s="6"/>
      <c r="F449" s="6"/>
      <c r="G449" s="6"/>
      <c r="H449" s="6"/>
      <c r="I449" s="6"/>
      <c r="J449" s="11"/>
      <c r="K449" s="591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 ht="11.25" customHeight="1">
      <c r="A450" s="7"/>
      <c r="B450" s="5"/>
      <c r="C450" s="6"/>
      <c r="D450" s="6"/>
      <c r="E450" s="6"/>
      <c r="F450" s="6"/>
      <c r="G450" s="6"/>
      <c r="H450" s="6"/>
      <c r="I450" s="6"/>
      <c r="J450" s="11"/>
      <c r="K450" s="591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 ht="11.25" customHeight="1">
      <c r="A451" s="7"/>
      <c r="B451" s="5"/>
      <c r="C451" s="6"/>
      <c r="D451" s="6"/>
      <c r="E451" s="6"/>
      <c r="F451" s="6"/>
      <c r="G451" s="6"/>
      <c r="H451" s="6"/>
      <c r="I451" s="6"/>
      <c r="J451" s="11"/>
      <c r="K451" s="591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 ht="11.25" customHeight="1">
      <c r="A452" s="7"/>
      <c r="B452" s="5"/>
      <c r="C452" s="6"/>
      <c r="D452" s="6"/>
      <c r="E452" s="6"/>
      <c r="F452" s="6"/>
      <c r="G452" s="6"/>
      <c r="H452" s="6"/>
      <c r="I452" s="6"/>
      <c r="J452" s="11"/>
      <c r="K452" s="591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 ht="11.25" customHeight="1">
      <c r="A453" s="7"/>
      <c r="B453" s="5"/>
      <c r="C453" s="6"/>
      <c r="D453" s="6"/>
      <c r="E453" s="6"/>
      <c r="F453" s="6"/>
      <c r="G453" s="6"/>
      <c r="H453" s="6"/>
      <c r="I453" s="6"/>
      <c r="J453" s="11"/>
      <c r="K453" s="591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 ht="11.25" customHeight="1">
      <c r="A454" s="7"/>
      <c r="B454" s="5"/>
      <c r="C454" s="6"/>
      <c r="D454" s="6"/>
      <c r="E454" s="6"/>
      <c r="F454" s="6"/>
      <c r="G454" s="6"/>
      <c r="H454" s="6"/>
      <c r="I454" s="6"/>
      <c r="J454" s="11"/>
      <c r="K454" s="591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 ht="11.25" customHeight="1">
      <c r="A455" s="7"/>
      <c r="B455" s="5"/>
      <c r="C455" s="6"/>
      <c r="D455" s="6"/>
      <c r="E455" s="6"/>
      <c r="F455" s="6"/>
      <c r="G455" s="6"/>
      <c r="H455" s="6"/>
      <c r="I455" s="6"/>
      <c r="J455" s="11"/>
      <c r="K455" s="591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 ht="11.25" customHeight="1">
      <c r="A456" s="7"/>
      <c r="B456" s="5"/>
      <c r="C456" s="6"/>
      <c r="D456" s="6"/>
      <c r="E456" s="6"/>
      <c r="F456" s="6"/>
      <c r="G456" s="6"/>
      <c r="H456" s="6"/>
      <c r="I456" s="6"/>
      <c r="J456" s="11"/>
      <c r="K456" s="591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 ht="11.25" customHeight="1">
      <c r="A457" s="7"/>
      <c r="B457" s="5"/>
      <c r="C457" s="6"/>
      <c r="D457" s="6"/>
      <c r="E457" s="6"/>
      <c r="F457" s="6"/>
      <c r="G457" s="6"/>
      <c r="H457" s="6"/>
      <c r="I457" s="6"/>
      <c r="J457" s="11"/>
      <c r="K457" s="591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 ht="11.25" customHeight="1">
      <c r="A458" s="7"/>
      <c r="B458" s="5"/>
      <c r="C458" s="6"/>
      <c r="D458" s="6"/>
      <c r="E458" s="6"/>
      <c r="F458" s="6"/>
      <c r="G458" s="6"/>
      <c r="H458" s="6"/>
      <c r="I458" s="6"/>
      <c r="J458" s="11"/>
      <c r="K458" s="591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 ht="11.25" customHeight="1">
      <c r="A459" s="7"/>
      <c r="B459" s="5"/>
      <c r="C459" s="6"/>
      <c r="D459" s="6"/>
      <c r="E459" s="6"/>
      <c r="F459" s="6"/>
      <c r="G459" s="6"/>
      <c r="H459" s="6"/>
      <c r="I459" s="6"/>
      <c r="J459" s="11"/>
      <c r="K459" s="591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 ht="11.25" customHeight="1">
      <c r="A460" s="7"/>
      <c r="B460" s="5"/>
      <c r="C460" s="6"/>
      <c r="D460" s="6"/>
      <c r="E460" s="6"/>
      <c r="F460" s="6"/>
      <c r="G460" s="6"/>
      <c r="H460" s="6"/>
      <c r="I460" s="6"/>
      <c r="J460" s="11"/>
      <c r="K460" s="591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 ht="11.25" customHeight="1">
      <c r="A461" s="7"/>
      <c r="B461" s="5"/>
      <c r="C461" s="6"/>
      <c r="D461" s="6"/>
      <c r="E461" s="6"/>
      <c r="F461" s="6"/>
      <c r="G461" s="6"/>
      <c r="H461" s="6"/>
      <c r="I461" s="6"/>
      <c r="J461" s="11"/>
      <c r="K461" s="591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 ht="11.25" customHeight="1">
      <c r="A462" s="7"/>
      <c r="B462" s="5"/>
      <c r="C462" s="6"/>
      <c r="D462" s="6"/>
      <c r="E462" s="6"/>
      <c r="F462" s="6"/>
      <c r="G462" s="6"/>
      <c r="H462" s="6"/>
      <c r="I462" s="6"/>
      <c r="J462" s="11"/>
      <c r="K462" s="591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 ht="11.25" customHeight="1">
      <c r="A463" s="7"/>
      <c r="B463" s="5"/>
      <c r="C463" s="6"/>
      <c r="D463" s="6"/>
      <c r="E463" s="6"/>
      <c r="F463" s="6"/>
      <c r="G463" s="6"/>
      <c r="H463" s="6"/>
      <c r="I463" s="6"/>
      <c r="J463" s="11"/>
      <c r="K463" s="591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 ht="11.25" customHeight="1">
      <c r="A464" s="7"/>
      <c r="B464" s="5"/>
      <c r="C464" s="6"/>
      <c r="D464" s="6"/>
      <c r="E464" s="6"/>
      <c r="F464" s="6"/>
      <c r="G464" s="6"/>
      <c r="H464" s="6"/>
      <c r="I464" s="6"/>
      <c r="J464" s="11"/>
      <c r="K464" s="591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 ht="11.25" customHeight="1">
      <c r="A465" s="7"/>
      <c r="B465" s="5"/>
      <c r="C465" s="6"/>
      <c r="D465" s="6"/>
      <c r="E465" s="6"/>
      <c r="F465" s="6"/>
      <c r="G465" s="6"/>
      <c r="H465" s="6"/>
      <c r="I465" s="6"/>
      <c r="J465" s="11"/>
      <c r="K465" s="591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 ht="11.25" customHeight="1">
      <c r="A466" s="7"/>
      <c r="B466" s="5"/>
      <c r="C466" s="6"/>
      <c r="D466" s="6"/>
      <c r="E466" s="6"/>
      <c r="F466" s="6"/>
      <c r="G466" s="6"/>
      <c r="H466" s="6"/>
      <c r="I466" s="6"/>
      <c r="J466" s="11"/>
      <c r="K466" s="591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 ht="11.25" customHeight="1">
      <c r="A467" s="7"/>
      <c r="B467" s="5"/>
      <c r="C467" s="6"/>
      <c r="D467" s="6"/>
      <c r="E467" s="6"/>
      <c r="F467" s="6"/>
      <c r="G467" s="6"/>
      <c r="H467" s="6"/>
      <c r="I467" s="6"/>
      <c r="J467" s="11"/>
      <c r="K467" s="591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 ht="11.25" customHeight="1">
      <c r="A468" s="7"/>
      <c r="B468" s="5"/>
      <c r="C468" s="6"/>
      <c r="D468" s="6"/>
      <c r="E468" s="6"/>
      <c r="F468" s="6"/>
      <c r="G468" s="6"/>
      <c r="H468" s="6"/>
      <c r="I468" s="6"/>
      <c r="J468" s="11"/>
      <c r="K468" s="591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 ht="11.25" customHeight="1">
      <c r="A469" s="7"/>
      <c r="B469" s="5"/>
      <c r="C469" s="6"/>
      <c r="D469" s="6"/>
      <c r="E469" s="6"/>
      <c r="F469" s="6"/>
      <c r="G469" s="6"/>
      <c r="H469" s="6"/>
      <c r="I469" s="6"/>
      <c r="J469" s="11"/>
      <c r="K469" s="591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 ht="11.25" customHeight="1">
      <c r="A470" s="7"/>
      <c r="B470" s="5"/>
      <c r="C470" s="6"/>
      <c r="D470" s="6"/>
      <c r="E470" s="6"/>
      <c r="F470" s="6"/>
      <c r="G470" s="6"/>
      <c r="H470" s="6"/>
      <c r="I470" s="6"/>
      <c r="J470" s="11"/>
      <c r="K470" s="591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 ht="11.25" customHeight="1">
      <c r="A471" s="7"/>
      <c r="B471" s="5"/>
      <c r="C471" s="6"/>
      <c r="D471" s="6"/>
      <c r="E471" s="6"/>
      <c r="F471" s="6"/>
      <c r="G471" s="6"/>
      <c r="H471" s="6"/>
      <c r="I471" s="6"/>
      <c r="J471" s="11"/>
      <c r="K471" s="591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 ht="11.25" customHeight="1">
      <c r="A472" s="7"/>
      <c r="B472" s="5"/>
      <c r="C472" s="6"/>
      <c r="D472" s="6"/>
      <c r="E472" s="6"/>
      <c r="F472" s="6"/>
      <c r="G472" s="6"/>
      <c r="H472" s="6"/>
      <c r="I472" s="6"/>
      <c r="J472" s="11"/>
      <c r="K472" s="591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 ht="11.25" customHeight="1">
      <c r="A473" s="7"/>
      <c r="B473" s="5"/>
      <c r="C473" s="6"/>
      <c r="D473" s="6"/>
      <c r="E473" s="6"/>
      <c r="F473" s="6"/>
      <c r="G473" s="6"/>
      <c r="H473" s="6"/>
      <c r="I473" s="6"/>
      <c r="J473" s="11"/>
      <c r="K473" s="591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 ht="11.25" customHeight="1">
      <c r="A474" s="7"/>
      <c r="B474" s="5"/>
      <c r="C474" s="6"/>
      <c r="D474" s="6"/>
      <c r="E474" s="6"/>
      <c r="F474" s="6"/>
      <c r="G474" s="6"/>
      <c r="H474" s="6"/>
      <c r="I474" s="6"/>
      <c r="J474" s="11"/>
      <c r="K474" s="591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 ht="11.25" customHeight="1">
      <c r="A475" s="7"/>
      <c r="B475" s="5"/>
      <c r="C475" s="6"/>
      <c r="D475" s="6"/>
      <c r="E475" s="6"/>
      <c r="F475" s="6"/>
      <c r="G475" s="6"/>
      <c r="H475" s="6"/>
      <c r="I475" s="6"/>
      <c r="J475" s="11"/>
      <c r="K475" s="591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 ht="11.25" customHeight="1">
      <c r="A476" s="7"/>
      <c r="B476" s="5"/>
      <c r="C476" s="6"/>
      <c r="D476" s="6"/>
      <c r="E476" s="6"/>
      <c r="F476" s="6"/>
      <c r="G476" s="6"/>
      <c r="H476" s="6"/>
      <c r="I476" s="6"/>
      <c r="J476" s="11"/>
      <c r="K476" s="591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 ht="11.25" customHeight="1">
      <c r="A477" s="7"/>
      <c r="B477" s="5"/>
      <c r="C477" s="6"/>
      <c r="D477" s="6"/>
      <c r="E477" s="6"/>
      <c r="F477" s="6"/>
      <c r="G477" s="6"/>
      <c r="H477" s="6"/>
      <c r="I477" s="6"/>
      <c r="J477" s="11"/>
      <c r="K477" s="591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 ht="11.25" customHeight="1">
      <c r="A478" s="7"/>
      <c r="B478" s="5"/>
      <c r="C478" s="6"/>
      <c r="D478" s="6"/>
      <c r="E478" s="6"/>
      <c r="F478" s="6"/>
      <c r="G478" s="6"/>
      <c r="H478" s="6"/>
      <c r="I478" s="6"/>
      <c r="J478" s="11"/>
      <c r="K478" s="591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 ht="11.25" customHeight="1">
      <c r="A479" s="7"/>
      <c r="B479" s="5"/>
      <c r="C479" s="6"/>
      <c r="D479" s="6"/>
      <c r="E479" s="6"/>
      <c r="F479" s="6"/>
      <c r="G479" s="6"/>
      <c r="H479" s="6"/>
      <c r="I479" s="6"/>
      <c r="J479" s="11"/>
      <c r="K479" s="591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 ht="11.25" customHeight="1">
      <c r="A480" s="7"/>
      <c r="B480" s="5"/>
      <c r="C480" s="6"/>
      <c r="D480" s="6"/>
      <c r="E480" s="6"/>
      <c r="F480" s="6"/>
      <c r="G480" s="6"/>
      <c r="H480" s="6"/>
      <c r="I480" s="6"/>
      <c r="J480" s="11"/>
      <c r="K480" s="591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 ht="11.25" customHeight="1">
      <c r="A481" s="7"/>
      <c r="B481" s="5"/>
      <c r="C481" s="6"/>
      <c r="D481" s="6"/>
      <c r="E481" s="6"/>
      <c r="F481" s="6"/>
      <c r="G481" s="6"/>
      <c r="H481" s="6"/>
      <c r="I481" s="6"/>
      <c r="J481" s="11"/>
      <c r="K481" s="591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 ht="11.25" customHeight="1">
      <c r="A482" s="7"/>
      <c r="B482" s="5"/>
      <c r="C482" s="6"/>
      <c r="D482" s="6"/>
      <c r="E482" s="6"/>
      <c r="F482" s="6"/>
      <c r="G482" s="6"/>
      <c r="H482" s="6"/>
      <c r="I482" s="6"/>
      <c r="J482" s="11"/>
      <c r="K482" s="591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 ht="11.25" customHeight="1">
      <c r="A483" s="7"/>
      <c r="B483" s="5"/>
      <c r="C483" s="6"/>
      <c r="D483" s="6"/>
      <c r="E483" s="6"/>
      <c r="F483" s="6"/>
      <c r="G483" s="6"/>
      <c r="H483" s="6"/>
      <c r="I483" s="6"/>
      <c r="J483" s="11"/>
      <c r="K483" s="591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 ht="11.25" customHeight="1">
      <c r="A484" s="7"/>
      <c r="B484" s="5"/>
      <c r="C484" s="6"/>
      <c r="D484" s="6"/>
      <c r="E484" s="6"/>
      <c r="F484" s="6"/>
      <c r="G484" s="6"/>
      <c r="H484" s="6"/>
      <c r="I484" s="6"/>
      <c r="J484" s="11"/>
      <c r="K484" s="591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 ht="11.25" customHeight="1">
      <c r="A485" s="7"/>
      <c r="B485" s="5"/>
      <c r="C485" s="6"/>
      <c r="D485" s="6"/>
      <c r="E485" s="6"/>
      <c r="F485" s="6"/>
      <c r="G485" s="6"/>
      <c r="H485" s="6"/>
      <c r="I485" s="6"/>
      <c r="J485" s="11"/>
      <c r="K485" s="591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 ht="11.25" customHeight="1">
      <c r="A486" s="7"/>
      <c r="B486" s="5"/>
      <c r="C486" s="6"/>
      <c r="D486" s="6"/>
      <c r="E486" s="6"/>
      <c r="F486" s="6"/>
      <c r="G486" s="6"/>
      <c r="H486" s="6"/>
      <c r="I486" s="6"/>
      <c r="J486" s="11"/>
      <c r="K486" s="591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 ht="11.25" customHeight="1">
      <c r="A487" s="7"/>
      <c r="B487" s="5"/>
      <c r="C487" s="6"/>
      <c r="D487" s="6"/>
      <c r="E487" s="6"/>
      <c r="F487" s="6"/>
      <c r="G487" s="6"/>
      <c r="H487" s="6"/>
      <c r="I487" s="6"/>
      <c r="J487" s="11"/>
      <c r="K487" s="591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 ht="11.25" customHeight="1">
      <c r="A488" s="7"/>
      <c r="B488" s="5"/>
      <c r="C488" s="6"/>
      <c r="D488" s="6"/>
      <c r="E488" s="6"/>
      <c r="F488" s="6"/>
      <c r="G488" s="6"/>
      <c r="H488" s="6"/>
      <c r="I488" s="6"/>
      <c r="J488" s="11"/>
      <c r="K488" s="591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 ht="11.25" customHeight="1">
      <c r="A489" s="7"/>
      <c r="B489" s="5"/>
      <c r="C489" s="6"/>
      <c r="D489" s="6"/>
      <c r="E489" s="6"/>
      <c r="F489" s="6"/>
      <c r="G489" s="6"/>
      <c r="H489" s="6"/>
      <c r="I489" s="6"/>
      <c r="J489" s="11"/>
      <c r="K489" s="591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 ht="11.25" customHeight="1">
      <c r="A490" s="7"/>
      <c r="B490" s="5"/>
      <c r="C490" s="6"/>
      <c r="D490" s="6"/>
      <c r="E490" s="6"/>
      <c r="F490" s="6"/>
      <c r="G490" s="6"/>
      <c r="H490" s="6"/>
      <c r="I490" s="6"/>
      <c r="J490" s="11"/>
      <c r="K490" s="591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 ht="11.25" customHeight="1">
      <c r="A491" s="7"/>
      <c r="B491" s="5"/>
      <c r="C491" s="6"/>
      <c r="D491" s="6"/>
      <c r="E491" s="6"/>
      <c r="F491" s="6"/>
      <c r="G491" s="6"/>
      <c r="H491" s="6"/>
      <c r="I491" s="6"/>
      <c r="J491" s="11"/>
      <c r="K491" s="591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 ht="11.25" customHeight="1">
      <c r="A492" s="7"/>
      <c r="B492" s="5"/>
      <c r="C492" s="6"/>
      <c r="D492" s="6"/>
      <c r="E492" s="6"/>
      <c r="F492" s="6"/>
      <c r="G492" s="6"/>
      <c r="H492" s="6"/>
      <c r="I492" s="6"/>
      <c r="J492" s="11"/>
      <c r="K492" s="591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 ht="11.25" customHeight="1">
      <c r="A493" s="7"/>
      <c r="B493" s="5"/>
      <c r="C493" s="6"/>
      <c r="D493" s="6"/>
      <c r="E493" s="6"/>
      <c r="F493" s="6"/>
      <c r="G493" s="6"/>
      <c r="H493" s="6"/>
      <c r="I493" s="6"/>
      <c r="J493" s="11"/>
      <c r="K493" s="591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 ht="11.25" customHeight="1">
      <c r="A494" s="7"/>
      <c r="B494" s="5"/>
      <c r="C494" s="6"/>
      <c r="D494" s="6"/>
      <c r="E494" s="6"/>
      <c r="F494" s="6"/>
      <c r="G494" s="6"/>
      <c r="H494" s="6"/>
      <c r="I494" s="6"/>
      <c r="J494" s="11"/>
      <c r="K494" s="591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 ht="11.25" customHeight="1">
      <c r="A495" s="7"/>
      <c r="B495" s="5"/>
      <c r="C495" s="6"/>
      <c r="D495" s="6"/>
      <c r="E495" s="6"/>
      <c r="F495" s="6"/>
      <c r="G495" s="6"/>
      <c r="H495" s="6"/>
      <c r="I495" s="6"/>
      <c r="J495" s="11"/>
      <c r="K495" s="591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 ht="11.25" customHeight="1">
      <c r="A496" s="7"/>
      <c r="B496" s="5"/>
      <c r="C496" s="6"/>
      <c r="D496" s="6"/>
      <c r="E496" s="6"/>
      <c r="F496" s="6"/>
      <c r="G496" s="6"/>
      <c r="H496" s="6"/>
      <c r="I496" s="6"/>
      <c r="J496" s="11"/>
      <c r="K496" s="591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 ht="11.25" customHeight="1">
      <c r="A497" s="7"/>
      <c r="B497" s="5"/>
      <c r="C497" s="6"/>
      <c r="D497" s="6"/>
      <c r="E497" s="6"/>
      <c r="F497" s="6"/>
      <c r="G497" s="6"/>
      <c r="H497" s="6"/>
      <c r="I497" s="6"/>
      <c r="J497" s="11"/>
      <c r="K497" s="591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 ht="11.25" customHeight="1">
      <c r="A498" s="7"/>
      <c r="B498" s="5"/>
      <c r="C498" s="6"/>
      <c r="D498" s="6"/>
      <c r="E498" s="6"/>
      <c r="F498" s="6"/>
      <c r="G498" s="6"/>
      <c r="H498" s="6"/>
      <c r="I498" s="6"/>
      <c r="J498" s="11"/>
      <c r="K498" s="591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 ht="11.25" customHeight="1">
      <c r="A499" s="7"/>
      <c r="B499" s="5"/>
      <c r="C499" s="6"/>
      <c r="D499" s="6"/>
      <c r="E499" s="6"/>
      <c r="F499" s="6"/>
      <c r="G499" s="6"/>
      <c r="H499" s="6"/>
      <c r="I499" s="6"/>
      <c r="J499" s="11"/>
      <c r="K499" s="591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 ht="11.25" customHeight="1">
      <c r="A500" s="7"/>
      <c r="B500" s="5"/>
      <c r="C500" s="6"/>
      <c r="D500" s="6"/>
      <c r="E500" s="6"/>
      <c r="F500" s="6"/>
      <c r="G500" s="6"/>
      <c r="H500" s="6"/>
      <c r="I500" s="6"/>
      <c r="J500" s="11"/>
      <c r="K500" s="591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 ht="11.25" customHeight="1">
      <c r="A501" s="7"/>
      <c r="B501" s="5"/>
      <c r="C501" s="6"/>
      <c r="D501" s="6"/>
      <c r="E501" s="6"/>
      <c r="F501" s="6"/>
      <c r="G501" s="6"/>
      <c r="H501" s="6"/>
      <c r="I501" s="6"/>
      <c r="J501" s="11"/>
      <c r="K501" s="591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 ht="11.25" customHeight="1">
      <c r="A502" s="7"/>
      <c r="B502" s="5"/>
      <c r="C502" s="6"/>
      <c r="D502" s="6"/>
      <c r="E502" s="6"/>
      <c r="F502" s="6"/>
      <c r="G502" s="6"/>
      <c r="H502" s="6"/>
      <c r="I502" s="6"/>
      <c r="J502" s="11"/>
      <c r="K502" s="591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 ht="11.25" customHeight="1">
      <c r="A503" s="7"/>
      <c r="B503" s="5"/>
      <c r="C503" s="6"/>
      <c r="D503" s="6"/>
      <c r="E503" s="6"/>
      <c r="F503" s="6"/>
      <c r="G503" s="6"/>
      <c r="H503" s="6"/>
      <c r="I503" s="6"/>
      <c r="J503" s="11"/>
      <c r="K503" s="591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 ht="11.25" customHeight="1">
      <c r="A504" s="7"/>
      <c r="B504" s="5"/>
      <c r="C504" s="6"/>
      <c r="D504" s="6"/>
      <c r="E504" s="6"/>
      <c r="F504" s="6"/>
      <c r="G504" s="6"/>
      <c r="H504" s="6"/>
      <c r="I504" s="6"/>
      <c r="J504" s="11"/>
      <c r="K504" s="591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 ht="11.25" customHeight="1">
      <c r="A505" s="7"/>
      <c r="B505" s="5"/>
      <c r="C505" s="6"/>
      <c r="D505" s="6"/>
      <c r="E505" s="6"/>
      <c r="F505" s="6"/>
      <c r="G505" s="6"/>
      <c r="H505" s="6"/>
      <c r="I505" s="6"/>
      <c r="J505" s="11"/>
      <c r="K505" s="591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 ht="11.25" customHeight="1">
      <c r="A506" s="7"/>
      <c r="B506" s="5"/>
      <c r="C506" s="6"/>
      <c r="D506" s="6"/>
      <c r="E506" s="6"/>
      <c r="F506" s="6"/>
      <c r="G506" s="6"/>
      <c r="H506" s="6"/>
      <c r="I506" s="6"/>
      <c r="J506" s="11"/>
      <c r="K506" s="591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 ht="11.25" customHeight="1">
      <c r="A507" s="7"/>
      <c r="B507" s="5"/>
      <c r="C507" s="6"/>
      <c r="D507" s="6"/>
      <c r="E507" s="6"/>
      <c r="F507" s="6"/>
      <c r="G507" s="6"/>
      <c r="H507" s="6"/>
      <c r="I507" s="6"/>
      <c r="J507" s="11"/>
      <c r="K507" s="591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 ht="11.25" customHeight="1">
      <c r="A508" s="7"/>
      <c r="B508" s="5"/>
      <c r="C508" s="6"/>
      <c r="D508" s="6"/>
      <c r="E508" s="6"/>
      <c r="F508" s="6"/>
      <c r="G508" s="6"/>
      <c r="H508" s="6"/>
      <c r="I508" s="6"/>
      <c r="J508" s="11"/>
      <c r="K508" s="591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 ht="11.25" customHeight="1">
      <c r="A509" s="7"/>
      <c r="B509" s="5"/>
      <c r="C509" s="6"/>
      <c r="D509" s="6"/>
      <c r="E509" s="6"/>
      <c r="F509" s="6"/>
      <c r="G509" s="6"/>
      <c r="H509" s="6"/>
      <c r="I509" s="6"/>
      <c r="J509" s="11"/>
      <c r="K509" s="591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 ht="11.25" customHeight="1">
      <c r="A510" s="7"/>
      <c r="B510" s="5"/>
      <c r="C510" s="6"/>
      <c r="D510" s="6"/>
      <c r="E510" s="6"/>
      <c r="F510" s="6"/>
      <c r="G510" s="6"/>
      <c r="H510" s="6"/>
      <c r="I510" s="6"/>
      <c r="J510" s="11"/>
      <c r="K510" s="591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 ht="11.25" customHeight="1">
      <c r="A511" s="7"/>
      <c r="B511" s="5"/>
      <c r="C511" s="6"/>
      <c r="D511" s="6"/>
      <c r="E511" s="6"/>
      <c r="F511" s="6"/>
      <c r="G511" s="6"/>
      <c r="H511" s="6"/>
      <c r="I511" s="6"/>
      <c r="J511" s="11"/>
      <c r="K511" s="591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 ht="11.25" customHeight="1">
      <c r="A512" s="7"/>
      <c r="B512" s="5"/>
      <c r="C512" s="6"/>
      <c r="D512" s="6"/>
      <c r="E512" s="6"/>
      <c r="F512" s="6"/>
      <c r="G512" s="6"/>
      <c r="H512" s="6"/>
      <c r="I512" s="6"/>
      <c r="J512" s="11"/>
      <c r="K512" s="591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 ht="11.25" customHeight="1">
      <c r="A513" s="7"/>
      <c r="B513" s="5"/>
      <c r="C513" s="6"/>
      <c r="D513" s="6"/>
      <c r="E513" s="6"/>
      <c r="F513" s="6"/>
      <c r="G513" s="6"/>
      <c r="H513" s="6"/>
      <c r="I513" s="6"/>
      <c r="J513" s="11"/>
      <c r="K513" s="591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 ht="11.25" customHeight="1">
      <c r="A514" s="7"/>
      <c r="B514" s="5"/>
      <c r="C514" s="6"/>
      <c r="D514" s="6"/>
      <c r="E514" s="6"/>
      <c r="F514" s="6"/>
      <c r="G514" s="6"/>
      <c r="H514" s="6"/>
      <c r="I514" s="6"/>
      <c r="J514" s="11"/>
      <c r="K514" s="591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 ht="11.25" customHeight="1">
      <c r="A515" s="7"/>
      <c r="B515" s="5"/>
      <c r="C515" s="6"/>
      <c r="D515" s="6"/>
      <c r="E515" s="6"/>
      <c r="F515" s="6"/>
      <c r="G515" s="6"/>
      <c r="H515" s="6"/>
      <c r="I515" s="6"/>
      <c r="J515" s="11"/>
      <c r="K515" s="591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 ht="11.25" customHeight="1">
      <c r="A516" s="7"/>
      <c r="B516" s="5"/>
      <c r="C516" s="6"/>
      <c r="D516" s="6"/>
      <c r="E516" s="6"/>
      <c r="F516" s="6"/>
      <c r="G516" s="6"/>
      <c r="H516" s="6"/>
      <c r="I516" s="6"/>
      <c r="J516" s="11"/>
      <c r="K516" s="591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 ht="11.25" customHeight="1">
      <c r="A517" s="7"/>
      <c r="B517" s="5"/>
      <c r="C517" s="6"/>
      <c r="D517" s="6"/>
      <c r="E517" s="6"/>
      <c r="F517" s="6"/>
      <c r="G517" s="6"/>
      <c r="H517" s="6"/>
      <c r="I517" s="6"/>
      <c r="J517" s="11"/>
      <c r="K517" s="591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 ht="11.25" customHeight="1">
      <c r="A518" s="7"/>
      <c r="B518" s="5"/>
      <c r="C518" s="6"/>
      <c r="D518" s="6"/>
      <c r="E518" s="6"/>
      <c r="F518" s="6"/>
      <c r="G518" s="6"/>
      <c r="H518" s="6"/>
      <c r="I518" s="6"/>
      <c r="J518" s="11"/>
      <c r="K518" s="591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 ht="11.25" customHeight="1">
      <c r="A519" s="7"/>
      <c r="B519" s="5"/>
      <c r="C519" s="6"/>
      <c r="D519" s="6"/>
      <c r="E519" s="6"/>
      <c r="F519" s="6"/>
      <c r="G519" s="6"/>
      <c r="H519" s="6"/>
      <c r="I519" s="6"/>
      <c r="J519" s="11"/>
      <c r="K519" s="591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 ht="11.25" customHeight="1">
      <c r="A520" s="7"/>
      <c r="B520" s="5"/>
      <c r="C520" s="6"/>
      <c r="D520" s="6"/>
      <c r="E520" s="6"/>
      <c r="F520" s="6"/>
      <c r="G520" s="6"/>
      <c r="H520" s="6"/>
      <c r="I520" s="6"/>
      <c r="J520" s="11"/>
      <c r="K520" s="591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 ht="11.25" customHeight="1">
      <c r="A521" s="7"/>
      <c r="B521" s="5"/>
      <c r="C521" s="6"/>
      <c r="D521" s="6"/>
      <c r="E521" s="6"/>
      <c r="F521" s="6"/>
      <c r="G521" s="6"/>
      <c r="H521" s="6"/>
      <c r="I521" s="6"/>
      <c r="J521" s="11"/>
      <c r="K521" s="591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 ht="11.25" customHeight="1">
      <c r="A522" s="7"/>
      <c r="B522" s="5"/>
      <c r="C522" s="6"/>
      <c r="D522" s="6"/>
      <c r="E522" s="6"/>
      <c r="F522" s="6"/>
      <c r="G522" s="6"/>
      <c r="H522" s="6"/>
      <c r="I522" s="6"/>
      <c r="J522" s="11"/>
      <c r="K522" s="591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 ht="11.25" customHeight="1">
      <c r="A523" s="7"/>
      <c r="B523" s="5"/>
      <c r="C523" s="6"/>
      <c r="D523" s="6"/>
      <c r="E523" s="6"/>
      <c r="F523" s="6"/>
      <c r="G523" s="6"/>
      <c r="H523" s="6"/>
      <c r="I523" s="6"/>
      <c r="J523" s="11"/>
      <c r="K523" s="591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 ht="11.25" customHeight="1">
      <c r="A524" s="7"/>
      <c r="B524" s="5"/>
      <c r="C524" s="6"/>
      <c r="D524" s="6"/>
      <c r="E524" s="6"/>
      <c r="F524" s="6"/>
      <c r="G524" s="6"/>
      <c r="H524" s="6"/>
      <c r="I524" s="6"/>
      <c r="J524" s="11"/>
      <c r="K524" s="591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 ht="11.25" customHeight="1">
      <c r="A525" s="7"/>
      <c r="B525" s="5"/>
      <c r="C525" s="6"/>
      <c r="D525" s="6"/>
      <c r="E525" s="6"/>
      <c r="F525" s="6"/>
      <c r="G525" s="6"/>
      <c r="H525" s="6"/>
      <c r="I525" s="6"/>
      <c r="J525" s="11"/>
      <c r="K525" s="591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 ht="11.25" customHeight="1">
      <c r="A526" s="7"/>
      <c r="B526" s="5"/>
      <c r="C526" s="6"/>
      <c r="D526" s="6"/>
      <c r="E526" s="6"/>
      <c r="F526" s="6"/>
      <c r="G526" s="6"/>
      <c r="H526" s="6"/>
      <c r="I526" s="6"/>
      <c r="J526" s="11"/>
      <c r="K526" s="591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 ht="11.25" customHeight="1">
      <c r="A527" s="7"/>
      <c r="B527" s="5"/>
      <c r="C527" s="6"/>
      <c r="D527" s="6"/>
      <c r="E527" s="6"/>
      <c r="F527" s="6"/>
      <c r="G527" s="6"/>
      <c r="H527" s="6"/>
      <c r="I527" s="6"/>
      <c r="J527" s="11"/>
      <c r="K527" s="591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 ht="11.25" customHeight="1">
      <c r="A528" s="7"/>
      <c r="B528" s="5"/>
      <c r="C528" s="6"/>
      <c r="D528" s="6"/>
      <c r="E528" s="6"/>
      <c r="F528" s="6"/>
      <c r="G528" s="6"/>
      <c r="H528" s="6"/>
      <c r="I528" s="6"/>
      <c r="J528" s="11"/>
      <c r="K528" s="591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 ht="11.25" customHeight="1">
      <c r="A529" s="7"/>
      <c r="B529" s="5"/>
      <c r="C529" s="6"/>
      <c r="D529" s="6"/>
      <c r="E529" s="6"/>
      <c r="F529" s="6"/>
      <c r="G529" s="6"/>
      <c r="H529" s="6"/>
      <c r="I529" s="6"/>
      <c r="J529" s="11"/>
      <c r="K529" s="591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 ht="11.25" customHeight="1">
      <c r="A530" s="7"/>
      <c r="B530" s="5"/>
      <c r="C530" s="6"/>
      <c r="D530" s="6"/>
      <c r="E530" s="6"/>
      <c r="F530" s="6"/>
      <c r="G530" s="6"/>
      <c r="H530" s="6"/>
      <c r="I530" s="6"/>
      <c r="J530" s="11"/>
      <c r="K530" s="591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 ht="11.25" customHeight="1">
      <c r="A531" s="7"/>
      <c r="B531" s="5"/>
      <c r="C531" s="6"/>
      <c r="D531" s="6"/>
      <c r="E531" s="6"/>
      <c r="F531" s="6"/>
      <c r="G531" s="6"/>
      <c r="H531" s="6"/>
      <c r="I531" s="6"/>
      <c r="J531" s="11"/>
      <c r="K531" s="591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 ht="11.25" customHeight="1">
      <c r="A532" s="7"/>
      <c r="B532" s="5"/>
      <c r="C532" s="6"/>
      <c r="D532" s="6"/>
      <c r="E532" s="6"/>
      <c r="F532" s="6"/>
      <c r="G532" s="6"/>
      <c r="H532" s="6"/>
      <c r="I532" s="6"/>
      <c r="J532" s="11"/>
      <c r="K532" s="591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 ht="11.25" customHeight="1">
      <c r="A533" s="7"/>
      <c r="B533" s="5"/>
      <c r="C533" s="6"/>
      <c r="D533" s="6"/>
      <c r="E533" s="6"/>
      <c r="F533" s="6"/>
      <c r="G533" s="6"/>
      <c r="H533" s="6"/>
      <c r="I533" s="6"/>
      <c r="J533" s="11"/>
      <c r="K533" s="591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 ht="11.25" customHeight="1">
      <c r="A534" s="7"/>
      <c r="B534" s="5"/>
      <c r="C534" s="6"/>
      <c r="D534" s="6"/>
      <c r="E534" s="6"/>
      <c r="F534" s="6"/>
      <c r="G534" s="6"/>
      <c r="H534" s="6"/>
      <c r="I534" s="6"/>
      <c r="J534" s="11"/>
      <c r="K534" s="591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 ht="11.25" customHeight="1">
      <c r="A535" s="7"/>
      <c r="B535" s="5"/>
      <c r="C535" s="6"/>
      <c r="D535" s="6"/>
      <c r="E535" s="6"/>
      <c r="F535" s="6"/>
      <c r="G535" s="6"/>
      <c r="H535" s="6"/>
      <c r="I535" s="6"/>
      <c r="J535" s="11"/>
      <c r="K535" s="591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 ht="11.25" customHeight="1">
      <c r="A536" s="7"/>
      <c r="B536" s="5"/>
      <c r="C536" s="6"/>
      <c r="D536" s="6"/>
      <c r="E536" s="6"/>
      <c r="F536" s="6"/>
      <c r="G536" s="6"/>
      <c r="H536" s="6"/>
      <c r="I536" s="6"/>
      <c r="J536" s="11"/>
      <c r="K536" s="591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 ht="11.25" customHeight="1">
      <c r="A537" s="7"/>
      <c r="B537" s="5"/>
      <c r="C537" s="6"/>
      <c r="D537" s="6"/>
      <c r="E537" s="6"/>
      <c r="F537" s="6"/>
      <c r="G537" s="6"/>
      <c r="H537" s="6"/>
      <c r="I537" s="6"/>
      <c r="J537" s="11"/>
      <c r="K537" s="591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 ht="11.25" customHeight="1">
      <c r="A538" s="7"/>
      <c r="B538" s="5"/>
      <c r="C538" s="6"/>
      <c r="D538" s="6"/>
      <c r="E538" s="6"/>
      <c r="F538" s="6"/>
      <c r="G538" s="6"/>
      <c r="H538" s="6"/>
      <c r="I538" s="6"/>
      <c r="J538" s="11"/>
      <c r="K538" s="591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 ht="11.25" customHeight="1">
      <c r="A539" s="7"/>
      <c r="B539" s="5"/>
      <c r="C539" s="6"/>
      <c r="D539" s="6"/>
      <c r="E539" s="6"/>
      <c r="F539" s="6"/>
      <c r="G539" s="6"/>
      <c r="H539" s="6"/>
      <c r="I539" s="6"/>
      <c r="J539" s="11"/>
      <c r="K539" s="591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 ht="11.25" customHeight="1">
      <c r="A540" s="7"/>
      <c r="B540" s="5"/>
      <c r="C540" s="6"/>
      <c r="D540" s="6"/>
      <c r="E540" s="6"/>
      <c r="F540" s="6"/>
      <c r="G540" s="6"/>
      <c r="H540" s="6"/>
      <c r="I540" s="6"/>
      <c r="J540" s="11"/>
      <c r="K540" s="591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 ht="11.25" customHeight="1">
      <c r="A541" s="7"/>
      <c r="B541" s="5"/>
      <c r="C541" s="6"/>
      <c r="D541" s="6"/>
      <c r="E541" s="6"/>
      <c r="F541" s="6"/>
      <c r="G541" s="6"/>
      <c r="H541" s="6"/>
      <c r="I541" s="6"/>
      <c r="J541" s="11"/>
      <c r="K541" s="591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 ht="11.25" customHeight="1">
      <c r="A542" s="7"/>
      <c r="B542" s="5"/>
      <c r="C542" s="6"/>
      <c r="D542" s="6"/>
      <c r="E542" s="6"/>
      <c r="F542" s="6"/>
      <c r="G542" s="6"/>
      <c r="H542" s="6"/>
      <c r="I542" s="6"/>
      <c r="J542" s="11"/>
      <c r="K542" s="591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 ht="11.25" customHeight="1">
      <c r="A543" s="7"/>
      <c r="B543" s="5"/>
      <c r="C543" s="6"/>
      <c r="D543" s="6"/>
      <c r="E543" s="6"/>
      <c r="F543" s="6"/>
      <c r="G543" s="6"/>
      <c r="H543" s="6"/>
      <c r="I543" s="6"/>
      <c r="J543" s="11"/>
      <c r="K543" s="591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 ht="11.25" customHeight="1">
      <c r="A544" s="7"/>
      <c r="B544" s="5"/>
      <c r="C544" s="6"/>
      <c r="D544" s="6"/>
      <c r="E544" s="6"/>
      <c r="F544" s="6"/>
      <c r="G544" s="6"/>
      <c r="H544" s="6"/>
      <c r="I544" s="6"/>
      <c r="J544" s="11"/>
      <c r="K544" s="591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 ht="11.25" customHeight="1">
      <c r="A545" s="7"/>
      <c r="B545" s="5"/>
      <c r="C545" s="6"/>
      <c r="D545" s="6"/>
      <c r="E545" s="6"/>
      <c r="F545" s="6"/>
      <c r="G545" s="6"/>
      <c r="H545" s="6"/>
      <c r="I545" s="6"/>
      <c r="J545" s="11"/>
      <c r="K545" s="591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 ht="11.25" customHeight="1">
      <c r="A546" s="7"/>
      <c r="B546" s="5"/>
      <c r="C546" s="6"/>
      <c r="D546" s="6"/>
      <c r="E546" s="6"/>
      <c r="F546" s="6"/>
      <c r="G546" s="6"/>
      <c r="H546" s="6"/>
      <c r="I546" s="6"/>
      <c r="J546" s="11"/>
      <c r="K546" s="591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 ht="11.25" customHeight="1">
      <c r="A547" s="7"/>
      <c r="B547" s="5"/>
      <c r="C547" s="6"/>
      <c r="D547" s="6"/>
      <c r="E547" s="6"/>
      <c r="F547" s="6"/>
      <c r="G547" s="6"/>
      <c r="H547" s="6"/>
      <c r="I547" s="6"/>
      <c r="J547" s="11"/>
      <c r="K547" s="591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 ht="11.25" customHeight="1">
      <c r="A548" s="7"/>
      <c r="B548" s="5"/>
      <c r="C548" s="6"/>
      <c r="D548" s="6"/>
      <c r="E548" s="6"/>
      <c r="F548" s="6"/>
      <c r="G548" s="6"/>
      <c r="H548" s="6"/>
      <c r="I548" s="6"/>
      <c r="J548" s="11"/>
      <c r="K548" s="591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 ht="11.25" customHeight="1">
      <c r="A549" s="7"/>
      <c r="B549" s="5"/>
      <c r="C549" s="6"/>
      <c r="D549" s="6"/>
      <c r="E549" s="6"/>
      <c r="F549" s="6"/>
      <c r="G549" s="6"/>
      <c r="H549" s="6"/>
      <c r="I549" s="6"/>
      <c r="J549" s="11"/>
      <c r="K549" s="591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 ht="11.25" customHeight="1">
      <c r="A550" s="7"/>
      <c r="B550" s="5"/>
      <c r="C550" s="6"/>
      <c r="D550" s="6"/>
      <c r="E550" s="6"/>
      <c r="F550" s="6"/>
      <c r="G550" s="6"/>
      <c r="H550" s="6"/>
      <c r="I550" s="6"/>
      <c r="J550" s="11"/>
      <c r="K550" s="591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 ht="11.25" customHeight="1">
      <c r="A551" s="7"/>
      <c r="B551" s="5"/>
      <c r="C551" s="6"/>
      <c r="D551" s="6"/>
      <c r="E551" s="6"/>
      <c r="F551" s="6"/>
      <c r="G551" s="6"/>
      <c r="H551" s="6"/>
      <c r="I551" s="6"/>
      <c r="J551" s="11"/>
      <c r="K551" s="591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 ht="11.25" customHeight="1">
      <c r="A552" s="7"/>
      <c r="B552" s="5"/>
      <c r="C552" s="6"/>
      <c r="D552" s="6"/>
      <c r="E552" s="6"/>
      <c r="F552" s="6"/>
      <c r="G552" s="6"/>
      <c r="H552" s="6"/>
      <c r="I552" s="6"/>
      <c r="J552" s="11"/>
      <c r="K552" s="591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 ht="11.25" customHeight="1">
      <c r="A553" s="7"/>
      <c r="B553" s="5"/>
      <c r="C553" s="6"/>
      <c r="D553" s="6"/>
      <c r="E553" s="6"/>
      <c r="F553" s="6"/>
      <c r="G553" s="6"/>
      <c r="H553" s="6"/>
      <c r="I553" s="6"/>
      <c r="J553" s="11"/>
      <c r="K553" s="591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 ht="11.25" customHeight="1">
      <c r="A554" s="7"/>
      <c r="B554" s="5"/>
      <c r="C554" s="6"/>
      <c r="D554" s="6"/>
      <c r="E554" s="6"/>
      <c r="F554" s="6"/>
      <c r="G554" s="6"/>
      <c r="H554" s="6"/>
      <c r="I554" s="6"/>
      <c r="J554" s="11"/>
      <c r="K554" s="591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 ht="11.25" customHeight="1">
      <c r="A555" s="7"/>
      <c r="B555" s="5"/>
      <c r="C555" s="6"/>
      <c r="D555" s="6"/>
      <c r="E555" s="6"/>
      <c r="F555" s="6"/>
      <c r="G555" s="6"/>
      <c r="H555" s="6"/>
      <c r="I555" s="6"/>
      <c r="J555" s="11"/>
      <c r="K555" s="591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 ht="11.25" customHeight="1">
      <c r="A556" s="7"/>
      <c r="B556" s="5"/>
      <c r="C556" s="6"/>
      <c r="D556" s="6"/>
      <c r="E556" s="6"/>
      <c r="F556" s="6"/>
      <c r="G556" s="6"/>
      <c r="H556" s="6"/>
      <c r="I556" s="6"/>
      <c r="J556" s="11"/>
      <c r="K556" s="591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 ht="11.25" customHeight="1">
      <c r="A557" s="7"/>
      <c r="B557" s="5"/>
      <c r="C557" s="6"/>
      <c r="D557" s="6"/>
      <c r="E557" s="6"/>
      <c r="F557" s="6"/>
      <c r="G557" s="6"/>
      <c r="H557" s="6"/>
      <c r="I557" s="6"/>
      <c r="J557" s="11"/>
      <c r="K557" s="591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 ht="11.25" customHeight="1">
      <c r="A558" s="7"/>
      <c r="B558" s="5"/>
      <c r="C558" s="6"/>
      <c r="D558" s="6"/>
      <c r="E558" s="6"/>
      <c r="F558" s="6"/>
      <c r="G558" s="6"/>
      <c r="H558" s="6"/>
      <c r="I558" s="6"/>
      <c r="J558" s="11"/>
      <c r="K558" s="591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 ht="11.25" customHeight="1">
      <c r="A559" s="7"/>
      <c r="B559" s="5"/>
      <c r="C559" s="6"/>
      <c r="D559" s="6"/>
      <c r="E559" s="6"/>
      <c r="F559" s="6"/>
      <c r="G559" s="6"/>
      <c r="H559" s="6"/>
      <c r="I559" s="6"/>
      <c r="J559" s="11"/>
      <c r="K559" s="591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 ht="11.25" customHeight="1">
      <c r="A560" s="7"/>
      <c r="B560" s="5"/>
      <c r="C560" s="6"/>
      <c r="D560" s="6"/>
      <c r="E560" s="6"/>
      <c r="F560" s="6"/>
      <c r="G560" s="6"/>
      <c r="H560" s="6"/>
      <c r="I560" s="6"/>
      <c r="J560" s="11"/>
      <c r="K560" s="591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 ht="11.25" customHeight="1">
      <c r="A561" s="7"/>
      <c r="B561" s="5"/>
      <c r="C561" s="6"/>
      <c r="D561" s="6"/>
      <c r="E561" s="6"/>
      <c r="F561" s="6"/>
      <c r="G561" s="6"/>
      <c r="H561" s="6"/>
      <c r="I561" s="6"/>
      <c r="J561" s="11"/>
      <c r="K561" s="591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 ht="11.25" customHeight="1">
      <c r="A562" s="7"/>
      <c r="B562" s="5"/>
      <c r="C562" s="6"/>
      <c r="D562" s="6"/>
      <c r="E562" s="6"/>
      <c r="F562" s="6"/>
      <c r="G562" s="6"/>
      <c r="H562" s="6"/>
      <c r="I562" s="6"/>
      <c r="J562" s="11"/>
      <c r="K562" s="591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 ht="11.25" customHeight="1">
      <c r="A563" s="7"/>
      <c r="B563" s="5"/>
      <c r="C563" s="6"/>
      <c r="D563" s="6"/>
      <c r="E563" s="6"/>
      <c r="F563" s="6"/>
      <c r="G563" s="6"/>
      <c r="H563" s="6"/>
      <c r="I563" s="6"/>
      <c r="J563" s="11"/>
      <c r="K563" s="591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 ht="11.25" customHeight="1">
      <c r="A564" s="7"/>
      <c r="B564" s="5"/>
      <c r="C564" s="6"/>
      <c r="D564" s="6"/>
      <c r="E564" s="6"/>
      <c r="F564" s="6"/>
      <c r="G564" s="6"/>
      <c r="H564" s="6"/>
      <c r="I564" s="6"/>
      <c r="J564" s="11"/>
      <c r="K564" s="591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 ht="11.25" customHeight="1">
      <c r="A565" s="7"/>
      <c r="B565" s="5"/>
      <c r="C565" s="6"/>
      <c r="D565" s="6"/>
      <c r="E565" s="6"/>
      <c r="F565" s="6"/>
      <c r="G565" s="6"/>
      <c r="H565" s="6"/>
      <c r="I565" s="6"/>
      <c r="J565" s="11"/>
      <c r="K565" s="591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 ht="11.25" customHeight="1">
      <c r="A566" s="7"/>
      <c r="B566" s="5"/>
      <c r="C566" s="6"/>
      <c r="D566" s="6"/>
      <c r="E566" s="6"/>
      <c r="F566" s="6"/>
      <c r="G566" s="6"/>
      <c r="H566" s="6"/>
      <c r="I566" s="6"/>
      <c r="J566" s="11"/>
      <c r="K566" s="591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 ht="11.25" customHeight="1">
      <c r="A567" s="7"/>
      <c r="B567" s="5"/>
      <c r="C567" s="6"/>
      <c r="D567" s="6"/>
      <c r="E567" s="6"/>
      <c r="F567" s="6"/>
      <c r="G567" s="6"/>
      <c r="H567" s="6"/>
      <c r="I567" s="6"/>
      <c r="J567" s="11"/>
      <c r="K567" s="591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 ht="11.25" customHeight="1">
      <c r="A568" s="7"/>
      <c r="B568" s="5"/>
      <c r="C568" s="6"/>
      <c r="D568" s="6"/>
      <c r="E568" s="6"/>
      <c r="F568" s="6"/>
      <c r="G568" s="6"/>
      <c r="H568" s="6"/>
      <c r="I568" s="6"/>
      <c r="J568" s="11"/>
      <c r="K568" s="591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 ht="11.25" customHeight="1">
      <c r="A569" s="7"/>
      <c r="B569" s="5"/>
      <c r="C569" s="6"/>
      <c r="D569" s="6"/>
      <c r="E569" s="6"/>
      <c r="F569" s="6"/>
      <c r="G569" s="6"/>
      <c r="H569" s="6"/>
      <c r="I569" s="6"/>
      <c r="J569" s="11"/>
      <c r="K569" s="591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 ht="11.25" customHeight="1">
      <c r="A570" s="7"/>
      <c r="B570" s="5"/>
      <c r="C570" s="6"/>
      <c r="D570" s="6"/>
      <c r="E570" s="6"/>
      <c r="F570" s="6"/>
      <c r="G570" s="6"/>
      <c r="H570" s="6"/>
      <c r="I570" s="6"/>
      <c r="J570" s="11"/>
      <c r="K570" s="591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 ht="11.25" customHeight="1">
      <c r="A571" s="7"/>
      <c r="B571" s="5"/>
      <c r="C571" s="6"/>
      <c r="D571" s="6"/>
      <c r="E571" s="6"/>
      <c r="F571" s="6"/>
      <c r="G571" s="6"/>
      <c r="H571" s="6"/>
      <c r="I571" s="6"/>
      <c r="J571" s="11"/>
      <c r="K571" s="591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 ht="11.25" customHeight="1">
      <c r="A572" s="7"/>
      <c r="B572" s="5"/>
      <c r="C572" s="6"/>
      <c r="D572" s="6"/>
      <c r="E572" s="6"/>
      <c r="F572" s="6"/>
      <c r="G572" s="6"/>
      <c r="H572" s="6"/>
      <c r="I572" s="6"/>
      <c r="J572" s="11"/>
      <c r="K572" s="591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 ht="11.25" customHeight="1">
      <c r="A573" s="7"/>
      <c r="B573" s="5"/>
      <c r="C573" s="6"/>
      <c r="D573" s="6"/>
      <c r="E573" s="6"/>
      <c r="F573" s="6"/>
      <c r="G573" s="6"/>
      <c r="H573" s="6"/>
      <c r="I573" s="6"/>
      <c r="J573" s="11"/>
      <c r="K573" s="591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 ht="11.25" customHeight="1">
      <c r="A574" s="7"/>
      <c r="B574" s="5"/>
      <c r="C574" s="6"/>
      <c r="D574" s="6"/>
      <c r="E574" s="6"/>
      <c r="F574" s="6"/>
      <c r="G574" s="6"/>
      <c r="H574" s="6"/>
      <c r="I574" s="6"/>
      <c r="J574" s="11"/>
      <c r="K574" s="591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 ht="11.25" customHeight="1">
      <c r="A575" s="7"/>
      <c r="B575" s="5"/>
      <c r="C575" s="6"/>
      <c r="D575" s="6"/>
      <c r="E575" s="6"/>
      <c r="F575" s="6"/>
      <c r="G575" s="6"/>
      <c r="H575" s="6"/>
      <c r="I575" s="6"/>
      <c r="J575" s="11"/>
      <c r="K575" s="591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 ht="11.25" customHeight="1">
      <c r="A576" s="7"/>
      <c r="B576" s="5"/>
      <c r="C576" s="6"/>
      <c r="D576" s="6"/>
      <c r="E576" s="6"/>
      <c r="F576" s="6"/>
      <c r="G576" s="6"/>
      <c r="H576" s="6"/>
      <c r="I576" s="6"/>
      <c r="J576" s="11"/>
      <c r="K576" s="591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 ht="11.25" customHeight="1">
      <c r="A577" s="7"/>
      <c r="B577" s="5"/>
      <c r="C577" s="6"/>
      <c r="D577" s="6"/>
      <c r="E577" s="6"/>
      <c r="F577" s="6"/>
      <c r="G577" s="6"/>
      <c r="H577" s="6"/>
      <c r="I577" s="6"/>
      <c r="J577" s="11"/>
      <c r="K577" s="591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 ht="11.25" customHeight="1">
      <c r="A578" s="7"/>
      <c r="B578" s="5"/>
      <c r="C578" s="6"/>
      <c r="D578" s="6"/>
      <c r="E578" s="6"/>
      <c r="F578" s="6"/>
      <c r="G578" s="6"/>
      <c r="H578" s="6"/>
      <c r="I578" s="6"/>
      <c r="J578" s="11"/>
      <c r="K578" s="591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 ht="11.25" customHeight="1">
      <c r="A579" s="7"/>
      <c r="B579" s="5"/>
      <c r="C579" s="6"/>
      <c r="D579" s="6"/>
      <c r="E579" s="6"/>
      <c r="F579" s="6"/>
      <c r="G579" s="6"/>
      <c r="H579" s="6"/>
      <c r="I579" s="6"/>
      <c r="J579" s="11"/>
      <c r="K579" s="591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 ht="11.25" customHeight="1">
      <c r="A580" s="7"/>
      <c r="B580" s="5"/>
      <c r="C580" s="6"/>
      <c r="D580" s="6"/>
      <c r="E580" s="6"/>
      <c r="F580" s="6"/>
      <c r="G580" s="6"/>
      <c r="H580" s="6"/>
      <c r="I580" s="6"/>
      <c r="J580" s="11"/>
      <c r="K580" s="591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 ht="11.25" customHeight="1">
      <c r="A581" s="7"/>
      <c r="B581" s="5"/>
      <c r="C581" s="6"/>
      <c r="D581" s="6"/>
      <c r="E581" s="6"/>
      <c r="F581" s="6"/>
      <c r="G581" s="6"/>
      <c r="H581" s="6"/>
      <c r="I581" s="6"/>
      <c r="J581" s="11"/>
      <c r="K581" s="591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 ht="11.25" customHeight="1">
      <c r="A582" s="7"/>
      <c r="B582" s="5"/>
      <c r="C582" s="6"/>
      <c r="D582" s="6"/>
      <c r="E582" s="6"/>
      <c r="F582" s="6"/>
      <c r="G582" s="6"/>
      <c r="H582" s="6"/>
      <c r="I582" s="6"/>
      <c r="J582" s="11"/>
      <c r="K582" s="591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 ht="11.25" customHeight="1">
      <c r="A583" s="7"/>
      <c r="B583" s="5"/>
      <c r="C583" s="6"/>
      <c r="D583" s="6"/>
      <c r="E583" s="6"/>
      <c r="F583" s="6"/>
      <c r="G583" s="6"/>
      <c r="H583" s="6"/>
      <c r="I583" s="6"/>
      <c r="J583" s="11"/>
      <c r="K583" s="591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 ht="11.25" customHeight="1">
      <c r="A584" s="7"/>
      <c r="B584" s="5"/>
      <c r="C584" s="6"/>
      <c r="D584" s="6"/>
      <c r="E584" s="6"/>
      <c r="F584" s="6"/>
      <c r="G584" s="6"/>
      <c r="H584" s="6"/>
      <c r="I584" s="6"/>
      <c r="J584" s="11"/>
      <c r="K584" s="591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 ht="11.25" customHeight="1">
      <c r="A585" s="7"/>
      <c r="B585" s="5"/>
      <c r="C585" s="6"/>
      <c r="D585" s="6"/>
      <c r="E585" s="6"/>
      <c r="F585" s="6"/>
      <c r="G585" s="6"/>
      <c r="H585" s="6"/>
      <c r="I585" s="6"/>
      <c r="J585" s="11"/>
      <c r="K585" s="591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 ht="11.25" customHeight="1">
      <c r="A586" s="7"/>
      <c r="B586" s="5"/>
      <c r="C586" s="6"/>
      <c r="D586" s="6"/>
      <c r="E586" s="6"/>
      <c r="F586" s="6"/>
      <c r="G586" s="6"/>
      <c r="H586" s="6"/>
      <c r="I586" s="6"/>
      <c r="J586" s="11"/>
      <c r="K586" s="591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 ht="11.25" customHeight="1">
      <c r="A587" s="7"/>
      <c r="B587" s="5"/>
      <c r="C587" s="6"/>
      <c r="D587" s="6"/>
      <c r="E587" s="6"/>
      <c r="F587" s="6"/>
      <c r="G587" s="6"/>
      <c r="H587" s="6"/>
      <c r="I587" s="6"/>
      <c r="J587" s="11"/>
      <c r="K587" s="591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 ht="11.25" customHeight="1">
      <c r="A588" s="7"/>
      <c r="B588" s="5"/>
      <c r="C588" s="6"/>
      <c r="D588" s="6"/>
      <c r="E588" s="6"/>
      <c r="F588" s="6"/>
      <c r="G588" s="6"/>
      <c r="H588" s="6"/>
      <c r="I588" s="6"/>
      <c r="J588" s="11"/>
      <c r="K588" s="591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 ht="11.25" customHeight="1">
      <c r="A589" s="7"/>
      <c r="B589" s="5"/>
      <c r="C589" s="6"/>
      <c r="D589" s="6"/>
      <c r="E589" s="6"/>
      <c r="F589" s="6"/>
      <c r="G589" s="6"/>
      <c r="H589" s="6"/>
      <c r="I589" s="6"/>
      <c r="J589" s="11"/>
      <c r="K589" s="591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 ht="11.25" customHeight="1">
      <c r="A590" s="7"/>
      <c r="B590" s="5"/>
      <c r="C590" s="6"/>
      <c r="D590" s="6"/>
      <c r="E590" s="6"/>
      <c r="F590" s="6"/>
      <c r="G590" s="6"/>
      <c r="H590" s="6"/>
      <c r="I590" s="6"/>
      <c r="J590" s="11"/>
      <c r="K590" s="591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 ht="11.25" customHeight="1">
      <c r="A591" s="7"/>
      <c r="B591" s="5"/>
      <c r="C591" s="6"/>
      <c r="D591" s="6"/>
      <c r="E591" s="6"/>
      <c r="F591" s="6"/>
      <c r="G591" s="6"/>
      <c r="H591" s="6"/>
      <c r="I591" s="6"/>
      <c r="J591" s="11"/>
      <c r="K591" s="591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 ht="11.25" customHeight="1">
      <c r="A592" s="7"/>
      <c r="B592" s="5"/>
      <c r="C592" s="6"/>
      <c r="D592" s="6"/>
      <c r="E592" s="6"/>
      <c r="F592" s="6"/>
      <c r="G592" s="6"/>
      <c r="H592" s="6"/>
      <c r="I592" s="6"/>
      <c r="J592" s="11"/>
      <c r="K592" s="591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 ht="11.25" customHeight="1">
      <c r="A593" s="7"/>
      <c r="B593" s="5"/>
      <c r="C593" s="6"/>
      <c r="D593" s="6"/>
      <c r="E593" s="6"/>
      <c r="F593" s="6"/>
      <c r="G593" s="6"/>
      <c r="H593" s="6"/>
      <c r="I593" s="6"/>
      <c r="J593" s="11"/>
      <c r="K593" s="591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 ht="11.25" customHeight="1">
      <c r="A594" s="7"/>
      <c r="B594" s="5"/>
      <c r="C594" s="6"/>
      <c r="D594" s="6"/>
      <c r="E594" s="6"/>
      <c r="F594" s="6"/>
      <c r="G594" s="6"/>
      <c r="H594" s="6"/>
      <c r="I594" s="6"/>
      <c r="J594" s="11"/>
      <c r="K594" s="591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 ht="11.25" customHeight="1">
      <c r="A595" s="7"/>
      <c r="B595" s="5"/>
      <c r="C595" s="6"/>
      <c r="D595" s="6"/>
      <c r="E595" s="6"/>
      <c r="F595" s="6"/>
      <c r="G595" s="6"/>
      <c r="H595" s="6"/>
      <c r="I595" s="6"/>
      <c r="J595" s="11"/>
      <c r="K595" s="591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 ht="11.25" customHeight="1">
      <c r="A596" s="7"/>
      <c r="B596" s="5"/>
      <c r="C596" s="6"/>
      <c r="D596" s="6"/>
      <c r="E596" s="6"/>
      <c r="F596" s="6"/>
      <c r="G596" s="6"/>
      <c r="H596" s="6"/>
      <c r="I596" s="6"/>
      <c r="J596" s="11"/>
      <c r="K596" s="591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 ht="11.25" customHeight="1">
      <c r="A597" s="7"/>
      <c r="B597" s="5"/>
      <c r="C597" s="6"/>
      <c r="D597" s="6"/>
      <c r="E597" s="6"/>
      <c r="F597" s="6"/>
      <c r="G597" s="6"/>
      <c r="H597" s="6"/>
      <c r="I597" s="6"/>
      <c r="J597" s="11"/>
      <c r="K597" s="591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 ht="11.25" customHeight="1">
      <c r="A598" s="7"/>
      <c r="B598" s="5"/>
      <c r="C598" s="6"/>
      <c r="D598" s="6"/>
      <c r="E598" s="6"/>
      <c r="F598" s="6"/>
      <c r="G598" s="6"/>
      <c r="H598" s="6"/>
      <c r="I598" s="6"/>
      <c r="J598" s="11"/>
      <c r="K598" s="591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 ht="11.25" customHeight="1">
      <c r="A599" s="7"/>
      <c r="B599" s="5"/>
      <c r="C599" s="6"/>
      <c r="D599" s="6"/>
      <c r="E599" s="6"/>
      <c r="F599" s="6"/>
      <c r="G599" s="6"/>
      <c r="H599" s="6"/>
      <c r="I599" s="6"/>
      <c r="J599" s="11"/>
      <c r="K599" s="591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 ht="11.25" customHeight="1">
      <c r="A600" s="7"/>
      <c r="B600" s="5"/>
      <c r="C600" s="6"/>
      <c r="D600" s="6"/>
      <c r="E600" s="6"/>
      <c r="F600" s="6"/>
      <c r="G600" s="6"/>
      <c r="H600" s="6"/>
      <c r="I600" s="6"/>
      <c r="J600" s="11"/>
      <c r="K600" s="591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 ht="11.25" customHeight="1">
      <c r="A601" s="7"/>
      <c r="B601" s="5"/>
      <c r="C601" s="6"/>
      <c r="D601" s="6"/>
      <c r="E601" s="6"/>
      <c r="F601" s="6"/>
      <c r="G601" s="6"/>
      <c r="H601" s="6"/>
      <c r="I601" s="6"/>
      <c r="J601" s="11"/>
      <c r="K601" s="591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 ht="11.25" customHeight="1">
      <c r="A602" s="7"/>
      <c r="B602" s="5"/>
      <c r="C602" s="6"/>
      <c r="D602" s="6"/>
      <c r="E602" s="6"/>
      <c r="F602" s="6"/>
      <c r="G602" s="6"/>
      <c r="H602" s="6"/>
      <c r="I602" s="6"/>
      <c r="J602" s="11"/>
      <c r="K602" s="591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 ht="11.25" customHeight="1">
      <c r="A603" s="7"/>
      <c r="B603" s="5"/>
      <c r="C603" s="6"/>
      <c r="D603" s="6"/>
      <c r="E603" s="6"/>
      <c r="F603" s="6"/>
      <c r="G603" s="6"/>
      <c r="H603" s="6"/>
      <c r="I603" s="6"/>
      <c r="J603" s="11"/>
      <c r="K603" s="591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 ht="11.25" customHeight="1">
      <c r="A604" s="7"/>
      <c r="B604" s="5"/>
      <c r="C604" s="6"/>
      <c r="D604" s="6"/>
      <c r="E604" s="6"/>
      <c r="F604" s="6"/>
      <c r="G604" s="6"/>
      <c r="H604" s="6"/>
      <c r="I604" s="6"/>
      <c r="J604" s="11"/>
      <c r="K604" s="591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 ht="11.25" customHeight="1">
      <c r="A605" s="7"/>
      <c r="B605" s="5"/>
      <c r="C605" s="6"/>
      <c r="D605" s="6"/>
      <c r="E605" s="6"/>
      <c r="F605" s="6"/>
      <c r="G605" s="6"/>
      <c r="H605" s="6"/>
      <c r="I605" s="6"/>
      <c r="J605" s="11"/>
      <c r="K605" s="591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 ht="11.25" customHeight="1">
      <c r="A606" s="7"/>
      <c r="B606" s="5"/>
      <c r="C606" s="6"/>
      <c r="D606" s="6"/>
      <c r="E606" s="6"/>
      <c r="F606" s="6"/>
      <c r="G606" s="6"/>
      <c r="H606" s="6"/>
      <c r="I606" s="6"/>
      <c r="J606" s="11"/>
      <c r="K606" s="591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 ht="11.25" customHeight="1">
      <c r="A607" s="7"/>
      <c r="B607" s="5"/>
      <c r="C607" s="6"/>
      <c r="D607" s="6"/>
      <c r="E607" s="6"/>
      <c r="F607" s="6"/>
      <c r="G607" s="6"/>
      <c r="H607" s="6"/>
      <c r="I607" s="6"/>
      <c r="J607" s="11"/>
      <c r="K607" s="591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 ht="11.25" customHeight="1">
      <c r="A608" s="7"/>
      <c r="B608" s="5"/>
      <c r="C608" s="6"/>
      <c r="D608" s="6"/>
      <c r="E608" s="6"/>
      <c r="F608" s="6"/>
      <c r="G608" s="6"/>
      <c r="H608" s="6"/>
      <c r="I608" s="6"/>
      <c r="J608" s="11"/>
      <c r="K608" s="591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 ht="11.25" customHeight="1">
      <c r="A609" s="7"/>
      <c r="B609" s="5"/>
      <c r="C609" s="6"/>
      <c r="D609" s="6"/>
      <c r="E609" s="6"/>
      <c r="F609" s="6"/>
      <c r="G609" s="6"/>
      <c r="H609" s="6"/>
      <c r="I609" s="6"/>
      <c r="J609" s="11"/>
      <c r="K609" s="591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 ht="11.25" customHeight="1">
      <c r="A610" s="7"/>
      <c r="B610" s="5"/>
      <c r="C610" s="6"/>
      <c r="D610" s="6"/>
      <c r="E610" s="6"/>
      <c r="F610" s="6"/>
      <c r="G610" s="6"/>
      <c r="H610" s="6"/>
      <c r="I610" s="6"/>
      <c r="J610" s="11"/>
      <c r="K610" s="591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 ht="11.25" customHeight="1">
      <c r="A611" s="7"/>
      <c r="B611" s="5"/>
      <c r="C611" s="6"/>
      <c r="D611" s="6"/>
      <c r="E611" s="6"/>
      <c r="F611" s="6"/>
      <c r="G611" s="6"/>
      <c r="H611" s="6"/>
      <c r="I611" s="6"/>
      <c r="J611" s="11"/>
      <c r="K611" s="591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 ht="11.25" customHeight="1">
      <c r="A612" s="7"/>
      <c r="B612" s="5"/>
      <c r="C612" s="6"/>
      <c r="D612" s="6"/>
      <c r="E612" s="6"/>
      <c r="F612" s="6"/>
      <c r="G612" s="6"/>
      <c r="H612" s="6"/>
      <c r="I612" s="6"/>
      <c r="J612" s="11"/>
      <c r="K612" s="591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 ht="11.25" customHeight="1">
      <c r="A613" s="7"/>
      <c r="B613" s="5"/>
      <c r="C613" s="6"/>
      <c r="D613" s="6"/>
      <c r="E613" s="6"/>
      <c r="F613" s="6"/>
      <c r="G613" s="6"/>
      <c r="H613" s="6"/>
      <c r="I613" s="6"/>
      <c r="J613" s="11"/>
      <c r="K613" s="591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 ht="11.25" customHeight="1">
      <c r="A614" s="7"/>
      <c r="B614" s="5"/>
      <c r="C614" s="6"/>
      <c r="D614" s="6"/>
      <c r="E614" s="6"/>
      <c r="F614" s="6"/>
      <c r="G614" s="6"/>
      <c r="H614" s="6"/>
      <c r="I614" s="6"/>
      <c r="J614" s="11"/>
      <c r="K614" s="591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 ht="11.25" customHeight="1">
      <c r="A615" s="7"/>
      <c r="B615" s="5"/>
      <c r="C615" s="6"/>
      <c r="D615" s="6"/>
      <c r="E615" s="6"/>
      <c r="F615" s="6"/>
      <c r="G615" s="6"/>
      <c r="H615" s="6"/>
      <c r="I615" s="6"/>
      <c r="J615" s="11"/>
      <c r="K615" s="591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 ht="11.25" customHeight="1">
      <c r="A616" s="7"/>
      <c r="B616" s="5"/>
      <c r="C616" s="6"/>
      <c r="D616" s="6"/>
      <c r="E616" s="6"/>
      <c r="F616" s="6"/>
      <c r="G616" s="6"/>
      <c r="H616" s="6"/>
      <c r="I616" s="6"/>
      <c r="J616" s="11"/>
      <c r="K616" s="591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 ht="11.25" customHeight="1">
      <c r="A617" s="7"/>
      <c r="B617" s="5"/>
      <c r="C617" s="6"/>
      <c r="D617" s="6"/>
      <c r="E617" s="6"/>
      <c r="F617" s="6"/>
      <c r="G617" s="6"/>
      <c r="H617" s="6"/>
      <c r="I617" s="6"/>
      <c r="J617" s="11"/>
      <c r="K617" s="591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 ht="11.25" customHeight="1">
      <c r="A618" s="7"/>
      <c r="B618" s="5"/>
      <c r="C618" s="6"/>
      <c r="D618" s="6"/>
      <c r="E618" s="6"/>
      <c r="F618" s="6"/>
      <c r="G618" s="6"/>
      <c r="H618" s="6"/>
      <c r="I618" s="6"/>
      <c r="J618" s="11"/>
      <c r="K618" s="591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 ht="11.25" customHeight="1">
      <c r="A619" s="7"/>
      <c r="B619" s="5"/>
      <c r="C619" s="6"/>
      <c r="D619" s="6"/>
      <c r="E619" s="6"/>
      <c r="F619" s="6"/>
      <c r="G619" s="6"/>
      <c r="H619" s="6"/>
      <c r="I619" s="6"/>
      <c r="J619" s="11"/>
      <c r="K619" s="591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 ht="11.25" customHeight="1">
      <c r="A620" s="7"/>
      <c r="B620" s="5"/>
      <c r="C620" s="6"/>
      <c r="D620" s="6"/>
      <c r="E620" s="6"/>
      <c r="F620" s="6"/>
      <c r="G620" s="6"/>
      <c r="H620" s="6"/>
      <c r="I620" s="6"/>
      <c r="J620" s="11"/>
      <c r="K620" s="591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 ht="11.25" customHeight="1">
      <c r="A621" s="7"/>
      <c r="B621" s="5"/>
      <c r="C621" s="6"/>
      <c r="D621" s="6"/>
      <c r="E621" s="6"/>
      <c r="F621" s="6"/>
      <c r="G621" s="6"/>
      <c r="H621" s="6"/>
      <c r="I621" s="6"/>
      <c r="J621" s="11"/>
      <c r="K621" s="591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 ht="11.25" customHeight="1">
      <c r="A622" s="7"/>
      <c r="B622" s="5"/>
      <c r="C622" s="6"/>
      <c r="D622" s="6"/>
      <c r="E622" s="6"/>
      <c r="F622" s="6"/>
      <c r="G622" s="6"/>
      <c r="H622" s="6"/>
      <c r="I622" s="6"/>
      <c r="J622" s="11"/>
      <c r="K622" s="591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 ht="11.25" customHeight="1">
      <c r="A623" s="7"/>
      <c r="B623" s="5"/>
      <c r="C623" s="6"/>
      <c r="D623" s="6"/>
      <c r="E623" s="6"/>
      <c r="F623" s="6"/>
      <c r="G623" s="6"/>
      <c r="H623" s="6"/>
      <c r="I623" s="6"/>
      <c r="J623" s="11"/>
      <c r="K623" s="591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 ht="11.25" customHeight="1">
      <c r="A624" s="7"/>
      <c r="B624" s="5"/>
      <c r="C624" s="6"/>
      <c r="D624" s="6"/>
      <c r="E624" s="6"/>
      <c r="F624" s="6"/>
      <c r="G624" s="6"/>
      <c r="H624" s="6"/>
      <c r="I624" s="6"/>
      <c r="J624" s="11"/>
      <c r="K624" s="591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 ht="11.25" customHeight="1">
      <c r="A625" s="7"/>
      <c r="B625" s="5"/>
      <c r="C625" s="6"/>
      <c r="D625" s="6"/>
      <c r="E625" s="6"/>
      <c r="F625" s="6"/>
      <c r="G625" s="6"/>
      <c r="H625" s="6"/>
      <c r="I625" s="6"/>
      <c r="J625" s="11"/>
      <c r="K625" s="591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 ht="11.25" customHeight="1">
      <c r="A626" s="7"/>
      <c r="B626" s="5"/>
      <c r="C626" s="6"/>
      <c r="D626" s="6"/>
      <c r="E626" s="6"/>
      <c r="F626" s="6"/>
      <c r="G626" s="6"/>
      <c r="H626" s="6"/>
      <c r="I626" s="6"/>
      <c r="J626" s="11"/>
      <c r="K626" s="591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 ht="11.25" customHeight="1">
      <c r="A627" s="7"/>
      <c r="B627" s="5"/>
      <c r="C627" s="6"/>
      <c r="D627" s="6"/>
      <c r="E627" s="6"/>
      <c r="F627" s="6"/>
      <c r="G627" s="6"/>
      <c r="H627" s="6"/>
      <c r="I627" s="6"/>
      <c r="J627" s="11"/>
      <c r="K627" s="591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 ht="11.25" customHeight="1">
      <c r="A628" s="7"/>
      <c r="B628" s="5"/>
      <c r="C628" s="6"/>
      <c r="D628" s="6"/>
      <c r="E628" s="6"/>
      <c r="F628" s="6"/>
      <c r="G628" s="6"/>
      <c r="H628" s="6"/>
      <c r="I628" s="6"/>
      <c r="J628" s="11"/>
      <c r="K628" s="591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 ht="11.25" customHeight="1">
      <c r="A629" s="7"/>
      <c r="B629" s="5"/>
      <c r="C629" s="6"/>
      <c r="D629" s="6"/>
      <c r="E629" s="6"/>
      <c r="F629" s="6"/>
      <c r="G629" s="6"/>
      <c r="H629" s="6"/>
      <c r="I629" s="6"/>
      <c r="J629" s="11"/>
      <c r="K629" s="591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 ht="11.25" customHeight="1">
      <c r="A630" s="7"/>
      <c r="B630" s="5"/>
      <c r="C630" s="6"/>
      <c r="D630" s="6"/>
      <c r="E630" s="6"/>
      <c r="F630" s="6"/>
      <c r="G630" s="6"/>
      <c r="H630" s="6"/>
      <c r="I630" s="6"/>
      <c r="J630" s="11"/>
      <c r="K630" s="591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 ht="11.25" customHeight="1">
      <c r="A631" s="7"/>
      <c r="B631" s="5"/>
      <c r="C631" s="6"/>
      <c r="D631" s="6"/>
      <c r="E631" s="6"/>
      <c r="F631" s="6"/>
      <c r="G631" s="6"/>
      <c r="H631" s="6"/>
      <c r="I631" s="6"/>
      <c r="J631" s="11"/>
      <c r="K631" s="591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 ht="11.25" customHeight="1">
      <c r="A632" s="7"/>
      <c r="B632" s="5"/>
      <c r="C632" s="6"/>
      <c r="D632" s="6"/>
      <c r="E632" s="6"/>
      <c r="F632" s="6"/>
      <c r="G632" s="6"/>
      <c r="H632" s="6"/>
      <c r="I632" s="6"/>
      <c r="J632" s="11"/>
      <c r="K632" s="591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 ht="11.25" customHeight="1">
      <c r="A633" s="7"/>
      <c r="B633" s="5"/>
      <c r="C633" s="6"/>
      <c r="D633" s="6"/>
      <c r="E633" s="6"/>
      <c r="F633" s="6"/>
      <c r="G633" s="6"/>
      <c r="H633" s="6"/>
      <c r="I633" s="6"/>
      <c r="J633" s="11"/>
      <c r="K633" s="591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 ht="11.25" customHeight="1">
      <c r="A634" s="7"/>
      <c r="B634" s="5"/>
      <c r="C634" s="6"/>
      <c r="D634" s="6"/>
      <c r="E634" s="6"/>
      <c r="F634" s="6"/>
      <c r="G634" s="6"/>
      <c r="H634" s="6"/>
      <c r="I634" s="6"/>
      <c r="J634" s="11"/>
      <c r="K634" s="591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 ht="11.25" customHeight="1">
      <c r="A635" s="7"/>
      <c r="B635" s="5"/>
      <c r="C635" s="6"/>
      <c r="D635" s="6"/>
      <c r="E635" s="6"/>
      <c r="F635" s="6"/>
      <c r="G635" s="6"/>
      <c r="H635" s="6"/>
      <c r="I635" s="6"/>
      <c r="J635" s="11"/>
      <c r="K635" s="591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 ht="11.25" customHeight="1">
      <c r="A636" s="7"/>
      <c r="B636" s="5"/>
      <c r="C636" s="6"/>
      <c r="D636" s="6"/>
      <c r="E636" s="6"/>
      <c r="F636" s="6"/>
      <c r="G636" s="6"/>
      <c r="H636" s="6"/>
      <c r="I636" s="6"/>
      <c r="J636" s="11"/>
      <c r="K636" s="591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 ht="11.25" customHeight="1">
      <c r="A637" s="7"/>
      <c r="B637" s="5"/>
      <c r="C637" s="6"/>
      <c r="D637" s="6"/>
      <c r="E637" s="6"/>
      <c r="F637" s="6"/>
      <c r="G637" s="6"/>
      <c r="H637" s="6"/>
      <c r="I637" s="6"/>
      <c r="J637" s="11"/>
      <c r="K637" s="591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 ht="11.25" customHeight="1">
      <c r="A638" s="7"/>
      <c r="B638" s="5"/>
      <c r="C638" s="6"/>
      <c r="D638" s="6"/>
      <c r="E638" s="6"/>
      <c r="F638" s="6"/>
      <c r="G638" s="6"/>
      <c r="H638" s="6"/>
      <c r="I638" s="6"/>
      <c r="J638" s="11"/>
      <c r="K638" s="591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 ht="11.25" customHeight="1">
      <c r="A639" s="7"/>
      <c r="B639" s="5"/>
      <c r="C639" s="6"/>
      <c r="D639" s="6"/>
      <c r="E639" s="6"/>
      <c r="F639" s="6"/>
      <c r="G639" s="6"/>
      <c r="H639" s="6"/>
      <c r="I639" s="6"/>
      <c r="J639" s="11"/>
      <c r="K639" s="591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 ht="11.25" customHeight="1">
      <c r="A640" s="7"/>
      <c r="B640" s="5"/>
      <c r="C640" s="6"/>
      <c r="D640" s="6"/>
      <c r="E640" s="6"/>
      <c r="F640" s="6"/>
      <c r="G640" s="6"/>
      <c r="H640" s="6"/>
      <c r="I640" s="6"/>
      <c r="J640" s="11"/>
      <c r="K640" s="591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 ht="11.25" customHeight="1">
      <c r="A641" s="7"/>
      <c r="B641" s="5"/>
      <c r="C641" s="6"/>
      <c r="D641" s="6"/>
      <c r="E641" s="6"/>
      <c r="F641" s="6"/>
      <c r="G641" s="6"/>
      <c r="H641" s="6"/>
      <c r="I641" s="6"/>
      <c r="J641" s="11"/>
      <c r="K641" s="591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 ht="11.25" customHeight="1">
      <c r="A642" s="7"/>
      <c r="B642" s="5"/>
      <c r="C642" s="6"/>
      <c r="D642" s="6"/>
      <c r="E642" s="6"/>
      <c r="F642" s="6"/>
      <c r="G642" s="6"/>
      <c r="H642" s="6"/>
      <c r="I642" s="6"/>
      <c r="J642" s="11"/>
      <c r="K642" s="591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 ht="11.25" customHeight="1">
      <c r="A643" s="7"/>
      <c r="B643" s="5"/>
      <c r="C643" s="6"/>
      <c r="D643" s="6"/>
      <c r="E643" s="6"/>
      <c r="F643" s="6"/>
      <c r="G643" s="6"/>
      <c r="H643" s="6"/>
      <c r="I643" s="6"/>
      <c r="J643" s="11"/>
      <c r="K643" s="591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 ht="11.25" customHeight="1">
      <c r="A644" s="7"/>
      <c r="B644" s="5"/>
      <c r="C644" s="6"/>
      <c r="D644" s="6"/>
      <c r="E644" s="6"/>
      <c r="F644" s="6"/>
      <c r="G644" s="6"/>
      <c r="H644" s="6"/>
      <c r="I644" s="6"/>
      <c r="J644" s="11"/>
      <c r="K644" s="591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 ht="11.25" customHeight="1">
      <c r="A645" s="7"/>
      <c r="B645" s="5"/>
      <c r="C645" s="6"/>
      <c r="D645" s="6"/>
      <c r="E645" s="6"/>
      <c r="F645" s="6"/>
      <c r="G645" s="6"/>
      <c r="H645" s="6"/>
      <c r="I645" s="6"/>
      <c r="J645" s="11"/>
      <c r="K645" s="591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 ht="11.25" customHeight="1">
      <c r="A646" s="7"/>
      <c r="B646" s="5"/>
      <c r="C646" s="6"/>
      <c r="D646" s="6"/>
      <c r="E646" s="6"/>
      <c r="F646" s="6"/>
      <c r="G646" s="6"/>
      <c r="H646" s="6"/>
      <c r="I646" s="6"/>
      <c r="J646" s="11"/>
      <c r="K646" s="591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 ht="11.25" customHeight="1">
      <c r="A647" s="7"/>
      <c r="B647" s="5"/>
      <c r="C647" s="6"/>
      <c r="D647" s="6"/>
      <c r="E647" s="6"/>
      <c r="F647" s="6"/>
      <c r="G647" s="6"/>
      <c r="H647" s="6"/>
      <c r="I647" s="6"/>
      <c r="J647" s="11"/>
      <c r="K647" s="591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 ht="11.25" customHeight="1">
      <c r="A648" s="7"/>
      <c r="B648" s="5"/>
      <c r="C648" s="6"/>
      <c r="D648" s="6"/>
      <c r="E648" s="6"/>
      <c r="F648" s="6"/>
      <c r="G648" s="6"/>
      <c r="H648" s="6"/>
      <c r="I648" s="6"/>
      <c r="J648" s="11"/>
      <c r="K648" s="591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 ht="11.25" customHeight="1">
      <c r="A649" s="7"/>
      <c r="B649" s="5"/>
      <c r="C649" s="6"/>
      <c r="D649" s="6"/>
      <c r="E649" s="6"/>
      <c r="F649" s="6"/>
      <c r="G649" s="6"/>
      <c r="H649" s="6"/>
      <c r="I649" s="6"/>
      <c r="J649" s="11"/>
      <c r="K649" s="591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 ht="11.25" customHeight="1">
      <c r="A650" s="7"/>
      <c r="B650" s="5"/>
      <c r="C650" s="6"/>
      <c r="D650" s="6"/>
      <c r="E650" s="6"/>
      <c r="F650" s="6"/>
      <c r="G650" s="6"/>
      <c r="H650" s="6"/>
      <c r="I650" s="6"/>
      <c r="J650" s="11"/>
      <c r="K650" s="591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 ht="11.25" customHeight="1">
      <c r="A651" s="7"/>
      <c r="B651" s="5"/>
      <c r="C651" s="6"/>
      <c r="D651" s="6"/>
      <c r="E651" s="6"/>
      <c r="F651" s="6"/>
      <c r="G651" s="6"/>
      <c r="H651" s="6"/>
      <c r="I651" s="6"/>
      <c r="J651" s="11"/>
      <c r="K651" s="591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 ht="11.25" customHeight="1">
      <c r="A652" s="7"/>
      <c r="B652" s="5"/>
      <c r="C652" s="6"/>
      <c r="D652" s="6"/>
      <c r="E652" s="6"/>
      <c r="F652" s="6"/>
      <c r="G652" s="6"/>
      <c r="H652" s="6"/>
      <c r="I652" s="6"/>
      <c r="J652" s="11"/>
      <c r="K652" s="591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 ht="11.25" customHeight="1">
      <c r="A653" s="7"/>
      <c r="B653" s="5"/>
      <c r="C653" s="6"/>
      <c r="D653" s="6"/>
      <c r="E653" s="6"/>
      <c r="F653" s="6"/>
      <c r="G653" s="6"/>
      <c r="H653" s="6"/>
      <c r="I653" s="6"/>
      <c r="J653" s="11"/>
      <c r="K653" s="591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 ht="11.25" customHeight="1">
      <c r="A654" s="7"/>
      <c r="B654" s="5"/>
      <c r="C654" s="6"/>
      <c r="D654" s="6"/>
      <c r="E654" s="6"/>
      <c r="F654" s="6"/>
      <c r="G654" s="6"/>
      <c r="H654" s="6"/>
      <c r="I654" s="6"/>
      <c r="J654" s="11"/>
      <c r="K654" s="591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 ht="11.25" customHeight="1">
      <c r="A655" s="7"/>
      <c r="B655" s="5"/>
      <c r="C655" s="6"/>
      <c r="D655" s="6"/>
      <c r="E655" s="6"/>
      <c r="F655" s="6"/>
      <c r="G655" s="6"/>
      <c r="H655" s="6"/>
      <c r="I655" s="6"/>
      <c r="J655" s="11"/>
      <c r="K655" s="591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 ht="11.25" customHeight="1">
      <c r="A656" s="7"/>
      <c r="B656" s="5"/>
      <c r="C656" s="6"/>
      <c r="D656" s="6"/>
      <c r="E656" s="6"/>
      <c r="F656" s="6"/>
      <c r="G656" s="6"/>
      <c r="H656" s="6"/>
      <c r="I656" s="6"/>
      <c r="J656" s="11"/>
      <c r="K656" s="591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 ht="11.25" customHeight="1">
      <c r="A657" s="7"/>
      <c r="B657" s="5"/>
      <c r="C657" s="6"/>
      <c r="D657" s="6"/>
      <c r="E657" s="6"/>
      <c r="F657" s="6"/>
      <c r="G657" s="6"/>
      <c r="H657" s="6"/>
      <c r="I657" s="6"/>
      <c r="J657" s="11"/>
      <c r="K657" s="591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 ht="11.25" customHeight="1">
      <c r="A658" s="7"/>
      <c r="B658" s="5"/>
      <c r="C658" s="6"/>
      <c r="D658" s="6"/>
      <c r="E658" s="6"/>
      <c r="F658" s="6"/>
      <c r="G658" s="6"/>
      <c r="H658" s="6"/>
      <c r="I658" s="6"/>
      <c r="J658" s="11"/>
      <c r="K658" s="591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 ht="11.25" customHeight="1">
      <c r="A659" s="7"/>
      <c r="B659" s="5"/>
      <c r="C659" s="6"/>
      <c r="D659" s="6"/>
      <c r="E659" s="6"/>
      <c r="F659" s="6"/>
      <c r="G659" s="6"/>
      <c r="H659" s="6"/>
      <c r="I659" s="6"/>
      <c r="J659" s="11"/>
      <c r="K659" s="591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 ht="11.25" customHeight="1">
      <c r="A660" s="7"/>
      <c r="B660" s="5"/>
      <c r="C660" s="6"/>
      <c r="D660" s="6"/>
      <c r="E660" s="6"/>
      <c r="F660" s="6"/>
      <c r="G660" s="6"/>
      <c r="H660" s="6"/>
      <c r="I660" s="6"/>
      <c r="J660" s="11"/>
      <c r="K660" s="591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 ht="11.25" customHeight="1">
      <c r="A661" s="7"/>
      <c r="B661" s="5"/>
      <c r="C661" s="6"/>
      <c r="D661" s="6"/>
      <c r="E661" s="6"/>
      <c r="F661" s="6"/>
      <c r="G661" s="6"/>
      <c r="H661" s="6"/>
      <c r="I661" s="6"/>
      <c r="J661" s="11"/>
      <c r="K661" s="591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 ht="11.25" customHeight="1">
      <c r="A662" s="7"/>
      <c r="B662" s="5"/>
      <c r="C662" s="6"/>
      <c r="D662" s="6"/>
      <c r="E662" s="6"/>
      <c r="F662" s="6"/>
      <c r="G662" s="6"/>
      <c r="H662" s="6"/>
      <c r="I662" s="6"/>
      <c r="J662" s="11"/>
      <c r="K662" s="591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 ht="11.25" customHeight="1">
      <c r="A663" s="7"/>
      <c r="B663" s="5"/>
      <c r="C663" s="6"/>
      <c r="D663" s="6"/>
      <c r="E663" s="6"/>
      <c r="F663" s="6"/>
      <c r="G663" s="6"/>
      <c r="H663" s="6"/>
      <c r="I663" s="6"/>
      <c r="J663" s="11"/>
      <c r="K663" s="591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 ht="11.25" customHeight="1">
      <c r="A664" s="7"/>
      <c r="B664" s="5"/>
      <c r="C664" s="6"/>
      <c r="D664" s="6"/>
      <c r="E664" s="6"/>
      <c r="F664" s="6"/>
      <c r="G664" s="6"/>
      <c r="H664" s="6"/>
      <c r="I664" s="6"/>
      <c r="J664" s="11"/>
      <c r="K664" s="591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 ht="11.25" customHeight="1">
      <c r="A665" s="7"/>
      <c r="B665" s="5"/>
      <c r="C665" s="6"/>
      <c r="D665" s="6"/>
      <c r="E665" s="6"/>
      <c r="F665" s="6"/>
      <c r="G665" s="6"/>
      <c r="H665" s="6"/>
      <c r="I665" s="6"/>
      <c r="J665" s="11"/>
      <c r="K665" s="591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 ht="11.25" customHeight="1">
      <c r="A666" s="7"/>
      <c r="B666" s="5"/>
      <c r="C666" s="6"/>
      <c r="D666" s="6"/>
      <c r="E666" s="6"/>
      <c r="F666" s="6"/>
      <c r="G666" s="6"/>
      <c r="H666" s="6"/>
      <c r="I666" s="6"/>
      <c r="J666" s="11"/>
      <c r="K666" s="591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 ht="11.25" customHeight="1">
      <c r="A667" s="7"/>
      <c r="B667" s="5"/>
      <c r="C667" s="6"/>
      <c r="D667" s="6"/>
      <c r="E667" s="6"/>
      <c r="F667" s="6"/>
      <c r="G667" s="6"/>
      <c r="H667" s="6"/>
      <c r="I667" s="6"/>
      <c r="J667" s="11"/>
      <c r="K667" s="591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 ht="11.25" customHeight="1">
      <c r="A668" s="7"/>
      <c r="B668" s="5"/>
      <c r="C668" s="6"/>
      <c r="D668" s="6"/>
      <c r="E668" s="6"/>
      <c r="F668" s="6"/>
      <c r="G668" s="6"/>
      <c r="H668" s="6"/>
      <c r="I668" s="6"/>
      <c r="J668" s="11"/>
      <c r="K668" s="591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 ht="11.25" customHeight="1">
      <c r="A669" s="7"/>
      <c r="B669" s="5"/>
      <c r="C669" s="6"/>
      <c r="D669" s="6"/>
      <c r="E669" s="6"/>
      <c r="F669" s="6"/>
      <c r="G669" s="6"/>
      <c r="H669" s="6"/>
      <c r="I669" s="6"/>
      <c r="J669" s="11"/>
      <c r="K669" s="591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 ht="11.25" customHeight="1">
      <c r="A670" s="7"/>
      <c r="B670" s="5"/>
      <c r="C670" s="6"/>
      <c r="D670" s="6"/>
      <c r="E670" s="6"/>
      <c r="F670" s="6"/>
      <c r="G670" s="6"/>
      <c r="H670" s="6"/>
      <c r="I670" s="6"/>
      <c r="J670" s="11"/>
      <c r="K670" s="591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 ht="11.25" customHeight="1">
      <c r="A671" s="7"/>
      <c r="B671" s="5"/>
      <c r="C671" s="6"/>
      <c r="D671" s="6"/>
      <c r="E671" s="6"/>
      <c r="F671" s="6"/>
      <c r="G671" s="6"/>
      <c r="H671" s="6"/>
      <c r="I671" s="6"/>
      <c r="J671" s="11"/>
      <c r="K671" s="591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 ht="11.25" customHeight="1">
      <c r="A672" s="7"/>
      <c r="B672" s="5"/>
      <c r="C672" s="6"/>
      <c r="D672" s="6"/>
      <c r="E672" s="6"/>
      <c r="F672" s="6"/>
      <c r="G672" s="6"/>
      <c r="H672" s="6"/>
      <c r="I672" s="6"/>
      <c r="J672" s="11"/>
      <c r="K672" s="591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 ht="11.25" customHeight="1">
      <c r="A673" s="7"/>
      <c r="B673" s="5"/>
      <c r="C673" s="6"/>
      <c r="D673" s="6"/>
      <c r="E673" s="6"/>
      <c r="F673" s="6"/>
      <c r="G673" s="6"/>
      <c r="H673" s="6"/>
      <c r="I673" s="6"/>
      <c r="J673" s="11"/>
      <c r="K673" s="591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 ht="11.25" customHeight="1">
      <c r="A674" s="7"/>
      <c r="B674" s="5"/>
      <c r="C674" s="6"/>
      <c r="D674" s="6"/>
      <c r="E674" s="6"/>
      <c r="F674" s="6"/>
      <c r="G674" s="6"/>
      <c r="H674" s="6"/>
      <c r="I674" s="6"/>
      <c r="J674" s="11"/>
      <c r="K674" s="591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 ht="11.25" customHeight="1">
      <c r="A675" s="7"/>
      <c r="B675" s="5"/>
      <c r="C675" s="6"/>
      <c r="D675" s="6"/>
      <c r="E675" s="6"/>
      <c r="F675" s="6"/>
      <c r="G675" s="6"/>
      <c r="H675" s="6"/>
      <c r="I675" s="6"/>
      <c r="J675" s="11"/>
      <c r="K675" s="591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 ht="11.25" customHeight="1">
      <c r="A676" s="7"/>
      <c r="B676" s="5"/>
      <c r="C676" s="6"/>
      <c r="D676" s="6"/>
      <c r="E676" s="6"/>
      <c r="F676" s="6"/>
      <c r="G676" s="6"/>
      <c r="H676" s="6"/>
      <c r="I676" s="6"/>
      <c r="J676" s="11"/>
      <c r="K676" s="591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 ht="11.25" customHeight="1">
      <c r="A677" s="7"/>
      <c r="B677" s="5"/>
      <c r="C677" s="6"/>
      <c r="D677" s="6"/>
      <c r="E677" s="6"/>
      <c r="F677" s="6"/>
      <c r="G677" s="6"/>
      <c r="H677" s="6"/>
      <c r="I677" s="6"/>
      <c r="J677" s="11"/>
      <c r="K677" s="591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 ht="11.25" customHeight="1">
      <c r="A678" s="7"/>
      <c r="B678" s="5"/>
      <c r="C678" s="6"/>
      <c r="D678" s="6"/>
      <c r="E678" s="6"/>
      <c r="F678" s="6"/>
      <c r="G678" s="6"/>
      <c r="H678" s="6"/>
      <c r="I678" s="6"/>
      <c r="J678" s="11"/>
      <c r="K678" s="591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 ht="11.25" customHeight="1">
      <c r="A679" s="7"/>
      <c r="B679" s="5"/>
      <c r="C679" s="6"/>
      <c r="D679" s="6"/>
      <c r="E679" s="6"/>
      <c r="F679" s="6"/>
      <c r="G679" s="6"/>
      <c r="H679" s="6"/>
      <c r="I679" s="6"/>
      <c r="J679" s="11"/>
      <c r="K679" s="591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 ht="11.25" customHeight="1">
      <c r="A680" s="7"/>
      <c r="B680" s="5"/>
      <c r="C680" s="6"/>
      <c r="D680" s="6"/>
      <c r="E680" s="6"/>
      <c r="F680" s="6"/>
      <c r="G680" s="6"/>
      <c r="H680" s="6"/>
      <c r="I680" s="6"/>
      <c r="J680" s="11"/>
      <c r="K680" s="591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 ht="11.25" customHeight="1">
      <c r="A681" s="7"/>
      <c r="B681" s="5"/>
      <c r="C681" s="6"/>
      <c r="D681" s="6"/>
      <c r="E681" s="6"/>
      <c r="F681" s="6"/>
      <c r="G681" s="6"/>
      <c r="H681" s="6"/>
      <c r="I681" s="6"/>
      <c r="J681" s="11"/>
      <c r="K681" s="591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 ht="11.25" customHeight="1">
      <c r="A682" s="7"/>
      <c r="B682" s="5"/>
      <c r="C682" s="6"/>
      <c r="D682" s="6"/>
      <c r="E682" s="6"/>
      <c r="F682" s="6"/>
      <c r="G682" s="6"/>
      <c r="H682" s="6"/>
      <c r="I682" s="6"/>
      <c r="J682" s="11"/>
      <c r="K682" s="591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 ht="11.25" customHeight="1">
      <c r="A683" s="7"/>
      <c r="B683" s="5"/>
      <c r="C683" s="6"/>
      <c r="D683" s="6"/>
      <c r="E683" s="6"/>
      <c r="F683" s="6"/>
      <c r="G683" s="6"/>
      <c r="H683" s="6"/>
      <c r="I683" s="6"/>
      <c r="J683" s="11"/>
      <c r="K683" s="591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 ht="11.25" customHeight="1">
      <c r="A684" s="7"/>
      <c r="B684" s="5"/>
      <c r="C684" s="6"/>
      <c r="D684" s="6"/>
      <c r="E684" s="6"/>
      <c r="F684" s="6"/>
      <c r="G684" s="6"/>
      <c r="H684" s="6"/>
      <c r="I684" s="6"/>
      <c r="J684" s="11"/>
      <c r="K684" s="591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 ht="11.25" customHeight="1">
      <c r="A685" s="7"/>
      <c r="B685" s="5"/>
      <c r="C685" s="6"/>
      <c r="D685" s="6"/>
      <c r="E685" s="6"/>
      <c r="F685" s="6"/>
      <c r="G685" s="6"/>
      <c r="H685" s="6"/>
      <c r="I685" s="6"/>
      <c r="J685" s="11"/>
      <c r="K685" s="591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 ht="11.25" customHeight="1">
      <c r="A686" s="7"/>
      <c r="B686" s="5"/>
      <c r="C686" s="6"/>
      <c r="D686" s="6"/>
      <c r="E686" s="6"/>
      <c r="F686" s="6"/>
      <c r="G686" s="6"/>
      <c r="H686" s="6"/>
      <c r="I686" s="6"/>
      <c r="J686" s="11"/>
      <c r="K686" s="591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 ht="11.25" customHeight="1">
      <c r="A687" s="7"/>
      <c r="B687" s="5"/>
      <c r="C687" s="6"/>
      <c r="D687" s="6"/>
      <c r="E687" s="6"/>
      <c r="F687" s="6"/>
      <c r="G687" s="6"/>
      <c r="H687" s="6"/>
      <c r="I687" s="6"/>
      <c r="J687" s="11"/>
      <c r="K687" s="591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 ht="11.25" customHeight="1">
      <c r="A688" s="7"/>
      <c r="B688" s="5"/>
      <c r="C688" s="6"/>
      <c r="D688" s="6"/>
      <c r="E688" s="6"/>
      <c r="F688" s="6"/>
      <c r="G688" s="6"/>
      <c r="H688" s="6"/>
      <c r="I688" s="6"/>
      <c r="J688" s="11"/>
      <c r="K688" s="591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 ht="11.25" customHeight="1">
      <c r="A689" s="7"/>
      <c r="B689" s="5"/>
      <c r="C689" s="6"/>
      <c r="D689" s="6"/>
      <c r="E689" s="6"/>
      <c r="F689" s="6"/>
      <c r="G689" s="6"/>
      <c r="H689" s="6"/>
      <c r="I689" s="6"/>
      <c r="J689" s="11"/>
      <c r="K689" s="591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 ht="11.25" customHeight="1">
      <c r="A690" s="7"/>
      <c r="B690" s="5"/>
      <c r="C690" s="6"/>
      <c r="D690" s="6"/>
      <c r="E690" s="6"/>
      <c r="F690" s="6"/>
      <c r="G690" s="6"/>
      <c r="H690" s="6"/>
      <c r="I690" s="6"/>
      <c r="J690" s="11"/>
      <c r="K690" s="591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 ht="11.25" customHeight="1">
      <c r="A691" s="7"/>
      <c r="B691" s="5"/>
      <c r="C691" s="6"/>
      <c r="D691" s="6"/>
      <c r="E691" s="6"/>
      <c r="F691" s="6"/>
      <c r="G691" s="6"/>
      <c r="H691" s="6"/>
      <c r="I691" s="6"/>
      <c r="J691" s="11"/>
      <c r="K691" s="591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 ht="11.25" customHeight="1">
      <c r="A692" s="7"/>
      <c r="B692" s="5"/>
      <c r="C692" s="6"/>
      <c r="D692" s="6"/>
      <c r="E692" s="6"/>
      <c r="F692" s="6"/>
      <c r="G692" s="6"/>
      <c r="H692" s="6"/>
      <c r="I692" s="6"/>
      <c r="J692" s="11"/>
      <c r="K692" s="591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 ht="11.25" customHeight="1">
      <c r="A693" s="7"/>
      <c r="B693" s="5"/>
      <c r="C693" s="6"/>
      <c r="D693" s="6"/>
      <c r="E693" s="6"/>
      <c r="F693" s="6"/>
      <c r="G693" s="6"/>
      <c r="H693" s="6"/>
      <c r="I693" s="6"/>
      <c r="J693" s="11"/>
      <c r="K693" s="591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 ht="11.25" customHeight="1">
      <c r="A694" s="7"/>
      <c r="B694" s="5"/>
      <c r="C694" s="6"/>
      <c r="D694" s="6"/>
      <c r="E694" s="6"/>
      <c r="F694" s="6"/>
      <c r="G694" s="6"/>
      <c r="H694" s="6"/>
      <c r="I694" s="6"/>
      <c r="J694" s="11"/>
      <c r="K694" s="591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 ht="11.25" customHeight="1">
      <c r="A695" s="7"/>
      <c r="B695" s="5"/>
      <c r="C695" s="6"/>
      <c r="D695" s="6"/>
      <c r="E695" s="6"/>
      <c r="F695" s="6"/>
      <c r="G695" s="6"/>
      <c r="H695" s="6"/>
      <c r="I695" s="6"/>
      <c r="J695" s="11"/>
      <c r="K695" s="591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 ht="11.25" customHeight="1">
      <c r="A696" s="7"/>
      <c r="B696" s="5"/>
      <c r="C696" s="6"/>
      <c r="D696" s="6"/>
      <c r="E696" s="6"/>
      <c r="F696" s="6"/>
      <c r="G696" s="6"/>
      <c r="H696" s="6"/>
      <c r="I696" s="6"/>
      <c r="J696" s="11"/>
      <c r="K696" s="591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 ht="11.25" customHeight="1">
      <c r="A697" s="7"/>
      <c r="B697" s="5"/>
      <c r="C697" s="6"/>
      <c r="D697" s="6"/>
      <c r="E697" s="6"/>
      <c r="F697" s="6"/>
      <c r="G697" s="6"/>
      <c r="H697" s="6"/>
      <c r="I697" s="6"/>
      <c r="J697" s="11"/>
      <c r="K697" s="591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 ht="11.25" customHeight="1">
      <c r="A698" s="7"/>
      <c r="B698" s="5"/>
      <c r="C698" s="6"/>
      <c r="D698" s="6"/>
      <c r="E698" s="6"/>
      <c r="F698" s="6"/>
      <c r="G698" s="6"/>
      <c r="H698" s="6"/>
      <c r="I698" s="6"/>
      <c r="J698" s="11"/>
      <c r="K698" s="591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 ht="11.25" customHeight="1">
      <c r="A699" s="7"/>
      <c r="B699" s="5"/>
      <c r="C699" s="6"/>
      <c r="D699" s="6"/>
      <c r="E699" s="6"/>
      <c r="F699" s="6"/>
      <c r="G699" s="6"/>
      <c r="H699" s="6"/>
      <c r="I699" s="6"/>
      <c r="J699" s="11"/>
      <c r="K699" s="591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 ht="11.25" customHeight="1">
      <c r="A700" s="7"/>
      <c r="B700" s="5"/>
      <c r="C700" s="6"/>
      <c r="D700" s="6"/>
      <c r="E700" s="6"/>
      <c r="F700" s="6"/>
      <c r="G700" s="6"/>
      <c r="H700" s="6"/>
      <c r="I700" s="6"/>
      <c r="J700" s="11"/>
      <c r="K700" s="591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 ht="11.25" customHeight="1">
      <c r="A701" s="7"/>
      <c r="B701" s="5"/>
      <c r="C701" s="6"/>
      <c r="D701" s="6"/>
      <c r="E701" s="6"/>
      <c r="F701" s="6"/>
      <c r="G701" s="6"/>
      <c r="H701" s="6"/>
      <c r="I701" s="6"/>
      <c r="J701" s="11"/>
      <c r="K701" s="591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 ht="11.25" customHeight="1">
      <c r="A702" s="7"/>
      <c r="B702" s="5"/>
      <c r="C702" s="6"/>
      <c r="D702" s="6"/>
      <c r="E702" s="6"/>
      <c r="F702" s="6"/>
      <c r="G702" s="6"/>
      <c r="H702" s="6"/>
      <c r="I702" s="6"/>
      <c r="J702" s="11"/>
      <c r="K702" s="591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 ht="11.25" customHeight="1">
      <c r="A703" s="7"/>
      <c r="B703" s="5"/>
      <c r="C703" s="6"/>
      <c r="D703" s="6"/>
      <c r="E703" s="6"/>
      <c r="F703" s="6"/>
      <c r="G703" s="6"/>
      <c r="H703" s="6"/>
      <c r="I703" s="6"/>
      <c r="J703" s="11"/>
      <c r="K703" s="591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 ht="11.25" customHeight="1">
      <c r="A704" s="7"/>
      <c r="B704" s="5"/>
      <c r="C704" s="6"/>
      <c r="D704" s="6"/>
      <c r="E704" s="6"/>
      <c r="F704" s="6"/>
      <c r="G704" s="6"/>
      <c r="H704" s="6"/>
      <c r="I704" s="6"/>
      <c r="J704" s="11"/>
      <c r="K704" s="591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 ht="11.25" customHeight="1">
      <c r="A705" s="7"/>
      <c r="B705" s="5"/>
      <c r="C705" s="6"/>
      <c r="D705" s="6"/>
      <c r="E705" s="6"/>
      <c r="F705" s="6"/>
      <c r="G705" s="6"/>
      <c r="H705" s="6"/>
      <c r="I705" s="6"/>
      <c r="J705" s="11"/>
      <c r="K705" s="591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 ht="11.25" customHeight="1">
      <c r="A706" s="7"/>
      <c r="B706" s="5"/>
      <c r="C706" s="6"/>
      <c r="D706" s="6"/>
      <c r="E706" s="6"/>
      <c r="F706" s="6"/>
      <c r="G706" s="6"/>
      <c r="H706" s="6"/>
      <c r="I706" s="6"/>
      <c r="J706" s="11"/>
      <c r="K706" s="591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 ht="11.25" customHeight="1">
      <c r="A707" s="7"/>
      <c r="B707" s="5"/>
      <c r="C707" s="6"/>
      <c r="D707" s="6"/>
      <c r="E707" s="6"/>
      <c r="F707" s="6"/>
      <c r="G707" s="6"/>
      <c r="H707" s="6"/>
      <c r="I707" s="6"/>
      <c r="J707" s="11"/>
      <c r="K707" s="591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 ht="11.25" customHeight="1">
      <c r="A708" s="7"/>
      <c r="B708" s="5"/>
      <c r="C708" s="6"/>
      <c r="D708" s="6"/>
      <c r="E708" s="6"/>
      <c r="F708" s="6"/>
      <c r="G708" s="6"/>
      <c r="H708" s="6"/>
      <c r="I708" s="6"/>
      <c r="J708" s="11"/>
      <c r="K708" s="591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 ht="11.25" customHeight="1">
      <c r="A709" s="7"/>
      <c r="B709" s="5"/>
      <c r="C709" s="6"/>
      <c r="D709" s="6"/>
      <c r="E709" s="6"/>
      <c r="F709" s="6"/>
      <c r="G709" s="6"/>
      <c r="H709" s="6"/>
      <c r="I709" s="6"/>
      <c r="J709" s="11"/>
      <c r="K709" s="591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 ht="11.25" customHeight="1">
      <c r="A710" s="7"/>
      <c r="B710" s="5"/>
      <c r="C710" s="6"/>
      <c r="D710" s="6"/>
      <c r="E710" s="6"/>
      <c r="F710" s="6"/>
      <c r="G710" s="6"/>
      <c r="H710" s="6"/>
      <c r="I710" s="6"/>
      <c r="J710" s="11"/>
      <c r="K710" s="591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 ht="11.25" customHeight="1">
      <c r="A711" s="7"/>
      <c r="B711" s="5"/>
      <c r="C711" s="6"/>
      <c r="D711" s="6"/>
      <c r="E711" s="6"/>
      <c r="F711" s="6"/>
      <c r="G711" s="6"/>
      <c r="H711" s="6"/>
      <c r="I711" s="6"/>
      <c r="J711" s="11"/>
      <c r="K711" s="591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 ht="11.25" customHeight="1">
      <c r="A712" s="7"/>
      <c r="B712" s="5"/>
      <c r="C712" s="6"/>
      <c r="D712" s="6"/>
      <c r="E712" s="6"/>
      <c r="F712" s="6"/>
      <c r="G712" s="6"/>
      <c r="H712" s="6"/>
      <c r="I712" s="6"/>
      <c r="J712" s="11"/>
      <c r="K712" s="591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 ht="11.25" customHeight="1">
      <c r="A713" s="7"/>
      <c r="B713" s="5"/>
      <c r="C713" s="6"/>
      <c r="D713" s="6"/>
      <c r="E713" s="6"/>
      <c r="F713" s="6"/>
      <c r="G713" s="6"/>
      <c r="H713" s="6"/>
      <c r="I713" s="6"/>
      <c r="J713" s="11"/>
      <c r="K713" s="591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 ht="11.25" customHeight="1">
      <c r="A714" s="7"/>
      <c r="B714" s="5"/>
      <c r="C714" s="6"/>
      <c r="D714" s="6"/>
      <c r="E714" s="6"/>
      <c r="F714" s="6"/>
      <c r="G714" s="6"/>
      <c r="H714" s="6"/>
      <c r="I714" s="6"/>
      <c r="J714" s="11"/>
      <c r="K714" s="591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 ht="11.25" customHeight="1">
      <c r="A715" s="7"/>
      <c r="B715" s="5"/>
      <c r="C715" s="6"/>
      <c r="D715" s="6"/>
      <c r="E715" s="6"/>
      <c r="F715" s="6"/>
      <c r="G715" s="6"/>
      <c r="H715" s="6"/>
      <c r="I715" s="6"/>
      <c r="J715" s="11"/>
      <c r="K715" s="591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 ht="11.25" customHeight="1">
      <c r="A716" s="7"/>
      <c r="B716" s="5"/>
      <c r="C716" s="6"/>
      <c r="D716" s="6"/>
      <c r="E716" s="6"/>
      <c r="F716" s="6"/>
      <c r="G716" s="6"/>
      <c r="H716" s="6"/>
      <c r="I716" s="6"/>
      <c r="J716" s="11"/>
      <c r="K716" s="591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 ht="11.25" customHeight="1">
      <c r="A717" s="7"/>
      <c r="B717" s="5"/>
      <c r="C717" s="6"/>
      <c r="D717" s="6"/>
      <c r="E717" s="6"/>
      <c r="F717" s="6"/>
      <c r="G717" s="6"/>
      <c r="H717" s="6"/>
      <c r="I717" s="6"/>
      <c r="J717" s="11"/>
      <c r="K717" s="591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 ht="11.25" customHeight="1">
      <c r="A718" s="7"/>
      <c r="B718" s="5"/>
      <c r="C718" s="6"/>
      <c r="D718" s="6"/>
      <c r="E718" s="6"/>
      <c r="F718" s="6"/>
      <c r="G718" s="6"/>
      <c r="H718" s="6"/>
      <c r="I718" s="6"/>
      <c r="J718" s="11"/>
      <c r="K718" s="591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 ht="11.25" customHeight="1">
      <c r="A719" s="7"/>
      <c r="B719" s="5"/>
      <c r="C719" s="6"/>
      <c r="D719" s="6"/>
      <c r="E719" s="6"/>
      <c r="F719" s="6"/>
      <c r="G719" s="6"/>
      <c r="H719" s="6"/>
      <c r="I719" s="6"/>
      <c r="J719" s="11"/>
      <c r="K719" s="591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 ht="11.25" customHeight="1">
      <c r="A720" s="7"/>
      <c r="B720" s="5"/>
      <c r="C720" s="6"/>
      <c r="D720" s="6"/>
      <c r="E720" s="6"/>
      <c r="F720" s="6"/>
      <c r="G720" s="6"/>
      <c r="H720" s="6"/>
      <c r="I720" s="6"/>
      <c r="J720" s="11"/>
      <c r="K720" s="591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 ht="11.25" customHeight="1">
      <c r="A721" s="7"/>
      <c r="B721" s="5"/>
      <c r="C721" s="6"/>
      <c r="D721" s="6"/>
      <c r="E721" s="6"/>
      <c r="F721" s="6"/>
      <c r="G721" s="6"/>
      <c r="H721" s="6"/>
      <c r="I721" s="6"/>
      <c r="J721" s="11"/>
      <c r="K721" s="591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 ht="11.25" customHeight="1">
      <c r="A722" s="7"/>
      <c r="B722" s="5"/>
      <c r="C722" s="6"/>
      <c r="D722" s="6"/>
      <c r="E722" s="6"/>
      <c r="F722" s="6"/>
      <c r="G722" s="6"/>
      <c r="H722" s="6"/>
      <c r="I722" s="6"/>
      <c r="J722" s="11"/>
      <c r="K722" s="591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 ht="11.25" customHeight="1">
      <c r="A723" s="7"/>
      <c r="B723" s="5"/>
      <c r="C723" s="6"/>
      <c r="D723" s="6"/>
      <c r="E723" s="6"/>
      <c r="F723" s="6"/>
      <c r="G723" s="6"/>
      <c r="H723" s="6"/>
      <c r="I723" s="6"/>
      <c r="J723" s="11"/>
      <c r="K723" s="591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 ht="11.25" customHeight="1">
      <c r="A724" s="7"/>
      <c r="B724" s="5"/>
      <c r="C724" s="6"/>
      <c r="D724" s="6"/>
      <c r="E724" s="6"/>
      <c r="F724" s="6"/>
      <c r="G724" s="6"/>
      <c r="H724" s="6"/>
      <c r="I724" s="6"/>
      <c r="J724" s="11"/>
      <c r="K724" s="591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 ht="11.25" customHeight="1">
      <c r="A725" s="7"/>
      <c r="B725" s="5"/>
      <c r="C725" s="6"/>
      <c r="D725" s="6"/>
      <c r="E725" s="6"/>
      <c r="F725" s="6"/>
      <c r="G725" s="6"/>
      <c r="H725" s="6"/>
      <c r="I725" s="6"/>
      <c r="J725" s="11"/>
      <c r="K725" s="591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 ht="11.25" customHeight="1">
      <c r="A726" s="7"/>
      <c r="B726" s="5"/>
      <c r="C726" s="6"/>
      <c r="D726" s="6"/>
      <c r="E726" s="6"/>
      <c r="F726" s="6"/>
      <c r="G726" s="6"/>
      <c r="H726" s="6"/>
      <c r="I726" s="6"/>
      <c r="J726" s="11"/>
      <c r="K726" s="591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 ht="11.25" customHeight="1">
      <c r="A727" s="7"/>
      <c r="B727" s="5"/>
      <c r="C727" s="6"/>
      <c r="D727" s="6"/>
      <c r="E727" s="6"/>
      <c r="F727" s="6"/>
      <c r="G727" s="6"/>
      <c r="H727" s="6"/>
      <c r="I727" s="6"/>
      <c r="J727" s="11"/>
      <c r="K727" s="591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 ht="11.25" customHeight="1">
      <c r="A728" s="7"/>
      <c r="B728" s="5"/>
      <c r="C728" s="6"/>
      <c r="D728" s="6"/>
      <c r="E728" s="6"/>
      <c r="F728" s="6"/>
      <c r="G728" s="6"/>
      <c r="H728" s="6"/>
      <c r="I728" s="6"/>
      <c r="J728" s="11"/>
      <c r="K728" s="591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 ht="11.25" customHeight="1">
      <c r="A729" s="7"/>
      <c r="B729" s="5"/>
      <c r="C729" s="6"/>
      <c r="D729" s="6"/>
      <c r="E729" s="6"/>
      <c r="F729" s="6"/>
      <c r="G729" s="6"/>
      <c r="H729" s="6"/>
      <c r="I729" s="6"/>
      <c r="J729" s="11"/>
      <c r="K729" s="591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 ht="11.25" customHeight="1">
      <c r="A730" s="7"/>
      <c r="B730" s="5"/>
      <c r="C730" s="6"/>
      <c r="D730" s="6"/>
      <c r="E730" s="6"/>
      <c r="F730" s="6"/>
      <c r="G730" s="6"/>
      <c r="H730" s="6"/>
      <c r="I730" s="6"/>
      <c r="J730" s="11"/>
      <c r="K730" s="591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 ht="11.25" customHeight="1">
      <c r="A731" s="7"/>
      <c r="B731" s="5"/>
      <c r="C731" s="6"/>
      <c r="D731" s="6"/>
      <c r="E731" s="6"/>
      <c r="F731" s="6"/>
      <c r="G731" s="6"/>
      <c r="H731" s="6"/>
      <c r="I731" s="6"/>
      <c r="J731" s="11"/>
      <c r="K731" s="591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 ht="11.25" customHeight="1">
      <c r="A732" s="7"/>
      <c r="B732" s="5"/>
      <c r="C732" s="6"/>
      <c r="D732" s="6"/>
      <c r="E732" s="6"/>
      <c r="F732" s="6"/>
      <c r="G732" s="6"/>
      <c r="H732" s="6"/>
      <c r="I732" s="6"/>
      <c r="J732" s="11"/>
      <c r="K732" s="591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 ht="11.25" customHeight="1">
      <c r="A733" s="7"/>
      <c r="B733" s="5"/>
      <c r="C733" s="6"/>
      <c r="D733" s="6"/>
      <c r="E733" s="6"/>
      <c r="F733" s="6"/>
      <c r="G733" s="6"/>
      <c r="H733" s="6"/>
      <c r="I733" s="6"/>
      <c r="J733" s="11"/>
      <c r="K733" s="591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 ht="11.25" customHeight="1">
      <c r="A734" s="7"/>
      <c r="B734" s="5"/>
      <c r="C734" s="6"/>
      <c r="D734" s="6"/>
      <c r="E734" s="6"/>
      <c r="F734" s="6"/>
      <c r="G734" s="6"/>
      <c r="H734" s="6"/>
      <c r="I734" s="6"/>
      <c r="J734" s="11"/>
      <c r="K734" s="591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 ht="11.25" customHeight="1">
      <c r="A735" s="7"/>
      <c r="B735" s="5"/>
      <c r="C735" s="6"/>
      <c r="D735" s="6"/>
      <c r="E735" s="6"/>
      <c r="F735" s="6"/>
      <c r="G735" s="6"/>
      <c r="H735" s="6"/>
      <c r="I735" s="6"/>
      <c r="J735" s="11"/>
      <c r="K735" s="591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 ht="11.25" customHeight="1">
      <c r="A736" s="7"/>
      <c r="B736" s="5"/>
      <c r="C736" s="6"/>
      <c r="D736" s="6"/>
      <c r="E736" s="6"/>
      <c r="F736" s="6"/>
      <c r="G736" s="6"/>
      <c r="H736" s="6"/>
      <c r="I736" s="6"/>
      <c r="J736" s="11"/>
      <c r="K736" s="591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 ht="11.25" customHeight="1">
      <c r="A737" s="7"/>
      <c r="B737" s="5"/>
      <c r="C737" s="6"/>
      <c r="D737" s="6"/>
      <c r="E737" s="6"/>
      <c r="F737" s="6"/>
      <c r="G737" s="6"/>
      <c r="H737" s="6"/>
      <c r="I737" s="6"/>
      <c r="J737" s="11"/>
      <c r="K737" s="591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 ht="11.25" customHeight="1">
      <c r="A738" s="7"/>
      <c r="B738" s="5"/>
      <c r="C738" s="6"/>
      <c r="D738" s="6"/>
      <c r="E738" s="6"/>
      <c r="F738" s="6"/>
      <c r="G738" s="6"/>
      <c r="H738" s="6"/>
      <c r="I738" s="6"/>
      <c r="J738" s="11"/>
      <c r="K738" s="591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 ht="11.25" customHeight="1">
      <c r="A739" s="7"/>
      <c r="B739" s="5"/>
      <c r="C739" s="6"/>
      <c r="D739" s="6"/>
      <c r="E739" s="6"/>
      <c r="F739" s="6"/>
      <c r="G739" s="6"/>
      <c r="H739" s="6"/>
      <c r="I739" s="6"/>
      <c r="J739" s="11"/>
      <c r="K739" s="591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 ht="11.25" customHeight="1">
      <c r="A740" s="7"/>
      <c r="B740" s="5"/>
      <c r="C740" s="6"/>
      <c r="D740" s="6"/>
      <c r="E740" s="6"/>
      <c r="F740" s="6"/>
      <c r="G740" s="6"/>
      <c r="H740" s="6"/>
      <c r="I740" s="6"/>
      <c r="J740" s="11"/>
      <c r="K740" s="591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 ht="11.25" customHeight="1">
      <c r="A741" s="7"/>
      <c r="B741" s="5"/>
      <c r="C741" s="6"/>
      <c r="D741" s="6"/>
      <c r="E741" s="6"/>
      <c r="F741" s="6"/>
      <c r="G741" s="6"/>
      <c r="H741" s="6"/>
      <c r="I741" s="6"/>
      <c r="J741" s="11"/>
      <c r="K741" s="591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 ht="11.25" customHeight="1">
      <c r="A742" s="7"/>
      <c r="B742" s="5"/>
      <c r="C742" s="6"/>
      <c r="D742" s="6"/>
      <c r="E742" s="6"/>
      <c r="F742" s="6"/>
      <c r="G742" s="6"/>
      <c r="H742" s="6"/>
      <c r="I742" s="6"/>
      <c r="J742" s="11"/>
      <c r="K742" s="591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 ht="11.25" customHeight="1">
      <c r="A743" s="7"/>
      <c r="B743" s="5"/>
      <c r="C743" s="6"/>
      <c r="D743" s="6"/>
      <c r="E743" s="6"/>
      <c r="F743" s="6"/>
      <c r="G743" s="6"/>
      <c r="H743" s="6"/>
      <c r="I743" s="6"/>
      <c r="J743" s="11"/>
      <c r="K743" s="591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 ht="11.25" customHeight="1">
      <c r="A744" s="7"/>
      <c r="B744" s="5"/>
      <c r="C744" s="6"/>
      <c r="D744" s="6"/>
      <c r="E744" s="6"/>
      <c r="F744" s="6"/>
      <c r="G744" s="6"/>
      <c r="H744" s="6"/>
      <c r="I744" s="6"/>
      <c r="J744" s="11"/>
      <c r="K744" s="591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 ht="11.25" customHeight="1">
      <c r="A745" s="7"/>
      <c r="B745" s="5"/>
      <c r="C745" s="6"/>
      <c r="D745" s="6"/>
      <c r="E745" s="6"/>
      <c r="F745" s="6"/>
      <c r="G745" s="6"/>
      <c r="H745" s="6"/>
      <c r="I745" s="6"/>
      <c r="J745" s="11"/>
      <c r="K745" s="591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 ht="11.25" customHeight="1">
      <c r="A746" s="7"/>
      <c r="B746" s="5"/>
      <c r="C746" s="6"/>
      <c r="D746" s="6"/>
      <c r="E746" s="6"/>
      <c r="F746" s="6"/>
      <c r="G746" s="6"/>
      <c r="H746" s="6"/>
      <c r="I746" s="6"/>
      <c r="J746" s="11"/>
      <c r="K746" s="591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 ht="11.25" customHeight="1">
      <c r="A747" s="7"/>
      <c r="B747" s="5"/>
      <c r="C747" s="6"/>
      <c r="D747" s="6"/>
      <c r="E747" s="6"/>
      <c r="F747" s="6"/>
      <c r="G747" s="6"/>
      <c r="H747" s="6"/>
      <c r="I747" s="6"/>
      <c r="J747" s="11"/>
      <c r="K747" s="591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 ht="11.25" customHeight="1">
      <c r="A748" s="7"/>
      <c r="B748" s="5"/>
      <c r="C748" s="6"/>
      <c r="D748" s="6"/>
      <c r="E748" s="6"/>
      <c r="F748" s="6"/>
      <c r="G748" s="6"/>
      <c r="H748" s="6"/>
      <c r="I748" s="6"/>
      <c r="J748" s="11"/>
      <c r="K748" s="591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 ht="11.25" customHeight="1">
      <c r="A749" s="7"/>
      <c r="B749" s="5"/>
      <c r="C749" s="6"/>
      <c r="D749" s="6"/>
      <c r="E749" s="6"/>
      <c r="F749" s="6"/>
      <c r="G749" s="6"/>
      <c r="H749" s="6"/>
      <c r="I749" s="6"/>
      <c r="J749" s="11"/>
      <c r="K749" s="591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 ht="11.25" customHeight="1">
      <c r="A750" s="7"/>
      <c r="B750" s="5"/>
      <c r="C750" s="6"/>
      <c r="D750" s="6"/>
      <c r="E750" s="6"/>
      <c r="F750" s="6"/>
      <c r="G750" s="6"/>
      <c r="H750" s="6"/>
      <c r="I750" s="6"/>
      <c r="J750" s="11"/>
      <c r="K750" s="591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 ht="11.25" customHeight="1">
      <c r="A751" s="7"/>
      <c r="B751" s="5"/>
      <c r="C751" s="6"/>
      <c r="D751" s="6"/>
      <c r="E751" s="6"/>
      <c r="F751" s="6"/>
      <c r="G751" s="6"/>
      <c r="H751" s="6"/>
      <c r="I751" s="6"/>
      <c r="J751" s="11"/>
      <c r="K751" s="591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 ht="11.25" customHeight="1">
      <c r="A752" s="7"/>
      <c r="B752" s="5"/>
      <c r="C752" s="6"/>
      <c r="D752" s="6"/>
      <c r="E752" s="6"/>
      <c r="F752" s="6"/>
      <c r="G752" s="6"/>
      <c r="H752" s="6"/>
      <c r="I752" s="6"/>
      <c r="J752" s="11"/>
      <c r="K752" s="591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 ht="11.25" customHeight="1">
      <c r="A753" s="7"/>
      <c r="B753" s="5"/>
      <c r="C753" s="6"/>
      <c r="D753" s="6"/>
      <c r="E753" s="6"/>
      <c r="F753" s="6"/>
      <c r="G753" s="6"/>
      <c r="H753" s="6"/>
      <c r="I753" s="6"/>
      <c r="J753" s="11"/>
      <c r="K753" s="591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 ht="11.25" customHeight="1">
      <c r="A754" s="7"/>
      <c r="B754" s="5"/>
      <c r="C754" s="6"/>
      <c r="D754" s="6"/>
      <c r="E754" s="6"/>
      <c r="F754" s="6"/>
      <c r="G754" s="6"/>
      <c r="H754" s="6"/>
      <c r="I754" s="6"/>
      <c r="J754" s="11"/>
      <c r="K754" s="591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 ht="11.25" customHeight="1">
      <c r="A755" s="7"/>
      <c r="B755" s="5"/>
      <c r="C755" s="6"/>
      <c r="D755" s="6"/>
      <c r="E755" s="6"/>
      <c r="F755" s="6"/>
      <c r="G755" s="6"/>
      <c r="H755" s="6"/>
      <c r="I755" s="6"/>
      <c r="J755" s="11"/>
      <c r="K755" s="591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 ht="11.25" customHeight="1">
      <c r="A756" s="7"/>
      <c r="B756" s="5"/>
      <c r="C756" s="6"/>
      <c r="D756" s="6"/>
      <c r="E756" s="6"/>
      <c r="F756" s="6"/>
      <c r="G756" s="6"/>
      <c r="H756" s="6"/>
      <c r="I756" s="6"/>
      <c r="J756" s="11"/>
      <c r="K756" s="591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 ht="11.25" customHeight="1">
      <c r="A757" s="7"/>
      <c r="B757" s="5"/>
      <c r="C757" s="6"/>
      <c r="D757" s="6"/>
      <c r="E757" s="6"/>
      <c r="F757" s="6"/>
      <c r="G757" s="6"/>
      <c r="H757" s="6"/>
      <c r="I757" s="6"/>
      <c r="J757" s="11"/>
      <c r="K757" s="591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 ht="11.25" customHeight="1">
      <c r="A758" s="7"/>
      <c r="B758" s="5"/>
      <c r="C758" s="6"/>
      <c r="D758" s="6"/>
      <c r="E758" s="6"/>
      <c r="F758" s="6"/>
      <c r="G758" s="6"/>
      <c r="H758" s="6"/>
      <c r="I758" s="6"/>
      <c r="J758" s="11"/>
      <c r="K758" s="591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 ht="11.25" customHeight="1">
      <c r="A759" s="7"/>
      <c r="B759" s="5"/>
      <c r="C759" s="6"/>
      <c r="D759" s="6"/>
      <c r="E759" s="6"/>
      <c r="F759" s="6"/>
      <c r="G759" s="6"/>
      <c r="H759" s="6"/>
      <c r="I759" s="6"/>
      <c r="J759" s="11"/>
      <c r="K759" s="591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 ht="11.25" customHeight="1">
      <c r="A760" s="7"/>
      <c r="B760" s="5"/>
      <c r="C760" s="6"/>
      <c r="D760" s="6"/>
      <c r="E760" s="6"/>
      <c r="F760" s="6"/>
      <c r="G760" s="6"/>
      <c r="H760" s="6"/>
      <c r="I760" s="6"/>
      <c r="J760" s="11"/>
      <c r="K760" s="591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 ht="11.25" customHeight="1">
      <c r="A761" s="7"/>
      <c r="B761" s="5"/>
      <c r="C761" s="6"/>
      <c r="D761" s="6"/>
      <c r="E761" s="6"/>
      <c r="F761" s="6"/>
      <c r="G761" s="6"/>
      <c r="H761" s="6"/>
      <c r="I761" s="6"/>
      <c r="J761" s="11"/>
      <c r="K761" s="591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 ht="11.25" customHeight="1">
      <c r="A762" s="7"/>
      <c r="B762" s="5"/>
      <c r="C762" s="6"/>
      <c r="D762" s="6"/>
      <c r="E762" s="6"/>
      <c r="F762" s="6"/>
      <c r="G762" s="6"/>
      <c r="H762" s="6"/>
      <c r="I762" s="6"/>
      <c r="J762" s="11"/>
      <c r="K762" s="591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 ht="11.25" customHeight="1">
      <c r="A763" s="7"/>
      <c r="B763" s="5"/>
      <c r="C763" s="6"/>
      <c r="D763" s="6"/>
      <c r="E763" s="6"/>
      <c r="F763" s="6"/>
      <c r="G763" s="6"/>
      <c r="H763" s="6"/>
      <c r="I763" s="6"/>
      <c r="J763" s="11"/>
      <c r="K763" s="591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 ht="11.25" customHeight="1">
      <c r="A764" s="7"/>
      <c r="B764" s="5"/>
      <c r="C764" s="6"/>
      <c r="D764" s="6"/>
      <c r="E764" s="6"/>
      <c r="F764" s="6"/>
      <c r="G764" s="6"/>
      <c r="H764" s="6"/>
      <c r="I764" s="6"/>
      <c r="J764" s="11"/>
      <c r="K764" s="591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 ht="11.25" customHeight="1">
      <c r="A765" s="7"/>
      <c r="B765" s="5"/>
      <c r="C765" s="6"/>
      <c r="D765" s="6"/>
      <c r="E765" s="6"/>
      <c r="F765" s="6"/>
      <c r="G765" s="6"/>
      <c r="H765" s="6"/>
      <c r="I765" s="6"/>
      <c r="J765" s="11"/>
      <c r="K765" s="591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 ht="11.25" customHeight="1">
      <c r="A766" s="7"/>
      <c r="B766" s="5"/>
      <c r="C766" s="6"/>
      <c r="D766" s="6"/>
      <c r="E766" s="6"/>
      <c r="F766" s="6"/>
      <c r="G766" s="6"/>
      <c r="H766" s="6"/>
      <c r="I766" s="6"/>
      <c r="J766" s="11"/>
      <c r="K766" s="591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 ht="11.25" customHeight="1">
      <c r="A767" s="7"/>
      <c r="B767" s="5"/>
      <c r="C767" s="6"/>
      <c r="D767" s="6"/>
      <c r="E767" s="6"/>
      <c r="F767" s="6"/>
      <c r="G767" s="6"/>
      <c r="H767" s="6"/>
      <c r="I767" s="6"/>
      <c r="J767" s="11"/>
      <c r="K767" s="591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 ht="11.25" customHeight="1">
      <c r="A768" s="7"/>
      <c r="B768" s="5"/>
      <c r="C768" s="6"/>
      <c r="D768" s="6"/>
      <c r="E768" s="6"/>
      <c r="F768" s="6"/>
      <c r="G768" s="6"/>
      <c r="H768" s="6"/>
      <c r="I768" s="6"/>
      <c r="J768" s="11"/>
      <c r="K768" s="591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 ht="11.25" customHeight="1">
      <c r="A769" s="7"/>
      <c r="B769" s="5"/>
      <c r="C769" s="6"/>
      <c r="D769" s="6"/>
      <c r="E769" s="6"/>
      <c r="F769" s="6"/>
      <c r="G769" s="6"/>
      <c r="H769" s="6"/>
      <c r="I769" s="6"/>
      <c r="J769" s="11"/>
      <c r="K769" s="591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 ht="11.25" customHeight="1">
      <c r="A770" s="7"/>
      <c r="B770" s="5"/>
      <c r="C770" s="6"/>
      <c r="D770" s="6"/>
      <c r="E770" s="6"/>
      <c r="F770" s="6"/>
      <c r="G770" s="6"/>
      <c r="H770" s="6"/>
      <c r="I770" s="6"/>
      <c r="J770" s="11"/>
      <c r="K770" s="591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 ht="11.25" customHeight="1">
      <c r="A771" s="7"/>
      <c r="B771" s="5"/>
      <c r="C771" s="6"/>
      <c r="D771" s="6"/>
      <c r="E771" s="6"/>
      <c r="F771" s="6"/>
      <c r="G771" s="6"/>
      <c r="H771" s="6"/>
      <c r="I771" s="6"/>
      <c r="J771" s="11"/>
      <c r="K771" s="591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 ht="11.25" customHeight="1">
      <c r="A772" s="7"/>
      <c r="B772" s="5"/>
      <c r="C772" s="6"/>
      <c r="D772" s="6"/>
      <c r="E772" s="6"/>
      <c r="F772" s="6"/>
      <c r="G772" s="6"/>
      <c r="H772" s="6"/>
      <c r="I772" s="6"/>
      <c r="J772" s="11"/>
      <c r="K772" s="591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 ht="11.25" customHeight="1">
      <c r="A773" s="7"/>
      <c r="B773" s="5"/>
      <c r="C773" s="6"/>
      <c r="D773" s="6"/>
      <c r="E773" s="6"/>
      <c r="F773" s="6"/>
      <c r="G773" s="6"/>
      <c r="H773" s="6"/>
      <c r="I773" s="6"/>
      <c r="J773" s="11"/>
      <c r="K773" s="591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 ht="11.25" customHeight="1">
      <c r="A774" s="7"/>
      <c r="B774" s="5"/>
      <c r="C774" s="6"/>
      <c r="D774" s="6"/>
      <c r="E774" s="6"/>
      <c r="F774" s="6"/>
      <c r="G774" s="6"/>
      <c r="H774" s="6"/>
      <c r="I774" s="6"/>
      <c r="J774" s="11"/>
      <c r="K774" s="591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 ht="11.25" customHeight="1">
      <c r="A775" s="7"/>
      <c r="B775" s="5"/>
      <c r="C775" s="6"/>
      <c r="D775" s="6"/>
      <c r="E775" s="6"/>
      <c r="F775" s="6"/>
      <c r="G775" s="6"/>
      <c r="H775" s="6"/>
      <c r="I775" s="6"/>
      <c r="J775" s="11"/>
      <c r="K775" s="591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 ht="11.25" customHeight="1">
      <c r="A776" s="7"/>
      <c r="B776" s="5"/>
      <c r="C776" s="6"/>
      <c r="D776" s="6"/>
      <c r="E776" s="6"/>
      <c r="F776" s="6"/>
      <c r="G776" s="6"/>
      <c r="H776" s="6"/>
      <c r="I776" s="6"/>
      <c r="J776" s="11"/>
      <c r="K776" s="591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 ht="11.25" customHeight="1">
      <c r="A777" s="7"/>
      <c r="B777" s="5"/>
      <c r="C777" s="6"/>
      <c r="D777" s="6"/>
      <c r="E777" s="6"/>
      <c r="F777" s="6"/>
      <c r="G777" s="6"/>
      <c r="H777" s="6"/>
      <c r="I777" s="6"/>
      <c r="J777" s="11"/>
      <c r="K777" s="591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 ht="11.25" customHeight="1">
      <c r="A778" s="7"/>
      <c r="B778" s="5"/>
      <c r="C778" s="6"/>
      <c r="D778" s="6"/>
      <c r="E778" s="6"/>
      <c r="F778" s="6"/>
      <c r="G778" s="6"/>
      <c r="H778" s="6"/>
      <c r="I778" s="6"/>
      <c r="J778" s="11"/>
      <c r="K778" s="591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 ht="11.25" customHeight="1">
      <c r="A779" s="7"/>
      <c r="B779" s="5"/>
      <c r="C779" s="6"/>
      <c r="D779" s="6"/>
      <c r="E779" s="6"/>
      <c r="F779" s="6"/>
      <c r="G779" s="6"/>
      <c r="H779" s="6"/>
      <c r="I779" s="6"/>
      <c r="J779" s="11"/>
      <c r="K779" s="591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 ht="11.25" customHeight="1">
      <c r="A780" s="7"/>
      <c r="B780" s="5"/>
      <c r="C780" s="6"/>
      <c r="D780" s="6"/>
      <c r="E780" s="6"/>
      <c r="F780" s="6"/>
      <c r="G780" s="6"/>
      <c r="H780" s="6"/>
      <c r="I780" s="6"/>
      <c r="J780" s="11"/>
      <c r="K780" s="591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 ht="11.25" customHeight="1">
      <c r="A781" s="7"/>
      <c r="B781" s="5"/>
      <c r="C781" s="6"/>
      <c r="D781" s="6"/>
      <c r="E781" s="6"/>
      <c r="F781" s="6"/>
      <c r="G781" s="6"/>
      <c r="H781" s="6"/>
      <c r="I781" s="6"/>
      <c r="J781" s="11"/>
      <c r="K781" s="591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 ht="11.25" customHeight="1">
      <c r="A782" s="7"/>
      <c r="B782" s="5"/>
      <c r="C782" s="6"/>
      <c r="D782" s="6"/>
      <c r="E782" s="6"/>
      <c r="F782" s="6"/>
      <c r="G782" s="6"/>
      <c r="H782" s="6"/>
      <c r="I782" s="6"/>
      <c r="J782" s="11"/>
      <c r="K782" s="591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 ht="11.25" customHeight="1">
      <c r="A783" s="7"/>
      <c r="B783" s="5"/>
      <c r="C783" s="6"/>
      <c r="D783" s="6"/>
      <c r="E783" s="6"/>
      <c r="F783" s="6"/>
      <c r="G783" s="6"/>
      <c r="H783" s="6"/>
      <c r="I783" s="6"/>
      <c r="J783" s="11"/>
      <c r="K783" s="591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 ht="11.25" customHeight="1">
      <c r="A784" s="7"/>
      <c r="B784" s="5"/>
      <c r="C784" s="6"/>
      <c r="D784" s="6"/>
      <c r="E784" s="6"/>
      <c r="F784" s="6"/>
      <c r="G784" s="6"/>
      <c r="H784" s="6"/>
      <c r="I784" s="6"/>
      <c r="J784" s="11"/>
      <c r="K784" s="591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 ht="11.25" customHeight="1">
      <c r="A785" s="7"/>
      <c r="B785" s="5"/>
      <c r="C785" s="6"/>
      <c r="D785" s="6"/>
      <c r="E785" s="6"/>
      <c r="F785" s="6"/>
      <c r="G785" s="6"/>
      <c r="H785" s="6"/>
      <c r="I785" s="6"/>
      <c r="J785" s="11"/>
      <c r="K785" s="591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 ht="11.25" customHeight="1">
      <c r="A786" s="7"/>
      <c r="B786" s="5"/>
      <c r="C786" s="6"/>
      <c r="D786" s="6"/>
      <c r="E786" s="6"/>
      <c r="F786" s="6"/>
      <c r="G786" s="6"/>
      <c r="H786" s="6"/>
      <c r="I786" s="6"/>
      <c r="J786" s="11"/>
      <c r="K786" s="591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 ht="11.25" customHeight="1">
      <c r="A787" s="7"/>
      <c r="B787" s="5"/>
      <c r="C787" s="6"/>
      <c r="D787" s="6"/>
      <c r="E787" s="6"/>
      <c r="F787" s="6"/>
      <c r="G787" s="6"/>
      <c r="H787" s="6"/>
      <c r="I787" s="6"/>
      <c r="J787" s="11"/>
      <c r="K787" s="591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 ht="11.25" customHeight="1">
      <c r="A788" s="7"/>
      <c r="B788" s="5"/>
      <c r="C788" s="6"/>
      <c r="D788" s="6"/>
      <c r="E788" s="6"/>
      <c r="F788" s="6"/>
      <c r="G788" s="6"/>
      <c r="H788" s="6"/>
      <c r="I788" s="6"/>
      <c r="J788" s="11"/>
      <c r="K788" s="591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 ht="11.25" customHeight="1">
      <c r="A789" s="7"/>
      <c r="B789" s="5"/>
      <c r="C789" s="6"/>
      <c r="D789" s="6"/>
      <c r="E789" s="6"/>
      <c r="F789" s="6"/>
      <c r="G789" s="6"/>
      <c r="H789" s="6"/>
      <c r="I789" s="6"/>
      <c r="J789" s="11"/>
      <c r="K789" s="591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 ht="11.25" customHeight="1">
      <c r="A790" s="7"/>
      <c r="B790" s="5"/>
      <c r="C790" s="6"/>
      <c r="D790" s="6"/>
      <c r="E790" s="6"/>
      <c r="F790" s="6"/>
      <c r="G790" s="6"/>
      <c r="H790" s="6"/>
      <c r="I790" s="6"/>
      <c r="J790" s="11"/>
      <c r="K790" s="591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 ht="11.25" customHeight="1">
      <c r="A791" s="7"/>
      <c r="B791" s="5"/>
      <c r="C791" s="6"/>
      <c r="D791" s="6"/>
      <c r="E791" s="6"/>
      <c r="F791" s="6"/>
      <c r="G791" s="6"/>
      <c r="H791" s="6"/>
      <c r="I791" s="6"/>
      <c r="J791" s="11"/>
      <c r="K791" s="591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 ht="11.25" customHeight="1">
      <c r="A792" s="7"/>
      <c r="B792" s="5"/>
      <c r="C792" s="6"/>
      <c r="D792" s="6"/>
      <c r="E792" s="6"/>
      <c r="F792" s="6"/>
      <c r="G792" s="6"/>
      <c r="H792" s="6"/>
      <c r="I792" s="6"/>
      <c r="J792" s="11"/>
      <c r="K792" s="591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 ht="11.25" customHeight="1">
      <c r="A793" s="7"/>
      <c r="B793" s="5"/>
      <c r="C793" s="6"/>
      <c r="D793" s="6"/>
      <c r="E793" s="6"/>
      <c r="F793" s="6"/>
      <c r="G793" s="6"/>
      <c r="H793" s="6"/>
      <c r="I793" s="6"/>
      <c r="J793" s="11"/>
      <c r="K793" s="591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 ht="11.25" customHeight="1">
      <c r="A794" s="7"/>
      <c r="B794" s="5"/>
      <c r="C794" s="6"/>
      <c r="D794" s="6"/>
      <c r="E794" s="6"/>
      <c r="F794" s="6"/>
      <c r="G794" s="6"/>
      <c r="H794" s="6"/>
      <c r="I794" s="6"/>
      <c r="J794" s="11"/>
      <c r="K794" s="591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 ht="11.25" customHeight="1">
      <c r="A795" s="7"/>
      <c r="B795" s="5"/>
      <c r="C795" s="6"/>
      <c r="D795" s="6"/>
      <c r="E795" s="6"/>
      <c r="F795" s="6"/>
      <c r="G795" s="6"/>
      <c r="H795" s="6"/>
      <c r="I795" s="6"/>
      <c r="J795" s="11"/>
      <c r="K795" s="591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 ht="11.25" customHeight="1">
      <c r="A796" s="7"/>
      <c r="B796" s="5"/>
      <c r="C796" s="6"/>
      <c r="D796" s="6"/>
      <c r="E796" s="6"/>
      <c r="F796" s="6"/>
      <c r="G796" s="6"/>
      <c r="H796" s="6"/>
      <c r="I796" s="6"/>
      <c r="J796" s="11"/>
      <c r="K796" s="591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 ht="11.25" customHeight="1">
      <c r="A797" s="7"/>
      <c r="B797" s="5"/>
      <c r="C797" s="6"/>
      <c r="D797" s="6"/>
      <c r="E797" s="6"/>
      <c r="F797" s="6"/>
      <c r="G797" s="6"/>
      <c r="H797" s="6"/>
      <c r="I797" s="6"/>
      <c r="J797" s="11"/>
      <c r="K797" s="591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 ht="11.25" customHeight="1">
      <c r="A798" s="7"/>
      <c r="B798" s="5"/>
      <c r="C798" s="6"/>
      <c r="D798" s="6"/>
      <c r="E798" s="6"/>
      <c r="F798" s="6"/>
      <c r="G798" s="6"/>
      <c r="H798" s="6"/>
      <c r="I798" s="6"/>
      <c r="J798" s="11"/>
      <c r="K798" s="591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 ht="11.25" customHeight="1">
      <c r="A799" s="7"/>
      <c r="B799" s="5"/>
      <c r="C799" s="6"/>
      <c r="D799" s="6"/>
      <c r="E799" s="6"/>
      <c r="F799" s="6"/>
      <c r="G799" s="6"/>
      <c r="H799" s="6"/>
      <c r="I799" s="6"/>
      <c r="J799" s="11"/>
      <c r="K799" s="591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 ht="11.25" customHeight="1">
      <c r="A800" s="7"/>
      <c r="B800" s="5"/>
      <c r="C800" s="6"/>
      <c r="D800" s="6"/>
      <c r="E800" s="6"/>
      <c r="F800" s="6"/>
      <c r="G800" s="6"/>
      <c r="H800" s="6"/>
      <c r="I800" s="6"/>
      <c r="J800" s="11"/>
      <c r="K800" s="591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 ht="11.25" customHeight="1">
      <c r="A801" s="7"/>
      <c r="B801" s="5"/>
      <c r="C801" s="6"/>
      <c r="D801" s="6"/>
      <c r="E801" s="6"/>
      <c r="F801" s="6"/>
      <c r="G801" s="6"/>
      <c r="H801" s="6"/>
      <c r="I801" s="6"/>
      <c r="J801" s="11"/>
      <c r="K801" s="591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 ht="11.25" customHeight="1">
      <c r="A802" s="7"/>
      <c r="B802" s="5"/>
      <c r="C802" s="6"/>
      <c r="D802" s="6"/>
      <c r="E802" s="6"/>
      <c r="F802" s="6"/>
      <c r="G802" s="6"/>
      <c r="H802" s="6"/>
      <c r="I802" s="6"/>
      <c r="J802" s="11"/>
      <c r="K802" s="591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 ht="11.25" customHeight="1">
      <c r="A803" s="7"/>
      <c r="B803" s="5"/>
      <c r="C803" s="6"/>
      <c r="D803" s="6"/>
      <c r="E803" s="6"/>
      <c r="F803" s="6"/>
      <c r="G803" s="6"/>
      <c r="H803" s="6"/>
      <c r="I803" s="6"/>
      <c r="J803" s="11"/>
      <c r="K803" s="591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 ht="11.25" customHeight="1">
      <c r="A804" s="7"/>
      <c r="B804" s="5"/>
      <c r="C804" s="6"/>
      <c r="D804" s="6"/>
      <c r="E804" s="6"/>
      <c r="F804" s="6"/>
      <c r="G804" s="6"/>
      <c r="H804" s="6"/>
      <c r="I804" s="6"/>
      <c r="J804" s="11"/>
      <c r="K804" s="591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 ht="11.25" customHeight="1">
      <c r="A805" s="7"/>
      <c r="B805" s="5"/>
      <c r="C805" s="6"/>
      <c r="D805" s="6"/>
      <c r="E805" s="6"/>
      <c r="F805" s="6"/>
      <c r="G805" s="6"/>
      <c r="H805" s="6"/>
      <c r="I805" s="6"/>
      <c r="J805" s="11"/>
      <c r="K805" s="591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 ht="11.25" customHeight="1">
      <c r="A806" s="7"/>
      <c r="B806" s="5"/>
      <c r="C806" s="6"/>
      <c r="D806" s="6"/>
      <c r="E806" s="6"/>
      <c r="F806" s="6"/>
      <c r="G806" s="6"/>
      <c r="H806" s="6"/>
      <c r="I806" s="6"/>
      <c r="J806" s="11"/>
      <c r="K806" s="591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 ht="11.25" customHeight="1">
      <c r="A807" s="7"/>
      <c r="B807" s="5"/>
      <c r="C807" s="6"/>
      <c r="D807" s="6"/>
      <c r="E807" s="6"/>
      <c r="F807" s="6"/>
      <c r="G807" s="6"/>
      <c r="H807" s="6"/>
      <c r="I807" s="6"/>
      <c r="J807" s="11"/>
      <c r="K807" s="591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 ht="11.25" customHeight="1">
      <c r="A808" s="7"/>
      <c r="B808" s="5"/>
      <c r="C808" s="6"/>
      <c r="D808" s="6"/>
      <c r="E808" s="6"/>
      <c r="F808" s="6"/>
      <c r="G808" s="6"/>
      <c r="H808" s="6"/>
      <c r="I808" s="6"/>
      <c r="J808" s="11"/>
      <c r="K808" s="591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 ht="11.25" customHeight="1">
      <c r="A809" s="7"/>
      <c r="B809" s="5"/>
      <c r="C809" s="6"/>
      <c r="D809" s="6"/>
      <c r="E809" s="6"/>
      <c r="F809" s="6"/>
      <c r="G809" s="6"/>
      <c r="H809" s="6"/>
      <c r="I809" s="6"/>
      <c r="J809" s="11"/>
      <c r="K809" s="591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 ht="11.25" customHeight="1">
      <c r="A810" s="7"/>
      <c r="B810" s="5"/>
      <c r="C810" s="6"/>
      <c r="D810" s="6"/>
      <c r="E810" s="6"/>
      <c r="F810" s="6"/>
      <c r="G810" s="6"/>
      <c r="H810" s="6"/>
      <c r="I810" s="6"/>
      <c r="J810" s="11"/>
      <c r="K810" s="591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 ht="11.25" customHeight="1">
      <c r="A811" s="7"/>
      <c r="B811" s="5"/>
      <c r="C811" s="6"/>
      <c r="D811" s="6"/>
      <c r="E811" s="6"/>
      <c r="F811" s="6"/>
      <c r="G811" s="6"/>
      <c r="H811" s="6"/>
      <c r="I811" s="6"/>
      <c r="J811" s="11"/>
      <c r="K811" s="591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 ht="11.25" customHeight="1">
      <c r="A812" s="7"/>
      <c r="B812" s="5"/>
      <c r="C812" s="6"/>
      <c r="D812" s="6"/>
      <c r="E812" s="6"/>
      <c r="F812" s="6"/>
      <c r="G812" s="6"/>
      <c r="H812" s="6"/>
      <c r="I812" s="6"/>
      <c r="J812" s="11"/>
      <c r="K812" s="591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 ht="11.25" customHeight="1">
      <c r="A813" s="7"/>
      <c r="B813" s="5"/>
      <c r="C813" s="6"/>
      <c r="D813" s="6"/>
      <c r="E813" s="6"/>
      <c r="F813" s="6"/>
      <c r="G813" s="6"/>
      <c r="H813" s="6"/>
      <c r="I813" s="6"/>
      <c r="J813" s="11"/>
      <c r="K813" s="591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 ht="11.25" customHeight="1">
      <c r="A814" s="7"/>
      <c r="B814" s="5"/>
      <c r="C814" s="6"/>
      <c r="D814" s="6"/>
      <c r="E814" s="6"/>
      <c r="F814" s="6"/>
      <c r="G814" s="6"/>
      <c r="H814" s="6"/>
      <c r="I814" s="6"/>
      <c r="J814" s="11"/>
      <c r="K814" s="591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 ht="11.25" customHeight="1">
      <c r="A815" s="7"/>
      <c r="B815" s="5"/>
      <c r="C815" s="6"/>
      <c r="D815" s="6"/>
      <c r="E815" s="6"/>
      <c r="F815" s="6"/>
      <c r="G815" s="6"/>
      <c r="H815" s="6"/>
      <c r="I815" s="6"/>
      <c r="J815" s="11"/>
      <c r="K815" s="591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 ht="11.25" customHeight="1">
      <c r="A816" s="7"/>
      <c r="B816" s="5"/>
      <c r="C816" s="6"/>
      <c r="D816" s="6"/>
      <c r="E816" s="6"/>
      <c r="F816" s="6"/>
      <c r="G816" s="6"/>
      <c r="H816" s="6"/>
      <c r="I816" s="6"/>
      <c r="J816" s="11"/>
      <c r="K816" s="591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 ht="11.25" customHeight="1">
      <c r="A817" s="7"/>
      <c r="B817" s="5"/>
      <c r="C817" s="6"/>
      <c r="D817" s="6"/>
      <c r="E817" s="6"/>
      <c r="F817" s="6"/>
      <c r="G817" s="6"/>
      <c r="H817" s="6"/>
      <c r="I817" s="6"/>
      <c r="J817" s="11"/>
      <c r="K817" s="591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 ht="11.25" customHeight="1">
      <c r="A818" s="7"/>
      <c r="B818" s="5"/>
      <c r="C818" s="6"/>
      <c r="D818" s="6"/>
      <c r="E818" s="6"/>
      <c r="F818" s="6"/>
      <c r="G818" s="6"/>
      <c r="H818" s="6"/>
      <c r="I818" s="6"/>
      <c r="J818" s="11"/>
      <c r="K818" s="591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 ht="11.25" customHeight="1">
      <c r="A819" s="7"/>
      <c r="B819" s="5"/>
      <c r="C819" s="6"/>
      <c r="D819" s="6"/>
      <c r="E819" s="6"/>
      <c r="F819" s="6"/>
      <c r="G819" s="6"/>
      <c r="H819" s="6"/>
      <c r="I819" s="6"/>
      <c r="J819" s="11"/>
      <c r="K819" s="591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 ht="11.25" customHeight="1">
      <c r="A820" s="7"/>
      <c r="B820" s="5"/>
      <c r="C820" s="6"/>
      <c r="D820" s="6"/>
      <c r="E820" s="6"/>
      <c r="F820" s="6"/>
      <c r="G820" s="6"/>
      <c r="H820" s="6"/>
      <c r="I820" s="6"/>
      <c r="J820" s="11"/>
      <c r="K820" s="591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 ht="11.25" customHeight="1">
      <c r="A821" s="7"/>
      <c r="B821" s="5"/>
      <c r="C821" s="6"/>
      <c r="D821" s="6"/>
      <c r="E821" s="6"/>
      <c r="F821" s="6"/>
      <c r="G821" s="6"/>
      <c r="H821" s="6"/>
      <c r="I821" s="6"/>
      <c r="J821" s="11"/>
      <c r="K821" s="591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 ht="11.25" customHeight="1">
      <c r="A822" s="7"/>
      <c r="B822" s="5"/>
      <c r="C822" s="6"/>
      <c r="D822" s="6"/>
      <c r="E822" s="6"/>
      <c r="F822" s="6"/>
      <c r="G822" s="6"/>
      <c r="H822" s="6"/>
      <c r="I822" s="6"/>
      <c r="J822" s="11"/>
      <c r="K822" s="591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 ht="11.25" customHeight="1">
      <c r="A823" s="7"/>
      <c r="B823" s="5"/>
      <c r="C823" s="6"/>
      <c r="D823" s="6"/>
      <c r="E823" s="6"/>
      <c r="F823" s="6"/>
      <c r="G823" s="6"/>
      <c r="H823" s="6"/>
      <c r="I823" s="6"/>
      <c r="J823" s="11"/>
      <c r="K823" s="591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 ht="11.25" customHeight="1">
      <c r="A824" s="7"/>
      <c r="B824" s="5"/>
      <c r="C824" s="6"/>
      <c r="D824" s="6"/>
      <c r="E824" s="6"/>
      <c r="F824" s="6"/>
      <c r="G824" s="6"/>
      <c r="H824" s="6"/>
      <c r="I824" s="6"/>
      <c r="J824" s="11"/>
      <c r="K824" s="591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 ht="11.25" customHeight="1">
      <c r="A825" s="7"/>
      <c r="B825" s="5"/>
      <c r="C825" s="6"/>
      <c r="D825" s="6"/>
      <c r="E825" s="6"/>
      <c r="F825" s="6"/>
      <c r="G825" s="6"/>
      <c r="H825" s="6"/>
      <c r="I825" s="6"/>
      <c r="J825" s="11"/>
      <c r="K825" s="591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 ht="11.25" customHeight="1">
      <c r="A826" s="7"/>
      <c r="B826" s="5"/>
      <c r="C826" s="6"/>
      <c r="D826" s="6"/>
      <c r="E826" s="6"/>
      <c r="F826" s="6"/>
      <c r="G826" s="6"/>
      <c r="H826" s="6"/>
      <c r="I826" s="6"/>
      <c r="J826" s="11"/>
      <c r="K826" s="591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 ht="11.25" customHeight="1">
      <c r="A827" s="7"/>
      <c r="B827" s="5"/>
      <c r="C827" s="6"/>
      <c r="D827" s="6"/>
      <c r="E827" s="6"/>
      <c r="F827" s="6"/>
      <c r="G827" s="6"/>
      <c r="H827" s="6"/>
      <c r="I827" s="6"/>
      <c r="J827" s="11"/>
      <c r="K827" s="591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 ht="11.25" customHeight="1">
      <c r="A828" s="7"/>
      <c r="B828" s="5"/>
      <c r="C828" s="6"/>
      <c r="D828" s="6"/>
      <c r="E828" s="6"/>
      <c r="F828" s="6"/>
      <c r="G828" s="6"/>
      <c r="H828" s="6"/>
      <c r="I828" s="6"/>
      <c r="J828" s="11"/>
      <c r="K828" s="591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 ht="11.25" customHeight="1">
      <c r="A829" s="7"/>
      <c r="B829" s="5"/>
      <c r="C829" s="6"/>
      <c r="D829" s="6"/>
      <c r="E829" s="6"/>
      <c r="F829" s="6"/>
      <c r="G829" s="6"/>
      <c r="H829" s="6"/>
      <c r="I829" s="6"/>
      <c r="J829" s="11"/>
      <c r="K829" s="591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 ht="11.25" customHeight="1">
      <c r="A830" s="7"/>
      <c r="B830" s="5"/>
      <c r="C830" s="6"/>
      <c r="D830" s="6"/>
      <c r="E830" s="6"/>
      <c r="F830" s="6"/>
      <c r="G830" s="6"/>
      <c r="H830" s="6"/>
      <c r="I830" s="6"/>
      <c r="J830" s="11"/>
      <c r="K830" s="591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 ht="11.25" customHeight="1">
      <c r="A831" s="7"/>
      <c r="B831" s="5"/>
      <c r="C831" s="6"/>
      <c r="D831" s="6"/>
      <c r="E831" s="6"/>
      <c r="F831" s="6"/>
      <c r="G831" s="6"/>
      <c r="H831" s="6"/>
      <c r="I831" s="6"/>
      <c r="J831" s="11"/>
      <c r="K831" s="591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 ht="11.25" customHeight="1">
      <c r="A832" s="7"/>
      <c r="B832" s="5"/>
      <c r="C832" s="6"/>
      <c r="D832" s="6"/>
      <c r="E832" s="6"/>
      <c r="F832" s="6"/>
      <c r="G832" s="6"/>
      <c r="H832" s="6"/>
      <c r="I832" s="6"/>
      <c r="J832" s="11"/>
      <c r="K832" s="591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 ht="11.25" customHeight="1">
      <c r="A833" s="7"/>
      <c r="B833" s="5"/>
      <c r="C833" s="6"/>
      <c r="D833" s="6"/>
      <c r="E833" s="6"/>
      <c r="F833" s="6"/>
      <c r="G833" s="6"/>
      <c r="H833" s="6"/>
      <c r="I833" s="6"/>
      <c r="J833" s="11"/>
      <c r="K833" s="591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 ht="11.25" customHeight="1">
      <c r="A834" s="7"/>
      <c r="B834" s="5"/>
      <c r="C834" s="6"/>
      <c r="D834" s="6"/>
      <c r="E834" s="6"/>
      <c r="F834" s="6"/>
      <c r="G834" s="6"/>
      <c r="H834" s="6"/>
      <c r="I834" s="6"/>
      <c r="J834" s="11"/>
      <c r="K834" s="591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 ht="11.25" customHeight="1">
      <c r="A835" s="7"/>
      <c r="B835" s="5"/>
      <c r="C835" s="6"/>
      <c r="D835" s="6"/>
      <c r="E835" s="6"/>
      <c r="F835" s="6"/>
      <c r="G835" s="6"/>
      <c r="H835" s="6"/>
      <c r="I835" s="6"/>
      <c r="J835" s="11"/>
      <c r="K835" s="591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 ht="11.25" customHeight="1">
      <c r="A836" s="7"/>
      <c r="B836" s="5"/>
      <c r="C836" s="6"/>
      <c r="D836" s="6"/>
      <c r="E836" s="6"/>
      <c r="F836" s="6"/>
      <c r="G836" s="6"/>
      <c r="H836" s="6"/>
      <c r="I836" s="6"/>
      <c r="J836" s="11"/>
      <c r="K836" s="591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 ht="11.25" customHeight="1">
      <c r="A837" s="7"/>
      <c r="B837" s="5"/>
      <c r="C837" s="6"/>
      <c r="D837" s="6"/>
      <c r="E837" s="6"/>
      <c r="F837" s="6"/>
      <c r="G837" s="6"/>
      <c r="H837" s="6"/>
      <c r="I837" s="6"/>
      <c r="J837" s="11"/>
      <c r="K837" s="591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 ht="11.25" customHeight="1">
      <c r="A838" s="7"/>
      <c r="B838" s="5"/>
      <c r="C838" s="6"/>
      <c r="D838" s="6"/>
      <c r="E838" s="6"/>
      <c r="F838" s="6"/>
      <c r="G838" s="6"/>
      <c r="H838" s="6"/>
      <c r="I838" s="6"/>
      <c r="J838" s="11"/>
      <c r="K838" s="591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 ht="11.25" customHeight="1">
      <c r="A839" s="7"/>
      <c r="B839" s="5"/>
      <c r="C839" s="6"/>
      <c r="D839" s="6"/>
      <c r="E839" s="6"/>
      <c r="F839" s="6"/>
      <c r="G839" s="6"/>
      <c r="H839" s="6"/>
      <c r="I839" s="6"/>
      <c r="J839" s="11"/>
      <c r="K839" s="591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 ht="11.25" customHeight="1">
      <c r="A840" s="7"/>
      <c r="B840" s="5"/>
      <c r="C840" s="6"/>
      <c r="D840" s="6"/>
      <c r="E840" s="6"/>
      <c r="F840" s="6"/>
      <c r="G840" s="6"/>
      <c r="H840" s="6"/>
      <c r="I840" s="6"/>
      <c r="J840" s="11"/>
      <c r="K840" s="591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 ht="11.25" customHeight="1">
      <c r="A841" s="7"/>
      <c r="B841" s="5"/>
      <c r="C841" s="6"/>
      <c r="D841" s="6"/>
      <c r="E841" s="6"/>
      <c r="F841" s="6"/>
      <c r="G841" s="6"/>
      <c r="H841" s="6"/>
      <c r="I841" s="6"/>
      <c r="J841" s="11"/>
      <c r="K841" s="591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 ht="11.25" customHeight="1">
      <c r="A842" s="7"/>
      <c r="B842" s="5"/>
      <c r="C842" s="6"/>
      <c r="D842" s="6"/>
      <c r="E842" s="6"/>
      <c r="F842" s="6"/>
      <c r="G842" s="6"/>
      <c r="H842" s="6"/>
      <c r="I842" s="6"/>
      <c r="J842" s="11"/>
      <c r="K842" s="591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 ht="11.25" customHeight="1">
      <c r="A843" s="7"/>
      <c r="B843" s="5"/>
      <c r="C843" s="6"/>
      <c r="D843" s="6"/>
      <c r="E843" s="6"/>
      <c r="F843" s="6"/>
      <c r="G843" s="6"/>
      <c r="H843" s="6"/>
      <c r="I843" s="6"/>
      <c r="J843" s="11"/>
      <c r="K843" s="591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 ht="11.25" customHeight="1">
      <c r="A844" s="7"/>
      <c r="B844" s="5"/>
      <c r="C844" s="6"/>
      <c r="D844" s="6"/>
      <c r="E844" s="6"/>
      <c r="F844" s="6"/>
      <c r="G844" s="6"/>
      <c r="H844" s="6"/>
      <c r="I844" s="6"/>
      <c r="J844" s="11"/>
      <c r="K844" s="591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 ht="11.25" customHeight="1">
      <c r="A845" s="7"/>
      <c r="B845" s="5"/>
      <c r="C845" s="6"/>
      <c r="D845" s="6"/>
      <c r="E845" s="6"/>
      <c r="F845" s="6"/>
      <c r="G845" s="6"/>
      <c r="H845" s="6"/>
      <c r="I845" s="6"/>
      <c r="J845" s="11"/>
      <c r="K845" s="591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 ht="11.25" customHeight="1">
      <c r="A846" s="7"/>
      <c r="B846" s="5"/>
      <c r="C846" s="6"/>
      <c r="D846" s="6"/>
      <c r="E846" s="6"/>
      <c r="F846" s="6"/>
      <c r="G846" s="6"/>
      <c r="H846" s="6"/>
      <c r="I846" s="6"/>
      <c r="J846" s="11"/>
      <c r="K846" s="591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 ht="11.25" customHeight="1">
      <c r="A847" s="7"/>
      <c r="B847" s="5"/>
      <c r="C847" s="6"/>
      <c r="D847" s="6"/>
      <c r="E847" s="6"/>
      <c r="F847" s="6"/>
      <c r="G847" s="6"/>
      <c r="H847" s="6"/>
      <c r="I847" s="6"/>
      <c r="J847" s="11"/>
      <c r="K847" s="591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 ht="11.25" customHeight="1">
      <c r="A848" s="7"/>
      <c r="B848" s="5"/>
      <c r="C848" s="6"/>
      <c r="D848" s="6"/>
      <c r="E848" s="6"/>
      <c r="F848" s="6"/>
      <c r="G848" s="6"/>
      <c r="H848" s="6"/>
      <c r="I848" s="6"/>
      <c r="J848" s="11"/>
      <c r="K848" s="591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 ht="11.25" customHeight="1">
      <c r="A849" s="7"/>
      <c r="B849" s="5"/>
      <c r="C849" s="6"/>
      <c r="D849" s="6"/>
      <c r="E849" s="6"/>
      <c r="F849" s="6"/>
      <c r="G849" s="6"/>
      <c r="H849" s="6"/>
      <c r="I849" s="6"/>
      <c r="J849" s="11"/>
      <c r="K849" s="591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 ht="11.25" customHeight="1">
      <c r="A850" s="7"/>
      <c r="B850" s="5"/>
      <c r="C850" s="6"/>
      <c r="D850" s="6"/>
      <c r="E850" s="6"/>
      <c r="F850" s="6"/>
      <c r="G850" s="6"/>
      <c r="H850" s="6"/>
      <c r="I850" s="6"/>
      <c r="J850" s="11"/>
      <c r="K850" s="591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 ht="11.25" customHeight="1">
      <c r="A851" s="7"/>
      <c r="B851" s="5"/>
      <c r="C851" s="6"/>
      <c r="D851" s="6"/>
      <c r="E851" s="6"/>
      <c r="F851" s="6"/>
      <c r="G851" s="6"/>
      <c r="H851" s="6"/>
      <c r="I851" s="6"/>
      <c r="J851" s="11"/>
      <c r="K851" s="591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 ht="11.25" customHeight="1">
      <c r="A852" s="7"/>
      <c r="B852" s="5"/>
      <c r="C852" s="6"/>
      <c r="D852" s="6"/>
      <c r="E852" s="6"/>
      <c r="F852" s="6"/>
      <c r="G852" s="6"/>
      <c r="H852" s="6"/>
      <c r="I852" s="6"/>
      <c r="J852" s="11"/>
      <c r="K852" s="591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 ht="11.25" customHeight="1">
      <c r="A853" s="7"/>
      <c r="B853" s="5"/>
      <c r="C853" s="6"/>
      <c r="D853" s="6"/>
      <c r="E853" s="6"/>
      <c r="F853" s="6"/>
      <c r="G853" s="6"/>
      <c r="H853" s="6"/>
      <c r="I853" s="6"/>
      <c r="J853" s="11"/>
      <c r="K853" s="591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 ht="11.25" customHeight="1">
      <c r="A854" s="7"/>
      <c r="B854" s="5"/>
      <c r="C854" s="6"/>
      <c r="D854" s="6"/>
      <c r="E854" s="6"/>
      <c r="F854" s="6"/>
      <c r="G854" s="6"/>
      <c r="H854" s="6"/>
      <c r="I854" s="6"/>
      <c r="J854" s="11"/>
      <c r="K854" s="591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 ht="11.25" customHeight="1">
      <c r="A855" s="7"/>
      <c r="B855" s="5"/>
      <c r="C855" s="6"/>
      <c r="D855" s="6"/>
      <c r="E855" s="6"/>
      <c r="F855" s="6"/>
      <c r="G855" s="6"/>
      <c r="H855" s="6"/>
      <c r="I855" s="6"/>
      <c r="J855" s="11"/>
      <c r="K855" s="591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 ht="11.25" customHeight="1">
      <c r="A856" s="7"/>
      <c r="B856" s="5"/>
      <c r="C856" s="6"/>
      <c r="D856" s="6"/>
      <c r="E856" s="6"/>
      <c r="F856" s="6"/>
      <c r="G856" s="6"/>
      <c r="H856" s="6"/>
      <c r="I856" s="6"/>
      <c r="J856" s="11"/>
      <c r="K856" s="591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 ht="11.25" customHeight="1">
      <c r="A857" s="7"/>
      <c r="B857" s="5"/>
      <c r="C857" s="6"/>
      <c r="D857" s="6"/>
      <c r="E857" s="6"/>
      <c r="F857" s="6"/>
      <c r="G857" s="6"/>
      <c r="H857" s="6"/>
      <c r="I857" s="6"/>
      <c r="J857" s="11"/>
      <c r="K857" s="591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 ht="11.25" customHeight="1">
      <c r="A858" s="7"/>
      <c r="B858" s="5"/>
      <c r="C858" s="6"/>
      <c r="D858" s="6"/>
      <c r="E858" s="6"/>
      <c r="F858" s="6"/>
      <c r="G858" s="6"/>
      <c r="H858" s="6"/>
      <c r="I858" s="6"/>
      <c r="J858" s="11"/>
      <c r="K858" s="591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 ht="11.25" customHeight="1">
      <c r="A859" s="7"/>
      <c r="B859" s="5"/>
      <c r="C859" s="6"/>
      <c r="D859" s="6"/>
      <c r="E859" s="6"/>
      <c r="F859" s="6"/>
      <c r="G859" s="6"/>
      <c r="H859" s="6"/>
      <c r="I859" s="6"/>
      <c r="J859" s="11"/>
      <c r="K859" s="591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 ht="11.25" customHeight="1">
      <c r="A860" s="7"/>
      <c r="B860" s="5"/>
      <c r="C860" s="6"/>
      <c r="D860" s="6"/>
      <c r="E860" s="6"/>
      <c r="F860" s="6"/>
      <c r="G860" s="6"/>
      <c r="H860" s="6"/>
      <c r="I860" s="6"/>
      <c r="J860" s="11"/>
      <c r="K860" s="591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 ht="11.25" customHeight="1">
      <c r="A861" s="7"/>
      <c r="B861" s="5"/>
      <c r="C861" s="6"/>
      <c r="D861" s="6"/>
      <c r="E861" s="6"/>
      <c r="F861" s="6"/>
      <c r="G861" s="6"/>
      <c r="H861" s="6"/>
      <c r="I861" s="6"/>
      <c r="J861" s="11"/>
      <c r="K861" s="591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 ht="11.25" customHeight="1">
      <c r="A862" s="7"/>
      <c r="B862" s="5"/>
      <c r="C862" s="6"/>
      <c r="D862" s="6"/>
      <c r="E862" s="6"/>
      <c r="F862" s="6"/>
      <c r="G862" s="6"/>
      <c r="H862" s="6"/>
      <c r="I862" s="6"/>
      <c r="J862" s="11"/>
      <c r="K862" s="591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 ht="11.25" customHeight="1">
      <c r="A863" s="7"/>
      <c r="B863" s="5"/>
      <c r="C863" s="6"/>
      <c r="D863" s="6"/>
      <c r="E863" s="6"/>
      <c r="F863" s="6"/>
      <c r="G863" s="6"/>
      <c r="H863" s="6"/>
      <c r="I863" s="6"/>
      <c r="J863" s="11"/>
      <c r="K863" s="591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 ht="11.25" customHeight="1">
      <c r="A864" s="7"/>
      <c r="B864" s="5"/>
      <c r="C864" s="6"/>
      <c r="D864" s="6"/>
      <c r="E864" s="6"/>
      <c r="F864" s="6"/>
      <c r="G864" s="6"/>
      <c r="H864" s="6"/>
      <c r="I864" s="6"/>
      <c r="J864" s="11"/>
      <c r="K864" s="591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 ht="11.25" customHeight="1">
      <c r="A865" s="7"/>
      <c r="B865" s="5"/>
      <c r="C865" s="6"/>
      <c r="D865" s="6"/>
      <c r="E865" s="6"/>
      <c r="F865" s="6"/>
      <c r="G865" s="6"/>
      <c r="H865" s="6"/>
      <c r="I865" s="6"/>
      <c r="J865" s="11"/>
      <c r="K865" s="591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 ht="11.25" customHeight="1">
      <c r="A866" s="7"/>
      <c r="B866" s="5"/>
      <c r="C866" s="6"/>
      <c r="D866" s="6"/>
      <c r="E866" s="6"/>
      <c r="F866" s="6"/>
      <c r="G866" s="6"/>
      <c r="H866" s="6"/>
      <c r="I866" s="6"/>
      <c r="J866" s="11"/>
      <c r="K866" s="591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 ht="11.25" customHeight="1">
      <c r="A867" s="7"/>
      <c r="B867" s="5"/>
      <c r="C867" s="6"/>
      <c r="D867" s="6"/>
      <c r="E867" s="6"/>
      <c r="F867" s="6"/>
      <c r="G867" s="6"/>
      <c r="H867" s="6"/>
      <c r="I867" s="6"/>
      <c r="J867" s="11"/>
      <c r="K867" s="591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 ht="11.25" customHeight="1">
      <c r="A868" s="7"/>
      <c r="B868" s="5"/>
      <c r="C868" s="6"/>
      <c r="D868" s="6"/>
      <c r="E868" s="6"/>
      <c r="F868" s="6"/>
      <c r="G868" s="6"/>
      <c r="H868" s="6"/>
      <c r="I868" s="6"/>
      <c r="J868" s="11"/>
      <c r="K868" s="591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 ht="11.25" customHeight="1">
      <c r="A869" s="7"/>
      <c r="B869" s="5"/>
      <c r="C869" s="6"/>
      <c r="D869" s="6"/>
      <c r="E869" s="6"/>
      <c r="F869" s="6"/>
      <c r="G869" s="6"/>
      <c r="H869" s="6"/>
      <c r="I869" s="6"/>
      <c r="J869" s="11"/>
      <c r="K869" s="591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 ht="11.25" customHeight="1">
      <c r="A870" s="7"/>
      <c r="B870" s="5"/>
      <c r="C870" s="6"/>
      <c r="D870" s="6"/>
      <c r="E870" s="6"/>
      <c r="F870" s="6"/>
      <c r="G870" s="6"/>
      <c r="H870" s="6"/>
      <c r="I870" s="6"/>
      <c r="J870" s="11"/>
      <c r="K870" s="591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 ht="11.25" customHeight="1">
      <c r="A871" s="7"/>
      <c r="B871" s="5"/>
      <c r="C871" s="6"/>
      <c r="D871" s="6"/>
      <c r="E871" s="6"/>
      <c r="F871" s="6"/>
      <c r="G871" s="6"/>
      <c r="H871" s="6"/>
      <c r="I871" s="6"/>
      <c r="J871" s="11"/>
      <c r="K871" s="591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 ht="11.25" customHeight="1">
      <c r="A872" s="7"/>
      <c r="B872" s="5"/>
      <c r="C872" s="6"/>
      <c r="D872" s="6"/>
      <c r="E872" s="6"/>
      <c r="F872" s="6"/>
      <c r="G872" s="6"/>
      <c r="H872" s="6"/>
      <c r="I872" s="6"/>
      <c r="J872" s="11"/>
      <c r="K872" s="591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 ht="11.25" customHeight="1">
      <c r="A873" s="7"/>
      <c r="B873" s="5"/>
      <c r="C873" s="6"/>
      <c r="D873" s="6"/>
      <c r="E873" s="6"/>
      <c r="F873" s="6"/>
      <c r="G873" s="6"/>
      <c r="H873" s="6"/>
      <c r="I873" s="6"/>
      <c r="J873" s="11"/>
      <c r="K873" s="591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 ht="11.25" customHeight="1">
      <c r="A874" s="7"/>
      <c r="B874" s="5"/>
      <c r="C874" s="6"/>
      <c r="D874" s="6"/>
      <c r="E874" s="6"/>
      <c r="F874" s="6"/>
      <c r="G874" s="6"/>
      <c r="H874" s="6"/>
      <c r="I874" s="6"/>
      <c r="J874" s="11"/>
      <c r="K874" s="591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 ht="11.25" customHeight="1">
      <c r="A875" s="7"/>
      <c r="B875" s="5"/>
      <c r="C875" s="6"/>
      <c r="D875" s="6"/>
      <c r="E875" s="6"/>
      <c r="F875" s="6"/>
      <c r="G875" s="6"/>
      <c r="H875" s="6"/>
      <c r="I875" s="6"/>
      <c r="J875" s="11"/>
      <c r="K875" s="591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 ht="11.25" customHeight="1">
      <c r="A876" s="7"/>
      <c r="B876" s="5"/>
      <c r="C876" s="6"/>
      <c r="D876" s="6"/>
      <c r="E876" s="6"/>
      <c r="F876" s="6"/>
      <c r="G876" s="6"/>
      <c r="H876" s="6"/>
      <c r="I876" s="6"/>
      <c r="J876" s="11"/>
      <c r="K876" s="591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 ht="11.25" customHeight="1">
      <c r="A877" s="7"/>
      <c r="B877" s="5"/>
      <c r="C877" s="6"/>
      <c r="D877" s="6"/>
      <c r="E877" s="6"/>
      <c r="F877" s="6"/>
      <c r="G877" s="6"/>
      <c r="H877" s="6"/>
      <c r="I877" s="6"/>
      <c r="J877" s="11"/>
      <c r="K877" s="591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 ht="11.25" customHeight="1">
      <c r="A878" s="7"/>
      <c r="B878" s="5"/>
      <c r="C878" s="6"/>
      <c r="D878" s="6"/>
      <c r="E878" s="6"/>
      <c r="F878" s="6"/>
      <c r="G878" s="6"/>
      <c r="H878" s="6"/>
      <c r="I878" s="6"/>
      <c r="J878" s="11"/>
      <c r="K878" s="591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 ht="11.25" customHeight="1">
      <c r="A879" s="7"/>
      <c r="B879" s="5"/>
      <c r="C879" s="6"/>
      <c r="D879" s="6"/>
      <c r="E879" s="6"/>
      <c r="F879" s="6"/>
      <c r="G879" s="6"/>
      <c r="H879" s="6"/>
      <c r="I879" s="6"/>
      <c r="J879" s="11"/>
      <c r="K879" s="591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 ht="11.25" customHeight="1">
      <c r="A880" s="7"/>
      <c r="B880" s="5"/>
      <c r="C880" s="6"/>
      <c r="D880" s="6"/>
      <c r="E880" s="6"/>
      <c r="F880" s="6"/>
      <c r="G880" s="6"/>
      <c r="H880" s="6"/>
      <c r="I880" s="6"/>
      <c r="J880" s="11"/>
      <c r="K880" s="591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 ht="11.25" customHeight="1">
      <c r="A881" s="7"/>
      <c r="B881" s="5"/>
      <c r="C881" s="6"/>
      <c r="D881" s="6"/>
      <c r="E881" s="6"/>
      <c r="F881" s="6"/>
      <c r="G881" s="6"/>
      <c r="H881" s="6"/>
      <c r="I881" s="6"/>
      <c r="J881" s="11"/>
      <c r="K881" s="591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 ht="11.25" customHeight="1">
      <c r="A882" s="7"/>
      <c r="B882" s="5"/>
      <c r="C882" s="6"/>
      <c r="D882" s="6"/>
      <c r="E882" s="6"/>
      <c r="F882" s="6"/>
      <c r="G882" s="6"/>
      <c r="H882" s="6"/>
      <c r="I882" s="6"/>
      <c r="J882" s="11"/>
      <c r="K882" s="591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 ht="11.25" customHeight="1">
      <c r="A883" s="7"/>
      <c r="B883" s="5"/>
      <c r="C883" s="6"/>
      <c r="D883" s="6"/>
      <c r="E883" s="6"/>
      <c r="F883" s="6"/>
      <c r="G883" s="6"/>
      <c r="H883" s="6"/>
      <c r="I883" s="6"/>
      <c r="J883" s="11"/>
      <c r="K883" s="591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 ht="11.25" customHeight="1">
      <c r="A884" s="7"/>
      <c r="B884" s="5"/>
      <c r="C884" s="6"/>
      <c r="D884" s="6"/>
      <c r="E884" s="6"/>
      <c r="F884" s="6"/>
      <c r="G884" s="6"/>
      <c r="H884" s="6"/>
      <c r="I884" s="6"/>
      <c r="J884" s="11"/>
      <c r="K884" s="591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 ht="11.25" customHeight="1">
      <c r="A885" s="7"/>
      <c r="B885" s="5"/>
      <c r="C885" s="6"/>
      <c r="D885" s="6"/>
      <c r="E885" s="6"/>
      <c r="F885" s="6"/>
      <c r="G885" s="6"/>
      <c r="H885" s="6"/>
      <c r="I885" s="6"/>
      <c r="J885" s="11"/>
      <c r="K885" s="591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 ht="11.25" customHeight="1">
      <c r="A886" s="7"/>
      <c r="B886" s="5"/>
      <c r="C886" s="6"/>
      <c r="D886" s="6"/>
      <c r="E886" s="6"/>
      <c r="F886" s="6"/>
      <c r="G886" s="6"/>
      <c r="H886" s="6"/>
      <c r="I886" s="6"/>
      <c r="J886" s="11"/>
      <c r="K886" s="591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 ht="11.25" customHeight="1">
      <c r="A887" s="7"/>
      <c r="B887" s="5"/>
      <c r="C887" s="6"/>
      <c r="D887" s="6"/>
      <c r="E887" s="6"/>
      <c r="F887" s="6"/>
      <c r="G887" s="6"/>
      <c r="H887" s="6"/>
      <c r="I887" s="6"/>
      <c r="J887" s="11"/>
      <c r="K887" s="591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 ht="11.25" customHeight="1">
      <c r="A888" s="7"/>
      <c r="B888" s="5"/>
      <c r="C888" s="6"/>
      <c r="D888" s="6"/>
      <c r="E888" s="6"/>
      <c r="F888" s="6"/>
      <c r="G888" s="6"/>
      <c r="H888" s="6"/>
      <c r="I888" s="6"/>
      <c r="J888" s="11"/>
      <c r="K888" s="591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 ht="11.25" customHeight="1">
      <c r="A889" s="7"/>
      <c r="B889" s="5"/>
      <c r="C889" s="6"/>
      <c r="D889" s="6"/>
      <c r="E889" s="6"/>
      <c r="F889" s="6"/>
      <c r="G889" s="6"/>
      <c r="H889" s="6"/>
      <c r="I889" s="6"/>
      <c r="J889" s="11"/>
      <c r="K889" s="591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 ht="11.25" customHeight="1">
      <c r="A890" s="7"/>
      <c r="B890" s="5"/>
      <c r="C890" s="6"/>
      <c r="D890" s="6"/>
      <c r="E890" s="6"/>
      <c r="F890" s="6"/>
      <c r="G890" s="6"/>
      <c r="H890" s="6"/>
      <c r="I890" s="6"/>
      <c r="J890" s="11"/>
      <c r="K890" s="591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 ht="11.25" customHeight="1">
      <c r="A891" s="7"/>
      <c r="B891" s="5"/>
      <c r="C891" s="6"/>
      <c r="D891" s="6"/>
      <c r="E891" s="6"/>
      <c r="F891" s="6"/>
      <c r="G891" s="6"/>
      <c r="H891" s="6"/>
      <c r="I891" s="6"/>
      <c r="J891" s="11"/>
      <c r="K891" s="591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 ht="11.25" customHeight="1">
      <c r="A892" s="7"/>
      <c r="B892" s="5"/>
      <c r="C892" s="6"/>
      <c r="D892" s="6"/>
      <c r="E892" s="6"/>
      <c r="F892" s="6"/>
      <c r="G892" s="6"/>
      <c r="H892" s="6"/>
      <c r="I892" s="6"/>
      <c r="J892" s="11"/>
      <c r="K892" s="591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 ht="11.25" customHeight="1">
      <c r="A893" s="7"/>
      <c r="B893" s="5"/>
      <c r="C893" s="6"/>
      <c r="D893" s="6"/>
      <c r="E893" s="6"/>
      <c r="F893" s="6"/>
      <c r="G893" s="6"/>
      <c r="H893" s="6"/>
      <c r="I893" s="6"/>
      <c r="J893" s="11"/>
      <c r="K893" s="591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 ht="11.25" customHeight="1">
      <c r="A894" s="7"/>
      <c r="B894" s="5"/>
      <c r="C894" s="6"/>
      <c r="D894" s="6"/>
      <c r="E894" s="6"/>
      <c r="F894" s="6"/>
      <c r="G894" s="6"/>
      <c r="H894" s="6"/>
      <c r="I894" s="6"/>
      <c r="J894" s="11"/>
      <c r="K894" s="591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 ht="11.25" customHeight="1">
      <c r="A895" s="7"/>
      <c r="B895" s="5"/>
      <c r="C895" s="6"/>
      <c r="D895" s="6"/>
      <c r="E895" s="6"/>
      <c r="F895" s="6"/>
      <c r="G895" s="6"/>
      <c r="H895" s="6"/>
      <c r="I895" s="6"/>
      <c r="J895" s="11"/>
      <c r="K895" s="591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 ht="11.25" customHeight="1">
      <c r="A896" s="7"/>
      <c r="B896" s="5"/>
      <c r="C896" s="6"/>
      <c r="D896" s="6"/>
      <c r="E896" s="6"/>
      <c r="F896" s="6"/>
      <c r="G896" s="6"/>
      <c r="H896" s="6"/>
      <c r="I896" s="6"/>
      <c r="J896" s="11"/>
      <c r="K896" s="591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 ht="11.25" customHeight="1">
      <c r="A897" s="7"/>
      <c r="B897" s="5"/>
      <c r="C897" s="6"/>
      <c r="D897" s="6"/>
      <c r="E897" s="6"/>
      <c r="F897" s="6"/>
      <c r="G897" s="6"/>
      <c r="H897" s="6"/>
      <c r="I897" s="6"/>
      <c r="J897" s="11"/>
      <c r="K897" s="591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 ht="11.25" customHeight="1">
      <c r="A898" s="7"/>
      <c r="B898" s="5"/>
      <c r="C898" s="6"/>
      <c r="D898" s="6"/>
      <c r="E898" s="6"/>
      <c r="F898" s="6"/>
      <c r="G898" s="6"/>
      <c r="H898" s="6"/>
      <c r="I898" s="6"/>
      <c r="J898" s="11"/>
      <c r="K898" s="591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 ht="11.25" customHeight="1">
      <c r="A899" s="7"/>
      <c r="B899" s="5"/>
      <c r="C899" s="6"/>
      <c r="D899" s="6"/>
      <c r="E899" s="6"/>
      <c r="F899" s="6"/>
      <c r="G899" s="6"/>
      <c r="H899" s="6"/>
      <c r="I899" s="6"/>
      <c r="J899" s="11"/>
      <c r="K899" s="591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 ht="11.25" customHeight="1">
      <c r="A900" s="7"/>
      <c r="B900" s="5"/>
      <c r="C900" s="6"/>
      <c r="D900" s="6"/>
      <c r="E900" s="6"/>
      <c r="F900" s="6"/>
      <c r="G900" s="6"/>
      <c r="H900" s="6"/>
      <c r="I900" s="6"/>
      <c r="J900" s="11"/>
      <c r="K900" s="591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 ht="11.25" customHeight="1">
      <c r="A901" s="7"/>
      <c r="B901" s="5"/>
      <c r="C901" s="6"/>
      <c r="D901" s="6"/>
      <c r="E901" s="6"/>
      <c r="F901" s="6"/>
      <c r="G901" s="6"/>
      <c r="H901" s="6"/>
      <c r="I901" s="6"/>
      <c r="J901" s="11"/>
      <c r="K901" s="591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 ht="11.25" customHeight="1">
      <c r="A902" s="7"/>
      <c r="B902" s="5"/>
      <c r="C902" s="6"/>
      <c r="D902" s="6"/>
      <c r="E902" s="6"/>
      <c r="F902" s="6"/>
      <c r="G902" s="6"/>
      <c r="H902" s="6"/>
      <c r="I902" s="6"/>
      <c r="J902" s="11"/>
      <c r="K902" s="591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 ht="11.25" customHeight="1">
      <c r="A903" s="7"/>
      <c r="B903" s="5"/>
      <c r="C903" s="6"/>
      <c r="D903" s="6"/>
      <c r="E903" s="6"/>
      <c r="F903" s="6"/>
      <c r="G903" s="6"/>
      <c r="H903" s="6"/>
      <c r="I903" s="6"/>
      <c r="J903" s="11"/>
      <c r="K903" s="591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 ht="11.25" customHeight="1">
      <c r="A904" s="7"/>
      <c r="B904" s="5"/>
      <c r="C904" s="6"/>
      <c r="D904" s="6"/>
      <c r="E904" s="6"/>
      <c r="F904" s="6"/>
      <c r="G904" s="6"/>
      <c r="H904" s="6"/>
      <c r="I904" s="6"/>
      <c r="J904" s="11"/>
      <c r="K904" s="591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 ht="11.25" customHeight="1">
      <c r="A905" s="7"/>
      <c r="B905" s="5"/>
      <c r="C905" s="6"/>
      <c r="D905" s="6"/>
      <c r="E905" s="6"/>
      <c r="F905" s="6"/>
      <c r="G905" s="6"/>
      <c r="H905" s="6"/>
      <c r="I905" s="6"/>
      <c r="J905" s="11"/>
      <c r="K905" s="591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 ht="11.25" customHeight="1">
      <c r="A906" s="7"/>
      <c r="B906" s="5"/>
      <c r="C906" s="6"/>
      <c r="D906" s="6"/>
      <c r="E906" s="6"/>
      <c r="F906" s="6"/>
      <c r="G906" s="6"/>
      <c r="H906" s="6"/>
      <c r="I906" s="6"/>
      <c r="J906" s="11"/>
      <c r="K906" s="591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 ht="11.25" customHeight="1">
      <c r="A907" s="7"/>
      <c r="B907" s="5"/>
      <c r="C907" s="6"/>
      <c r="D907" s="6"/>
      <c r="E907" s="6"/>
      <c r="F907" s="6"/>
      <c r="G907" s="6"/>
      <c r="H907" s="6"/>
      <c r="I907" s="6"/>
      <c r="J907" s="11"/>
      <c r="K907" s="591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 ht="11.25" customHeight="1">
      <c r="A908" s="7"/>
      <c r="B908" s="5"/>
      <c r="C908" s="6"/>
      <c r="D908" s="6"/>
      <c r="E908" s="6"/>
      <c r="F908" s="6"/>
      <c r="G908" s="6"/>
      <c r="H908" s="6"/>
      <c r="I908" s="6"/>
      <c r="J908" s="11"/>
      <c r="K908" s="591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 ht="11.25" customHeight="1">
      <c r="A909" s="7"/>
      <c r="B909" s="5"/>
      <c r="C909" s="6"/>
      <c r="D909" s="6"/>
      <c r="E909" s="6"/>
      <c r="F909" s="6"/>
      <c r="G909" s="6"/>
      <c r="H909" s="6"/>
      <c r="I909" s="6"/>
      <c r="J909" s="11"/>
      <c r="K909" s="591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 ht="11.25" customHeight="1">
      <c r="A910" s="7"/>
      <c r="B910" s="5"/>
      <c r="C910" s="6"/>
      <c r="D910" s="6"/>
      <c r="E910" s="6"/>
      <c r="F910" s="6"/>
      <c r="G910" s="6"/>
      <c r="H910" s="6"/>
      <c r="I910" s="6"/>
      <c r="J910" s="11"/>
      <c r="K910" s="591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 ht="11.25" customHeight="1">
      <c r="A911" s="7"/>
      <c r="B911" s="5"/>
      <c r="C911" s="6"/>
      <c r="D911" s="6"/>
      <c r="E911" s="6"/>
      <c r="F911" s="6"/>
      <c r="G911" s="6"/>
      <c r="H911" s="6"/>
      <c r="I911" s="6"/>
      <c r="J911" s="11"/>
      <c r="K911" s="591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 ht="11.25" customHeight="1">
      <c r="A912" s="7"/>
      <c r="B912" s="5"/>
      <c r="C912" s="6"/>
      <c r="D912" s="6"/>
      <c r="E912" s="6"/>
      <c r="F912" s="6"/>
      <c r="G912" s="6"/>
      <c r="H912" s="6"/>
      <c r="I912" s="6"/>
      <c r="J912" s="11"/>
      <c r="K912" s="591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 ht="11.25" customHeight="1">
      <c r="A913" s="7"/>
      <c r="B913" s="5"/>
      <c r="C913" s="6"/>
      <c r="D913" s="6"/>
      <c r="E913" s="6"/>
      <c r="F913" s="6"/>
      <c r="G913" s="6"/>
      <c r="H913" s="6"/>
      <c r="I913" s="6"/>
      <c r="J913" s="11"/>
      <c r="K913" s="591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 ht="11.25" customHeight="1">
      <c r="A914" s="7"/>
      <c r="B914" s="5"/>
      <c r="C914" s="6"/>
      <c r="D914" s="6"/>
      <c r="E914" s="6"/>
      <c r="F914" s="6"/>
      <c r="G914" s="6"/>
      <c r="H914" s="6"/>
      <c r="I914" s="6"/>
      <c r="J914" s="11"/>
      <c r="K914" s="591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 ht="11.25" customHeight="1">
      <c r="A915" s="7"/>
      <c r="B915" s="5"/>
      <c r="C915" s="6"/>
      <c r="D915" s="6"/>
      <c r="E915" s="6"/>
      <c r="F915" s="6"/>
      <c r="G915" s="6"/>
      <c r="H915" s="6"/>
      <c r="I915" s="6"/>
      <c r="J915" s="11"/>
      <c r="K915" s="591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 ht="11.25" customHeight="1">
      <c r="A916" s="7"/>
      <c r="B916" s="5"/>
      <c r="C916" s="6"/>
      <c r="D916" s="6"/>
      <c r="E916" s="6"/>
      <c r="F916" s="6"/>
      <c r="G916" s="6"/>
      <c r="H916" s="6"/>
      <c r="I916" s="6"/>
      <c r="J916" s="11"/>
      <c r="K916" s="591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 ht="11.25" customHeight="1">
      <c r="A917" s="7"/>
      <c r="B917" s="5"/>
      <c r="C917" s="6"/>
      <c r="D917" s="6"/>
      <c r="E917" s="6"/>
      <c r="F917" s="6"/>
      <c r="G917" s="6"/>
      <c r="H917" s="6"/>
      <c r="I917" s="6"/>
      <c r="J917" s="11"/>
      <c r="K917" s="591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 ht="11.25" customHeight="1">
      <c r="A918" s="7"/>
      <c r="B918" s="5"/>
      <c r="C918" s="6"/>
      <c r="D918" s="6"/>
      <c r="E918" s="6"/>
      <c r="F918" s="6"/>
      <c r="G918" s="6"/>
      <c r="H918" s="6"/>
      <c r="I918" s="6"/>
      <c r="J918" s="11"/>
      <c r="K918" s="591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 ht="11.25" customHeight="1">
      <c r="A919" s="7"/>
      <c r="B919" s="5"/>
      <c r="C919" s="6"/>
      <c r="D919" s="6"/>
      <c r="E919" s="6"/>
      <c r="F919" s="6"/>
      <c r="G919" s="6"/>
      <c r="H919" s="6"/>
      <c r="I919" s="6"/>
      <c r="J919" s="11"/>
      <c r="K919" s="591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 ht="11.25" customHeight="1">
      <c r="A920" s="7"/>
      <c r="B920" s="5"/>
      <c r="C920" s="6"/>
      <c r="D920" s="6"/>
      <c r="E920" s="6"/>
      <c r="F920" s="6"/>
      <c r="G920" s="6"/>
      <c r="H920" s="6"/>
      <c r="I920" s="6"/>
      <c r="J920" s="11"/>
      <c r="K920" s="591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 ht="11.25" customHeight="1">
      <c r="A921" s="7"/>
      <c r="B921" s="5"/>
      <c r="C921" s="6"/>
      <c r="D921" s="6"/>
      <c r="E921" s="6"/>
      <c r="F921" s="6"/>
      <c r="G921" s="6"/>
      <c r="H921" s="6"/>
      <c r="I921" s="6"/>
      <c r="J921" s="11"/>
      <c r="K921" s="591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 ht="11.25" customHeight="1">
      <c r="A922" s="7"/>
      <c r="B922" s="5"/>
      <c r="C922" s="6"/>
      <c r="D922" s="6"/>
      <c r="E922" s="6"/>
      <c r="F922" s="6"/>
      <c r="G922" s="6"/>
      <c r="H922" s="6"/>
      <c r="I922" s="6"/>
      <c r="J922" s="11"/>
      <c r="K922" s="591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 ht="11.25" customHeight="1">
      <c r="A923" s="7"/>
      <c r="B923" s="5"/>
      <c r="C923" s="6"/>
      <c r="D923" s="6"/>
      <c r="E923" s="6"/>
      <c r="F923" s="6"/>
      <c r="G923" s="6"/>
      <c r="H923" s="6"/>
      <c r="I923" s="6"/>
      <c r="J923" s="11"/>
      <c r="K923" s="591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 ht="11.25" customHeight="1">
      <c r="A924" s="7"/>
      <c r="B924" s="5"/>
      <c r="C924" s="6"/>
      <c r="D924" s="6"/>
      <c r="E924" s="6"/>
      <c r="F924" s="6"/>
      <c r="G924" s="6"/>
      <c r="H924" s="6"/>
      <c r="I924" s="6"/>
      <c r="J924" s="11"/>
      <c r="K924" s="591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 ht="11.25" customHeight="1">
      <c r="A925" s="7"/>
      <c r="B925" s="5"/>
      <c r="C925" s="6"/>
      <c r="D925" s="6"/>
      <c r="E925" s="6"/>
      <c r="F925" s="6"/>
      <c r="G925" s="6"/>
      <c r="H925" s="6"/>
      <c r="I925" s="6"/>
      <c r="J925" s="11"/>
      <c r="K925" s="591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 ht="11.25" customHeight="1">
      <c r="A926" s="7"/>
      <c r="B926" s="5"/>
      <c r="C926" s="6"/>
      <c r="D926" s="6"/>
      <c r="E926" s="6"/>
      <c r="F926" s="6"/>
      <c r="G926" s="6"/>
      <c r="H926" s="6"/>
      <c r="I926" s="6"/>
      <c r="J926" s="11"/>
      <c r="K926" s="591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 ht="11.25" customHeight="1">
      <c r="A927" s="7"/>
      <c r="B927" s="5"/>
      <c r="C927" s="6"/>
      <c r="D927" s="6"/>
      <c r="E927" s="6"/>
      <c r="F927" s="6"/>
      <c r="G927" s="6"/>
      <c r="H927" s="6"/>
      <c r="I927" s="6"/>
      <c r="J927" s="11"/>
      <c r="K927" s="591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 ht="11.25" customHeight="1">
      <c r="A928" s="7"/>
      <c r="B928" s="5"/>
      <c r="C928" s="6"/>
      <c r="D928" s="6"/>
      <c r="E928" s="6"/>
      <c r="F928" s="6"/>
      <c r="G928" s="6"/>
      <c r="H928" s="6"/>
      <c r="I928" s="6"/>
      <c r="J928" s="11"/>
      <c r="K928" s="591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 ht="11.25" customHeight="1">
      <c r="A929" s="7"/>
      <c r="B929" s="5"/>
      <c r="C929" s="6"/>
      <c r="D929" s="6"/>
      <c r="E929" s="6"/>
      <c r="F929" s="6"/>
      <c r="G929" s="6"/>
      <c r="H929" s="6"/>
      <c r="I929" s="6"/>
      <c r="J929" s="11"/>
      <c r="K929" s="591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 ht="11.25" customHeight="1">
      <c r="A930" s="7"/>
      <c r="B930" s="5"/>
      <c r="C930" s="6"/>
      <c r="D930" s="6"/>
      <c r="E930" s="6"/>
      <c r="F930" s="6"/>
      <c r="G930" s="6"/>
      <c r="H930" s="6"/>
      <c r="I930" s="6"/>
      <c r="J930" s="11"/>
      <c r="K930" s="591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 ht="11.25" customHeight="1">
      <c r="A931" s="7"/>
      <c r="B931" s="5"/>
      <c r="C931" s="6"/>
      <c r="D931" s="6"/>
      <c r="E931" s="6"/>
      <c r="F931" s="6"/>
      <c r="G931" s="6"/>
      <c r="H931" s="6"/>
      <c r="I931" s="6"/>
      <c r="J931" s="11"/>
      <c r="K931" s="591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 ht="11.25" customHeight="1">
      <c r="A932" s="7"/>
      <c r="B932" s="5"/>
      <c r="C932" s="6"/>
      <c r="D932" s="6"/>
      <c r="E932" s="6"/>
      <c r="F932" s="6"/>
      <c r="G932" s="6"/>
      <c r="H932" s="6"/>
      <c r="I932" s="6"/>
      <c r="J932" s="11"/>
      <c r="K932" s="591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 ht="11.25" customHeight="1">
      <c r="A933" s="7"/>
      <c r="B933" s="5"/>
      <c r="C933" s="6"/>
      <c r="D933" s="6"/>
      <c r="E933" s="6"/>
      <c r="F933" s="6"/>
      <c r="G933" s="6"/>
      <c r="H933" s="6"/>
      <c r="I933" s="6"/>
      <c r="J933" s="11"/>
      <c r="K933" s="591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 ht="11.25" customHeight="1">
      <c r="A934" s="7"/>
      <c r="B934" s="5"/>
      <c r="C934" s="6"/>
      <c r="D934" s="6"/>
      <c r="E934" s="6"/>
      <c r="F934" s="6"/>
      <c r="G934" s="6"/>
      <c r="H934" s="6"/>
      <c r="I934" s="6"/>
      <c r="J934" s="11"/>
      <c r="K934" s="591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 ht="11.25" customHeight="1">
      <c r="A935" s="7"/>
      <c r="B935" s="5"/>
      <c r="C935" s="6"/>
      <c r="D935" s="6"/>
      <c r="E935" s="6"/>
      <c r="F935" s="6"/>
      <c r="G935" s="6"/>
      <c r="H935" s="6"/>
      <c r="I935" s="6"/>
      <c r="J935" s="11"/>
      <c r="K935" s="591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 ht="11.25" customHeight="1">
      <c r="A936" s="7"/>
      <c r="B936" s="5"/>
      <c r="C936" s="6"/>
      <c r="D936" s="6"/>
      <c r="E936" s="6"/>
      <c r="F936" s="6"/>
      <c r="G936" s="6"/>
      <c r="H936" s="6"/>
      <c r="I936" s="6"/>
      <c r="J936" s="11"/>
      <c r="K936" s="591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 ht="11.25" customHeight="1">
      <c r="A937" s="7"/>
      <c r="B937" s="5"/>
      <c r="C937" s="6"/>
      <c r="D937" s="6"/>
      <c r="E937" s="6"/>
      <c r="F937" s="6"/>
      <c r="G937" s="6"/>
      <c r="H937" s="6"/>
      <c r="I937" s="6"/>
      <c r="J937" s="11"/>
      <c r="K937" s="591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 ht="11.25" customHeight="1">
      <c r="A938" s="7"/>
      <c r="B938" s="5"/>
      <c r="C938" s="6"/>
      <c r="D938" s="6"/>
      <c r="E938" s="6"/>
      <c r="F938" s="6"/>
      <c r="G938" s="6"/>
      <c r="H938" s="6"/>
      <c r="I938" s="6"/>
      <c r="J938" s="11"/>
      <c r="K938" s="591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 ht="11.25" customHeight="1">
      <c r="A939" s="7"/>
      <c r="B939" s="5"/>
      <c r="C939" s="6"/>
      <c r="D939" s="6"/>
      <c r="E939" s="6"/>
      <c r="F939" s="6"/>
      <c r="G939" s="6"/>
      <c r="H939" s="6"/>
      <c r="I939" s="6"/>
      <c r="J939" s="11"/>
      <c r="K939" s="591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 ht="11.25" customHeight="1">
      <c r="A940" s="7"/>
      <c r="B940" s="5"/>
      <c r="C940" s="6"/>
      <c r="D940" s="6"/>
      <c r="E940" s="6"/>
      <c r="F940" s="6"/>
      <c r="G940" s="6"/>
      <c r="H940" s="6"/>
      <c r="I940" s="6"/>
      <c r="J940" s="11"/>
      <c r="K940" s="591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 ht="11.25" customHeight="1">
      <c r="A941" s="7"/>
      <c r="B941" s="5"/>
      <c r="C941" s="6"/>
      <c r="D941" s="6"/>
      <c r="E941" s="6"/>
      <c r="F941" s="6"/>
      <c r="G941" s="6"/>
      <c r="H941" s="6"/>
      <c r="I941" s="6"/>
      <c r="J941" s="11"/>
      <c r="K941" s="591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 ht="11.25" customHeight="1">
      <c r="A942" s="7"/>
      <c r="B942" s="5"/>
      <c r="C942" s="6"/>
      <c r="D942" s="6"/>
      <c r="E942" s="6"/>
      <c r="F942" s="6"/>
      <c r="G942" s="6"/>
      <c r="H942" s="6"/>
      <c r="I942" s="6"/>
      <c r="J942" s="11"/>
      <c r="K942" s="591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 ht="11.25" customHeight="1">
      <c r="A943" s="7"/>
      <c r="B943" s="5"/>
      <c r="C943" s="6"/>
      <c r="D943" s="6"/>
      <c r="E943" s="6"/>
      <c r="F943" s="6"/>
      <c r="G943" s="6"/>
      <c r="H943" s="6"/>
      <c r="I943" s="6"/>
      <c r="J943" s="11"/>
      <c r="K943" s="591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 ht="11.25" customHeight="1">
      <c r="A944" s="7"/>
      <c r="B944" s="5"/>
      <c r="C944" s="6"/>
      <c r="D944" s="6"/>
      <c r="E944" s="6"/>
      <c r="F944" s="6"/>
      <c r="G944" s="6"/>
      <c r="H944" s="6"/>
      <c r="I944" s="6"/>
      <c r="J944" s="11"/>
      <c r="K944" s="591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 ht="11.25" customHeight="1">
      <c r="A945" s="7"/>
      <c r="B945" s="5"/>
      <c r="C945" s="6"/>
      <c r="D945" s="6"/>
      <c r="E945" s="6"/>
      <c r="F945" s="6"/>
      <c r="G945" s="6"/>
      <c r="H945" s="6"/>
      <c r="I945" s="6"/>
      <c r="J945" s="11"/>
      <c r="K945" s="591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 ht="11.25" customHeight="1">
      <c r="A946" s="7"/>
      <c r="B946" s="5"/>
      <c r="C946" s="6"/>
      <c r="D946" s="6"/>
      <c r="E946" s="6"/>
      <c r="F946" s="6"/>
      <c r="G946" s="6"/>
      <c r="H946" s="6"/>
      <c r="I946" s="6"/>
      <c r="J946" s="11"/>
      <c r="K946" s="591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 ht="11.25" customHeight="1">
      <c r="A947" s="7"/>
      <c r="B947" s="5"/>
      <c r="C947" s="6"/>
      <c r="D947" s="6"/>
      <c r="E947" s="6"/>
      <c r="F947" s="6"/>
      <c r="G947" s="6"/>
      <c r="H947" s="6"/>
      <c r="I947" s="6"/>
      <c r="J947" s="11"/>
      <c r="K947" s="591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 ht="11.25" customHeight="1">
      <c r="A948" s="7"/>
      <c r="B948" s="5"/>
      <c r="C948" s="6"/>
      <c r="D948" s="6"/>
      <c r="E948" s="6"/>
      <c r="F948" s="6"/>
      <c r="G948" s="6"/>
      <c r="H948" s="6"/>
      <c r="I948" s="6"/>
      <c r="J948" s="11"/>
      <c r="K948" s="591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 ht="11.25" customHeight="1">
      <c r="A949" s="7"/>
      <c r="B949" s="5"/>
      <c r="C949" s="6"/>
      <c r="D949" s="6"/>
      <c r="E949" s="6"/>
      <c r="F949" s="6"/>
      <c r="G949" s="6"/>
      <c r="H949" s="6"/>
      <c r="I949" s="6"/>
      <c r="J949" s="11"/>
      <c r="K949" s="591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 ht="11.25" customHeight="1">
      <c r="A950" s="7"/>
      <c r="B950" s="5"/>
      <c r="C950" s="6"/>
      <c r="D950" s="6"/>
      <c r="E950" s="6"/>
      <c r="F950" s="6"/>
      <c r="G950" s="6"/>
      <c r="H950" s="6"/>
      <c r="I950" s="6"/>
      <c r="J950" s="11"/>
      <c r="K950" s="591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 ht="11.25" customHeight="1">
      <c r="A951" s="7"/>
      <c r="B951" s="5"/>
      <c r="C951" s="6"/>
      <c r="D951" s="6"/>
      <c r="E951" s="6"/>
      <c r="F951" s="6"/>
      <c r="G951" s="6"/>
      <c r="H951" s="6"/>
      <c r="I951" s="6"/>
      <c r="J951" s="11"/>
      <c r="K951" s="591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 ht="11.25" customHeight="1">
      <c r="A952" s="7"/>
      <c r="B952" s="5"/>
      <c r="C952" s="6"/>
      <c r="D952" s="6"/>
      <c r="E952" s="6"/>
      <c r="F952" s="6"/>
      <c r="G952" s="6"/>
      <c r="H952" s="6"/>
      <c r="I952" s="6"/>
      <c r="J952" s="11"/>
      <c r="K952" s="591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 ht="11.25" customHeight="1">
      <c r="A953" s="7"/>
      <c r="B953" s="5"/>
      <c r="C953" s="6"/>
      <c r="D953" s="6"/>
      <c r="E953" s="6"/>
      <c r="F953" s="6"/>
      <c r="G953" s="6"/>
      <c r="H953" s="6"/>
      <c r="I953" s="6"/>
      <c r="J953" s="11"/>
      <c r="K953" s="591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 ht="11.25" customHeight="1">
      <c r="A954" s="7"/>
      <c r="B954" s="5"/>
      <c r="C954" s="6"/>
      <c r="D954" s="6"/>
      <c r="E954" s="6"/>
      <c r="F954" s="6"/>
      <c r="G954" s="6"/>
      <c r="H954" s="6"/>
      <c r="I954" s="6"/>
      <c r="J954" s="11"/>
      <c r="K954" s="591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 ht="11.25" customHeight="1">
      <c r="A955" s="7"/>
      <c r="B955" s="5"/>
      <c r="C955" s="6"/>
      <c r="D955" s="6"/>
      <c r="E955" s="6"/>
      <c r="F955" s="6"/>
      <c r="G955" s="6"/>
      <c r="H955" s="6"/>
      <c r="I955" s="6"/>
      <c r="J955" s="11"/>
      <c r="K955" s="591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 ht="11.25" customHeight="1">
      <c r="A956" s="7"/>
      <c r="B956" s="5"/>
      <c r="C956" s="6"/>
      <c r="D956" s="6"/>
      <c r="E956" s="6"/>
      <c r="F956" s="6"/>
      <c r="G956" s="6"/>
      <c r="H956" s="6"/>
      <c r="I956" s="6"/>
      <c r="J956" s="11"/>
      <c r="K956" s="591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 ht="11.25" customHeight="1">
      <c r="A957" s="7"/>
      <c r="B957" s="5"/>
      <c r="C957" s="6"/>
      <c r="D957" s="6"/>
      <c r="E957" s="6"/>
      <c r="F957" s="6"/>
      <c r="G957" s="6"/>
      <c r="H957" s="6"/>
      <c r="I957" s="6"/>
      <c r="J957" s="11"/>
      <c r="K957" s="591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 ht="11.25" customHeight="1">
      <c r="A958" s="7"/>
      <c r="B958" s="5"/>
      <c r="C958" s="6"/>
      <c r="D958" s="6"/>
      <c r="E958" s="6"/>
      <c r="F958" s="6"/>
      <c r="G958" s="6"/>
      <c r="H958" s="6"/>
      <c r="I958" s="6"/>
      <c r="J958" s="11"/>
      <c r="K958" s="591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 ht="11.25" customHeight="1">
      <c r="A959" s="7"/>
      <c r="B959" s="5"/>
      <c r="C959" s="6"/>
      <c r="D959" s="6"/>
      <c r="E959" s="6"/>
      <c r="F959" s="6"/>
      <c r="G959" s="6"/>
      <c r="H959" s="6"/>
      <c r="I959" s="6"/>
      <c r="J959" s="11"/>
      <c r="K959" s="591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 ht="11.25" customHeight="1">
      <c r="A960" s="7"/>
      <c r="B960" s="5"/>
      <c r="C960" s="6"/>
      <c r="D960" s="6"/>
      <c r="E960" s="6"/>
      <c r="F960" s="6"/>
      <c r="G960" s="6"/>
      <c r="H960" s="6"/>
      <c r="I960" s="6"/>
      <c r="J960" s="11"/>
      <c r="K960" s="591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 ht="11.25" customHeight="1">
      <c r="A961" s="7"/>
      <c r="B961" s="5"/>
      <c r="C961" s="6"/>
      <c r="D961" s="6"/>
      <c r="E961" s="6"/>
      <c r="F961" s="6"/>
      <c r="G961" s="6"/>
      <c r="H961" s="6"/>
      <c r="I961" s="6"/>
      <c r="J961" s="11"/>
      <c r="K961" s="591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 ht="11.25" customHeight="1">
      <c r="A962" s="7"/>
      <c r="B962" s="5"/>
      <c r="C962" s="6"/>
      <c r="D962" s="6"/>
      <c r="E962" s="6"/>
      <c r="F962" s="6"/>
      <c r="G962" s="6"/>
      <c r="H962" s="6"/>
      <c r="I962" s="6"/>
      <c r="J962" s="11"/>
      <c r="K962" s="591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 ht="11.25" customHeight="1">
      <c r="A963" s="7"/>
      <c r="B963" s="5"/>
      <c r="C963" s="6"/>
      <c r="D963" s="6"/>
      <c r="E963" s="6"/>
      <c r="F963" s="6"/>
      <c r="G963" s="6"/>
      <c r="H963" s="6"/>
      <c r="I963" s="6"/>
      <c r="J963" s="11"/>
      <c r="K963" s="591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 ht="11.25" customHeight="1">
      <c r="A964" s="7"/>
      <c r="B964" s="5"/>
      <c r="C964" s="6"/>
      <c r="D964" s="6"/>
      <c r="E964" s="6"/>
      <c r="F964" s="6"/>
      <c r="G964" s="6"/>
      <c r="H964" s="6"/>
      <c r="I964" s="6"/>
      <c r="J964" s="11"/>
      <c r="K964" s="591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 ht="11.25" customHeight="1">
      <c r="A965" s="7"/>
      <c r="B965" s="5"/>
      <c r="C965" s="6"/>
      <c r="D965" s="6"/>
      <c r="E965" s="6"/>
      <c r="F965" s="6"/>
      <c r="G965" s="6"/>
      <c r="H965" s="6"/>
      <c r="I965" s="6"/>
      <c r="J965" s="11"/>
      <c r="K965" s="591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 ht="11.25" customHeight="1">
      <c r="A966" s="7"/>
      <c r="B966" s="5"/>
      <c r="C966" s="6"/>
      <c r="D966" s="6"/>
      <c r="E966" s="6"/>
      <c r="F966" s="6"/>
      <c r="G966" s="6"/>
      <c r="H966" s="6"/>
      <c r="I966" s="6"/>
      <c r="J966" s="11"/>
      <c r="K966" s="591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 ht="11.25" customHeight="1">
      <c r="A967" s="7"/>
      <c r="B967" s="5"/>
      <c r="C967" s="6"/>
      <c r="D967" s="6"/>
      <c r="E967" s="6"/>
      <c r="F967" s="6"/>
      <c r="G967" s="6"/>
      <c r="H967" s="6"/>
      <c r="I967" s="6"/>
      <c r="J967" s="11"/>
      <c r="K967" s="591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 ht="11.25" customHeight="1">
      <c r="A968" s="7"/>
      <c r="B968" s="5"/>
      <c r="C968" s="6"/>
      <c r="D968" s="6"/>
      <c r="E968" s="6"/>
      <c r="F968" s="6"/>
      <c r="G968" s="6"/>
      <c r="H968" s="6"/>
      <c r="I968" s="6"/>
      <c r="J968" s="11"/>
      <c r="K968" s="591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 ht="11.25" customHeight="1">
      <c r="A969" s="7"/>
      <c r="B969" s="5"/>
      <c r="C969" s="6"/>
      <c r="D969" s="6"/>
      <c r="E969" s="6"/>
      <c r="F969" s="6"/>
      <c r="G969" s="6"/>
      <c r="H969" s="6"/>
      <c r="I969" s="6"/>
      <c r="J969" s="11"/>
      <c r="K969" s="591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 ht="11.25" customHeight="1">
      <c r="A970" s="7"/>
      <c r="B970" s="5"/>
      <c r="C970" s="6"/>
      <c r="D970" s="6"/>
      <c r="E970" s="6"/>
      <c r="F970" s="6"/>
      <c r="G970" s="6"/>
      <c r="H970" s="6"/>
      <c r="I970" s="6"/>
      <c r="J970" s="11"/>
      <c r="K970" s="591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 ht="11.25" customHeight="1">
      <c r="A971" s="7"/>
      <c r="B971" s="5"/>
      <c r="C971" s="6"/>
      <c r="D971" s="6"/>
      <c r="E971" s="6"/>
      <c r="F971" s="6"/>
      <c r="G971" s="6"/>
      <c r="H971" s="6"/>
      <c r="I971" s="6"/>
      <c r="J971" s="11"/>
      <c r="K971" s="591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 ht="11.25" customHeight="1">
      <c r="A972" s="7"/>
      <c r="B972" s="5"/>
      <c r="C972" s="6"/>
      <c r="D972" s="6"/>
      <c r="E972" s="6"/>
      <c r="F972" s="6"/>
      <c r="G972" s="6"/>
      <c r="H972" s="6"/>
      <c r="I972" s="6"/>
      <c r="J972" s="11"/>
      <c r="K972" s="591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 ht="11.25" customHeight="1">
      <c r="A973" s="7"/>
      <c r="B973" s="5"/>
      <c r="C973" s="6"/>
      <c r="D973" s="6"/>
      <c r="E973" s="6"/>
      <c r="F973" s="6"/>
      <c r="G973" s="6"/>
      <c r="H973" s="6"/>
      <c r="I973" s="6"/>
      <c r="J973" s="11"/>
      <c r="K973" s="591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 ht="11.25" customHeight="1">
      <c r="A974" s="7"/>
      <c r="B974" s="5"/>
      <c r="C974" s="6"/>
      <c r="D974" s="6"/>
      <c r="E974" s="6"/>
      <c r="F974" s="6"/>
      <c r="G974" s="6"/>
      <c r="H974" s="6"/>
      <c r="I974" s="6"/>
      <c r="J974" s="11"/>
      <c r="K974" s="591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 ht="11.25" customHeight="1">
      <c r="A975" s="7"/>
      <c r="B975" s="5"/>
      <c r="C975" s="6"/>
      <c r="D975" s="6"/>
      <c r="E975" s="6"/>
      <c r="F975" s="6"/>
      <c r="G975" s="6"/>
      <c r="H975" s="6"/>
      <c r="I975" s="6"/>
      <c r="J975" s="11"/>
      <c r="K975" s="591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 ht="11.25" customHeight="1">
      <c r="A976" s="7"/>
      <c r="B976" s="5"/>
      <c r="C976" s="6"/>
      <c r="D976" s="6"/>
      <c r="E976" s="6"/>
      <c r="F976" s="6"/>
      <c r="G976" s="6"/>
      <c r="H976" s="6"/>
      <c r="I976" s="6"/>
      <c r="J976" s="11"/>
      <c r="K976" s="591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 ht="11.25" customHeight="1">
      <c r="A977" s="7"/>
      <c r="B977" s="5"/>
      <c r="C977" s="6"/>
      <c r="D977" s="6"/>
      <c r="E977" s="6"/>
      <c r="F977" s="6"/>
      <c r="G977" s="6"/>
      <c r="H977" s="6"/>
      <c r="I977" s="6"/>
      <c r="J977" s="11"/>
      <c r="K977" s="591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 ht="11.25" customHeight="1">
      <c r="A978" s="7"/>
      <c r="B978" s="5"/>
      <c r="C978" s="6"/>
      <c r="D978" s="6"/>
      <c r="E978" s="6"/>
      <c r="F978" s="6"/>
      <c r="G978" s="6"/>
      <c r="H978" s="6"/>
      <c r="I978" s="6"/>
      <c r="J978" s="11"/>
      <c r="K978" s="591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 ht="11.25" customHeight="1">
      <c r="A979" s="7"/>
      <c r="B979" s="5"/>
      <c r="C979" s="6"/>
      <c r="D979" s="6"/>
      <c r="E979" s="6"/>
      <c r="F979" s="6"/>
      <c r="G979" s="6"/>
      <c r="H979" s="6"/>
      <c r="I979" s="6"/>
      <c r="J979" s="11"/>
      <c r="K979" s="591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 ht="11.25" customHeight="1">
      <c r="A980" s="7"/>
      <c r="B980" s="5"/>
      <c r="C980" s="6"/>
      <c r="D980" s="6"/>
      <c r="E980" s="6"/>
      <c r="F980" s="6"/>
      <c r="G980" s="6"/>
      <c r="H980" s="6"/>
      <c r="I980" s="6"/>
      <c r="J980" s="11"/>
      <c r="K980" s="591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 ht="11.25" customHeight="1">
      <c r="A981" s="7"/>
      <c r="B981" s="5"/>
      <c r="C981" s="6"/>
      <c r="D981" s="6"/>
      <c r="E981" s="6"/>
      <c r="F981" s="6"/>
      <c r="G981" s="6"/>
      <c r="H981" s="6"/>
      <c r="I981" s="6"/>
      <c r="J981" s="11"/>
      <c r="K981" s="591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 ht="11.25" customHeight="1">
      <c r="A982" s="7"/>
      <c r="B982" s="5"/>
      <c r="C982" s="6"/>
      <c r="D982" s="6"/>
      <c r="E982" s="6"/>
      <c r="F982" s="6"/>
      <c r="G982" s="6"/>
      <c r="H982" s="6"/>
      <c r="I982" s="6"/>
      <c r="J982" s="11"/>
      <c r="K982" s="591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 ht="11.25" customHeight="1">
      <c r="A983" s="7"/>
      <c r="B983" s="5"/>
      <c r="C983" s="6"/>
      <c r="D983" s="6"/>
      <c r="E983" s="6"/>
      <c r="F983" s="6"/>
      <c r="G983" s="6"/>
      <c r="H983" s="6"/>
      <c r="I983" s="6"/>
      <c r="J983" s="11"/>
      <c r="K983" s="591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 ht="11.25" customHeight="1">
      <c r="A984" s="7"/>
      <c r="B984" s="5"/>
      <c r="C984" s="6"/>
      <c r="D984" s="6"/>
      <c r="E984" s="6"/>
      <c r="F984" s="6"/>
      <c r="G984" s="6"/>
      <c r="H984" s="6"/>
      <c r="I984" s="6"/>
      <c r="J984" s="11"/>
      <c r="K984" s="591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 ht="11.25" customHeight="1">
      <c r="A985" s="7"/>
      <c r="B985" s="5"/>
      <c r="C985" s="6"/>
      <c r="D985" s="6"/>
      <c r="E985" s="6"/>
      <c r="F985" s="6"/>
      <c r="G985" s="6"/>
      <c r="H985" s="6"/>
      <c r="I985" s="6"/>
      <c r="J985" s="11"/>
      <c r="K985" s="591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 ht="11.25" customHeight="1">
      <c r="A986" s="7"/>
      <c r="B986" s="5"/>
      <c r="C986" s="6"/>
      <c r="D986" s="6"/>
      <c r="E986" s="6"/>
      <c r="F986" s="6"/>
      <c r="G986" s="6"/>
      <c r="H986" s="6"/>
      <c r="I986" s="6"/>
      <c r="J986" s="11"/>
      <c r="K986" s="591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 ht="11.25" customHeight="1">
      <c r="A987" s="7"/>
      <c r="B987" s="5"/>
      <c r="C987" s="6"/>
      <c r="D987" s="6"/>
      <c r="E987" s="6"/>
      <c r="F987" s="6"/>
      <c r="G987" s="6"/>
      <c r="H987" s="6"/>
      <c r="I987" s="6"/>
      <c r="J987" s="11"/>
      <c r="K987" s="591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 ht="11.25" customHeight="1">
      <c r="A988" s="7"/>
      <c r="B988" s="5"/>
      <c r="C988" s="6"/>
      <c r="D988" s="6"/>
      <c r="E988" s="6"/>
      <c r="F988" s="6"/>
      <c r="G988" s="6"/>
      <c r="H988" s="6"/>
      <c r="I988" s="6"/>
      <c r="J988" s="11"/>
      <c r="K988" s="591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 ht="11.25" customHeight="1">
      <c r="A989" s="7"/>
      <c r="B989" s="5"/>
      <c r="C989" s="6"/>
      <c r="D989" s="6"/>
      <c r="E989" s="6"/>
      <c r="F989" s="6"/>
      <c r="G989" s="6"/>
      <c r="H989" s="6"/>
      <c r="I989" s="6"/>
      <c r="J989" s="11"/>
      <c r="K989" s="591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 ht="11.25" customHeight="1">
      <c r="A990" s="7"/>
      <c r="B990" s="5"/>
      <c r="C990" s="6"/>
      <c r="D990" s="6"/>
      <c r="E990" s="6"/>
      <c r="F990" s="6"/>
      <c r="G990" s="6"/>
      <c r="H990" s="6"/>
      <c r="I990" s="6"/>
      <c r="J990" s="11"/>
      <c r="K990" s="591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 ht="11.25" customHeight="1">
      <c r="A991" s="7"/>
      <c r="B991" s="5"/>
      <c r="C991" s="6"/>
      <c r="D991" s="6"/>
      <c r="E991" s="6"/>
      <c r="F991" s="6"/>
      <c r="G991" s="6"/>
      <c r="H991" s="6"/>
      <c r="I991" s="6"/>
      <c r="J991" s="11"/>
      <c r="K991" s="591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 ht="11.25" customHeight="1">
      <c r="A992" s="7"/>
      <c r="B992" s="5"/>
      <c r="C992" s="6"/>
      <c r="D992" s="6"/>
      <c r="E992" s="6"/>
      <c r="F992" s="6"/>
      <c r="G992" s="6"/>
      <c r="H992" s="6"/>
      <c r="I992" s="6"/>
      <c r="J992" s="11"/>
      <c r="K992" s="591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  <row r="993" ht="11.25" customHeight="1">
      <c r="A993" s="7"/>
      <c r="B993" s="5"/>
      <c r="C993" s="6"/>
      <c r="D993" s="6"/>
      <c r="E993" s="6"/>
      <c r="F993" s="6"/>
      <c r="G993" s="6"/>
      <c r="H993" s="6"/>
      <c r="I993" s="6"/>
      <c r="J993" s="11"/>
      <c r="K993" s="591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</row>
    <row r="994" ht="11.25" customHeight="1">
      <c r="A994" s="7"/>
      <c r="B994" s="5"/>
      <c r="C994" s="6"/>
      <c r="D994" s="6"/>
      <c r="E994" s="6"/>
      <c r="F994" s="6"/>
      <c r="G994" s="6"/>
      <c r="H994" s="6"/>
      <c r="I994" s="6"/>
      <c r="J994" s="11"/>
      <c r="K994" s="591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</row>
    <row r="995" ht="11.25" customHeight="1">
      <c r="A995" s="7"/>
      <c r="B995" s="5"/>
      <c r="C995" s="6"/>
      <c r="D995" s="6"/>
      <c r="E995" s="6"/>
      <c r="F995" s="6"/>
      <c r="G995" s="6"/>
      <c r="H995" s="6"/>
      <c r="I995" s="6"/>
      <c r="J995" s="11"/>
      <c r="K995" s="591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</row>
    <row r="996" ht="11.25" customHeight="1">
      <c r="A996" s="7"/>
      <c r="B996" s="5"/>
      <c r="C996" s="6"/>
      <c r="D996" s="6"/>
      <c r="E996" s="6"/>
      <c r="F996" s="6"/>
      <c r="G996" s="6"/>
      <c r="H996" s="6"/>
      <c r="I996" s="6"/>
      <c r="J996" s="11"/>
      <c r="K996" s="591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</row>
    <row r="997" ht="11.25" customHeight="1">
      <c r="A997" s="7"/>
      <c r="B997" s="5"/>
      <c r="C997" s="6"/>
      <c r="D997" s="6"/>
      <c r="E997" s="6"/>
      <c r="F997" s="6"/>
      <c r="G997" s="6"/>
      <c r="H997" s="6"/>
      <c r="I997" s="6"/>
      <c r="J997" s="11"/>
      <c r="K997" s="591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</row>
    <row r="998" ht="11.25" customHeight="1">
      <c r="A998" s="7"/>
      <c r="B998" s="5"/>
      <c r="C998" s="6"/>
      <c r="D998" s="6"/>
      <c r="E998" s="6"/>
      <c r="F998" s="6"/>
      <c r="G998" s="6"/>
      <c r="H998" s="6"/>
      <c r="I998" s="6"/>
      <c r="J998" s="11"/>
      <c r="K998" s="591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</row>
    <row r="999" ht="11.25" customHeight="1">
      <c r="A999" s="7"/>
      <c r="B999" s="5"/>
      <c r="C999" s="6"/>
      <c r="D999" s="6"/>
      <c r="E999" s="6"/>
      <c r="F999" s="6"/>
      <c r="G999" s="6"/>
      <c r="H999" s="6"/>
      <c r="I999" s="6"/>
      <c r="J999" s="11"/>
      <c r="K999" s="591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</row>
    <row r="1000" ht="11.25" customHeight="1">
      <c r="A1000" s="7"/>
      <c r="B1000" s="5"/>
      <c r="C1000" s="6"/>
      <c r="D1000" s="6"/>
      <c r="E1000" s="6"/>
      <c r="F1000" s="6"/>
      <c r="G1000" s="6"/>
      <c r="H1000" s="6"/>
      <c r="I1000" s="6"/>
      <c r="J1000" s="11"/>
      <c r="K1000" s="591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</row>
  </sheetData>
  <conditionalFormatting sqref="I1:I1000 S6:S365">
    <cfRule type="cellIs" dxfId="0" priority="1" operator="lessThan">
      <formula>0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2.75"/>
  <cols>
    <col customWidth="1" min="1" max="1" width="22.0"/>
    <col customWidth="1" min="2" max="2" width="4.88"/>
    <col customWidth="1" min="3" max="4" width="11.38"/>
    <col customWidth="1" min="5" max="5" width="10.75"/>
    <col customWidth="1" min="6" max="6" width="13.13"/>
    <col customWidth="1" min="7" max="7" width="12.75"/>
    <col customWidth="1" min="8" max="8" width="12.5"/>
    <col customWidth="1" min="9" max="9" width="13.38"/>
    <col customWidth="1" min="10" max="10" width="10.25"/>
    <col customWidth="1" min="11" max="11" width="8.0"/>
    <col customWidth="1" min="12" max="12" width="3.13"/>
    <col customWidth="1" min="13" max="15" width="12.63"/>
    <col customWidth="1" min="16" max="20" width="8.0"/>
    <col customWidth="1" min="21" max="25" width="7.0"/>
  </cols>
  <sheetData>
    <row r="1" ht="13.5" customHeight="1">
      <c r="A1" s="7"/>
      <c r="B1" s="5"/>
      <c r="C1" s="6"/>
      <c r="D1" s="6"/>
      <c r="E1" s="589" t="s">
        <v>2175</v>
      </c>
      <c r="F1" s="590"/>
      <c r="G1" s="6"/>
      <c r="H1" s="6"/>
      <c r="I1" s="6"/>
      <c r="J1" s="11"/>
      <c r="K1" s="591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12.0" customHeight="1">
      <c r="A2" s="7"/>
      <c r="B2" s="5"/>
      <c r="C2" s="6"/>
      <c r="D2" s="6"/>
      <c r="E2" s="6"/>
      <c r="F2" s="6"/>
      <c r="G2" s="6"/>
      <c r="H2" s="6"/>
      <c r="I2" s="6"/>
      <c r="J2" s="11"/>
      <c r="K2" s="591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t="12.0" customHeight="1">
      <c r="A3" s="7"/>
      <c r="B3" s="5"/>
      <c r="C3" s="6"/>
      <c r="D3" s="592" t="s">
        <v>2176</v>
      </c>
      <c r="E3" s="593">
        <v>1378287.0</v>
      </c>
      <c r="F3" s="594" t="s">
        <v>2189</v>
      </c>
      <c r="G3" s="595" t="s">
        <v>2177</v>
      </c>
      <c r="H3" s="596">
        <f>-PMT(6.875%/12,12*J3,E3)</f>
        <v>9054.364438</v>
      </c>
      <c r="I3" s="597" t="s">
        <v>2178</v>
      </c>
      <c r="J3" s="598">
        <v>30.0</v>
      </c>
      <c r="K3" s="591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12.0" customHeight="1">
      <c r="A4" s="7"/>
      <c r="B4" s="5"/>
      <c r="C4" s="6"/>
      <c r="D4" s="6"/>
      <c r="E4" s="6"/>
      <c r="F4" s="6"/>
      <c r="G4" s="6"/>
      <c r="H4" s="6"/>
      <c r="I4" s="6"/>
      <c r="J4" s="11"/>
      <c r="K4" s="591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ht="12.0" customHeight="1">
      <c r="A5" s="12" t="s">
        <v>16</v>
      </c>
      <c r="B5" s="599" t="s">
        <v>17</v>
      </c>
      <c r="C5" s="600" t="s">
        <v>2179</v>
      </c>
      <c r="D5" s="601" t="s">
        <v>2180</v>
      </c>
      <c r="E5" s="602" t="s">
        <v>2181</v>
      </c>
      <c r="F5" s="602" t="s">
        <v>21</v>
      </c>
      <c r="G5" s="602" t="s">
        <v>2182</v>
      </c>
      <c r="H5" s="602" t="s">
        <v>2183</v>
      </c>
      <c r="I5" s="603" t="s">
        <v>2184</v>
      </c>
      <c r="J5" s="604" t="s">
        <v>2185</v>
      </c>
      <c r="K5" s="591"/>
      <c r="L5" s="6"/>
      <c r="M5" s="605"/>
      <c r="N5" s="605"/>
      <c r="O5" s="605"/>
      <c r="P5" s="605"/>
      <c r="Q5" s="6"/>
      <c r="R5" s="9"/>
      <c r="S5" s="9"/>
      <c r="T5" s="621"/>
      <c r="U5" s="6"/>
      <c r="V5" s="6"/>
      <c r="W5" s="6"/>
      <c r="X5" s="6"/>
      <c r="Y5" s="6"/>
    </row>
    <row r="6" ht="11.25" customHeight="1">
      <c r="A6" s="23">
        <v>44866.0</v>
      </c>
      <c r="B6" s="24">
        <v>1.0</v>
      </c>
      <c r="C6" s="40">
        <v>11500.0</v>
      </c>
      <c r="D6" s="608">
        <f>(E3*J6%)/12</f>
        <v>9131.151375</v>
      </c>
      <c r="E6" s="608">
        <f t="shared" ref="E6:E365" si="1">C6-D6</f>
        <v>2368.848625</v>
      </c>
      <c r="F6" s="608">
        <f>E6</f>
        <v>2368.848625</v>
      </c>
      <c r="G6" s="608">
        <f>D6</f>
        <v>9131.151375</v>
      </c>
      <c r="H6" s="608">
        <f>C6</f>
        <v>11500</v>
      </c>
      <c r="I6" s="609">
        <f>E3-E6</f>
        <v>1375918.151</v>
      </c>
      <c r="J6" s="610">
        <v>7.95</v>
      </c>
      <c r="K6" s="591"/>
      <c r="L6" s="6"/>
      <c r="M6" s="9"/>
      <c r="N6" s="79"/>
      <c r="O6" s="6"/>
      <c r="P6" s="6"/>
      <c r="Q6" s="6"/>
      <c r="R6" s="6"/>
      <c r="S6" s="6"/>
      <c r="T6" s="622"/>
      <c r="U6" s="6"/>
      <c r="V6" s="6"/>
      <c r="W6" s="6"/>
      <c r="X6" s="6"/>
      <c r="Y6" s="6"/>
    </row>
    <row r="7" ht="11.25" customHeight="1">
      <c r="A7" s="38"/>
      <c r="B7" s="39">
        <f t="shared" ref="B7:B53" si="2">B6+1</f>
        <v>2</v>
      </c>
      <c r="C7" s="40">
        <v>11500.0</v>
      </c>
      <c r="D7" s="79">
        <f t="shared" ref="D7:D53" si="3">(I6*J7%)/12</f>
        <v>9344.777445</v>
      </c>
      <c r="E7" s="79">
        <f t="shared" si="1"/>
        <v>2155.222555</v>
      </c>
      <c r="F7" s="79">
        <f t="shared" ref="F7:F365" si="4">F6+E7</f>
        <v>4524.07118</v>
      </c>
      <c r="G7" s="79">
        <f t="shared" ref="G7:G365" si="5">G6+D7</f>
        <v>18475.92882</v>
      </c>
      <c r="H7" s="79">
        <f t="shared" ref="H7:H365" si="6">H6+C7</f>
        <v>23000</v>
      </c>
      <c r="I7" s="611">
        <f t="shared" ref="I7:I365" si="7">I6-E7</f>
        <v>1373762.929</v>
      </c>
      <c r="J7" s="610">
        <v>8.15</v>
      </c>
      <c r="K7" s="591"/>
      <c r="L7" s="6"/>
      <c r="M7" s="9"/>
      <c r="N7" s="79"/>
      <c r="O7" s="6"/>
      <c r="P7" s="6"/>
      <c r="Q7" s="6"/>
      <c r="R7" s="6"/>
      <c r="S7" s="6"/>
      <c r="T7" s="622"/>
      <c r="U7" s="6"/>
      <c r="V7" s="6"/>
      <c r="W7" s="6"/>
      <c r="X7" s="6"/>
      <c r="Y7" s="6"/>
    </row>
    <row r="8" ht="11.25" customHeight="1">
      <c r="A8" s="38"/>
      <c r="B8" s="39">
        <f t="shared" si="2"/>
        <v>3</v>
      </c>
      <c r="C8" s="40">
        <v>11500.0</v>
      </c>
      <c r="D8" s="79">
        <f t="shared" si="3"/>
        <v>9330.139892</v>
      </c>
      <c r="E8" s="79">
        <f t="shared" si="1"/>
        <v>2169.860108</v>
      </c>
      <c r="F8" s="79">
        <f t="shared" si="4"/>
        <v>6693.931289</v>
      </c>
      <c r="G8" s="79">
        <f t="shared" si="5"/>
        <v>27806.06871</v>
      </c>
      <c r="H8" s="79">
        <f t="shared" si="6"/>
        <v>34500</v>
      </c>
      <c r="I8" s="611">
        <f t="shared" si="7"/>
        <v>1371593.069</v>
      </c>
      <c r="J8" s="610">
        <v>8.15</v>
      </c>
      <c r="K8" s="591"/>
      <c r="L8" s="6"/>
      <c r="M8" s="9"/>
      <c r="N8" s="79"/>
      <c r="O8" s="6"/>
      <c r="P8" s="6"/>
      <c r="Q8" s="6"/>
      <c r="R8" s="6"/>
      <c r="S8" s="6"/>
      <c r="T8" s="622"/>
      <c r="U8" s="6"/>
      <c r="V8" s="6"/>
      <c r="W8" s="6"/>
      <c r="X8" s="6"/>
      <c r="Y8" s="6"/>
    </row>
    <row r="9" ht="11.25" customHeight="1">
      <c r="A9" s="38"/>
      <c r="B9" s="39">
        <f t="shared" si="2"/>
        <v>4</v>
      </c>
      <c r="C9" s="40">
        <v>11500.0</v>
      </c>
      <c r="D9" s="79">
        <f t="shared" si="3"/>
        <v>9544.00177</v>
      </c>
      <c r="E9" s="79">
        <f t="shared" si="1"/>
        <v>1955.99823</v>
      </c>
      <c r="F9" s="79">
        <f t="shared" si="4"/>
        <v>8649.929519</v>
      </c>
      <c r="G9" s="79">
        <f t="shared" si="5"/>
        <v>37350.07048</v>
      </c>
      <c r="H9" s="79">
        <f t="shared" si="6"/>
        <v>46000</v>
      </c>
      <c r="I9" s="611">
        <f t="shared" si="7"/>
        <v>1369637.07</v>
      </c>
      <c r="J9" s="610">
        <v>8.35</v>
      </c>
      <c r="K9" s="591"/>
      <c r="L9" s="6"/>
      <c r="M9" s="9"/>
      <c r="N9" s="79"/>
      <c r="O9" s="6"/>
      <c r="P9" s="6"/>
      <c r="Q9" s="6"/>
      <c r="R9" s="6"/>
      <c r="S9" s="6"/>
      <c r="T9" s="622"/>
      <c r="U9" s="6"/>
      <c r="V9" s="6"/>
      <c r="W9" s="6"/>
      <c r="X9" s="6"/>
      <c r="Y9" s="6"/>
    </row>
    <row r="10" ht="11.25" customHeight="1">
      <c r="A10" s="38"/>
      <c r="B10" s="39">
        <f t="shared" si="2"/>
        <v>5</v>
      </c>
      <c r="C10" s="40">
        <v>11500.0</v>
      </c>
      <c r="D10" s="79">
        <f t="shared" si="3"/>
        <v>9530.391282</v>
      </c>
      <c r="E10" s="79">
        <f t="shared" si="1"/>
        <v>1969.608718</v>
      </c>
      <c r="F10" s="79">
        <f t="shared" si="4"/>
        <v>10619.53824</v>
      </c>
      <c r="G10" s="79">
        <f t="shared" si="5"/>
        <v>46880.46176</v>
      </c>
      <c r="H10" s="79">
        <f t="shared" si="6"/>
        <v>57500</v>
      </c>
      <c r="I10" s="611">
        <f t="shared" si="7"/>
        <v>1367667.462</v>
      </c>
      <c r="J10" s="610">
        <v>8.35</v>
      </c>
      <c r="K10" s="591"/>
      <c r="L10" s="6"/>
      <c r="M10" s="9"/>
      <c r="N10" s="79"/>
      <c r="O10" s="6"/>
      <c r="P10" s="6"/>
      <c r="Q10" s="6"/>
      <c r="R10" s="6"/>
      <c r="S10" s="6"/>
      <c r="T10" s="622"/>
      <c r="U10" s="6"/>
      <c r="V10" s="6"/>
      <c r="W10" s="6"/>
      <c r="X10" s="6"/>
      <c r="Y10" s="6"/>
    </row>
    <row r="11" ht="11.25" customHeight="1">
      <c r="A11" s="38"/>
      <c r="B11" s="39">
        <f t="shared" si="2"/>
        <v>6</v>
      </c>
      <c r="C11" s="40">
        <v>11500.0</v>
      </c>
      <c r="D11" s="79">
        <f t="shared" si="3"/>
        <v>10314.49211</v>
      </c>
      <c r="E11" s="79">
        <f t="shared" si="1"/>
        <v>1185.507893</v>
      </c>
      <c r="F11" s="79">
        <f t="shared" si="4"/>
        <v>11805.04613</v>
      </c>
      <c r="G11" s="79">
        <f t="shared" si="5"/>
        <v>57194.95387</v>
      </c>
      <c r="H11" s="79">
        <f t="shared" si="6"/>
        <v>69000</v>
      </c>
      <c r="I11" s="611">
        <f t="shared" si="7"/>
        <v>1366481.954</v>
      </c>
      <c r="J11" s="610">
        <v>9.05</v>
      </c>
      <c r="K11" s="591"/>
      <c r="L11" s="6"/>
      <c r="M11" s="9"/>
      <c r="N11" s="79"/>
      <c r="O11" s="6"/>
      <c r="P11" s="6"/>
      <c r="Q11" s="6"/>
      <c r="R11" s="6"/>
      <c r="S11" s="6"/>
      <c r="T11" s="622"/>
      <c r="U11" s="6"/>
      <c r="V11" s="6"/>
      <c r="W11" s="6"/>
      <c r="X11" s="6"/>
      <c r="Y11" s="6"/>
    </row>
    <row r="12" ht="11.25" customHeight="1">
      <c r="A12" s="38"/>
      <c r="B12" s="39">
        <f t="shared" si="2"/>
        <v>7</v>
      </c>
      <c r="C12" s="40">
        <v>11500.0</v>
      </c>
      <c r="D12" s="79">
        <f t="shared" si="3"/>
        <v>10305.5514</v>
      </c>
      <c r="E12" s="79">
        <f t="shared" si="1"/>
        <v>1194.448598</v>
      </c>
      <c r="F12" s="79">
        <f t="shared" si="4"/>
        <v>12999.49473</v>
      </c>
      <c r="G12" s="79">
        <f t="shared" si="5"/>
        <v>67500.50527</v>
      </c>
      <c r="H12" s="79">
        <f t="shared" si="6"/>
        <v>80500</v>
      </c>
      <c r="I12" s="611">
        <f t="shared" si="7"/>
        <v>1365287.505</v>
      </c>
      <c r="J12" s="610">
        <v>9.05</v>
      </c>
      <c r="K12" s="591"/>
      <c r="L12" s="6"/>
      <c r="M12" s="9"/>
      <c r="N12" s="79"/>
      <c r="O12" s="6"/>
      <c r="P12" s="6"/>
      <c r="Q12" s="6"/>
      <c r="R12" s="6"/>
      <c r="S12" s="6"/>
      <c r="T12" s="622"/>
      <c r="U12" s="6"/>
      <c r="V12" s="6"/>
      <c r="W12" s="6"/>
      <c r="X12" s="6"/>
      <c r="Y12" s="6"/>
    </row>
    <row r="13" ht="11.25" customHeight="1">
      <c r="A13" s="38"/>
      <c r="B13" s="39">
        <f t="shared" si="2"/>
        <v>8</v>
      </c>
      <c r="C13" s="40">
        <v>11500.0</v>
      </c>
      <c r="D13" s="79">
        <f t="shared" si="3"/>
        <v>10296.54327</v>
      </c>
      <c r="E13" s="79">
        <f t="shared" si="1"/>
        <v>1203.456731</v>
      </c>
      <c r="F13" s="79">
        <f t="shared" si="4"/>
        <v>14202.95146</v>
      </c>
      <c r="G13" s="79">
        <f t="shared" si="5"/>
        <v>77797.04854</v>
      </c>
      <c r="H13" s="79">
        <f t="shared" si="6"/>
        <v>92000</v>
      </c>
      <c r="I13" s="611">
        <f t="shared" si="7"/>
        <v>1364084.049</v>
      </c>
      <c r="J13" s="610">
        <v>9.05</v>
      </c>
      <c r="K13" s="591"/>
      <c r="L13" s="6"/>
      <c r="M13" s="9"/>
      <c r="N13" s="79"/>
      <c r="O13" s="6"/>
      <c r="P13" s="6"/>
      <c r="Q13" s="6"/>
      <c r="R13" s="6"/>
      <c r="S13" s="6"/>
      <c r="T13" s="622"/>
      <c r="U13" s="6"/>
      <c r="V13" s="6"/>
      <c r="W13" s="6"/>
      <c r="X13" s="6"/>
      <c r="Y13" s="6"/>
    </row>
    <row r="14" ht="11.25" customHeight="1">
      <c r="A14" s="38"/>
      <c r="B14" s="39">
        <f t="shared" si="2"/>
        <v>9</v>
      </c>
      <c r="C14" s="40">
        <v>11500.0</v>
      </c>
      <c r="D14" s="79">
        <f t="shared" si="3"/>
        <v>10287.4672</v>
      </c>
      <c r="E14" s="79">
        <f t="shared" si="1"/>
        <v>1212.532801</v>
      </c>
      <c r="F14" s="79">
        <f t="shared" si="4"/>
        <v>15415.48426</v>
      </c>
      <c r="G14" s="79">
        <f t="shared" si="5"/>
        <v>88084.51574</v>
      </c>
      <c r="H14" s="79">
        <f t="shared" si="6"/>
        <v>103500</v>
      </c>
      <c r="I14" s="611">
        <f t="shared" si="7"/>
        <v>1362871.516</v>
      </c>
      <c r="J14" s="610">
        <v>9.05</v>
      </c>
      <c r="K14" s="591"/>
      <c r="L14" s="6"/>
      <c r="M14" s="9"/>
      <c r="N14" s="79"/>
      <c r="O14" s="6"/>
      <c r="P14" s="6"/>
      <c r="Q14" s="6"/>
      <c r="R14" s="6"/>
      <c r="S14" s="6"/>
      <c r="T14" s="622"/>
      <c r="U14" s="6"/>
      <c r="V14" s="6"/>
      <c r="W14" s="6"/>
      <c r="X14" s="6"/>
      <c r="Y14" s="6"/>
    </row>
    <row r="15" ht="11.25" customHeight="1">
      <c r="A15" s="38"/>
      <c r="B15" s="39">
        <f t="shared" si="2"/>
        <v>10</v>
      </c>
      <c r="C15" s="40">
        <v>11500.0</v>
      </c>
      <c r="D15" s="79">
        <f t="shared" si="3"/>
        <v>10278.32268</v>
      </c>
      <c r="E15" s="79">
        <f t="shared" si="1"/>
        <v>1221.677319</v>
      </c>
      <c r="F15" s="79">
        <f t="shared" si="4"/>
        <v>16637.16158</v>
      </c>
      <c r="G15" s="79">
        <f t="shared" si="5"/>
        <v>98362.83842</v>
      </c>
      <c r="H15" s="79">
        <f t="shared" si="6"/>
        <v>115000</v>
      </c>
      <c r="I15" s="611">
        <f t="shared" si="7"/>
        <v>1361649.838</v>
      </c>
      <c r="J15" s="610">
        <v>9.05</v>
      </c>
      <c r="K15" s="591"/>
      <c r="L15" s="6"/>
      <c r="M15" s="9"/>
      <c r="N15" s="79"/>
      <c r="O15" s="6"/>
      <c r="P15" s="6"/>
      <c r="Q15" s="6"/>
      <c r="R15" s="6"/>
      <c r="S15" s="6"/>
      <c r="T15" s="622"/>
      <c r="U15" s="6"/>
      <c r="V15" s="6"/>
      <c r="W15" s="6"/>
      <c r="X15" s="6"/>
      <c r="Y15" s="6"/>
    </row>
    <row r="16" ht="11.25" customHeight="1">
      <c r="A16" s="38"/>
      <c r="B16" s="39">
        <f t="shared" si="2"/>
        <v>11</v>
      </c>
      <c r="C16" s="40">
        <v>11500.0</v>
      </c>
      <c r="D16" s="79">
        <f t="shared" si="3"/>
        <v>10269.1092</v>
      </c>
      <c r="E16" s="79">
        <f t="shared" si="1"/>
        <v>1230.890802</v>
      </c>
      <c r="F16" s="79">
        <f t="shared" si="4"/>
        <v>17868.05238</v>
      </c>
      <c r="G16" s="79">
        <f t="shared" si="5"/>
        <v>108631.9476</v>
      </c>
      <c r="H16" s="79">
        <f t="shared" si="6"/>
        <v>126500</v>
      </c>
      <c r="I16" s="611">
        <f t="shared" si="7"/>
        <v>1360418.948</v>
      </c>
      <c r="J16" s="610">
        <v>9.05</v>
      </c>
      <c r="K16" s="591"/>
      <c r="L16" s="6"/>
      <c r="M16" s="9"/>
      <c r="N16" s="79"/>
      <c r="O16" s="6"/>
      <c r="P16" s="6"/>
      <c r="Q16" s="6"/>
      <c r="R16" s="6"/>
      <c r="S16" s="6"/>
      <c r="T16" s="622"/>
      <c r="U16" s="6"/>
      <c r="V16" s="6"/>
      <c r="W16" s="6"/>
      <c r="X16" s="6"/>
      <c r="Y16" s="6"/>
    </row>
    <row r="17" ht="11.25" customHeight="1">
      <c r="A17" s="47"/>
      <c r="B17" s="48">
        <f t="shared" si="2"/>
        <v>12</v>
      </c>
      <c r="C17" s="40">
        <v>11500.0</v>
      </c>
      <c r="D17" s="90">
        <f t="shared" si="3"/>
        <v>10259.82623</v>
      </c>
      <c r="E17" s="90">
        <f t="shared" si="1"/>
        <v>1240.17377</v>
      </c>
      <c r="F17" s="90">
        <f t="shared" si="4"/>
        <v>19108.22615</v>
      </c>
      <c r="G17" s="90">
        <f t="shared" si="5"/>
        <v>118891.7739</v>
      </c>
      <c r="H17" s="90">
        <f t="shared" si="6"/>
        <v>138000</v>
      </c>
      <c r="I17" s="613">
        <f t="shared" si="7"/>
        <v>1359178.774</v>
      </c>
      <c r="J17" s="610">
        <v>9.05</v>
      </c>
      <c r="K17" s="591"/>
      <c r="L17" s="6"/>
      <c r="M17" s="9"/>
      <c r="N17" s="79"/>
      <c r="O17" s="6"/>
      <c r="P17" s="6"/>
      <c r="Q17" s="6"/>
      <c r="R17" s="6"/>
      <c r="S17" s="6"/>
      <c r="T17" s="622"/>
      <c r="U17" s="6"/>
      <c r="V17" s="6"/>
      <c r="W17" s="6"/>
      <c r="X17" s="6"/>
      <c r="Y17" s="6"/>
    </row>
    <row r="18" ht="11.25" customHeight="1">
      <c r="A18" s="23">
        <v>45232.0</v>
      </c>
      <c r="B18" s="39">
        <f t="shared" si="2"/>
        <v>13</v>
      </c>
      <c r="C18" s="40">
        <v>11500.0</v>
      </c>
      <c r="D18" s="79">
        <f t="shared" si="3"/>
        <v>10250.47325</v>
      </c>
      <c r="E18" s="79">
        <f t="shared" si="1"/>
        <v>1249.526747</v>
      </c>
      <c r="F18" s="79">
        <f t="shared" si="4"/>
        <v>20357.7529</v>
      </c>
      <c r="G18" s="79">
        <f t="shared" si="5"/>
        <v>129142.2471</v>
      </c>
      <c r="H18" s="79">
        <f t="shared" si="6"/>
        <v>149500</v>
      </c>
      <c r="I18" s="611">
        <f t="shared" si="7"/>
        <v>1357929.247</v>
      </c>
      <c r="J18" s="610">
        <v>9.05</v>
      </c>
      <c r="K18" s="591"/>
      <c r="L18" s="6"/>
      <c r="M18" s="9"/>
      <c r="N18" s="79"/>
      <c r="O18" s="6"/>
      <c r="P18" s="6"/>
      <c r="Q18" s="6"/>
      <c r="R18" s="6"/>
      <c r="S18" s="6"/>
      <c r="T18" s="622"/>
      <c r="U18" s="6"/>
      <c r="V18" s="6"/>
      <c r="W18" s="6"/>
      <c r="X18" s="6"/>
      <c r="Y18" s="6"/>
    </row>
    <row r="19" ht="11.25" customHeight="1">
      <c r="A19" s="54"/>
      <c r="B19" s="39">
        <f t="shared" si="2"/>
        <v>14</v>
      </c>
      <c r="C19" s="40">
        <v>11500.0</v>
      </c>
      <c r="D19" s="79">
        <f t="shared" si="3"/>
        <v>10241.04974</v>
      </c>
      <c r="E19" s="79">
        <f t="shared" si="1"/>
        <v>1258.950261</v>
      </c>
      <c r="F19" s="79">
        <f t="shared" si="4"/>
        <v>21616.70316</v>
      </c>
      <c r="G19" s="79">
        <f t="shared" si="5"/>
        <v>139383.2968</v>
      </c>
      <c r="H19" s="79">
        <f t="shared" si="6"/>
        <v>161000</v>
      </c>
      <c r="I19" s="611">
        <f t="shared" si="7"/>
        <v>1356670.297</v>
      </c>
      <c r="J19" s="610">
        <v>9.05</v>
      </c>
      <c r="K19" s="591"/>
      <c r="L19" s="6"/>
      <c r="M19" s="9"/>
      <c r="N19" s="79"/>
      <c r="O19" s="6"/>
      <c r="P19" s="6"/>
      <c r="Q19" s="6"/>
      <c r="R19" s="6"/>
      <c r="S19" s="6"/>
      <c r="T19" s="622"/>
      <c r="U19" s="6"/>
      <c r="V19" s="6"/>
      <c r="W19" s="6"/>
      <c r="X19" s="6"/>
      <c r="Y19" s="6"/>
    </row>
    <row r="20" ht="11.25" customHeight="1">
      <c r="A20" s="38"/>
      <c r="B20" s="39">
        <f t="shared" si="2"/>
        <v>15</v>
      </c>
      <c r="C20" s="40">
        <v>11500.0</v>
      </c>
      <c r="D20" s="79">
        <f t="shared" si="3"/>
        <v>10231.55516</v>
      </c>
      <c r="E20" s="79">
        <f t="shared" si="1"/>
        <v>1268.444845</v>
      </c>
      <c r="F20" s="79">
        <f t="shared" si="4"/>
        <v>22885.148</v>
      </c>
      <c r="G20" s="79">
        <f t="shared" si="5"/>
        <v>149614.852</v>
      </c>
      <c r="H20" s="79">
        <f t="shared" si="6"/>
        <v>172500</v>
      </c>
      <c r="I20" s="611">
        <f t="shared" si="7"/>
        <v>1355401.852</v>
      </c>
      <c r="J20" s="610">
        <v>9.05</v>
      </c>
      <c r="K20" s="591"/>
      <c r="L20" s="6"/>
      <c r="M20" s="9"/>
      <c r="N20" s="79"/>
      <c r="O20" s="6"/>
      <c r="P20" s="6"/>
      <c r="Q20" s="6"/>
      <c r="R20" s="6"/>
      <c r="S20" s="6"/>
      <c r="T20" s="622"/>
      <c r="U20" s="6"/>
      <c r="V20" s="6"/>
      <c r="W20" s="6"/>
      <c r="X20" s="6"/>
      <c r="Y20" s="6"/>
    </row>
    <row r="21" ht="11.25" customHeight="1">
      <c r="A21" s="38"/>
      <c r="B21" s="39">
        <f t="shared" si="2"/>
        <v>16</v>
      </c>
      <c r="C21" s="40">
        <v>11500.0</v>
      </c>
      <c r="D21" s="79">
        <f t="shared" si="3"/>
        <v>10221.98897</v>
      </c>
      <c r="E21" s="79">
        <f t="shared" si="1"/>
        <v>1278.011033</v>
      </c>
      <c r="F21" s="79">
        <f t="shared" si="4"/>
        <v>24163.15904</v>
      </c>
      <c r="G21" s="79">
        <f t="shared" si="5"/>
        <v>159836.841</v>
      </c>
      <c r="H21" s="79">
        <f t="shared" si="6"/>
        <v>184000</v>
      </c>
      <c r="I21" s="611">
        <f t="shared" si="7"/>
        <v>1354123.841</v>
      </c>
      <c r="J21" s="610">
        <v>9.05</v>
      </c>
      <c r="K21" s="591"/>
      <c r="L21" s="6"/>
      <c r="M21" s="9"/>
      <c r="N21" s="79"/>
      <c r="O21" s="6"/>
      <c r="P21" s="6"/>
      <c r="Q21" s="6"/>
      <c r="R21" s="6"/>
      <c r="S21" s="6"/>
      <c r="T21" s="622"/>
      <c r="U21" s="6"/>
      <c r="V21" s="6"/>
      <c r="W21" s="6"/>
      <c r="X21" s="6"/>
      <c r="Y21" s="6"/>
    </row>
    <row r="22" ht="11.25" customHeight="1">
      <c r="A22" s="38"/>
      <c r="B22" s="39">
        <f t="shared" si="2"/>
        <v>17</v>
      </c>
      <c r="C22" s="40">
        <v>11500.0</v>
      </c>
      <c r="D22" s="79">
        <f t="shared" si="3"/>
        <v>10212.35063</v>
      </c>
      <c r="E22" s="79">
        <f t="shared" si="1"/>
        <v>1287.649366</v>
      </c>
      <c r="F22" s="79">
        <f t="shared" si="4"/>
        <v>25450.8084</v>
      </c>
      <c r="G22" s="79">
        <f t="shared" si="5"/>
        <v>170049.1916</v>
      </c>
      <c r="H22" s="79">
        <f t="shared" si="6"/>
        <v>195500</v>
      </c>
      <c r="I22" s="611">
        <f t="shared" si="7"/>
        <v>1352836.192</v>
      </c>
      <c r="J22" s="610">
        <v>9.05</v>
      </c>
      <c r="K22" s="591"/>
      <c r="L22" s="6"/>
      <c r="M22" s="9"/>
      <c r="N22" s="79"/>
      <c r="O22" s="6"/>
      <c r="P22" s="6"/>
      <c r="Q22" s="6"/>
      <c r="R22" s="6"/>
      <c r="S22" s="6"/>
      <c r="T22" s="622"/>
      <c r="U22" s="6"/>
      <c r="V22" s="6"/>
      <c r="W22" s="6"/>
      <c r="X22" s="6"/>
      <c r="Y22" s="6"/>
    </row>
    <row r="23" ht="11.25" customHeight="1">
      <c r="A23" s="38"/>
      <c r="B23" s="39">
        <f t="shared" si="2"/>
        <v>18</v>
      </c>
      <c r="C23" s="40">
        <v>11500.0</v>
      </c>
      <c r="D23" s="79">
        <f t="shared" si="3"/>
        <v>10202.63961</v>
      </c>
      <c r="E23" s="79">
        <f t="shared" si="1"/>
        <v>1297.360388</v>
      </c>
      <c r="F23" s="79">
        <f t="shared" si="4"/>
        <v>26748.16879</v>
      </c>
      <c r="G23" s="79">
        <f t="shared" si="5"/>
        <v>180251.8312</v>
      </c>
      <c r="H23" s="79">
        <f t="shared" si="6"/>
        <v>207000</v>
      </c>
      <c r="I23" s="611">
        <f t="shared" si="7"/>
        <v>1351538.831</v>
      </c>
      <c r="J23" s="610">
        <v>9.05</v>
      </c>
      <c r="K23" s="591"/>
      <c r="L23" s="6"/>
      <c r="M23" s="9"/>
      <c r="N23" s="79"/>
      <c r="O23" s="6"/>
      <c r="P23" s="6"/>
      <c r="Q23" s="6"/>
      <c r="R23" s="6"/>
      <c r="S23" s="6"/>
      <c r="T23" s="622"/>
      <c r="U23" s="6"/>
      <c r="V23" s="6"/>
      <c r="W23" s="6"/>
      <c r="X23" s="6"/>
      <c r="Y23" s="6"/>
    </row>
    <row r="24" ht="11.25" customHeight="1">
      <c r="A24" s="38"/>
      <c r="B24" s="39">
        <f t="shared" si="2"/>
        <v>19</v>
      </c>
      <c r="C24" s="40">
        <v>11500.0</v>
      </c>
      <c r="D24" s="79">
        <f t="shared" si="3"/>
        <v>10192.85535</v>
      </c>
      <c r="E24" s="79">
        <f t="shared" si="1"/>
        <v>1307.144648</v>
      </c>
      <c r="F24" s="79">
        <f t="shared" si="4"/>
        <v>28055.31344</v>
      </c>
      <c r="G24" s="79">
        <f t="shared" si="5"/>
        <v>190444.6866</v>
      </c>
      <c r="H24" s="79">
        <f t="shared" si="6"/>
        <v>218500</v>
      </c>
      <c r="I24" s="611">
        <f t="shared" si="7"/>
        <v>1350231.687</v>
      </c>
      <c r="J24" s="610">
        <v>9.05</v>
      </c>
      <c r="K24" s="591"/>
      <c r="L24" s="6"/>
      <c r="M24" s="9"/>
      <c r="N24" s="79"/>
      <c r="O24" s="6"/>
      <c r="P24" s="6"/>
      <c r="Q24" s="6"/>
      <c r="R24" s="6"/>
      <c r="S24" s="6"/>
      <c r="T24" s="622"/>
      <c r="U24" s="6"/>
      <c r="V24" s="6"/>
      <c r="W24" s="6"/>
      <c r="X24" s="6"/>
      <c r="Y24" s="6"/>
    </row>
    <row r="25" ht="11.25" customHeight="1">
      <c r="A25" s="38"/>
      <c r="B25" s="39">
        <f t="shared" si="2"/>
        <v>20</v>
      </c>
      <c r="C25" s="40">
        <v>11500.0</v>
      </c>
      <c r="D25" s="79">
        <f t="shared" si="3"/>
        <v>10182.9973</v>
      </c>
      <c r="E25" s="79">
        <f t="shared" si="1"/>
        <v>1317.002697</v>
      </c>
      <c r="F25" s="79">
        <f t="shared" si="4"/>
        <v>29372.31614</v>
      </c>
      <c r="G25" s="79">
        <f t="shared" si="5"/>
        <v>200627.6839</v>
      </c>
      <c r="H25" s="79">
        <f t="shared" si="6"/>
        <v>230000</v>
      </c>
      <c r="I25" s="611">
        <f t="shared" si="7"/>
        <v>1348914.684</v>
      </c>
      <c r="J25" s="610">
        <v>9.05</v>
      </c>
      <c r="K25" s="591"/>
      <c r="L25" s="6"/>
      <c r="M25" s="9"/>
      <c r="N25" s="79"/>
      <c r="O25" s="6"/>
      <c r="P25" s="6"/>
      <c r="Q25" s="6"/>
      <c r="R25" s="6"/>
      <c r="S25" s="6"/>
      <c r="T25" s="622"/>
      <c r="U25" s="6"/>
      <c r="V25" s="6"/>
      <c r="W25" s="6"/>
      <c r="X25" s="6"/>
      <c r="Y25" s="6"/>
    </row>
    <row r="26" ht="11.25" customHeight="1">
      <c r="A26" s="38"/>
      <c r="B26" s="39">
        <f t="shared" si="2"/>
        <v>21</v>
      </c>
      <c r="C26" s="40">
        <v>11500.0</v>
      </c>
      <c r="D26" s="79">
        <f t="shared" si="3"/>
        <v>10173.06491</v>
      </c>
      <c r="E26" s="79">
        <f t="shared" si="1"/>
        <v>1326.935093</v>
      </c>
      <c r="F26" s="79">
        <f t="shared" si="4"/>
        <v>30699.25123</v>
      </c>
      <c r="G26" s="79">
        <f t="shared" si="5"/>
        <v>210800.7488</v>
      </c>
      <c r="H26" s="79">
        <f t="shared" si="6"/>
        <v>241500</v>
      </c>
      <c r="I26" s="611">
        <f t="shared" si="7"/>
        <v>1347587.749</v>
      </c>
      <c r="J26" s="610">
        <v>9.05</v>
      </c>
      <c r="K26" s="591"/>
      <c r="L26" s="6"/>
      <c r="M26" s="9"/>
      <c r="N26" s="79"/>
      <c r="O26" s="6"/>
      <c r="P26" s="6"/>
      <c r="Q26" s="6"/>
      <c r="R26" s="6"/>
      <c r="S26" s="6"/>
      <c r="T26" s="622"/>
      <c r="U26" s="6"/>
      <c r="V26" s="6"/>
      <c r="W26" s="6"/>
      <c r="X26" s="6"/>
      <c r="Y26" s="6"/>
    </row>
    <row r="27" ht="11.25" customHeight="1">
      <c r="A27" s="38"/>
      <c r="B27" s="39">
        <f t="shared" si="2"/>
        <v>22</v>
      </c>
      <c r="C27" s="40">
        <v>11500.0</v>
      </c>
      <c r="D27" s="79">
        <f t="shared" si="3"/>
        <v>10163.05761</v>
      </c>
      <c r="E27" s="79">
        <f t="shared" si="1"/>
        <v>1336.942395</v>
      </c>
      <c r="F27" s="79">
        <f t="shared" si="4"/>
        <v>32036.19362</v>
      </c>
      <c r="G27" s="79">
        <f t="shared" si="5"/>
        <v>220963.8064</v>
      </c>
      <c r="H27" s="79">
        <f t="shared" si="6"/>
        <v>253000</v>
      </c>
      <c r="I27" s="611">
        <f t="shared" si="7"/>
        <v>1346250.806</v>
      </c>
      <c r="J27" s="610">
        <v>9.05</v>
      </c>
      <c r="K27" s="591"/>
      <c r="L27" s="6"/>
      <c r="M27" s="9"/>
      <c r="N27" s="79"/>
      <c r="O27" s="6"/>
      <c r="P27" s="6"/>
      <c r="Q27" s="6"/>
      <c r="R27" s="6"/>
      <c r="S27" s="6"/>
      <c r="T27" s="622"/>
      <c r="U27" s="6"/>
      <c r="V27" s="6"/>
      <c r="W27" s="6"/>
      <c r="X27" s="6"/>
      <c r="Y27" s="6"/>
    </row>
    <row r="28" ht="11.25" customHeight="1">
      <c r="A28" s="56"/>
      <c r="B28" s="39">
        <f t="shared" si="2"/>
        <v>23</v>
      </c>
      <c r="C28" s="40">
        <v>11500.0</v>
      </c>
      <c r="D28" s="79">
        <f t="shared" si="3"/>
        <v>10152.97483</v>
      </c>
      <c r="E28" s="79">
        <f t="shared" si="1"/>
        <v>1347.025169</v>
      </c>
      <c r="F28" s="79">
        <f t="shared" si="4"/>
        <v>33383.21879</v>
      </c>
      <c r="G28" s="79">
        <f t="shared" si="5"/>
        <v>231116.7812</v>
      </c>
      <c r="H28" s="79">
        <f t="shared" si="6"/>
        <v>264500</v>
      </c>
      <c r="I28" s="611">
        <f t="shared" si="7"/>
        <v>1344903.781</v>
      </c>
      <c r="J28" s="610">
        <v>9.05</v>
      </c>
      <c r="K28" s="591"/>
      <c r="L28" s="6"/>
      <c r="M28" s="9"/>
      <c r="N28" s="79"/>
      <c r="O28" s="6"/>
      <c r="P28" s="6"/>
      <c r="Q28" s="6"/>
      <c r="R28" s="6"/>
      <c r="S28" s="6"/>
      <c r="T28" s="622"/>
      <c r="U28" s="6"/>
      <c r="V28" s="6"/>
      <c r="W28" s="6"/>
      <c r="X28" s="6"/>
      <c r="Y28" s="6"/>
    </row>
    <row r="29" ht="11.25" customHeight="1">
      <c r="A29" s="57"/>
      <c r="B29" s="48">
        <f t="shared" si="2"/>
        <v>24</v>
      </c>
      <c r="C29" s="40">
        <v>11500.0</v>
      </c>
      <c r="D29" s="90">
        <f t="shared" si="3"/>
        <v>10142.81602</v>
      </c>
      <c r="E29" s="90">
        <f t="shared" si="1"/>
        <v>1357.183983</v>
      </c>
      <c r="F29" s="90">
        <f t="shared" si="4"/>
        <v>34740.40277</v>
      </c>
      <c r="G29" s="90">
        <f t="shared" si="5"/>
        <v>241259.5972</v>
      </c>
      <c r="H29" s="90">
        <f t="shared" si="6"/>
        <v>276000</v>
      </c>
      <c r="I29" s="613">
        <f t="shared" si="7"/>
        <v>1343546.597</v>
      </c>
      <c r="J29" s="610">
        <v>9.05</v>
      </c>
      <c r="K29" s="591"/>
      <c r="L29" s="6"/>
      <c r="M29" s="9"/>
      <c r="N29" s="79"/>
      <c r="O29" s="6"/>
      <c r="P29" s="6"/>
      <c r="Q29" s="6"/>
      <c r="R29" s="6"/>
      <c r="S29" s="6"/>
      <c r="T29" s="622"/>
      <c r="U29" s="6"/>
      <c r="V29" s="6"/>
      <c r="W29" s="6"/>
      <c r="X29" s="6"/>
      <c r="Y29" s="6"/>
    </row>
    <row r="30" ht="11.25" customHeight="1">
      <c r="A30" s="23">
        <v>45599.0</v>
      </c>
      <c r="B30" s="39">
        <f t="shared" si="2"/>
        <v>25</v>
      </c>
      <c r="C30" s="40">
        <v>11500.0</v>
      </c>
      <c r="D30" s="79">
        <f t="shared" si="3"/>
        <v>10132.58059</v>
      </c>
      <c r="E30" s="79">
        <f t="shared" si="1"/>
        <v>1367.419413</v>
      </c>
      <c r="F30" s="79">
        <f t="shared" si="4"/>
        <v>36107.82219</v>
      </c>
      <c r="G30" s="79">
        <f t="shared" si="5"/>
        <v>251392.1778</v>
      </c>
      <c r="H30" s="79">
        <f t="shared" si="6"/>
        <v>287500</v>
      </c>
      <c r="I30" s="611">
        <f t="shared" si="7"/>
        <v>1342179.178</v>
      </c>
      <c r="J30" s="610">
        <v>9.05</v>
      </c>
      <c r="K30" s="591"/>
      <c r="L30" s="6"/>
      <c r="M30" s="9"/>
      <c r="N30" s="79"/>
      <c r="O30" s="6"/>
      <c r="P30" s="6"/>
      <c r="Q30" s="6"/>
      <c r="R30" s="6"/>
      <c r="S30" s="6"/>
      <c r="T30" s="622"/>
      <c r="U30" s="6"/>
      <c r="V30" s="6"/>
      <c r="W30" s="6"/>
      <c r="X30" s="6"/>
      <c r="Y30" s="6"/>
    </row>
    <row r="31" ht="11.25" customHeight="1">
      <c r="A31" s="54"/>
      <c r="B31" s="39">
        <f t="shared" si="2"/>
        <v>26</v>
      </c>
      <c r="C31" s="40">
        <v>11500.0</v>
      </c>
      <c r="D31" s="79">
        <f t="shared" si="3"/>
        <v>10122.26797</v>
      </c>
      <c r="E31" s="79">
        <f t="shared" si="1"/>
        <v>1377.732034</v>
      </c>
      <c r="F31" s="79">
        <f t="shared" si="4"/>
        <v>37485.55422</v>
      </c>
      <c r="G31" s="79">
        <f t="shared" si="5"/>
        <v>261514.4458</v>
      </c>
      <c r="H31" s="79">
        <f t="shared" si="6"/>
        <v>299000</v>
      </c>
      <c r="I31" s="611">
        <f t="shared" si="7"/>
        <v>1340801.446</v>
      </c>
      <c r="J31" s="610">
        <v>9.05</v>
      </c>
      <c r="K31" s="591"/>
      <c r="L31" s="6"/>
      <c r="M31" s="9"/>
      <c r="N31" s="79"/>
      <c r="O31" s="6"/>
      <c r="P31" s="6"/>
      <c r="Q31" s="6"/>
      <c r="R31" s="6"/>
      <c r="S31" s="6"/>
      <c r="T31" s="622"/>
      <c r="U31" s="6"/>
      <c r="V31" s="6"/>
      <c r="W31" s="6"/>
      <c r="X31" s="6"/>
      <c r="Y31" s="6"/>
    </row>
    <row r="32" ht="11.25" customHeight="1">
      <c r="B32" s="63">
        <f t="shared" si="2"/>
        <v>27</v>
      </c>
      <c r="C32" s="40">
        <v>11500.0</v>
      </c>
      <c r="D32" s="79">
        <f t="shared" si="3"/>
        <v>10111.87757</v>
      </c>
      <c r="E32" s="79">
        <f t="shared" si="1"/>
        <v>1388.12243</v>
      </c>
      <c r="F32" s="79">
        <f t="shared" si="4"/>
        <v>38873.67665</v>
      </c>
      <c r="G32" s="79">
        <f t="shared" si="5"/>
        <v>271626.3233</v>
      </c>
      <c r="H32" s="79">
        <f t="shared" si="6"/>
        <v>310500</v>
      </c>
      <c r="I32" s="611">
        <f t="shared" si="7"/>
        <v>1339413.323</v>
      </c>
      <c r="J32" s="610">
        <v>9.05</v>
      </c>
      <c r="K32" s="591"/>
      <c r="L32" s="6"/>
      <c r="M32" s="9"/>
      <c r="N32" s="79"/>
      <c r="O32" s="6"/>
      <c r="P32" s="6"/>
      <c r="Q32" s="6"/>
      <c r="R32" s="6"/>
      <c r="S32" s="6"/>
      <c r="T32" s="622"/>
      <c r="U32" s="6"/>
      <c r="V32" s="6"/>
      <c r="W32" s="6"/>
      <c r="X32" s="6"/>
      <c r="Y32" s="6"/>
    </row>
    <row r="33" ht="11.25" customHeight="1">
      <c r="A33" s="38"/>
      <c r="B33" s="39">
        <f t="shared" si="2"/>
        <v>28</v>
      </c>
      <c r="C33" s="40">
        <v>11500.0</v>
      </c>
      <c r="D33" s="79">
        <f t="shared" si="3"/>
        <v>10101.40881</v>
      </c>
      <c r="E33" s="79">
        <f t="shared" si="1"/>
        <v>1398.591186</v>
      </c>
      <c r="F33" s="79">
        <f t="shared" si="4"/>
        <v>40272.26784</v>
      </c>
      <c r="G33" s="79">
        <f t="shared" si="5"/>
        <v>281727.7322</v>
      </c>
      <c r="H33" s="79">
        <f t="shared" si="6"/>
        <v>322000</v>
      </c>
      <c r="I33" s="611">
        <f t="shared" si="7"/>
        <v>1338014.732</v>
      </c>
      <c r="J33" s="610">
        <v>9.05</v>
      </c>
      <c r="K33" s="591"/>
      <c r="L33" s="6"/>
      <c r="M33" s="9"/>
      <c r="N33" s="79"/>
      <c r="O33" s="6"/>
      <c r="P33" s="6"/>
      <c r="Q33" s="6"/>
      <c r="R33" s="6"/>
      <c r="S33" s="6"/>
      <c r="T33" s="622"/>
      <c r="U33" s="6"/>
      <c r="V33" s="6"/>
      <c r="W33" s="6"/>
      <c r="X33" s="6"/>
      <c r="Y33" s="6"/>
    </row>
    <row r="34" ht="11.25" customHeight="1">
      <c r="A34" s="38"/>
      <c r="B34" s="39">
        <f t="shared" si="2"/>
        <v>29</v>
      </c>
      <c r="C34" s="40">
        <v>11500.0</v>
      </c>
      <c r="D34" s="79">
        <f t="shared" si="3"/>
        <v>10090.86111</v>
      </c>
      <c r="E34" s="79">
        <f t="shared" si="1"/>
        <v>1409.138895</v>
      </c>
      <c r="F34" s="79">
        <f t="shared" si="4"/>
        <v>41681.40673</v>
      </c>
      <c r="G34" s="79">
        <f t="shared" si="5"/>
        <v>291818.5933</v>
      </c>
      <c r="H34" s="79">
        <f t="shared" si="6"/>
        <v>333500</v>
      </c>
      <c r="I34" s="611">
        <f t="shared" si="7"/>
        <v>1336605.593</v>
      </c>
      <c r="J34" s="610">
        <v>9.05</v>
      </c>
      <c r="K34" s="591"/>
      <c r="L34" s="6"/>
      <c r="M34" s="9"/>
      <c r="N34" s="79"/>
      <c r="O34" s="6"/>
      <c r="P34" s="6"/>
      <c r="Q34" s="6"/>
      <c r="R34" s="6"/>
      <c r="S34" s="6"/>
      <c r="T34" s="622"/>
      <c r="U34" s="6"/>
      <c r="V34" s="6"/>
      <c r="W34" s="6"/>
      <c r="X34" s="6"/>
      <c r="Y34" s="6"/>
    </row>
    <row r="35" ht="11.25" customHeight="1">
      <c r="A35" s="38"/>
      <c r="B35" s="39">
        <f t="shared" si="2"/>
        <v>30</v>
      </c>
      <c r="C35" s="40">
        <v>11500.0</v>
      </c>
      <c r="D35" s="79">
        <f t="shared" si="3"/>
        <v>10080.23385</v>
      </c>
      <c r="E35" s="79">
        <f t="shared" si="1"/>
        <v>1419.766151</v>
      </c>
      <c r="F35" s="79">
        <f t="shared" si="4"/>
        <v>43101.17288</v>
      </c>
      <c r="G35" s="79">
        <f t="shared" si="5"/>
        <v>301898.8271</v>
      </c>
      <c r="H35" s="79">
        <f t="shared" si="6"/>
        <v>345000</v>
      </c>
      <c r="I35" s="611">
        <f t="shared" si="7"/>
        <v>1335185.827</v>
      </c>
      <c r="J35" s="610">
        <v>9.05</v>
      </c>
      <c r="K35" s="591"/>
      <c r="L35" s="6"/>
      <c r="M35" s="9"/>
      <c r="N35" s="79"/>
      <c r="O35" s="6"/>
      <c r="P35" s="6"/>
      <c r="Q35" s="6"/>
      <c r="R35" s="6"/>
      <c r="S35" s="6"/>
      <c r="T35" s="622"/>
      <c r="U35" s="6"/>
      <c r="V35" s="6"/>
      <c r="W35" s="6"/>
      <c r="X35" s="6"/>
      <c r="Y35" s="6"/>
    </row>
    <row r="36" ht="11.25" customHeight="1">
      <c r="A36" s="38"/>
      <c r="B36" s="39">
        <f t="shared" si="2"/>
        <v>31</v>
      </c>
      <c r="C36" s="40">
        <v>11500.0</v>
      </c>
      <c r="D36" s="79">
        <f t="shared" si="3"/>
        <v>10069.52645</v>
      </c>
      <c r="E36" s="79">
        <f t="shared" si="1"/>
        <v>1430.473554</v>
      </c>
      <c r="F36" s="79">
        <f t="shared" si="4"/>
        <v>44531.64644</v>
      </c>
      <c r="G36" s="79">
        <f t="shared" si="5"/>
        <v>311968.3536</v>
      </c>
      <c r="H36" s="79">
        <f t="shared" si="6"/>
        <v>356500</v>
      </c>
      <c r="I36" s="611">
        <f t="shared" si="7"/>
        <v>1333755.354</v>
      </c>
      <c r="J36" s="610">
        <v>9.05</v>
      </c>
      <c r="K36" s="591"/>
      <c r="L36" s="6"/>
      <c r="M36" s="9"/>
      <c r="N36" s="79"/>
      <c r="O36" s="6"/>
      <c r="P36" s="6"/>
      <c r="Q36" s="6"/>
      <c r="R36" s="6"/>
      <c r="S36" s="6"/>
      <c r="T36" s="622"/>
      <c r="U36" s="6"/>
      <c r="V36" s="6"/>
      <c r="W36" s="6"/>
      <c r="X36" s="6"/>
      <c r="Y36" s="6"/>
    </row>
    <row r="37" ht="11.25" customHeight="1">
      <c r="A37" s="38"/>
      <c r="B37" s="39">
        <f t="shared" si="2"/>
        <v>32</v>
      </c>
      <c r="C37" s="40">
        <v>11500.0</v>
      </c>
      <c r="D37" s="79">
        <f t="shared" si="3"/>
        <v>10058.73829</v>
      </c>
      <c r="E37" s="79">
        <f t="shared" si="1"/>
        <v>1441.261709</v>
      </c>
      <c r="F37" s="79">
        <f t="shared" si="4"/>
        <v>45972.90815</v>
      </c>
      <c r="G37" s="79">
        <f t="shared" si="5"/>
        <v>322027.0919</v>
      </c>
      <c r="H37" s="79">
        <f t="shared" si="6"/>
        <v>368000</v>
      </c>
      <c r="I37" s="611">
        <f t="shared" si="7"/>
        <v>1332314.092</v>
      </c>
      <c r="J37" s="610">
        <v>9.05</v>
      </c>
      <c r="K37" s="591"/>
      <c r="L37" s="6"/>
      <c r="M37" s="9"/>
      <c r="N37" s="79"/>
      <c r="O37" s="6"/>
      <c r="P37" s="6"/>
      <c r="Q37" s="6"/>
      <c r="R37" s="6"/>
      <c r="S37" s="6"/>
      <c r="T37" s="622"/>
      <c r="U37" s="6"/>
      <c r="V37" s="6"/>
      <c r="W37" s="6"/>
      <c r="X37" s="6"/>
      <c r="Y37" s="6"/>
    </row>
    <row r="38" ht="11.25" customHeight="1">
      <c r="A38" s="38"/>
      <c r="B38" s="39">
        <f t="shared" si="2"/>
        <v>33</v>
      </c>
      <c r="C38" s="40">
        <v>11500.0</v>
      </c>
      <c r="D38" s="79">
        <f t="shared" si="3"/>
        <v>10047.86878</v>
      </c>
      <c r="E38" s="79">
        <f t="shared" si="1"/>
        <v>1452.131224</v>
      </c>
      <c r="F38" s="79">
        <f t="shared" si="4"/>
        <v>47425.03937</v>
      </c>
      <c r="G38" s="79">
        <f t="shared" si="5"/>
        <v>332074.9606</v>
      </c>
      <c r="H38" s="79">
        <f t="shared" si="6"/>
        <v>379500</v>
      </c>
      <c r="I38" s="611">
        <f t="shared" si="7"/>
        <v>1330861.961</v>
      </c>
      <c r="J38" s="610">
        <v>9.05</v>
      </c>
      <c r="K38" s="591"/>
      <c r="L38" s="6"/>
      <c r="M38" s="9"/>
      <c r="N38" s="79"/>
      <c r="O38" s="6"/>
      <c r="P38" s="6"/>
      <c r="Q38" s="6"/>
      <c r="R38" s="6"/>
      <c r="S38" s="6"/>
      <c r="T38" s="622"/>
      <c r="U38" s="6"/>
      <c r="V38" s="6"/>
      <c r="W38" s="6"/>
      <c r="X38" s="6"/>
      <c r="Y38" s="6"/>
    </row>
    <row r="39" ht="11.25" customHeight="1">
      <c r="A39" s="38"/>
      <c r="B39" s="39">
        <f t="shared" si="2"/>
        <v>34</v>
      </c>
      <c r="C39" s="40">
        <v>11500.0</v>
      </c>
      <c r="D39" s="79">
        <f t="shared" si="3"/>
        <v>10036.91729</v>
      </c>
      <c r="E39" s="79">
        <f t="shared" si="1"/>
        <v>1463.082714</v>
      </c>
      <c r="F39" s="79">
        <f t="shared" si="4"/>
        <v>48888.12208</v>
      </c>
      <c r="G39" s="79">
        <f t="shared" si="5"/>
        <v>342111.8779</v>
      </c>
      <c r="H39" s="79">
        <f t="shared" si="6"/>
        <v>391000</v>
      </c>
      <c r="I39" s="611">
        <f t="shared" si="7"/>
        <v>1329398.878</v>
      </c>
      <c r="J39" s="610">
        <v>9.05</v>
      </c>
      <c r="K39" s="591"/>
      <c r="L39" s="6"/>
      <c r="M39" s="9"/>
      <c r="N39" s="79"/>
      <c r="O39" s="6"/>
      <c r="P39" s="6"/>
      <c r="Q39" s="6"/>
      <c r="R39" s="6"/>
      <c r="S39" s="6"/>
      <c r="T39" s="622"/>
      <c r="U39" s="6"/>
      <c r="V39" s="6"/>
      <c r="W39" s="6"/>
      <c r="X39" s="6"/>
      <c r="Y39" s="6"/>
    </row>
    <row r="40" ht="11.25" customHeight="1">
      <c r="A40" s="64"/>
      <c r="B40" s="39">
        <f t="shared" si="2"/>
        <v>35</v>
      </c>
      <c r="C40" s="40">
        <v>11500.0</v>
      </c>
      <c r="D40" s="79">
        <f t="shared" si="3"/>
        <v>10025.8832</v>
      </c>
      <c r="E40" s="79">
        <f t="shared" si="1"/>
        <v>1474.116796</v>
      </c>
      <c r="F40" s="79">
        <f t="shared" si="4"/>
        <v>50362.23888</v>
      </c>
      <c r="G40" s="79">
        <f t="shared" si="5"/>
        <v>352137.7611</v>
      </c>
      <c r="H40" s="79">
        <f t="shared" si="6"/>
        <v>402500</v>
      </c>
      <c r="I40" s="611">
        <f t="shared" si="7"/>
        <v>1327924.761</v>
      </c>
      <c r="J40" s="610">
        <v>9.05</v>
      </c>
      <c r="K40" s="591"/>
      <c r="L40" s="6"/>
      <c r="M40" s="9"/>
      <c r="N40" s="79"/>
      <c r="O40" s="6"/>
      <c r="P40" s="6"/>
      <c r="Q40" s="6"/>
      <c r="R40" s="6"/>
      <c r="S40" s="6"/>
      <c r="T40" s="622"/>
      <c r="U40" s="6"/>
      <c r="V40" s="6"/>
      <c r="W40" s="6"/>
      <c r="X40" s="6"/>
      <c r="Y40" s="6"/>
    </row>
    <row r="41" ht="11.25" customHeight="1">
      <c r="A41" s="57"/>
      <c r="B41" s="48">
        <f t="shared" si="2"/>
        <v>36</v>
      </c>
      <c r="C41" s="40">
        <v>11500.0</v>
      </c>
      <c r="D41" s="90">
        <f t="shared" si="3"/>
        <v>10014.76591</v>
      </c>
      <c r="E41" s="90">
        <f t="shared" si="1"/>
        <v>1485.234093</v>
      </c>
      <c r="F41" s="90">
        <f t="shared" si="4"/>
        <v>51847.47297</v>
      </c>
      <c r="G41" s="90">
        <f t="shared" si="5"/>
        <v>362152.527</v>
      </c>
      <c r="H41" s="90">
        <f t="shared" si="6"/>
        <v>414000</v>
      </c>
      <c r="I41" s="613">
        <f t="shared" si="7"/>
        <v>1326439.527</v>
      </c>
      <c r="J41" s="610">
        <v>9.05</v>
      </c>
      <c r="K41" s="591"/>
      <c r="L41" s="6"/>
      <c r="M41" s="9"/>
      <c r="N41" s="79"/>
      <c r="O41" s="6"/>
      <c r="P41" s="6"/>
      <c r="Q41" s="6"/>
      <c r="R41" s="6"/>
      <c r="S41" s="6"/>
      <c r="T41" s="622"/>
      <c r="U41" s="6"/>
      <c r="V41" s="6"/>
      <c r="W41" s="6"/>
      <c r="X41" s="6"/>
      <c r="Y41" s="6"/>
    </row>
    <row r="42" ht="11.25" customHeight="1">
      <c r="A42" s="23">
        <v>45965.0</v>
      </c>
      <c r="B42" s="39">
        <f t="shared" si="2"/>
        <v>37</v>
      </c>
      <c r="C42" s="40">
        <v>11500.0</v>
      </c>
      <c r="D42" s="79">
        <f t="shared" si="3"/>
        <v>10003.56477</v>
      </c>
      <c r="E42" s="79">
        <f t="shared" si="1"/>
        <v>1496.435234</v>
      </c>
      <c r="F42" s="79">
        <f t="shared" si="4"/>
        <v>53343.90821</v>
      </c>
      <c r="G42" s="79">
        <f t="shared" si="5"/>
        <v>372156.0918</v>
      </c>
      <c r="H42" s="79">
        <f t="shared" si="6"/>
        <v>425500</v>
      </c>
      <c r="I42" s="611">
        <f t="shared" si="7"/>
        <v>1324943.092</v>
      </c>
      <c r="J42" s="610">
        <v>9.05</v>
      </c>
      <c r="K42" s="591"/>
      <c r="L42" s="6"/>
      <c r="M42" s="9"/>
      <c r="N42" s="79"/>
      <c r="O42" s="6"/>
      <c r="P42" s="6"/>
      <c r="Q42" s="6"/>
      <c r="R42" s="6"/>
      <c r="S42" s="6"/>
      <c r="T42" s="622"/>
      <c r="U42" s="6"/>
      <c r="V42" s="6"/>
      <c r="W42" s="6"/>
      <c r="X42" s="6"/>
      <c r="Y42" s="6"/>
    </row>
    <row r="43" ht="11.25" customHeight="1">
      <c r="A43" s="54"/>
      <c r="B43" s="39">
        <f t="shared" si="2"/>
        <v>38</v>
      </c>
      <c r="C43" s="40">
        <v>11500.0</v>
      </c>
      <c r="D43" s="79">
        <f t="shared" si="3"/>
        <v>9992.279151</v>
      </c>
      <c r="E43" s="79">
        <f t="shared" si="1"/>
        <v>1507.720849</v>
      </c>
      <c r="F43" s="79">
        <f t="shared" si="4"/>
        <v>54851.62905</v>
      </c>
      <c r="G43" s="79">
        <f t="shared" si="5"/>
        <v>382148.3709</v>
      </c>
      <c r="H43" s="79">
        <f t="shared" si="6"/>
        <v>437000</v>
      </c>
      <c r="I43" s="611">
        <f t="shared" si="7"/>
        <v>1323435.371</v>
      </c>
      <c r="J43" s="610">
        <v>9.05</v>
      </c>
      <c r="K43" s="591"/>
      <c r="L43" s="6"/>
      <c r="M43" s="9"/>
      <c r="N43" s="79"/>
      <c r="O43" s="6"/>
      <c r="P43" s="6"/>
      <c r="Q43" s="6"/>
      <c r="R43" s="6"/>
      <c r="S43" s="6"/>
      <c r="T43" s="622"/>
      <c r="U43" s="6"/>
      <c r="V43" s="6"/>
      <c r="W43" s="6"/>
      <c r="X43" s="6"/>
      <c r="Y43" s="6"/>
    </row>
    <row r="44" ht="11.25" customHeight="1">
      <c r="B44" s="63">
        <f t="shared" si="2"/>
        <v>39</v>
      </c>
      <c r="C44" s="40">
        <v>11500.0</v>
      </c>
      <c r="D44" s="79">
        <f t="shared" si="3"/>
        <v>9980.908423</v>
      </c>
      <c r="E44" s="79">
        <f t="shared" si="1"/>
        <v>1519.091577</v>
      </c>
      <c r="F44" s="79">
        <f t="shared" si="4"/>
        <v>56370.72063</v>
      </c>
      <c r="G44" s="79">
        <f t="shared" si="5"/>
        <v>392129.2794</v>
      </c>
      <c r="H44" s="79">
        <f t="shared" si="6"/>
        <v>448500</v>
      </c>
      <c r="I44" s="611">
        <f t="shared" si="7"/>
        <v>1321916.279</v>
      </c>
      <c r="J44" s="610">
        <v>9.05</v>
      </c>
      <c r="K44" s="591"/>
      <c r="L44" s="6"/>
      <c r="M44" s="9"/>
      <c r="N44" s="79"/>
      <c r="O44" s="6"/>
      <c r="P44" s="6"/>
      <c r="Q44" s="6"/>
      <c r="R44" s="6"/>
      <c r="S44" s="6"/>
      <c r="T44" s="622"/>
      <c r="U44" s="6"/>
      <c r="V44" s="6"/>
      <c r="W44" s="6"/>
      <c r="X44" s="6"/>
      <c r="Y44" s="6"/>
    </row>
    <row r="45" ht="11.25" customHeight="1">
      <c r="A45" s="38"/>
      <c r="B45" s="39">
        <f t="shared" si="2"/>
        <v>40</v>
      </c>
      <c r="C45" s="40">
        <v>11500.0</v>
      </c>
      <c r="D45" s="79">
        <f t="shared" si="3"/>
        <v>9969.45194</v>
      </c>
      <c r="E45" s="79">
        <f t="shared" si="1"/>
        <v>1530.54806</v>
      </c>
      <c r="F45" s="79">
        <f t="shared" si="4"/>
        <v>57901.26869</v>
      </c>
      <c r="G45" s="79">
        <f t="shared" si="5"/>
        <v>402098.7313</v>
      </c>
      <c r="H45" s="79">
        <f t="shared" si="6"/>
        <v>460000</v>
      </c>
      <c r="I45" s="611">
        <f t="shared" si="7"/>
        <v>1320385.731</v>
      </c>
      <c r="J45" s="610">
        <v>9.05</v>
      </c>
      <c r="K45" s="591"/>
      <c r="L45" s="6"/>
      <c r="M45" s="9"/>
      <c r="N45" s="79"/>
      <c r="O45" s="6"/>
      <c r="P45" s="6"/>
      <c r="Q45" s="6"/>
      <c r="R45" s="6"/>
      <c r="S45" s="6"/>
      <c r="T45" s="622"/>
      <c r="U45" s="6"/>
      <c r="V45" s="6"/>
      <c r="W45" s="6"/>
      <c r="X45" s="6"/>
      <c r="Y45" s="6"/>
    </row>
    <row r="46" ht="11.25" customHeight="1">
      <c r="A46" s="56"/>
      <c r="B46" s="39">
        <f t="shared" si="2"/>
        <v>41</v>
      </c>
      <c r="C46" s="40">
        <v>11500.0</v>
      </c>
      <c r="D46" s="79">
        <f t="shared" si="3"/>
        <v>9957.909057</v>
      </c>
      <c r="E46" s="79">
        <f t="shared" si="1"/>
        <v>1542.090943</v>
      </c>
      <c r="F46" s="79">
        <f t="shared" si="4"/>
        <v>59443.35964</v>
      </c>
      <c r="G46" s="79">
        <f t="shared" si="5"/>
        <v>412056.6404</v>
      </c>
      <c r="H46" s="79">
        <f t="shared" si="6"/>
        <v>471500</v>
      </c>
      <c r="I46" s="611">
        <f t="shared" si="7"/>
        <v>1318843.64</v>
      </c>
      <c r="J46" s="610">
        <v>9.05</v>
      </c>
      <c r="K46" s="591"/>
      <c r="L46" s="6"/>
      <c r="M46" s="9"/>
      <c r="N46" s="79"/>
      <c r="O46" s="6"/>
      <c r="P46" s="6"/>
      <c r="Q46" s="6"/>
      <c r="R46" s="6"/>
      <c r="S46" s="6"/>
      <c r="T46" s="622"/>
      <c r="U46" s="6"/>
      <c r="V46" s="6"/>
      <c r="W46" s="6"/>
      <c r="X46" s="6"/>
      <c r="Y46" s="6"/>
    </row>
    <row r="47" ht="11.25" customHeight="1">
      <c r="A47" s="38"/>
      <c r="B47" s="39">
        <f t="shared" si="2"/>
        <v>42</v>
      </c>
      <c r="C47" s="40">
        <v>11500.0</v>
      </c>
      <c r="D47" s="79">
        <f t="shared" si="3"/>
        <v>9946.279121</v>
      </c>
      <c r="E47" s="79">
        <f t="shared" si="1"/>
        <v>1553.720879</v>
      </c>
      <c r="F47" s="79">
        <f t="shared" si="4"/>
        <v>60997.08051</v>
      </c>
      <c r="G47" s="79">
        <f t="shared" si="5"/>
        <v>422002.9195</v>
      </c>
      <c r="H47" s="79">
        <f t="shared" si="6"/>
        <v>483000</v>
      </c>
      <c r="I47" s="611">
        <f t="shared" si="7"/>
        <v>1317289.919</v>
      </c>
      <c r="J47" s="610">
        <v>9.05</v>
      </c>
      <c r="K47" s="591"/>
      <c r="L47" s="6"/>
      <c r="M47" s="9"/>
      <c r="N47" s="79"/>
      <c r="O47" s="6"/>
      <c r="P47" s="6"/>
      <c r="Q47" s="6"/>
      <c r="R47" s="6"/>
      <c r="S47" s="6"/>
      <c r="T47" s="622"/>
      <c r="U47" s="6"/>
      <c r="V47" s="6"/>
      <c r="W47" s="6"/>
      <c r="X47" s="6"/>
      <c r="Y47" s="6"/>
    </row>
    <row r="48" ht="11.25" customHeight="1">
      <c r="A48" s="38"/>
      <c r="B48" s="39">
        <f t="shared" si="2"/>
        <v>43</v>
      </c>
      <c r="C48" s="40">
        <v>11500.0</v>
      </c>
      <c r="D48" s="79">
        <f t="shared" si="3"/>
        <v>9934.561476</v>
      </c>
      <c r="E48" s="79">
        <f t="shared" si="1"/>
        <v>1565.438524</v>
      </c>
      <c r="F48" s="79">
        <f t="shared" si="4"/>
        <v>62562.51904</v>
      </c>
      <c r="G48" s="79">
        <f t="shared" si="5"/>
        <v>431937.481</v>
      </c>
      <c r="H48" s="79">
        <f t="shared" si="6"/>
        <v>494500</v>
      </c>
      <c r="I48" s="611">
        <f t="shared" si="7"/>
        <v>1315724.481</v>
      </c>
      <c r="J48" s="610">
        <v>9.05</v>
      </c>
      <c r="K48" s="591"/>
      <c r="L48" s="6"/>
      <c r="M48" s="9"/>
      <c r="N48" s="79"/>
      <c r="O48" s="6"/>
      <c r="P48" s="6"/>
      <c r="Q48" s="6"/>
      <c r="R48" s="6"/>
      <c r="S48" s="6"/>
      <c r="T48" s="622"/>
      <c r="U48" s="6"/>
      <c r="V48" s="6"/>
      <c r="W48" s="6"/>
      <c r="X48" s="6"/>
      <c r="Y48" s="6"/>
    </row>
    <row r="49" ht="11.25" customHeight="1">
      <c r="A49" s="38"/>
      <c r="B49" s="39">
        <f t="shared" si="2"/>
        <v>44</v>
      </c>
      <c r="C49" s="607">
        <v>11500.0</v>
      </c>
      <c r="D49" s="79">
        <f t="shared" si="3"/>
        <v>9922.755461</v>
      </c>
      <c r="E49" s="79">
        <f t="shared" si="1"/>
        <v>1577.244539</v>
      </c>
      <c r="F49" s="79">
        <f t="shared" si="4"/>
        <v>64139.76358</v>
      </c>
      <c r="G49" s="79">
        <f t="shared" si="5"/>
        <v>441860.2364</v>
      </c>
      <c r="H49" s="79">
        <f t="shared" si="6"/>
        <v>506000</v>
      </c>
      <c r="I49" s="611">
        <f t="shared" si="7"/>
        <v>1314147.236</v>
      </c>
      <c r="J49" s="610">
        <v>9.05</v>
      </c>
      <c r="K49" s="591"/>
      <c r="L49" s="6"/>
      <c r="M49" s="9"/>
      <c r="N49" s="79"/>
      <c r="O49" s="6"/>
      <c r="P49" s="6"/>
      <c r="Q49" s="6"/>
      <c r="R49" s="6"/>
      <c r="S49" s="6"/>
      <c r="T49" s="622"/>
      <c r="U49" s="6"/>
      <c r="V49" s="6"/>
      <c r="W49" s="6"/>
      <c r="X49" s="6"/>
      <c r="Y49" s="6"/>
    </row>
    <row r="50" ht="11.25" customHeight="1">
      <c r="A50" s="56"/>
      <c r="B50" s="39">
        <f t="shared" si="2"/>
        <v>45</v>
      </c>
      <c r="C50" s="607">
        <v>11500.0</v>
      </c>
      <c r="D50" s="79">
        <f t="shared" si="3"/>
        <v>9910.860408</v>
      </c>
      <c r="E50" s="79">
        <f t="shared" si="1"/>
        <v>1589.139592</v>
      </c>
      <c r="F50" s="79">
        <f t="shared" si="4"/>
        <v>65728.90317</v>
      </c>
      <c r="G50" s="79">
        <f t="shared" si="5"/>
        <v>451771.0968</v>
      </c>
      <c r="H50" s="79">
        <f t="shared" si="6"/>
        <v>517500</v>
      </c>
      <c r="I50" s="611">
        <f t="shared" si="7"/>
        <v>1312558.097</v>
      </c>
      <c r="J50" s="610">
        <v>9.05</v>
      </c>
      <c r="K50" s="591"/>
      <c r="L50" s="6"/>
      <c r="M50" s="9"/>
      <c r="N50" s="79"/>
      <c r="O50" s="6"/>
      <c r="P50" s="6"/>
      <c r="Q50" s="6"/>
      <c r="R50" s="6"/>
      <c r="S50" s="6"/>
      <c r="T50" s="622"/>
      <c r="U50" s="6"/>
      <c r="V50" s="6"/>
      <c r="W50" s="6"/>
      <c r="X50" s="6"/>
      <c r="Y50" s="6"/>
    </row>
    <row r="51" ht="11.25" customHeight="1">
      <c r="A51" s="38"/>
      <c r="B51" s="39">
        <f t="shared" si="2"/>
        <v>46</v>
      </c>
      <c r="C51" s="607">
        <v>11500.0</v>
      </c>
      <c r="D51" s="79">
        <f t="shared" si="3"/>
        <v>9898.875647</v>
      </c>
      <c r="E51" s="79">
        <f t="shared" si="1"/>
        <v>1601.124353</v>
      </c>
      <c r="F51" s="79">
        <f t="shared" si="4"/>
        <v>67330.02752</v>
      </c>
      <c r="G51" s="79">
        <f t="shared" si="5"/>
        <v>461669.9725</v>
      </c>
      <c r="H51" s="79">
        <f t="shared" si="6"/>
        <v>529000</v>
      </c>
      <c r="I51" s="614">
        <f t="shared" si="7"/>
        <v>1310956.972</v>
      </c>
      <c r="J51" s="610">
        <v>9.05</v>
      </c>
      <c r="K51" s="591"/>
      <c r="L51" s="6"/>
      <c r="M51" s="9"/>
      <c r="N51" s="79"/>
      <c r="O51" s="6"/>
      <c r="P51" s="6"/>
      <c r="Q51" s="6"/>
      <c r="R51" s="6"/>
      <c r="S51" s="6"/>
      <c r="T51" s="622"/>
      <c r="U51" s="6"/>
      <c r="V51" s="6"/>
      <c r="W51" s="6"/>
      <c r="X51" s="6"/>
      <c r="Y51" s="6"/>
    </row>
    <row r="52" ht="11.25" customHeight="1">
      <c r="A52" s="38"/>
      <c r="B52" s="39">
        <f t="shared" si="2"/>
        <v>47</v>
      </c>
      <c r="C52" s="607">
        <v>11500.0</v>
      </c>
      <c r="D52" s="79">
        <f t="shared" si="3"/>
        <v>9886.800501</v>
      </c>
      <c r="E52" s="79">
        <f t="shared" si="1"/>
        <v>1613.199499</v>
      </c>
      <c r="F52" s="79">
        <f t="shared" si="4"/>
        <v>68943.22702</v>
      </c>
      <c r="G52" s="79">
        <f t="shared" si="5"/>
        <v>471556.773</v>
      </c>
      <c r="H52" s="615">
        <f t="shared" si="6"/>
        <v>540500</v>
      </c>
      <c r="I52" s="614">
        <f t="shared" si="7"/>
        <v>1309343.773</v>
      </c>
      <c r="J52" s="610">
        <v>9.05</v>
      </c>
      <c r="K52" s="591"/>
      <c r="L52" s="6"/>
      <c r="M52" s="9"/>
      <c r="N52" s="79"/>
      <c r="O52" s="6"/>
      <c r="P52" s="6"/>
      <c r="Q52" s="6"/>
      <c r="R52" s="6"/>
      <c r="S52" s="6"/>
      <c r="T52" s="622"/>
      <c r="U52" s="6"/>
      <c r="V52" s="6"/>
      <c r="W52" s="6"/>
      <c r="X52" s="6"/>
      <c r="Y52" s="6"/>
    </row>
    <row r="53" ht="11.25" customHeight="1">
      <c r="A53" s="57"/>
      <c r="B53" s="48">
        <f t="shared" si="2"/>
        <v>48</v>
      </c>
      <c r="C53" s="607">
        <v>11500.0</v>
      </c>
      <c r="D53" s="90">
        <f t="shared" si="3"/>
        <v>9874.634288</v>
      </c>
      <c r="E53" s="90">
        <f t="shared" si="1"/>
        <v>1625.365712</v>
      </c>
      <c r="F53" s="90">
        <f t="shared" si="4"/>
        <v>70568.59273</v>
      </c>
      <c r="G53" s="90">
        <f t="shared" si="5"/>
        <v>481431.4073</v>
      </c>
      <c r="H53" s="616">
        <f t="shared" si="6"/>
        <v>552000</v>
      </c>
      <c r="I53" s="614">
        <f t="shared" si="7"/>
        <v>1307718.407</v>
      </c>
      <c r="J53" s="610">
        <v>9.05</v>
      </c>
      <c r="K53" s="591"/>
      <c r="L53" s="6"/>
      <c r="M53" s="9"/>
      <c r="N53" s="79"/>
      <c r="O53" s="6"/>
      <c r="P53" s="6"/>
      <c r="Q53" s="6"/>
      <c r="R53" s="6"/>
      <c r="S53" s="6"/>
      <c r="T53" s="622"/>
      <c r="U53" s="6"/>
      <c r="V53" s="6"/>
      <c r="W53" s="6"/>
      <c r="X53" s="6"/>
      <c r="Y53" s="6"/>
    </row>
    <row r="54" ht="11.25" customHeight="1">
      <c r="A54" s="100">
        <v>5.0</v>
      </c>
      <c r="B54" s="66">
        <f t="shared" ref="B54:B365" si="8">B53+1</f>
        <v>49</v>
      </c>
      <c r="C54" s="607">
        <v>11500.0</v>
      </c>
      <c r="D54" s="617">
        <f t="shared" ref="D54:D365" si="9">(I53*J54%)/12</f>
        <v>9862.376321</v>
      </c>
      <c r="E54" s="617">
        <f t="shared" si="1"/>
        <v>1637.623679</v>
      </c>
      <c r="F54" s="617">
        <f t="shared" si="4"/>
        <v>72206.21641</v>
      </c>
      <c r="G54" s="617">
        <f t="shared" si="5"/>
        <v>491293.7836</v>
      </c>
      <c r="H54" s="617">
        <f t="shared" si="6"/>
        <v>563500</v>
      </c>
      <c r="I54" s="617">
        <f t="shared" si="7"/>
        <v>1306080.784</v>
      </c>
      <c r="J54" s="610">
        <v>9.05</v>
      </c>
      <c r="K54" s="591"/>
      <c r="L54" s="6"/>
      <c r="M54" s="9"/>
      <c r="N54" s="79"/>
      <c r="O54" s="6"/>
      <c r="P54" s="6"/>
      <c r="Q54" s="6"/>
      <c r="R54" s="6"/>
      <c r="S54" s="6"/>
      <c r="T54" s="622"/>
      <c r="U54" s="6"/>
      <c r="V54" s="6"/>
      <c r="W54" s="6"/>
      <c r="X54" s="6"/>
      <c r="Y54" s="6"/>
    </row>
    <row r="55" ht="11.25" customHeight="1">
      <c r="A55" s="618"/>
      <c r="B55" s="68">
        <f t="shared" si="8"/>
        <v>50</v>
      </c>
      <c r="C55" s="607">
        <v>11500.0</v>
      </c>
      <c r="D55" s="6">
        <f t="shared" si="9"/>
        <v>9850.02591</v>
      </c>
      <c r="E55" s="6">
        <f t="shared" si="1"/>
        <v>1649.97409</v>
      </c>
      <c r="F55" s="6">
        <f t="shared" si="4"/>
        <v>73856.1905</v>
      </c>
      <c r="G55" s="6">
        <f t="shared" si="5"/>
        <v>501143.8095</v>
      </c>
      <c r="H55" s="6">
        <f t="shared" si="6"/>
        <v>575000</v>
      </c>
      <c r="I55" s="6">
        <f t="shared" si="7"/>
        <v>1304430.809</v>
      </c>
      <c r="J55" s="610">
        <v>9.05</v>
      </c>
      <c r="K55" s="591"/>
      <c r="L55" s="6"/>
      <c r="M55" s="9"/>
      <c r="N55" s="79"/>
      <c r="O55" s="6"/>
      <c r="P55" s="6"/>
      <c r="Q55" s="6"/>
      <c r="R55" s="6"/>
      <c r="S55" s="6"/>
      <c r="T55" s="622"/>
      <c r="U55" s="6"/>
      <c r="V55" s="6"/>
      <c r="W55" s="6"/>
      <c r="X55" s="6"/>
      <c r="Y55" s="6"/>
    </row>
    <row r="56" ht="11.25" customHeight="1">
      <c r="A56" s="7"/>
      <c r="B56" s="68">
        <f t="shared" si="8"/>
        <v>51</v>
      </c>
      <c r="C56" s="607">
        <v>11500.0</v>
      </c>
      <c r="D56" s="6">
        <f t="shared" si="9"/>
        <v>9837.582355</v>
      </c>
      <c r="E56" s="6">
        <f t="shared" si="1"/>
        <v>1662.417645</v>
      </c>
      <c r="F56" s="6">
        <f t="shared" si="4"/>
        <v>75518.60815</v>
      </c>
      <c r="G56" s="6">
        <f t="shared" si="5"/>
        <v>510981.3919</v>
      </c>
      <c r="H56" s="6">
        <f t="shared" si="6"/>
        <v>586500</v>
      </c>
      <c r="I56" s="6">
        <f t="shared" si="7"/>
        <v>1302768.392</v>
      </c>
      <c r="J56" s="610">
        <v>9.05</v>
      </c>
      <c r="K56" s="591"/>
      <c r="L56" s="6"/>
      <c r="M56" s="9"/>
      <c r="N56" s="79"/>
      <c r="O56" s="6"/>
      <c r="P56" s="6"/>
      <c r="Q56" s="6"/>
      <c r="R56" s="6"/>
      <c r="S56" s="6"/>
      <c r="T56" s="622"/>
      <c r="U56" s="6"/>
      <c r="V56" s="6"/>
      <c r="W56" s="6"/>
      <c r="X56" s="6"/>
      <c r="Y56" s="6"/>
    </row>
    <row r="57" ht="11.25" customHeight="1">
      <c r="A57" s="7"/>
      <c r="B57" s="68">
        <f t="shared" si="8"/>
        <v>52</v>
      </c>
      <c r="C57" s="607">
        <v>11500.0</v>
      </c>
      <c r="D57" s="6">
        <f t="shared" si="9"/>
        <v>9825.044955</v>
      </c>
      <c r="E57" s="6">
        <f t="shared" si="1"/>
        <v>1674.955045</v>
      </c>
      <c r="F57" s="6">
        <f t="shared" si="4"/>
        <v>77193.56319</v>
      </c>
      <c r="G57" s="6">
        <f t="shared" si="5"/>
        <v>520806.4368</v>
      </c>
      <c r="H57" s="6">
        <f t="shared" si="6"/>
        <v>598000</v>
      </c>
      <c r="I57" s="6">
        <f t="shared" si="7"/>
        <v>1301093.437</v>
      </c>
      <c r="J57" s="610">
        <v>9.05</v>
      </c>
      <c r="K57" s="591"/>
      <c r="L57" s="6"/>
      <c r="M57" s="9"/>
      <c r="N57" s="79"/>
      <c r="O57" s="6"/>
      <c r="P57" s="6"/>
      <c r="Q57" s="6"/>
      <c r="R57" s="6"/>
      <c r="S57" s="6"/>
      <c r="T57" s="622"/>
      <c r="U57" s="6"/>
      <c r="V57" s="6"/>
      <c r="W57" s="6"/>
      <c r="X57" s="6"/>
      <c r="Y57" s="6"/>
    </row>
    <row r="58" ht="11.25" customHeight="1">
      <c r="A58" s="7"/>
      <c r="B58" s="68">
        <f t="shared" si="8"/>
        <v>53</v>
      </c>
      <c r="C58" s="607">
        <v>11500.0</v>
      </c>
      <c r="D58" s="6">
        <f t="shared" si="9"/>
        <v>9812.413003</v>
      </c>
      <c r="E58" s="6">
        <f t="shared" si="1"/>
        <v>1687.586997</v>
      </c>
      <c r="F58" s="6">
        <f t="shared" si="4"/>
        <v>78881.15019</v>
      </c>
      <c r="G58" s="6">
        <f t="shared" si="5"/>
        <v>530618.8498</v>
      </c>
      <c r="H58" s="6">
        <f t="shared" si="6"/>
        <v>609500</v>
      </c>
      <c r="I58" s="6">
        <f t="shared" si="7"/>
        <v>1299405.85</v>
      </c>
      <c r="J58" s="610">
        <v>9.05</v>
      </c>
      <c r="K58" s="591"/>
      <c r="L58" s="6"/>
      <c r="M58" s="9"/>
      <c r="N58" s="79"/>
      <c r="O58" s="6"/>
      <c r="P58" s="6"/>
      <c r="Q58" s="6"/>
      <c r="R58" s="6"/>
      <c r="S58" s="6"/>
      <c r="T58" s="622"/>
      <c r="U58" s="6"/>
      <c r="V58" s="6"/>
      <c r="W58" s="6"/>
      <c r="X58" s="6"/>
      <c r="Y58" s="6"/>
    </row>
    <row r="59" ht="11.25" customHeight="1">
      <c r="A59" s="7"/>
      <c r="B59" s="68">
        <f t="shared" si="8"/>
        <v>54</v>
      </c>
      <c r="C59" s="607">
        <v>11500.0</v>
      </c>
      <c r="D59" s="6">
        <f t="shared" si="9"/>
        <v>9799.685784</v>
      </c>
      <c r="E59" s="6">
        <f t="shared" si="1"/>
        <v>1700.314216</v>
      </c>
      <c r="F59" s="6">
        <f t="shared" si="4"/>
        <v>80581.46441</v>
      </c>
      <c r="G59" s="6">
        <f t="shared" si="5"/>
        <v>540418.5356</v>
      </c>
      <c r="H59" s="6">
        <f t="shared" si="6"/>
        <v>621000</v>
      </c>
      <c r="I59" s="6">
        <f t="shared" si="7"/>
        <v>1297705.536</v>
      </c>
      <c r="J59" s="610">
        <v>9.05</v>
      </c>
      <c r="K59" s="591"/>
      <c r="L59" s="6"/>
      <c r="M59" s="9"/>
      <c r="N59" s="79"/>
      <c r="O59" s="6"/>
      <c r="P59" s="6"/>
      <c r="Q59" s="6"/>
      <c r="R59" s="6"/>
      <c r="S59" s="6"/>
      <c r="T59" s="622"/>
      <c r="U59" s="6"/>
      <c r="V59" s="6"/>
      <c r="W59" s="6"/>
      <c r="X59" s="6"/>
      <c r="Y59" s="6"/>
    </row>
    <row r="60" ht="11.25" customHeight="1">
      <c r="A60" s="7"/>
      <c r="B60" s="68">
        <f t="shared" si="8"/>
        <v>55</v>
      </c>
      <c r="C60" s="607">
        <v>11500.0</v>
      </c>
      <c r="D60" s="6">
        <f t="shared" si="9"/>
        <v>9786.862581</v>
      </c>
      <c r="E60" s="6">
        <f t="shared" si="1"/>
        <v>1713.137419</v>
      </c>
      <c r="F60" s="6">
        <f t="shared" si="4"/>
        <v>82294.60182</v>
      </c>
      <c r="G60" s="6">
        <f t="shared" si="5"/>
        <v>550205.3982</v>
      </c>
      <c r="H60" s="6">
        <f t="shared" si="6"/>
        <v>632500</v>
      </c>
      <c r="I60" s="6">
        <f t="shared" si="7"/>
        <v>1295992.398</v>
      </c>
      <c r="J60" s="610">
        <v>9.05</v>
      </c>
      <c r="K60" s="591"/>
      <c r="L60" s="6"/>
      <c r="M60" s="9"/>
      <c r="N60" s="79"/>
      <c r="O60" s="6"/>
      <c r="P60" s="6"/>
      <c r="Q60" s="6"/>
      <c r="R60" s="6"/>
      <c r="S60" s="6"/>
      <c r="T60" s="622"/>
      <c r="U60" s="6"/>
      <c r="V60" s="6"/>
      <c r="W60" s="6"/>
      <c r="X60" s="6"/>
      <c r="Y60" s="6"/>
    </row>
    <row r="61" ht="11.25" customHeight="1">
      <c r="A61" s="7"/>
      <c r="B61" s="68">
        <f t="shared" si="8"/>
        <v>56</v>
      </c>
      <c r="C61" s="607">
        <v>11500.0</v>
      </c>
      <c r="D61" s="6">
        <f t="shared" si="9"/>
        <v>9773.94267</v>
      </c>
      <c r="E61" s="6">
        <f t="shared" si="1"/>
        <v>1726.05733</v>
      </c>
      <c r="F61" s="6">
        <f t="shared" si="4"/>
        <v>84020.65916</v>
      </c>
      <c r="G61" s="6">
        <f t="shared" si="5"/>
        <v>559979.3408</v>
      </c>
      <c r="H61" s="6">
        <f t="shared" si="6"/>
        <v>644000</v>
      </c>
      <c r="I61" s="6">
        <f t="shared" si="7"/>
        <v>1294266.341</v>
      </c>
      <c r="J61" s="610">
        <v>9.05</v>
      </c>
      <c r="K61" s="591"/>
      <c r="L61" s="6"/>
      <c r="M61" s="9"/>
      <c r="N61" s="79"/>
      <c r="O61" s="6"/>
      <c r="P61" s="6"/>
      <c r="Q61" s="6"/>
      <c r="R61" s="6"/>
      <c r="S61" s="6"/>
      <c r="T61" s="622"/>
      <c r="U61" s="6"/>
      <c r="V61" s="6"/>
      <c r="W61" s="6"/>
      <c r="X61" s="6"/>
      <c r="Y61" s="6"/>
    </row>
    <row r="62" ht="11.25" customHeight="1">
      <c r="A62" s="7"/>
      <c r="B62" s="68">
        <f t="shared" si="8"/>
        <v>57</v>
      </c>
      <c r="C62" s="607">
        <v>11500.0</v>
      </c>
      <c r="D62" s="6">
        <f t="shared" si="9"/>
        <v>9760.925321</v>
      </c>
      <c r="E62" s="6">
        <f t="shared" si="1"/>
        <v>1739.074679</v>
      </c>
      <c r="F62" s="6">
        <f t="shared" si="4"/>
        <v>85759.73383</v>
      </c>
      <c r="G62" s="6">
        <f t="shared" si="5"/>
        <v>569740.2662</v>
      </c>
      <c r="H62" s="6">
        <f t="shared" si="6"/>
        <v>655500</v>
      </c>
      <c r="I62" s="6">
        <f t="shared" si="7"/>
        <v>1292527.266</v>
      </c>
      <c r="J62" s="610">
        <v>9.05</v>
      </c>
      <c r="K62" s="591"/>
      <c r="L62" s="6"/>
      <c r="M62" s="9"/>
      <c r="N62" s="79"/>
      <c r="O62" s="6"/>
      <c r="P62" s="6"/>
      <c r="Q62" s="6"/>
      <c r="R62" s="6"/>
      <c r="S62" s="6"/>
      <c r="T62" s="622"/>
      <c r="U62" s="6"/>
      <c r="V62" s="6"/>
      <c r="W62" s="6"/>
      <c r="X62" s="6"/>
      <c r="Y62" s="6"/>
    </row>
    <row r="63" ht="11.25" customHeight="1">
      <c r="A63" s="7"/>
      <c r="B63" s="68">
        <f t="shared" si="8"/>
        <v>58</v>
      </c>
      <c r="C63" s="607">
        <v>11500.0</v>
      </c>
      <c r="D63" s="6">
        <f t="shared" si="9"/>
        <v>9747.809799</v>
      </c>
      <c r="E63" s="6">
        <f t="shared" si="1"/>
        <v>1752.190201</v>
      </c>
      <c r="F63" s="6">
        <f t="shared" si="4"/>
        <v>87511.92404</v>
      </c>
      <c r="G63" s="6">
        <f t="shared" si="5"/>
        <v>579488.076</v>
      </c>
      <c r="H63" s="6">
        <f t="shared" si="6"/>
        <v>667000</v>
      </c>
      <c r="I63" s="6">
        <f t="shared" si="7"/>
        <v>1290775.076</v>
      </c>
      <c r="J63" s="610">
        <v>9.05</v>
      </c>
      <c r="K63" s="591"/>
      <c r="L63" s="6"/>
      <c r="M63" s="9"/>
      <c r="N63" s="79"/>
      <c r="O63" s="6"/>
      <c r="P63" s="6"/>
      <c r="Q63" s="6"/>
      <c r="R63" s="6"/>
      <c r="S63" s="6"/>
      <c r="T63" s="622"/>
      <c r="U63" s="6"/>
      <c r="V63" s="6"/>
      <c r="W63" s="6"/>
      <c r="X63" s="6"/>
      <c r="Y63" s="6"/>
    </row>
    <row r="64" ht="11.25" customHeight="1">
      <c r="A64" s="7"/>
      <c r="B64" s="68">
        <f t="shared" si="8"/>
        <v>59</v>
      </c>
      <c r="C64" s="607">
        <v>11500.0</v>
      </c>
      <c r="D64" s="6">
        <f t="shared" si="9"/>
        <v>9734.595365</v>
      </c>
      <c r="E64" s="6">
        <f t="shared" si="1"/>
        <v>1765.404635</v>
      </c>
      <c r="F64" s="6">
        <f t="shared" si="4"/>
        <v>89277.32867</v>
      </c>
      <c r="G64" s="6">
        <f t="shared" si="5"/>
        <v>589222.6713</v>
      </c>
      <c r="H64" s="6">
        <f t="shared" si="6"/>
        <v>678500</v>
      </c>
      <c r="I64" s="6">
        <f t="shared" si="7"/>
        <v>1289009.671</v>
      </c>
      <c r="J64" s="610">
        <v>9.05</v>
      </c>
      <c r="K64" s="591"/>
      <c r="L64" s="6"/>
      <c r="M64" s="9"/>
      <c r="N64" s="79"/>
      <c r="O64" s="6"/>
      <c r="P64" s="6"/>
      <c r="Q64" s="6"/>
      <c r="R64" s="6"/>
      <c r="S64" s="6"/>
      <c r="T64" s="622"/>
      <c r="U64" s="6"/>
      <c r="V64" s="6"/>
      <c r="W64" s="6"/>
      <c r="X64" s="6"/>
      <c r="Y64" s="6"/>
    </row>
    <row r="65" ht="11.25" customHeight="1">
      <c r="A65" s="71"/>
      <c r="B65" s="72">
        <f t="shared" si="8"/>
        <v>60</v>
      </c>
      <c r="C65" s="607">
        <v>11500.0</v>
      </c>
      <c r="D65" s="10">
        <f t="shared" si="9"/>
        <v>9721.281271</v>
      </c>
      <c r="E65" s="10">
        <f t="shared" si="1"/>
        <v>1778.718729</v>
      </c>
      <c r="F65" s="10">
        <f t="shared" si="4"/>
        <v>91056.0474</v>
      </c>
      <c r="G65" s="10">
        <f t="shared" si="5"/>
        <v>598943.9526</v>
      </c>
      <c r="H65" s="10">
        <f t="shared" si="6"/>
        <v>690000</v>
      </c>
      <c r="I65" s="10">
        <f t="shared" si="7"/>
        <v>1287230.953</v>
      </c>
      <c r="J65" s="610">
        <v>9.05</v>
      </c>
      <c r="K65" s="591"/>
      <c r="L65" s="6"/>
      <c r="M65" s="9"/>
      <c r="N65" s="79"/>
      <c r="O65" s="6"/>
      <c r="P65" s="6"/>
      <c r="Q65" s="6"/>
      <c r="R65" s="6"/>
      <c r="S65" s="6"/>
      <c r="T65" s="622"/>
      <c r="U65" s="6"/>
      <c r="V65" s="6"/>
      <c r="W65" s="6"/>
      <c r="X65" s="6"/>
      <c r="Y65" s="6"/>
    </row>
    <row r="66" ht="11.25" customHeight="1">
      <c r="A66" s="619">
        <v>6.0</v>
      </c>
      <c r="B66" s="66">
        <f t="shared" si="8"/>
        <v>61</v>
      </c>
      <c r="C66" s="607">
        <v>11500.0</v>
      </c>
      <c r="D66" s="617">
        <f t="shared" si="9"/>
        <v>9707.866768</v>
      </c>
      <c r="E66" s="617">
        <f t="shared" si="1"/>
        <v>1792.133232</v>
      </c>
      <c r="F66" s="617">
        <f t="shared" si="4"/>
        <v>92848.18063</v>
      </c>
      <c r="G66" s="617">
        <f t="shared" si="5"/>
        <v>608651.8194</v>
      </c>
      <c r="H66" s="617">
        <f t="shared" si="6"/>
        <v>701500</v>
      </c>
      <c r="I66" s="617">
        <f t="shared" si="7"/>
        <v>1285438.819</v>
      </c>
      <c r="J66" s="610">
        <v>9.05</v>
      </c>
      <c r="K66" s="591"/>
      <c r="L66" s="6"/>
      <c r="M66" s="9"/>
      <c r="N66" s="79"/>
      <c r="O66" s="6"/>
      <c r="P66" s="6"/>
      <c r="Q66" s="6"/>
      <c r="R66" s="6"/>
      <c r="S66" s="6"/>
      <c r="T66" s="622"/>
      <c r="U66" s="6"/>
      <c r="V66" s="6"/>
      <c r="W66" s="6"/>
      <c r="X66" s="6"/>
      <c r="Y66" s="6"/>
    </row>
    <row r="67" ht="11.25" customHeight="1">
      <c r="A67" s="54"/>
      <c r="B67" s="68">
        <f t="shared" si="8"/>
        <v>62</v>
      </c>
      <c r="C67" s="607">
        <v>11500.0</v>
      </c>
      <c r="D67" s="6">
        <f t="shared" si="9"/>
        <v>9694.351096</v>
      </c>
      <c r="E67" s="6">
        <f t="shared" si="1"/>
        <v>1805.648904</v>
      </c>
      <c r="F67" s="6">
        <f t="shared" si="4"/>
        <v>94653.82954</v>
      </c>
      <c r="G67" s="6">
        <f t="shared" si="5"/>
        <v>618346.1705</v>
      </c>
      <c r="H67" s="6">
        <f t="shared" si="6"/>
        <v>713000</v>
      </c>
      <c r="I67" s="6">
        <f t="shared" si="7"/>
        <v>1283633.17</v>
      </c>
      <c r="J67" s="610">
        <v>9.05</v>
      </c>
      <c r="K67" s="591"/>
      <c r="L67" s="6"/>
      <c r="M67" s="9"/>
      <c r="N67" s="79"/>
      <c r="O67" s="6"/>
      <c r="P67" s="6"/>
      <c r="Q67" s="6"/>
      <c r="R67" s="6"/>
      <c r="S67" s="6"/>
      <c r="T67" s="622"/>
      <c r="U67" s="6"/>
      <c r="V67" s="6"/>
      <c r="W67" s="6"/>
      <c r="X67" s="6"/>
      <c r="Y67" s="6"/>
    </row>
    <row r="68" ht="11.25" customHeight="1">
      <c r="A68" s="7"/>
      <c r="B68" s="68">
        <f t="shared" si="8"/>
        <v>63</v>
      </c>
      <c r="C68" s="607">
        <v>11500.0</v>
      </c>
      <c r="D68" s="6">
        <f t="shared" si="9"/>
        <v>9680.733494</v>
      </c>
      <c r="E68" s="6">
        <f t="shared" si="1"/>
        <v>1819.266506</v>
      </c>
      <c r="F68" s="6">
        <f t="shared" si="4"/>
        <v>96473.09604</v>
      </c>
      <c r="G68" s="6">
        <f t="shared" si="5"/>
        <v>628026.904</v>
      </c>
      <c r="H68" s="6">
        <f t="shared" si="6"/>
        <v>724500</v>
      </c>
      <c r="I68" s="6">
        <f t="shared" si="7"/>
        <v>1281813.904</v>
      </c>
      <c r="J68" s="610">
        <v>9.05</v>
      </c>
      <c r="K68" s="591"/>
      <c r="L68" s="6"/>
      <c r="M68" s="9"/>
      <c r="N68" s="79"/>
      <c r="O68" s="6"/>
      <c r="P68" s="6"/>
      <c r="Q68" s="6"/>
      <c r="R68" s="6"/>
      <c r="S68" s="6"/>
      <c r="T68" s="622"/>
      <c r="U68" s="6"/>
      <c r="V68" s="6"/>
      <c r="W68" s="6"/>
      <c r="X68" s="6"/>
      <c r="Y68" s="6"/>
    </row>
    <row r="69" ht="11.25" customHeight="1">
      <c r="A69" s="7"/>
      <c r="B69" s="68">
        <f t="shared" si="8"/>
        <v>64</v>
      </c>
      <c r="C69" s="607">
        <v>11500.0</v>
      </c>
      <c r="D69" s="6">
        <f t="shared" si="9"/>
        <v>9667.013192</v>
      </c>
      <c r="E69" s="6">
        <f t="shared" si="1"/>
        <v>1832.986808</v>
      </c>
      <c r="F69" s="6">
        <f t="shared" si="4"/>
        <v>98306.08285</v>
      </c>
      <c r="G69" s="6">
        <f t="shared" si="5"/>
        <v>637693.9171</v>
      </c>
      <c r="H69" s="6">
        <f t="shared" si="6"/>
        <v>736000</v>
      </c>
      <c r="I69" s="6">
        <f t="shared" si="7"/>
        <v>1279980.917</v>
      </c>
      <c r="J69" s="610">
        <v>9.05</v>
      </c>
      <c r="K69" s="591"/>
      <c r="L69" s="6"/>
      <c r="M69" s="9"/>
      <c r="N69" s="79"/>
      <c r="O69" s="6"/>
      <c r="P69" s="6"/>
      <c r="Q69" s="6"/>
      <c r="R69" s="6"/>
      <c r="S69" s="6"/>
      <c r="T69" s="622"/>
      <c r="U69" s="6"/>
      <c r="V69" s="6"/>
      <c r="W69" s="6"/>
      <c r="X69" s="6"/>
      <c r="Y69" s="6"/>
    </row>
    <row r="70" ht="11.25" customHeight="1">
      <c r="A70" s="7"/>
      <c r="B70" s="68">
        <f t="shared" si="8"/>
        <v>65</v>
      </c>
      <c r="C70" s="607">
        <v>11500.0</v>
      </c>
      <c r="D70" s="6">
        <f t="shared" si="9"/>
        <v>9653.189417</v>
      </c>
      <c r="E70" s="6">
        <f t="shared" si="1"/>
        <v>1846.810583</v>
      </c>
      <c r="F70" s="6">
        <f t="shared" si="4"/>
        <v>100152.8934</v>
      </c>
      <c r="G70" s="6">
        <f t="shared" si="5"/>
        <v>647347.1066</v>
      </c>
      <c r="H70" s="6">
        <f t="shared" si="6"/>
        <v>747500</v>
      </c>
      <c r="I70" s="6">
        <f t="shared" si="7"/>
        <v>1278134.107</v>
      </c>
      <c r="J70" s="610">
        <v>9.05</v>
      </c>
      <c r="K70" s="591"/>
      <c r="L70" s="6"/>
      <c r="M70" s="9"/>
      <c r="N70" s="79"/>
      <c r="O70" s="6"/>
      <c r="P70" s="6"/>
      <c r="Q70" s="6"/>
      <c r="R70" s="6"/>
      <c r="S70" s="6"/>
      <c r="T70" s="622"/>
      <c r="U70" s="6"/>
      <c r="V70" s="6"/>
      <c r="W70" s="6"/>
      <c r="X70" s="6"/>
      <c r="Y70" s="6"/>
    </row>
    <row r="71" ht="11.25" customHeight="1">
      <c r="A71" s="7"/>
      <c r="B71" s="68">
        <f t="shared" si="8"/>
        <v>66</v>
      </c>
      <c r="C71" s="607">
        <v>11500.0</v>
      </c>
      <c r="D71" s="6">
        <f t="shared" si="9"/>
        <v>9639.261387</v>
      </c>
      <c r="E71" s="6">
        <f t="shared" si="1"/>
        <v>1860.738613</v>
      </c>
      <c r="F71" s="6">
        <f t="shared" si="4"/>
        <v>102013.632</v>
      </c>
      <c r="G71" s="6">
        <f t="shared" si="5"/>
        <v>656986.368</v>
      </c>
      <c r="H71" s="6">
        <f t="shared" si="6"/>
        <v>759000</v>
      </c>
      <c r="I71" s="6">
        <f t="shared" si="7"/>
        <v>1276273.368</v>
      </c>
      <c r="J71" s="610">
        <v>9.05</v>
      </c>
      <c r="K71" s="591"/>
      <c r="L71" s="6"/>
      <c r="M71" s="9"/>
      <c r="N71" s="79"/>
      <c r="O71" s="6"/>
      <c r="P71" s="6"/>
      <c r="Q71" s="6"/>
      <c r="R71" s="6"/>
      <c r="S71" s="6"/>
      <c r="T71" s="622"/>
      <c r="U71" s="6"/>
      <c r="V71" s="6"/>
      <c r="W71" s="6"/>
      <c r="X71" s="6"/>
      <c r="Y71" s="6"/>
    </row>
    <row r="72" ht="11.25" customHeight="1">
      <c r="A72" s="7"/>
      <c r="B72" s="68">
        <f t="shared" si="8"/>
        <v>67</v>
      </c>
      <c r="C72" s="607">
        <v>11500.0</v>
      </c>
      <c r="D72" s="6">
        <f t="shared" si="9"/>
        <v>9625.228317</v>
      </c>
      <c r="E72" s="6">
        <f t="shared" si="1"/>
        <v>1874.771683</v>
      </c>
      <c r="F72" s="6">
        <f t="shared" si="4"/>
        <v>103888.4037</v>
      </c>
      <c r="G72" s="6">
        <f t="shared" si="5"/>
        <v>666611.5963</v>
      </c>
      <c r="H72" s="6">
        <f t="shared" si="6"/>
        <v>770500</v>
      </c>
      <c r="I72" s="6">
        <f t="shared" si="7"/>
        <v>1274398.596</v>
      </c>
      <c r="J72" s="610">
        <v>9.05</v>
      </c>
      <c r="K72" s="591"/>
      <c r="L72" s="6"/>
      <c r="M72" s="9"/>
      <c r="N72" s="79"/>
      <c r="O72" s="6"/>
      <c r="P72" s="6"/>
      <c r="Q72" s="6"/>
      <c r="R72" s="6"/>
      <c r="S72" s="6"/>
      <c r="T72" s="622"/>
      <c r="U72" s="6"/>
      <c r="V72" s="6"/>
      <c r="W72" s="6"/>
      <c r="X72" s="6"/>
      <c r="Y72" s="6"/>
    </row>
    <row r="73" ht="11.25" customHeight="1">
      <c r="A73" s="7"/>
      <c r="B73" s="68">
        <f t="shared" si="8"/>
        <v>68</v>
      </c>
      <c r="C73" s="607">
        <v>11500.0</v>
      </c>
      <c r="D73" s="6">
        <f t="shared" si="9"/>
        <v>9611.089414</v>
      </c>
      <c r="E73" s="6">
        <f t="shared" si="1"/>
        <v>1888.910586</v>
      </c>
      <c r="F73" s="6">
        <f t="shared" si="4"/>
        <v>105777.3143</v>
      </c>
      <c r="G73" s="6">
        <f t="shared" si="5"/>
        <v>676222.6857</v>
      </c>
      <c r="H73" s="6">
        <f t="shared" si="6"/>
        <v>782000</v>
      </c>
      <c r="I73" s="6">
        <f t="shared" si="7"/>
        <v>1272509.686</v>
      </c>
      <c r="J73" s="610">
        <v>9.05</v>
      </c>
      <c r="K73" s="591"/>
      <c r="L73" s="6"/>
      <c r="M73" s="9"/>
      <c r="N73" s="79"/>
      <c r="O73" s="6"/>
      <c r="P73" s="6"/>
      <c r="Q73" s="6"/>
      <c r="R73" s="6"/>
      <c r="S73" s="6"/>
      <c r="T73" s="622"/>
      <c r="U73" s="6"/>
      <c r="V73" s="6"/>
      <c r="W73" s="6"/>
      <c r="X73" s="6"/>
      <c r="Y73" s="6"/>
    </row>
    <row r="74" ht="11.25" customHeight="1">
      <c r="A74" s="7"/>
      <c r="B74" s="68">
        <f t="shared" si="8"/>
        <v>69</v>
      </c>
      <c r="C74" s="607">
        <v>11500.0</v>
      </c>
      <c r="D74" s="6">
        <f t="shared" si="9"/>
        <v>9596.84388</v>
      </c>
      <c r="E74" s="6">
        <f t="shared" si="1"/>
        <v>1903.15612</v>
      </c>
      <c r="F74" s="6">
        <f t="shared" si="4"/>
        <v>107680.4704</v>
      </c>
      <c r="G74" s="6">
        <f t="shared" si="5"/>
        <v>685819.5296</v>
      </c>
      <c r="H74" s="6">
        <f t="shared" si="6"/>
        <v>793500</v>
      </c>
      <c r="I74" s="6">
        <f t="shared" si="7"/>
        <v>1270606.53</v>
      </c>
      <c r="J74" s="610">
        <v>9.05</v>
      </c>
      <c r="K74" s="591"/>
      <c r="L74" s="6"/>
      <c r="M74" s="9"/>
      <c r="N74" s="79"/>
      <c r="O74" s="6"/>
      <c r="P74" s="6"/>
      <c r="Q74" s="6"/>
      <c r="R74" s="6"/>
      <c r="S74" s="6"/>
      <c r="T74" s="622"/>
      <c r="U74" s="6"/>
      <c r="V74" s="6"/>
      <c r="W74" s="6"/>
      <c r="X74" s="6"/>
      <c r="Y74" s="6"/>
    </row>
    <row r="75" ht="11.25" customHeight="1">
      <c r="A75" s="7"/>
      <c r="B75" s="68">
        <f t="shared" si="8"/>
        <v>70</v>
      </c>
      <c r="C75" s="607">
        <v>11500.0</v>
      </c>
      <c r="D75" s="6">
        <f t="shared" si="9"/>
        <v>9582.49091</v>
      </c>
      <c r="E75" s="6">
        <f t="shared" si="1"/>
        <v>1917.50909</v>
      </c>
      <c r="F75" s="6">
        <f t="shared" si="4"/>
        <v>109597.9795</v>
      </c>
      <c r="G75" s="6">
        <f t="shared" si="5"/>
        <v>695402.0205</v>
      </c>
      <c r="H75" s="6">
        <f t="shared" si="6"/>
        <v>805000</v>
      </c>
      <c r="I75" s="6">
        <f t="shared" si="7"/>
        <v>1268689.02</v>
      </c>
      <c r="J75" s="610">
        <v>9.05</v>
      </c>
      <c r="K75" s="591"/>
      <c r="L75" s="6"/>
      <c r="M75" s="9"/>
      <c r="N75" s="79"/>
      <c r="O75" s="6"/>
      <c r="P75" s="6"/>
      <c r="Q75" s="6"/>
      <c r="R75" s="6"/>
      <c r="S75" s="6"/>
      <c r="T75" s="622"/>
      <c r="U75" s="6"/>
      <c r="V75" s="6"/>
      <c r="W75" s="6"/>
      <c r="X75" s="6"/>
      <c r="Y75" s="6"/>
    </row>
    <row r="76" ht="11.25" customHeight="1">
      <c r="A76" s="7"/>
      <c r="B76" s="68">
        <f t="shared" si="8"/>
        <v>71</v>
      </c>
      <c r="C76" s="607">
        <v>11500.0</v>
      </c>
      <c r="D76" s="6">
        <f t="shared" si="9"/>
        <v>9568.029696</v>
      </c>
      <c r="E76" s="6">
        <f t="shared" si="1"/>
        <v>1931.970304</v>
      </c>
      <c r="F76" s="6">
        <f t="shared" si="4"/>
        <v>111529.9498</v>
      </c>
      <c r="G76" s="6">
        <f t="shared" si="5"/>
        <v>704970.0502</v>
      </c>
      <c r="H76" s="6">
        <f t="shared" si="6"/>
        <v>816500</v>
      </c>
      <c r="I76" s="6">
        <f t="shared" si="7"/>
        <v>1266757.05</v>
      </c>
      <c r="J76" s="610">
        <v>9.05</v>
      </c>
      <c r="K76" s="591"/>
      <c r="L76" s="6"/>
      <c r="M76" s="9"/>
      <c r="N76" s="79"/>
      <c r="O76" s="6"/>
      <c r="P76" s="6"/>
      <c r="Q76" s="6"/>
      <c r="R76" s="6"/>
      <c r="S76" s="6"/>
      <c r="T76" s="622"/>
      <c r="U76" s="6"/>
      <c r="V76" s="6"/>
      <c r="W76" s="6"/>
      <c r="X76" s="6"/>
      <c r="Y76" s="6"/>
    </row>
    <row r="77" ht="11.25" customHeight="1">
      <c r="A77" s="71"/>
      <c r="B77" s="72">
        <f t="shared" si="8"/>
        <v>72</v>
      </c>
      <c r="C77" s="607">
        <v>11500.0</v>
      </c>
      <c r="D77" s="10">
        <f t="shared" si="9"/>
        <v>9553.45942</v>
      </c>
      <c r="E77" s="10">
        <f t="shared" si="1"/>
        <v>1946.54058</v>
      </c>
      <c r="F77" s="10">
        <f t="shared" si="4"/>
        <v>113476.4904</v>
      </c>
      <c r="G77" s="10">
        <f t="shared" si="5"/>
        <v>714523.5096</v>
      </c>
      <c r="H77" s="10">
        <f t="shared" si="6"/>
        <v>828000</v>
      </c>
      <c r="I77" s="10">
        <f t="shared" si="7"/>
        <v>1264810.51</v>
      </c>
      <c r="J77" s="610">
        <v>9.05</v>
      </c>
      <c r="K77" s="591"/>
      <c r="L77" s="6"/>
      <c r="M77" s="9"/>
      <c r="N77" s="79"/>
      <c r="O77" s="6"/>
      <c r="P77" s="6"/>
      <c r="Q77" s="6"/>
      <c r="R77" s="6"/>
      <c r="S77" s="6"/>
      <c r="T77" s="622"/>
      <c r="U77" s="6"/>
      <c r="V77" s="6"/>
      <c r="W77" s="6"/>
      <c r="X77" s="6"/>
      <c r="Y77" s="6"/>
    </row>
    <row r="78" ht="11.25" customHeight="1">
      <c r="A78" s="619">
        <v>7.0</v>
      </c>
      <c r="B78" s="66">
        <f t="shared" si="8"/>
        <v>73</v>
      </c>
      <c r="C78" s="607">
        <v>11500.0</v>
      </c>
      <c r="D78" s="617">
        <f t="shared" si="9"/>
        <v>9538.77926</v>
      </c>
      <c r="E78" s="617">
        <f t="shared" si="1"/>
        <v>1961.22074</v>
      </c>
      <c r="F78" s="617">
        <f t="shared" si="4"/>
        <v>115437.7112</v>
      </c>
      <c r="G78" s="617">
        <f t="shared" si="5"/>
        <v>724062.2888</v>
      </c>
      <c r="H78" s="617">
        <f t="shared" si="6"/>
        <v>839500</v>
      </c>
      <c r="I78" s="617">
        <f t="shared" si="7"/>
        <v>1262849.289</v>
      </c>
      <c r="J78" s="610">
        <v>9.05</v>
      </c>
      <c r="K78" s="591"/>
      <c r="L78" s="6"/>
      <c r="M78" s="9"/>
      <c r="N78" s="79"/>
      <c r="O78" s="6"/>
      <c r="P78" s="6"/>
      <c r="Q78" s="6"/>
      <c r="R78" s="6"/>
      <c r="S78" s="6"/>
      <c r="T78" s="622"/>
      <c r="U78" s="6"/>
      <c r="V78" s="6"/>
      <c r="W78" s="6"/>
      <c r="X78" s="6"/>
      <c r="Y78" s="6"/>
    </row>
    <row r="79" ht="11.25" customHeight="1">
      <c r="A79" s="54"/>
      <c r="B79" s="68">
        <f t="shared" si="8"/>
        <v>74</v>
      </c>
      <c r="C79" s="607">
        <v>11500.0</v>
      </c>
      <c r="D79" s="6">
        <f t="shared" si="9"/>
        <v>9523.988387</v>
      </c>
      <c r="E79" s="6">
        <f t="shared" si="1"/>
        <v>1976.011613</v>
      </c>
      <c r="F79" s="6">
        <f t="shared" si="4"/>
        <v>117413.7228</v>
      </c>
      <c r="G79" s="6">
        <f t="shared" si="5"/>
        <v>733586.2772</v>
      </c>
      <c r="H79" s="6">
        <f t="shared" si="6"/>
        <v>851000</v>
      </c>
      <c r="I79" s="6">
        <f t="shared" si="7"/>
        <v>1260873.277</v>
      </c>
      <c r="J79" s="610">
        <v>9.05</v>
      </c>
      <c r="K79" s="591"/>
      <c r="L79" s="6"/>
      <c r="M79" s="9"/>
      <c r="N79" s="79"/>
      <c r="O79" s="6"/>
      <c r="P79" s="6"/>
      <c r="Q79" s="6"/>
      <c r="R79" s="6"/>
      <c r="S79" s="6"/>
      <c r="T79" s="622"/>
      <c r="U79" s="6"/>
      <c r="V79" s="6"/>
      <c r="W79" s="6"/>
      <c r="X79" s="6"/>
      <c r="Y79" s="6"/>
    </row>
    <row r="80" ht="11.25" customHeight="1">
      <c r="A80" s="7"/>
      <c r="B80" s="68">
        <f t="shared" si="8"/>
        <v>75</v>
      </c>
      <c r="C80" s="607">
        <v>11500.0</v>
      </c>
      <c r="D80" s="6">
        <f t="shared" si="9"/>
        <v>9509.085966</v>
      </c>
      <c r="E80" s="6">
        <f t="shared" si="1"/>
        <v>1990.914034</v>
      </c>
      <c r="F80" s="6">
        <f t="shared" si="4"/>
        <v>119404.6368</v>
      </c>
      <c r="G80" s="6">
        <f t="shared" si="5"/>
        <v>743095.3632</v>
      </c>
      <c r="H80" s="6">
        <f t="shared" si="6"/>
        <v>862500</v>
      </c>
      <c r="I80" s="6">
        <f t="shared" si="7"/>
        <v>1258882.363</v>
      </c>
      <c r="J80" s="610">
        <v>9.05</v>
      </c>
      <c r="K80" s="591"/>
      <c r="L80" s="6"/>
      <c r="M80" s="9"/>
      <c r="N80" s="79"/>
      <c r="O80" s="6"/>
      <c r="P80" s="6"/>
      <c r="Q80" s="6"/>
      <c r="R80" s="6"/>
      <c r="S80" s="6"/>
      <c r="T80" s="622"/>
      <c r="U80" s="6"/>
      <c r="V80" s="6"/>
      <c r="W80" s="6"/>
      <c r="X80" s="6"/>
      <c r="Y80" s="6"/>
    </row>
    <row r="81" ht="11.25" customHeight="1">
      <c r="A81" s="7"/>
      <c r="B81" s="68">
        <f t="shared" si="8"/>
        <v>76</v>
      </c>
      <c r="C81" s="607">
        <v>11500.0</v>
      </c>
      <c r="D81" s="6">
        <f t="shared" si="9"/>
        <v>9494.071156</v>
      </c>
      <c r="E81" s="6">
        <f t="shared" si="1"/>
        <v>2005.928844</v>
      </c>
      <c r="F81" s="6">
        <f t="shared" si="4"/>
        <v>121410.5656</v>
      </c>
      <c r="G81" s="6">
        <f t="shared" si="5"/>
        <v>752589.4344</v>
      </c>
      <c r="H81" s="6">
        <f t="shared" si="6"/>
        <v>874000</v>
      </c>
      <c r="I81" s="6">
        <f t="shared" si="7"/>
        <v>1256876.434</v>
      </c>
      <c r="J81" s="610">
        <v>9.05</v>
      </c>
      <c r="K81" s="591"/>
      <c r="L81" s="6"/>
      <c r="M81" s="9"/>
      <c r="N81" s="79"/>
      <c r="O81" s="6"/>
      <c r="P81" s="6"/>
      <c r="Q81" s="6"/>
      <c r="R81" s="6"/>
      <c r="S81" s="6"/>
      <c r="T81" s="622"/>
      <c r="U81" s="6"/>
      <c r="V81" s="6"/>
      <c r="W81" s="6"/>
      <c r="X81" s="6"/>
      <c r="Y81" s="6"/>
    </row>
    <row r="82" ht="11.25" customHeight="1">
      <c r="A82" s="7"/>
      <c r="B82" s="68">
        <f t="shared" si="8"/>
        <v>77</v>
      </c>
      <c r="C82" s="607">
        <v>11500.0</v>
      </c>
      <c r="D82" s="6">
        <f t="shared" si="9"/>
        <v>9478.943109</v>
      </c>
      <c r="E82" s="6">
        <f t="shared" si="1"/>
        <v>2021.056891</v>
      </c>
      <c r="F82" s="6">
        <f t="shared" si="4"/>
        <v>123431.6225</v>
      </c>
      <c r="G82" s="6">
        <f t="shared" si="5"/>
        <v>762068.3775</v>
      </c>
      <c r="H82" s="6">
        <f t="shared" si="6"/>
        <v>885500</v>
      </c>
      <c r="I82" s="6">
        <f t="shared" si="7"/>
        <v>1254855.377</v>
      </c>
      <c r="J82" s="610">
        <v>9.05</v>
      </c>
      <c r="K82" s="591"/>
      <c r="L82" s="6"/>
      <c r="M82" s="9"/>
      <c r="N82" s="79"/>
      <c r="O82" s="6"/>
      <c r="P82" s="6"/>
      <c r="Q82" s="6"/>
      <c r="R82" s="6"/>
      <c r="S82" s="6"/>
      <c r="T82" s="622"/>
      <c r="U82" s="6"/>
      <c r="V82" s="6"/>
      <c r="W82" s="6"/>
      <c r="X82" s="6"/>
      <c r="Y82" s="6"/>
    </row>
    <row r="83" ht="11.25" customHeight="1">
      <c r="A83" s="7"/>
      <c r="B83" s="68">
        <f t="shared" si="8"/>
        <v>78</v>
      </c>
      <c r="C83" s="607">
        <v>11500.0</v>
      </c>
      <c r="D83" s="6">
        <f t="shared" si="9"/>
        <v>9463.700972</v>
      </c>
      <c r="E83" s="6">
        <f t="shared" si="1"/>
        <v>2036.299028</v>
      </c>
      <c r="F83" s="6">
        <f t="shared" si="4"/>
        <v>125467.9216</v>
      </c>
      <c r="G83" s="6">
        <f t="shared" si="5"/>
        <v>771532.0784</v>
      </c>
      <c r="H83" s="6">
        <f t="shared" si="6"/>
        <v>897000</v>
      </c>
      <c r="I83" s="6">
        <f t="shared" si="7"/>
        <v>1252819.078</v>
      </c>
      <c r="J83" s="610">
        <v>9.05</v>
      </c>
      <c r="K83" s="591"/>
      <c r="L83" s="6"/>
      <c r="M83" s="9"/>
      <c r="N83" s="79"/>
      <c r="O83" s="6"/>
      <c r="P83" s="6"/>
      <c r="Q83" s="6"/>
      <c r="R83" s="6"/>
      <c r="S83" s="6"/>
      <c r="T83" s="622"/>
      <c r="U83" s="6"/>
      <c r="V83" s="6"/>
      <c r="W83" s="6"/>
      <c r="X83" s="6"/>
      <c r="Y83" s="6"/>
    </row>
    <row r="84" ht="11.25" customHeight="1">
      <c r="A84" s="7"/>
      <c r="B84" s="68">
        <f t="shared" si="8"/>
        <v>79</v>
      </c>
      <c r="C84" s="607">
        <v>11500.0</v>
      </c>
      <c r="D84" s="6">
        <f t="shared" si="9"/>
        <v>9448.343883</v>
      </c>
      <c r="E84" s="6">
        <f t="shared" si="1"/>
        <v>2051.656117</v>
      </c>
      <c r="F84" s="6">
        <f t="shared" si="4"/>
        <v>127519.5777</v>
      </c>
      <c r="G84" s="6">
        <f t="shared" si="5"/>
        <v>780980.4223</v>
      </c>
      <c r="H84" s="6">
        <f t="shared" si="6"/>
        <v>908500</v>
      </c>
      <c r="I84" s="6">
        <f t="shared" si="7"/>
        <v>1250767.422</v>
      </c>
      <c r="J84" s="610">
        <v>9.05</v>
      </c>
      <c r="K84" s="591"/>
      <c r="L84" s="6"/>
      <c r="M84" s="9"/>
      <c r="N84" s="79"/>
      <c r="O84" s="6"/>
      <c r="P84" s="6"/>
      <c r="Q84" s="6"/>
      <c r="R84" s="6"/>
      <c r="S84" s="6"/>
      <c r="T84" s="622"/>
      <c r="U84" s="6"/>
      <c r="V84" s="6"/>
      <c r="W84" s="6"/>
      <c r="X84" s="6"/>
      <c r="Y84" s="6"/>
    </row>
    <row r="85" ht="11.25" customHeight="1">
      <c r="A85" s="7"/>
      <c r="B85" s="68">
        <f t="shared" si="8"/>
        <v>80</v>
      </c>
      <c r="C85" s="607">
        <v>11500.0</v>
      </c>
      <c r="D85" s="6">
        <f t="shared" si="9"/>
        <v>9432.870977</v>
      </c>
      <c r="E85" s="6">
        <f t="shared" si="1"/>
        <v>2067.129023</v>
      </c>
      <c r="F85" s="6">
        <f t="shared" si="4"/>
        <v>129586.7067</v>
      </c>
      <c r="G85" s="6">
        <f t="shared" si="5"/>
        <v>790413.2933</v>
      </c>
      <c r="H85" s="6">
        <f t="shared" si="6"/>
        <v>920000</v>
      </c>
      <c r="I85" s="6">
        <f t="shared" si="7"/>
        <v>1248700.293</v>
      </c>
      <c r="J85" s="610">
        <v>9.05</v>
      </c>
      <c r="K85" s="591"/>
      <c r="L85" s="6"/>
      <c r="M85" s="9"/>
      <c r="N85" s="79"/>
      <c r="O85" s="6"/>
      <c r="P85" s="6"/>
      <c r="Q85" s="6"/>
      <c r="R85" s="6"/>
      <c r="S85" s="6"/>
      <c r="T85" s="622"/>
      <c r="U85" s="6"/>
      <c r="V85" s="6"/>
      <c r="W85" s="6"/>
      <c r="X85" s="6"/>
      <c r="Y85" s="6"/>
    </row>
    <row r="86" ht="11.25" customHeight="1">
      <c r="A86" s="7"/>
      <c r="B86" s="68">
        <f t="shared" si="8"/>
        <v>81</v>
      </c>
      <c r="C86" s="607">
        <v>11500.0</v>
      </c>
      <c r="D86" s="6">
        <f t="shared" si="9"/>
        <v>9417.281379</v>
      </c>
      <c r="E86" s="6">
        <f t="shared" si="1"/>
        <v>2082.718621</v>
      </c>
      <c r="F86" s="6">
        <f t="shared" si="4"/>
        <v>131669.4253</v>
      </c>
      <c r="G86" s="6">
        <f t="shared" si="5"/>
        <v>799830.5747</v>
      </c>
      <c r="H86" s="6">
        <f t="shared" si="6"/>
        <v>931500</v>
      </c>
      <c r="I86" s="6">
        <f t="shared" si="7"/>
        <v>1246617.575</v>
      </c>
      <c r="J86" s="610">
        <v>9.05</v>
      </c>
      <c r="K86" s="591"/>
      <c r="L86" s="6"/>
      <c r="M86" s="9"/>
      <c r="N86" s="79"/>
      <c r="O86" s="6"/>
      <c r="P86" s="6"/>
      <c r="Q86" s="6"/>
      <c r="R86" s="6"/>
      <c r="S86" s="6"/>
      <c r="T86" s="622"/>
      <c r="U86" s="6"/>
      <c r="V86" s="6"/>
      <c r="W86" s="6"/>
      <c r="X86" s="6"/>
      <c r="Y86" s="6"/>
    </row>
    <row r="87" ht="11.25" customHeight="1">
      <c r="A87" s="87"/>
      <c r="B87" s="68">
        <f t="shared" si="8"/>
        <v>82</v>
      </c>
      <c r="C87" s="607">
        <v>11500.0</v>
      </c>
      <c r="D87" s="6">
        <f t="shared" si="9"/>
        <v>9401.574209</v>
      </c>
      <c r="E87" s="6">
        <f t="shared" si="1"/>
        <v>2098.425791</v>
      </c>
      <c r="F87" s="6">
        <f t="shared" si="4"/>
        <v>133767.8511</v>
      </c>
      <c r="G87" s="6">
        <f t="shared" si="5"/>
        <v>809232.1489</v>
      </c>
      <c r="H87" s="6">
        <f t="shared" si="6"/>
        <v>943000</v>
      </c>
      <c r="I87" s="6">
        <f t="shared" si="7"/>
        <v>1244519.149</v>
      </c>
      <c r="J87" s="610">
        <v>9.05</v>
      </c>
      <c r="K87" s="591"/>
      <c r="L87" s="6"/>
      <c r="M87" s="9"/>
      <c r="N87" s="79"/>
      <c r="O87" s="6"/>
      <c r="P87" s="6"/>
      <c r="Q87" s="6"/>
      <c r="R87" s="6"/>
      <c r="S87" s="6"/>
      <c r="T87" s="622"/>
      <c r="U87" s="6"/>
      <c r="V87" s="6"/>
      <c r="W87" s="6"/>
      <c r="X87" s="6"/>
      <c r="Y87" s="6"/>
    </row>
    <row r="88" ht="11.25" customHeight="1">
      <c r="A88" s="7"/>
      <c r="B88" s="68">
        <f t="shared" si="8"/>
        <v>83</v>
      </c>
      <c r="C88" s="607">
        <v>11500.0</v>
      </c>
      <c r="D88" s="6">
        <f t="shared" si="9"/>
        <v>9385.748581</v>
      </c>
      <c r="E88" s="6">
        <f t="shared" si="1"/>
        <v>2114.251419</v>
      </c>
      <c r="F88" s="6">
        <f t="shared" si="4"/>
        <v>135882.1025</v>
      </c>
      <c r="G88" s="6">
        <f t="shared" si="5"/>
        <v>818617.8975</v>
      </c>
      <c r="H88" s="6">
        <f t="shared" si="6"/>
        <v>954500</v>
      </c>
      <c r="I88" s="6">
        <f t="shared" si="7"/>
        <v>1242404.897</v>
      </c>
      <c r="J88" s="610">
        <v>9.05</v>
      </c>
      <c r="K88" s="591"/>
      <c r="L88" s="6"/>
      <c r="M88" s="9"/>
      <c r="N88" s="79"/>
      <c r="O88" s="6"/>
      <c r="P88" s="6"/>
      <c r="Q88" s="6"/>
      <c r="R88" s="6"/>
      <c r="S88" s="6"/>
      <c r="T88" s="622"/>
      <c r="U88" s="6"/>
      <c r="V88" s="6"/>
      <c r="W88" s="6"/>
      <c r="X88" s="6"/>
      <c r="Y88" s="6"/>
    </row>
    <row r="89" ht="11.25" customHeight="1">
      <c r="A89" s="71"/>
      <c r="B89" s="72">
        <f t="shared" si="8"/>
        <v>84</v>
      </c>
      <c r="C89" s="607">
        <v>11500.0</v>
      </c>
      <c r="D89" s="10">
        <f t="shared" si="9"/>
        <v>9369.803602</v>
      </c>
      <c r="E89" s="10">
        <f t="shared" si="1"/>
        <v>2130.196398</v>
      </c>
      <c r="F89" s="10">
        <f t="shared" si="4"/>
        <v>138012.2989</v>
      </c>
      <c r="G89" s="10">
        <f t="shared" si="5"/>
        <v>827987.7011</v>
      </c>
      <c r="H89" s="10">
        <f t="shared" si="6"/>
        <v>966000</v>
      </c>
      <c r="I89" s="10">
        <f t="shared" si="7"/>
        <v>1240274.701</v>
      </c>
      <c r="J89" s="610">
        <v>9.05</v>
      </c>
      <c r="K89" s="591"/>
      <c r="L89" s="6"/>
      <c r="M89" s="9"/>
      <c r="N89" s="79"/>
      <c r="O89" s="6"/>
      <c r="P89" s="6"/>
      <c r="Q89" s="6"/>
      <c r="R89" s="6"/>
      <c r="S89" s="6"/>
      <c r="T89" s="622"/>
      <c r="U89" s="6"/>
      <c r="V89" s="6"/>
      <c r="W89" s="6"/>
      <c r="X89" s="6"/>
      <c r="Y89" s="6"/>
    </row>
    <row r="90" ht="11.25" customHeight="1">
      <c r="A90" s="100">
        <v>8.0</v>
      </c>
      <c r="B90" s="66">
        <f t="shared" si="8"/>
        <v>85</v>
      </c>
      <c r="C90" s="607">
        <v>11500.0</v>
      </c>
      <c r="D90" s="617">
        <f t="shared" si="9"/>
        <v>9353.738371</v>
      </c>
      <c r="E90" s="617">
        <f t="shared" si="1"/>
        <v>2146.261629</v>
      </c>
      <c r="F90" s="617">
        <f t="shared" si="4"/>
        <v>140158.5606</v>
      </c>
      <c r="G90" s="617">
        <f t="shared" si="5"/>
        <v>837341.4394</v>
      </c>
      <c r="H90" s="617">
        <f t="shared" si="6"/>
        <v>977500</v>
      </c>
      <c r="I90" s="617">
        <f t="shared" si="7"/>
        <v>1238128.439</v>
      </c>
      <c r="J90" s="610">
        <v>9.05</v>
      </c>
      <c r="K90" s="591"/>
      <c r="L90" s="6"/>
      <c r="M90" s="9"/>
      <c r="N90" s="79"/>
      <c r="O90" s="6"/>
      <c r="P90" s="6"/>
      <c r="Q90" s="6"/>
      <c r="R90" s="6"/>
      <c r="S90" s="6"/>
      <c r="T90" s="622"/>
      <c r="U90" s="6"/>
      <c r="V90" s="6"/>
      <c r="W90" s="6"/>
      <c r="X90" s="6"/>
      <c r="Y90" s="6"/>
    </row>
    <row r="91" ht="11.25" customHeight="1">
      <c r="A91" s="54"/>
      <c r="B91" s="68">
        <f t="shared" si="8"/>
        <v>86</v>
      </c>
      <c r="C91" s="607">
        <v>11500.0</v>
      </c>
      <c r="D91" s="6">
        <f t="shared" si="9"/>
        <v>9337.551981</v>
      </c>
      <c r="E91" s="6">
        <f t="shared" si="1"/>
        <v>2162.448019</v>
      </c>
      <c r="F91" s="6">
        <f t="shared" si="4"/>
        <v>142321.0086</v>
      </c>
      <c r="G91" s="6">
        <f t="shared" si="5"/>
        <v>846678.9914</v>
      </c>
      <c r="H91" s="6">
        <f t="shared" si="6"/>
        <v>989000</v>
      </c>
      <c r="I91" s="6">
        <f t="shared" si="7"/>
        <v>1235965.991</v>
      </c>
      <c r="J91" s="610">
        <v>9.05</v>
      </c>
      <c r="K91" s="591"/>
      <c r="L91" s="6"/>
      <c r="M91" s="9"/>
      <c r="N91" s="79"/>
      <c r="O91" s="6"/>
      <c r="P91" s="6"/>
      <c r="Q91" s="6"/>
      <c r="R91" s="6"/>
      <c r="S91" s="6"/>
      <c r="T91" s="622"/>
      <c r="U91" s="6"/>
      <c r="V91" s="6"/>
      <c r="W91" s="6"/>
      <c r="X91" s="6"/>
      <c r="Y91" s="6"/>
    </row>
    <row r="92" ht="11.25" customHeight="1">
      <c r="A92" s="7"/>
      <c r="B92" s="68">
        <f t="shared" si="8"/>
        <v>87</v>
      </c>
      <c r="C92" s="607">
        <v>11500.0</v>
      </c>
      <c r="D92" s="6">
        <f t="shared" si="9"/>
        <v>9321.243519</v>
      </c>
      <c r="E92" s="6">
        <f t="shared" si="1"/>
        <v>2178.756481</v>
      </c>
      <c r="F92" s="6">
        <f t="shared" si="4"/>
        <v>144499.7651</v>
      </c>
      <c r="G92" s="6">
        <f t="shared" si="5"/>
        <v>856000.2349</v>
      </c>
      <c r="H92" s="6">
        <f t="shared" si="6"/>
        <v>1000500</v>
      </c>
      <c r="I92" s="6">
        <f t="shared" si="7"/>
        <v>1233787.235</v>
      </c>
      <c r="J92" s="610">
        <v>9.05</v>
      </c>
      <c r="K92" s="591"/>
      <c r="L92" s="6"/>
      <c r="M92" s="9"/>
      <c r="N92" s="79"/>
      <c r="O92" s="6"/>
      <c r="P92" s="6"/>
      <c r="Q92" s="6"/>
      <c r="R92" s="6"/>
      <c r="S92" s="6"/>
      <c r="T92" s="622"/>
      <c r="U92" s="6"/>
      <c r="V92" s="6"/>
      <c r="W92" s="6"/>
      <c r="X92" s="6"/>
      <c r="Y92" s="6"/>
    </row>
    <row r="93" ht="11.25" customHeight="1">
      <c r="A93" s="7"/>
      <c r="B93" s="68">
        <f t="shared" si="8"/>
        <v>88</v>
      </c>
      <c r="C93" s="607">
        <v>11500.0</v>
      </c>
      <c r="D93" s="6">
        <f t="shared" si="9"/>
        <v>9304.812064</v>
      </c>
      <c r="E93" s="6">
        <f t="shared" si="1"/>
        <v>2195.187936</v>
      </c>
      <c r="F93" s="6">
        <f t="shared" si="4"/>
        <v>146694.953</v>
      </c>
      <c r="G93" s="6">
        <f t="shared" si="5"/>
        <v>865305.047</v>
      </c>
      <c r="H93" s="6">
        <f t="shared" si="6"/>
        <v>1012000</v>
      </c>
      <c r="I93" s="6">
        <f t="shared" si="7"/>
        <v>1231592.047</v>
      </c>
      <c r="J93" s="610">
        <v>9.05</v>
      </c>
      <c r="K93" s="591"/>
      <c r="L93" s="6"/>
      <c r="M93" s="9"/>
      <c r="N93" s="79"/>
      <c r="O93" s="6"/>
      <c r="P93" s="6"/>
      <c r="Q93" s="6"/>
      <c r="R93" s="6"/>
      <c r="S93" s="6"/>
      <c r="T93" s="622"/>
      <c r="U93" s="6"/>
      <c r="V93" s="6"/>
      <c r="W93" s="6"/>
      <c r="X93" s="6"/>
      <c r="Y93" s="6"/>
    </row>
    <row r="94" ht="11.25" customHeight="1">
      <c r="A94" s="7"/>
      <c r="B94" s="68">
        <f t="shared" si="8"/>
        <v>89</v>
      </c>
      <c r="C94" s="607">
        <v>11500.0</v>
      </c>
      <c r="D94" s="6">
        <f t="shared" si="9"/>
        <v>9288.256688</v>
      </c>
      <c r="E94" s="6">
        <f t="shared" si="1"/>
        <v>2211.743312</v>
      </c>
      <c r="F94" s="6">
        <f t="shared" si="4"/>
        <v>148906.6963</v>
      </c>
      <c r="G94" s="6">
        <f t="shared" si="5"/>
        <v>874593.3037</v>
      </c>
      <c r="H94" s="6">
        <f t="shared" si="6"/>
        <v>1023500</v>
      </c>
      <c r="I94" s="6">
        <f t="shared" si="7"/>
        <v>1229380.304</v>
      </c>
      <c r="J94" s="610">
        <v>9.05</v>
      </c>
      <c r="K94" s="591"/>
      <c r="L94" s="6"/>
      <c r="M94" s="9"/>
      <c r="N94" s="79"/>
      <c r="O94" s="6"/>
      <c r="P94" s="6"/>
      <c r="Q94" s="6"/>
      <c r="R94" s="6"/>
      <c r="S94" s="6"/>
      <c r="T94" s="622"/>
      <c r="U94" s="6"/>
      <c r="V94" s="6"/>
      <c r="W94" s="6"/>
      <c r="X94" s="6"/>
      <c r="Y94" s="6"/>
    </row>
    <row r="95" ht="11.25" customHeight="1">
      <c r="A95" s="7"/>
      <c r="B95" s="68">
        <f t="shared" si="8"/>
        <v>90</v>
      </c>
      <c r="C95" s="607">
        <v>11500.0</v>
      </c>
      <c r="D95" s="6">
        <f t="shared" si="9"/>
        <v>9271.576457</v>
      </c>
      <c r="E95" s="6">
        <f t="shared" si="1"/>
        <v>2228.423543</v>
      </c>
      <c r="F95" s="6">
        <f t="shared" si="4"/>
        <v>151135.1199</v>
      </c>
      <c r="G95" s="6">
        <f t="shared" si="5"/>
        <v>883864.8801</v>
      </c>
      <c r="H95" s="6">
        <f t="shared" si="6"/>
        <v>1035000</v>
      </c>
      <c r="I95" s="6">
        <f t="shared" si="7"/>
        <v>1227151.88</v>
      </c>
      <c r="J95" s="610">
        <v>9.05</v>
      </c>
      <c r="K95" s="591"/>
      <c r="L95" s="6"/>
      <c r="M95" s="9"/>
      <c r="N95" s="79"/>
      <c r="O95" s="6"/>
      <c r="P95" s="6"/>
      <c r="Q95" s="6"/>
      <c r="R95" s="6"/>
      <c r="S95" s="6"/>
      <c r="T95" s="622"/>
      <c r="U95" s="6"/>
      <c r="V95" s="6"/>
      <c r="W95" s="6"/>
      <c r="X95" s="6"/>
      <c r="Y95" s="6"/>
    </row>
    <row r="96" ht="11.25" customHeight="1">
      <c r="A96" s="7"/>
      <c r="B96" s="68">
        <f t="shared" si="8"/>
        <v>91</v>
      </c>
      <c r="C96" s="607">
        <v>11500.0</v>
      </c>
      <c r="D96" s="6">
        <f t="shared" si="9"/>
        <v>9254.770429</v>
      </c>
      <c r="E96" s="6">
        <f t="shared" si="1"/>
        <v>2245.229571</v>
      </c>
      <c r="F96" s="6">
        <f t="shared" si="4"/>
        <v>153380.3494</v>
      </c>
      <c r="G96" s="6">
        <f t="shared" si="5"/>
        <v>893119.6506</v>
      </c>
      <c r="H96" s="6">
        <f t="shared" si="6"/>
        <v>1046500</v>
      </c>
      <c r="I96" s="6">
        <f t="shared" si="7"/>
        <v>1224906.651</v>
      </c>
      <c r="J96" s="610">
        <v>9.05</v>
      </c>
      <c r="K96" s="591"/>
      <c r="L96" s="6"/>
      <c r="M96" s="9"/>
      <c r="N96" s="79"/>
      <c r="O96" s="6"/>
      <c r="P96" s="6"/>
      <c r="Q96" s="6"/>
      <c r="R96" s="6"/>
      <c r="S96" s="6"/>
      <c r="T96" s="622"/>
      <c r="U96" s="6"/>
      <c r="V96" s="6"/>
      <c r="W96" s="6"/>
      <c r="X96" s="6"/>
      <c r="Y96" s="6"/>
    </row>
    <row r="97" ht="11.25" customHeight="1">
      <c r="A97" s="7"/>
      <c r="B97" s="68">
        <f t="shared" si="8"/>
        <v>92</v>
      </c>
      <c r="C97" s="607">
        <v>11500.0</v>
      </c>
      <c r="D97" s="6">
        <f t="shared" si="9"/>
        <v>9237.837656</v>
      </c>
      <c r="E97" s="6">
        <f t="shared" si="1"/>
        <v>2262.162344</v>
      </c>
      <c r="F97" s="6">
        <f t="shared" si="4"/>
        <v>155642.5118</v>
      </c>
      <c r="G97" s="6">
        <f t="shared" si="5"/>
        <v>902357.4882</v>
      </c>
      <c r="H97" s="6">
        <f t="shared" si="6"/>
        <v>1058000</v>
      </c>
      <c r="I97" s="6">
        <f t="shared" si="7"/>
        <v>1222644.488</v>
      </c>
      <c r="J97" s="610">
        <v>9.05</v>
      </c>
      <c r="K97" s="591"/>
      <c r="L97" s="6"/>
      <c r="M97" s="9"/>
      <c r="N97" s="79"/>
      <c r="O97" s="6"/>
      <c r="P97" s="6"/>
      <c r="Q97" s="6"/>
      <c r="R97" s="6"/>
      <c r="S97" s="6"/>
      <c r="T97" s="622"/>
      <c r="U97" s="6"/>
      <c r="V97" s="6"/>
      <c r="W97" s="6"/>
      <c r="X97" s="6"/>
      <c r="Y97" s="6"/>
    </row>
    <row r="98" ht="11.25" customHeight="1">
      <c r="A98" s="7"/>
      <c r="B98" s="68">
        <f t="shared" si="8"/>
        <v>93</v>
      </c>
      <c r="C98" s="607">
        <v>11500.0</v>
      </c>
      <c r="D98" s="6">
        <f t="shared" si="9"/>
        <v>9220.777182</v>
      </c>
      <c r="E98" s="6">
        <f t="shared" si="1"/>
        <v>2279.222818</v>
      </c>
      <c r="F98" s="6">
        <f t="shared" si="4"/>
        <v>157921.7346</v>
      </c>
      <c r="G98" s="6">
        <f t="shared" si="5"/>
        <v>911578.2654</v>
      </c>
      <c r="H98" s="6">
        <f t="shared" si="6"/>
        <v>1069500</v>
      </c>
      <c r="I98" s="6">
        <f t="shared" si="7"/>
        <v>1220365.265</v>
      </c>
      <c r="J98" s="610">
        <v>9.05</v>
      </c>
      <c r="K98" s="591"/>
      <c r="L98" s="6"/>
      <c r="M98" s="9"/>
      <c r="N98" s="79"/>
      <c r="O98" s="6"/>
      <c r="P98" s="6"/>
      <c r="Q98" s="6"/>
      <c r="R98" s="6"/>
      <c r="S98" s="6"/>
      <c r="T98" s="622"/>
      <c r="U98" s="6"/>
      <c r="V98" s="6"/>
      <c r="W98" s="6"/>
      <c r="X98" s="6"/>
      <c r="Y98" s="6"/>
    </row>
    <row r="99" ht="11.25" customHeight="1">
      <c r="A99" s="7"/>
      <c r="B99" s="68">
        <f t="shared" si="8"/>
        <v>94</v>
      </c>
      <c r="C99" s="607">
        <v>11500.0</v>
      </c>
      <c r="D99" s="6">
        <f t="shared" si="9"/>
        <v>9203.588043</v>
      </c>
      <c r="E99" s="6">
        <f t="shared" si="1"/>
        <v>2296.411957</v>
      </c>
      <c r="F99" s="6">
        <f t="shared" si="4"/>
        <v>160218.1465</v>
      </c>
      <c r="G99" s="6">
        <f t="shared" si="5"/>
        <v>920781.8535</v>
      </c>
      <c r="H99" s="6">
        <f t="shared" si="6"/>
        <v>1081000</v>
      </c>
      <c r="I99" s="6">
        <f t="shared" si="7"/>
        <v>1218068.853</v>
      </c>
      <c r="J99" s="610">
        <v>9.05</v>
      </c>
      <c r="K99" s="591"/>
      <c r="L99" s="6"/>
      <c r="M99" s="9"/>
      <c r="N99" s="79"/>
      <c r="O99" s="6"/>
      <c r="P99" s="6"/>
      <c r="Q99" s="6"/>
      <c r="R99" s="6"/>
      <c r="S99" s="6"/>
      <c r="T99" s="622"/>
      <c r="U99" s="6"/>
      <c r="V99" s="6"/>
      <c r="W99" s="6"/>
      <c r="X99" s="6"/>
      <c r="Y99" s="6"/>
    </row>
    <row r="100" ht="11.25" customHeight="1">
      <c r="A100" s="7"/>
      <c r="B100" s="68">
        <f t="shared" si="8"/>
        <v>95</v>
      </c>
      <c r="C100" s="607">
        <v>11500.0</v>
      </c>
      <c r="D100" s="6">
        <f t="shared" si="9"/>
        <v>9186.26927</v>
      </c>
      <c r="E100" s="6">
        <f t="shared" si="1"/>
        <v>2313.73073</v>
      </c>
      <c r="F100" s="6">
        <f t="shared" si="4"/>
        <v>162531.8773</v>
      </c>
      <c r="G100" s="6">
        <f t="shared" si="5"/>
        <v>929968.1227</v>
      </c>
      <c r="H100" s="6">
        <f t="shared" si="6"/>
        <v>1092500</v>
      </c>
      <c r="I100" s="6">
        <f t="shared" si="7"/>
        <v>1215755.123</v>
      </c>
      <c r="J100" s="610">
        <v>9.05</v>
      </c>
      <c r="K100" s="591"/>
      <c r="L100" s="6"/>
      <c r="M100" s="9"/>
      <c r="N100" s="79"/>
      <c r="O100" s="6"/>
      <c r="P100" s="6"/>
      <c r="Q100" s="6"/>
      <c r="R100" s="6"/>
      <c r="S100" s="6"/>
      <c r="T100" s="622"/>
      <c r="U100" s="6"/>
      <c r="V100" s="6"/>
      <c r="W100" s="6"/>
      <c r="X100" s="6"/>
      <c r="Y100" s="6"/>
    </row>
    <row r="101" ht="11.25" customHeight="1">
      <c r="A101" s="71"/>
      <c r="B101" s="72">
        <f t="shared" si="8"/>
        <v>96</v>
      </c>
      <c r="C101" s="607">
        <v>11500.0</v>
      </c>
      <c r="D101" s="10">
        <f t="shared" si="9"/>
        <v>9168.819884</v>
      </c>
      <c r="E101" s="10">
        <f t="shared" si="1"/>
        <v>2331.180116</v>
      </c>
      <c r="F101" s="10">
        <f t="shared" si="4"/>
        <v>164863.0574</v>
      </c>
      <c r="G101" s="10">
        <f t="shared" si="5"/>
        <v>939136.9426</v>
      </c>
      <c r="H101" s="10">
        <f t="shared" si="6"/>
        <v>1104000</v>
      </c>
      <c r="I101" s="10">
        <f t="shared" si="7"/>
        <v>1213423.943</v>
      </c>
      <c r="J101" s="610">
        <v>9.05</v>
      </c>
      <c r="K101" s="591"/>
      <c r="L101" s="6"/>
      <c r="M101" s="9"/>
      <c r="N101" s="79"/>
      <c r="O101" s="6"/>
      <c r="P101" s="6"/>
      <c r="Q101" s="6"/>
      <c r="R101" s="6"/>
      <c r="S101" s="6"/>
      <c r="T101" s="622"/>
      <c r="U101" s="6"/>
      <c r="V101" s="6"/>
      <c r="W101" s="6"/>
      <c r="X101" s="6"/>
      <c r="Y101" s="6"/>
    </row>
    <row r="102" ht="11.25" customHeight="1">
      <c r="A102" s="100">
        <v>9.0</v>
      </c>
      <c r="B102" s="66">
        <f t="shared" si="8"/>
        <v>97</v>
      </c>
      <c r="C102" s="607">
        <v>11500.0</v>
      </c>
      <c r="D102" s="617">
        <f t="shared" si="9"/>
        <v>9151.238901</v>
      </c>
      <c r="E102" s="617">
        <f t="shared" si="1"/>
        <v>2348.761099</v>
      </c>
      <c r="F102" s="617">
        <f t="shared" si="4"/>
        <v>167211.8185</v>
      </c>
      <c r="G102" s="617">
        <f t="shared" si="5"/>
        <v>948288.1815</v>
      </c>
      <c r="H102" s="617">
        <f t="shared" si="6"/>
        <v>1115500</v>
      </c>
      <c r="I102" s="617">
        <f t="shared" si="7"/>
        <v>1211075.182</v>
      </c>
      <c r="J102" s="610">
        <v>9.05</v>
      </c>
      <c r="K102" s="591"/>
      <c r="L102" s="6"/>
      <c r="M102" s="9"/>
      <c r="N102" s="79"/>
      <c r="O102" s="6"/>
      <c r="P102" s="6"/>
      <c r="Q102" s="6"/>
      <c r="R102" s="6"/>
      <c r="S102" s="6"/>
      <c r="T102" s="622"/>
      <c r="U102" s="6"/>
      <c r="V102" s="6"/>
      <c r="W102" s="6"/>
      <c r="X102" s="6"/>
      <c r="Y102" s="6"/>
    </row>
    <row r="103" ht="11.25" customHeight="1">
      <c r="A103" s="54"/>
      <c r="B103" s="68">
        <f t="shared" si="8"/>
        <v>98</v>
      </c>
      <c r="C103" s="607">
        <v>11500.0</v>
      </c>
      <c r="D103" s="6">
        <f t="shared" si="9"/>
        <v>9133.525327</v>
      </c>
      <c r="E103" s="6">
        <f t="shared" si="1"/>
        <v>2366.474673</v>
      </c>
      <c r="F103" s="6">
        <f t="shared" si="4"/>
        <v>169578.2932</v>
      </c>
      <c r="G103" s="6">
        <f t="shared" si="5"/>
        <v>957421.7068</v>
      </c>
      <c r="H103" s="6">
        <f t="shared" si="6"/>
        <v>1127000</v>
      </c>
      <c r="I103" s="6">
        <f t="shared" si="7"/>
        <v>1208708.707</v>
      </c>
      <c r="J103" s="610">
        <v>9.05</v>
      </c>
      <c r="K103" s="591"/>
      <c r="L103" s="6"/>
      <c r="M103" s="9"/>
      <c r="N103" s="79"/>
      <c r="O103" s="6"/>
      <c r="P103" s="6"/>
      <c r="Q103" s="6"/>
      <c r="R103" s="6"/>
      <c r="S103" s="6"/>
      <c r="T103" s="622"/>
      <c r="U103" s="6"/>
      <c r="V103" s="6"/>
      <c r="W103" s="6"/>
      <c r="X103" s="6"/>
      <c r="Y103" s="6"/>
    </row>
    <row r="104" ht="11.25" customHeight="1">
      <c r="A104" s="7"/>
      <c r="B104" s="68">
        <f t="shared" si="8"/>
        <v>99</v>
      </c>
      <c r="C104" s="607">
        <v>11500.0</v>
      </c>
      <c r="D104" s="6">
        <f t="shared" si="9"/>
        <v>9115.678164</v>
      </c>
      <c r="E104" s="6">
        <f t="shared" si="1"/>
        <v>2384.321836</v>
      </c>
      <c r="F104" s="6">
        <f t="shared" si="4"/>
        <v>171962.615</v>
      </c>
      <c r="G104" s="6">
        <f t="shared" si="5"/>
        <v>966537.385</v>
      </c>
      <c r="H104" s="6">
        <f t="shared" si="6"/>
        <v>1138500</v>
      </c>
      <c r="I104" s="6">
        <f t="shared" si="7"/>
        <v>1206324.385</v>
      </c>
      <c r="J104" s="610">
        <v>9.05</v>
      </c>
      <c r="K104" s="591"/>
      <c r="L104" s="6"/>
      <c r="M104" s="9"/>
      <c r="N104" s="79"/>
      <c r="O104" s="6"/>
      <c r="P104" s="6"/>
      <c r="Q104" s="6"/>
      <c r="R104" s="6"/>
      <c r="S104" s="6"/>
      <c r="T104" s="622"/>
      <c r="U104" s="6"/>
      <c r="V104" s="6"/>
      <c r="W104" s="6"/>
      <c r="X104" s="6"/>
      <c r="Y104" s="6"/>
    </row>
    <row r="105" ht="11.25" customHeight="1">
      <c r="A105" s="7"/>
      <c r="B105" s="68">
        <f t="shared" si="8"/>
        <v>100</v>
      </c>
      <c r="C105" s="607">
        <v>11500.0</v>
      </c>
      <c r="D105" s="6">
        <f t="shared" si="9"/>
        <v>9097.696404</v>
      </c>
      <c r="E105" s="6">
        <f t="shared" si="1"/>
        <v>2402.303596</v>
      </c>
      <c r="F105" s="6">
        <f t="shared" si="4"/>
        <v>174364.9186</v>
      </c>
      <c r="G105" s="6">
        <f t="shared" si="5"/>
        <v>975635.0814</v>
      </c>
      <c r="H105" s="6">
        <f t="shared" si="6"/>
        <v>1150000</v>
      </c>
      <c r="I105" s="6">
        <f t="shared" si="7"/>
        <v>1203922.081</v>
      </c>
      <c r="J105" s="610">
        <v>9.05</v>
      </c>
      <c r="K105" s="591"/>
      <c r="L105" s="6"/>
      <c r="M105" s="9"/>
      <c r="N105" s="79"/>
      <c r="O105" s="6"/>
      <c r="P105" s="6"/>
      <c r="Q105" s="6"/>
      <c r="R105" s="6"/>
      <c r="S105" s="6"/>
      <c r="T105" s="622"/>
      <c r="U105" s="6"/>
      <c r="V105" s="6"/>
      <c r="W105" s="6"/>
      <c r="X105" s="6"/>
      <c r="Y105" s="6"/>
    </row>
    <row r="106" ht="11.25" customHeight="1">
      <c r="A106" s="7"/>
      <c r="B106" s="68">
        <f t="shared" si="8"/>
        <v>101</v>
      </c>
      <c r="C106" s="607">
        <v>11500.0</v>
      </c>
      <c r="D106" s="6">
        <f t="shared" si="9"/>
        <v>9079.579031</v>
      </c>
      <c r="E106" s="6">
        <f t="shared" si="1"/>
        <v>2420.420969</v>
      </c>
      <c r="F106" s="6">
        <f t="shared" si="4"/>
        <v>176785.3396</v>
      </c>
      <c r="G106" s="6">
        <f t="shared" si="5"/>
        <v>984714.6604</v>
      </c>
      <c r="H106" s="6">
        <f t="shared" si="6"/>
        <v>1161500</v>
      </c>
      <c r="I106" s="6">
        <f t="shared" si="7"/>
        <v>1201501.66</v>
      </c>
      <c r="J106" s="610">
        <v>9.05</v>
      </c>
      <c r="K106" s="591"/>
      <c r="L106" s="6"/>
      <c r="M106" s="9"/>
      <c r="N106" s="79"/>
      <c r="O106" s="6"/>
      <c r="P106" s="6"/>
      <c r="Q106" s="6"/>
      <c r="R106" s="6"/>
      <c r="S106" s="6"/>
      <c r="T106" s="622"/>
      <c r="U106" s="6"/>
      <c r="V106" s="6"/>
      <c r="W106" s="6"/>
      <c r="X106" s="6"/>
      <c r="Y106" s="6"/>
    </row>
    <row r="107" ht="11.25" customHeight="1">
      <c r="A107" s="7"/>
      <c r="B107" s="68">
        <f t="shared" si="8"/>
        <v>102</v>
      </c>
      <c r="C107" s="607">
        <v>11500.0</v>
      </c>
      <c r="D107" s="6">
        <f t="shared" si="9"/>
        <v>9061.325022</v>
      </c>
      <c r="E107" s="6">
        <f t="shared" si="1"/>
        <v>2438.674978</v>
      </c>
      <c r="F107" s="6">
        <f t="shared" si="4"/>
        <v>179224.0145</v>
      </c>
      <c r="G107" s="6">
        <f t="shared" si="5"/>
        <v>993775.9855</v>
      </c>
      <c r="H107" s="6">
        <f t="shared" si="6"/>
        <v>1173000</v>
      </c>
      <c r="I107" s="6">
        <f t="shared" si="7"/>
        <v>1199062.985</v>
      </c>
      <c r="J107" s="610">
        <v>9.05</v>
      </c>
      <c r="K107" s="591"/>
      <c r="L107" s="6"/>
      <c r="M107" s="9"/>
      <c r="N107" s="79"/>
      <c r="O107" s="6"/>
      <c r="P107" s="6"/>
      <c r="Q107" s="6"/>
      <c r="R107" s="6"/>
      <c r="S107" s="6"/>
      <c r="T107" s="622"/>
      <c r="U107" s="6"/>
      <c r="V107" s="6"/>
      <c r="W107" s="6"/>
      <c r="X107" s="6"/>
      <c r="Y107" s="6"/>
    </row>
    <row r="108" ht="11.25" customHeight="1">
      <c r="A108" s="7"/>
      <c r="B108" s="68">
        <f t="shared" si="8"/>
        <v>103</v>
      </c>
      <c r="C108" s="607">
        <v>11500.0</v>
      </c>
      <c r="D108" s="6">
        <f t="shared" si="9"/>
        <v>9042.933349</v>
      </c>
      <c r="E108" s="6">
        <f t="shared" si="1"/>
        <v>2457.066651</v>
      </c>
      <c r="F108" s="6">
        <f t="shared" si="4"/>
        <v>181681.0812</v>
      </c>
      <c r="G108" s="6">
        <f t="shared" si="5"/>
        <v>1002818.919</v>
      </c>
      <c r="H108" s="6">
        <f t="shared" si="6"/>
        <v>1184500</v>
      </c>
      <c r="I108" s="6">
        <f t="shared" si="7"/>
        <v>1196605.919</v>
      </c>
      <c r="J108" s="610">
        <v>9.05</v>
      </c>
      <c r="K108" s="591"/>
      <c r="L108" s="6"/>
      <c r="M108" s="9"/>
      <c r="N108" s="79"/>
      <c r="O108" s="6"/>
      <c r="P108" s="6"/>
      <c r="Q108" s="6"/>
      <c r="R108" s="6"/>
      <c r="S108" s="6"/>
      <c r="T108" s="622"/>
      <c r="U108" s="6"/>
      <c r="V108" s="6"/>
      <c r="W108" s="6"/>
      <c r="X108" s="6"/>
      <c r="Y108" s="6"/>
    </row>
    <row r="109" ht="11.25" customHeight="1">
      <c r="A109" s="7"/>
      <c r="B109" s="68">
        <f t="shared" si="8"/>
        <v>104</v>
      </c>
      <c r="C109" s="607">
        <v>11500.0</v>
      </c>
      <c r="D109" s="6">
        <f t="shared" si="9"/>
        <v>9024.402971</v>
      </c>
      <c r="E109" s="6">
        <f t="shared" si="1"/>
        <v>2475.597029</v>
      </c>
      <c r="F109" s="6">
        <f t="shared" si="4"/>
        <v>184156.6782</v>
      </c>
      <c r="G109" s="6">
        <f t="shared" si="5"/>
        <v>1011843.322</v>
      </c>
      <c r="H109" s="6">
        <f t="shared" si="6"/>
        <v>1196000</v>
      </c>
      <c r="I109" s="6">
        <f t="shared" si="7"/>
        <v>1194130.322</v>
      </c>
      <c r="J109" s="610">
        <v>9.05</v>
      </c>
      <c r="K109" s="591"/>
      <c r="L109" s="6"/>
      <c r="M109" s="9"/>
      <c r="N109" s="79"/>
      <c r="O109" s="6"/>
      <c r="P109" s="6"/>
      <c r="Q109" s="6"/>
      <c r="R109" s="6"/>
      <c r="S109" s="6"/>
      <c r="T109" s="622"/>
      <c r="U109" s="6"/>
      <c r="V109" s="6"/>
      <c r="W109" s="6"/>
      <c r="X109" s="6"/>
      <c r="Y109" s="6"/>
    </row>
    <row r="110" ht="11.25" customHeight="1">
      <c r="A110" s="7"/>
      <c r="B110" s="68">
        <f t="shared" si="8"/>
        <v>105</v>
      </c>
      <c r="C110" s="607">
        <v>11500.0</v>
      </c>
      <c r="D110" s="6">
        <f t="shared" si="9"/>
        <v>9005.732843</v>
      </c>
      <c r="E110" s="6">
        <f t="shared" si="1"/>
        <v>2494.267157</v>
      </c>
      <c r="F110" s="6">
        <f t="shared" si="4"/>
        <v>186650.9454</v>
      </c>
      <c r="G110" s="6">
        <f t="shared" si="5"/>
        <v>1020849.055</v>
      </c>
      <c r="H110" s="6">
        <f t="shared" si="6"/>
        <v>1207500</v>
      </c>
      <c r="I110" s="6">
        <f t="shared" si="7"/>
        <v>1191636.055</v>
      </c>
      <c r="J110" s="610">
        <v>9.05</v>
      </c>
      <c r="K110" s="591"/>
      <c r="L110" s="6"/>
      <c r="M110" s="9"/>
      <c r="N110" s="79"/>
      <c r="O110" s="6"/>
      <c r="P110" s="6"/>
      <c r="Q110" s="6"/>
      <c r="R110" s="6"/>
      <c r="S110" s="6"/>
      <c r="T110" s="622"/>
      <c r="U110" s="6"/>
      <c r="V110" s="6"/>
      <c r="W110" s="6"/>
      <c r="X110" s="6"/>
      <c r="Y110" s="6"/>
    </row>
    <row r="111" ht="11.25" customHeight="1">
      <c r="A111" s="7"/>
      <c r="B111" s="68">
        <f t="shared" si="8"/>
        <v>106</v>
      </c>
      <c r="C111" s="607">
        <v>11500.0</v>
      </c>
      <c r="D111" s="6">
        <f t="shared" si="9"/>
        <v>8986.921912</v>
      </c>
      <c r="E111" s="6">
        <f t="shared" si="1"/>
        <v>2513.078088</v>
      </c>
      <c r="F111" s="6">
        <f t="shared" si="4"/>
        <v>189164.0235</v>
      </c>
      <c r="G111" s="6">
        <f t="shared" si="5"/>
        <v>1029835.977</v>
      </c>
      <c r="H111" s="6">
        <f t="shared" si="6"/>
        <v>1219000</v>
      </c>
      <c r="I111" s="6">
        <f t="shared" si="7"/>
        <v>1189122.977</v>
      </c>
      <c r="J111" s="610">
        <v>9.05</v>
      </c>
      <c r="K111" s="591"/>
      <c r="L111" s="6"/>
      <c r="M111" s="9"/>
      <c r="N111" s="79"/>
      <c r="O111" s="6"/>
      <c r="P111" s="6"/>
      <c r="Q111" s="6"/>
      <c r="R111" s="6"/>
      <c r="S111" s="6"/>
      <c r="T111" s="622"/>
      <c r="U111" s="6"/>
      <c r="V111" s="6"/>
      <c r="W111" s="6"/>
      <c r="X111" s="6"/>
      <c r="Y111" s="6"/>
    </row>
    <row r="112" ht="11.25" customHeight="1">
      <c r="A112" s="7"/>
      <c r="B112" s="68">
        <f t="shared" si="8"/>
        <v>107</v>
      </c>
      <c r="C112" s="607">
        <v>11500.0</v>
      </c>
      <c r="D112" s="6">
        <f t="shared" si="9"/>
        <v>8967.969115</v>
      </c>
      <c r="E112" s="6">
        <f t="shared" si="1"/>
        <v>2532.030885</v>
      </c>
      <c r="F112" s="6">
        <f t="shared" si="4"/>
        <v>191696.0543</v>
      </c>
      <c r="G112" s="6">
        <f t="shared" si="5"/>
        <v>1038803.946</v>
      </c>
      <c r="H112" s="6">
        <f t="shared" si="6"/>
        <v>1230500</v>
      </c>
      <c r="I112" s="6">
        <f t="shared" si="7"/>
        <v>1186590.946</v>
      </c>
      <c r="J112" s="610">
        <v>9.05</v>
      </c>
      <c r="K112" s="591"/>
      <c r="L112" s="6"/>
      <c r="M112" s="9"/>
      <c r="N112" s="79"/>
      <c r="O112" s="6"/>
      <c r="P112" s="6"/>
      <c r="Q112" s="6"/>
      <c r="R112" s="6"/>
      <c r="S112" s="6"/>
      <c r="T112" s="622"/>
      <c r="U112" s="6"/>
      <c r="V112" s="6"/>
      <c r="W112" s="6"/>
      <c r="X112" s="6"/>
      <c r="Y112" s="6"/>
    </row>
    <row r="113" ht="11.25" customHeight="1">
      <c r="A113" s="71"/>
      <c r="B113" s="72">
        <f t="shared" si="8"/>
        <v>108</v>
      </c>
      <c r="C113" s="607">
        <v>11500.0</v>
      </c>
      <c r="D113" s="10">
        <f t="shared" si="9"/>
        <v>8948.873382</v>
      </c>
      <c r="E113" s="10">
        <f t="shared" si="1"/>
        <v>2551.126618</v>
      </c>
      <c r="F113" s="10">
        <f t="shared" si="4"/>
        <v>194247.181</v>
      </c>
      <c r="G113" s="10">
        <f t="shared" si="5"/>
        <v>1047752.819</v>
      </c>
      <c r="H113" s="10">
        <f t="shared" si="6"/>
        <v>1242000</v>
      </c>
      <c r="I113" s="10">
        <f t="shared" si="7"/>
        <v>1184039.819</v>
      </c>
      <c r="J113" s="610">
        <v>9.05</v>
      </c>
      <c r="K113" s="591"/>
      <c r="L113" s="6"/>
      <c r="M113" s="9"/>
      <c r="N113" s="79"/>
      <c r="O113" s="6"/>
      <c r="P113" s="6"/>
      <c r="Q113" s="6"/>
      <c r="R113" s="6"/>
      <c r="S113" s="6"/>
      <c r="T113" s="622"/>
      <c r="U113" s="6"/>
      <c r="V113" s="6"/>
      <c r="W113" s="6"/>
      <c r="X113" s="6"/>
      <c r="Y113" s="6"/>
    </row>
    <row r="114" ht="11.25" customHeight="1">
      <c r="A114" s="100">
        <v>10.0</v>
      </c>
      <c r="B114" s="66">
        <f t="shared" si="8"/>
        <v>109</v>
      </c>
      <c r="C114" s="607">
        <v>11500.0</v>
      </c>
      <c r="D114" s="617">
        <f t="shared" si="9"/>
        <v>8929.633635</v>
      </c>
      <c r="E114" s="617">
        <f t="shared" si="1"/>
        <v>2570.366365</v>
      </c>
      <c r="F114" s="617">
        <f t="shared" si="4"/>
        <v>196817.5473</v>
      </c>
      <c r="G114" s="617">
        <f t="shared" si="5"/>
        <v>1056682.453</v>
      </c>
      <c r="H114" s="617">
        <f t="shared" si="6"/>
        <v>1253500</v>
      </c>
      <c r="I114" s="617">
        <f t="shared" si="7"/>
        <v>1181469.453</v>
      </c>
      <c r="J114" s="610">
        <v>9.05</v>
      </c>
      <c r="K114" s="591"/>
      <c r="L114" s="6"/>
      <c r="M114" s="9"/>
      <c r="N114" s="79"/>
      <c r="O114" s="6"/>
      <c r="P114" s="6"/>
      <c r="Q114" s="6"/>
      <c r="R114" s="6"/>
      <c r="S114" s="6"/>
      <c r="T114" s="622"/>
      <c r="U114" s="6"/>
      <c r="V114" s="6"/>
      <c r="W114" s="6"/>
      <c r="X114" s="6"/>
      <c r="Y114" s="6"/>
    </row>
    <row r="115" ht="11.25" customHeight="1">
      <c r="A115" s="7"/>
      <c r="B115" s="68">
        <f t="shared" si="8"/>
        <v>110</v>
      </c>
      <c r="C115" s="607">
        <v>11500.0</v>
      </c>
      <c r="D115" s="6">
        <f t="shared" si="9"/>
        <v>8910.248789</v>
      </c>
      <c r="E115" s="6">
        <f t="shared" si="1"/>
        <v>2589.751211</v>
      </c>
      <c r="F115" s="6">
        <f t="shared" si="4"/>
        <v>199407.2985</v>
      </c>
      <c r="G115" s="6">
        <f t="shared" si="5"/>
        <v>1065592.701</v>
      </c>
      <c r="H115" s="6">
        <f t="shared" si="6"/>
        <v>1265000</v>
      </c>
      <c r="I115" s="6">
        <f t="shared" si="7"/>
        <v>1178879.701</v>
      </c>
      <c r="J115" s="610">
        <v>9.05</v>
      </c>
      <c r="K115" s="591"/>
      <c r="L115" s="6"/>
      <c r="M115" s="9"/>
      <c r="N115" s="79"/>
      <c r="O115" s="6"/>
      <c r="P115" s="6"/>
      <c r="Q115" s="6"/>
      <c r="R115" s="6"/>
      <c r="S115" s="6"/>
      <c r="T115" s="622"/>
      <c r="U115" s="6"/>
      <c r="V115" s="6"/>
      <c r="W115" s="6"/>
      <c r="X115" s="6"/>
      <c r="Y115" s="6"/>
    </row>
    <row r="116" ht="11.25" customHeight="1">
      <c r="A116" s="7"/>
      <c r="B116" s="68">
        <f t="shared" si="8"/>
        <v>111</v>
      </c>
      <c r="C116" s="607">
        <v>11500.0</v>
      </c>
      <c r="D116" s="6">
        <f t="shared" si="9"/>
        <v>8890.717748</v>
      </c>
      <c r="E116" s="6">
        <f t="shared" si="1"/>
        <v>2609.282252</v>
      </c>
      <c r="F116" s="6">
        <f t="shared" si="4"/>
        <v>202016.5808</v>
      </c>
      <c r="G116" s="6">
        <f t="shared" si="5"/>
        <v>1074483.419</v>
      </c>
      <c r="H116" s="6">
        <f t="shared" si="6"/>
        <v>1276500</v>
      </c>
      <c r="I116" s="6">
        <f t="shared" si="7"/>
        <v>1176270.419</v>
      </c>
      <c r="J116" s="610">
        <v>9.05</v>
      </c>
      <c r="K116" s="591"/>
      <c r="L116" s="6"/>
      <c r="M116" s="9"/>
      <c r="N116" s="79"/>
      <c r="O116" s="6"/>
      <c r="P116" s="6"/>
      <c r="Q116" s="6"/>
      <c r="R116" s="6"/>
      <c r="S116" s="6"/>
      <c r="T116" s="622"/>
      <c r="U116" s="6"/>
      <c r="V116" s="6"/>
      <c r="W116" s="6"/>
      <c r="X116" s="6"/>
      <c r="Y116" s="6"/>
    </row>
    <row r="117" ht="11.25" customHeight="1">
      <c r="A117" s="7"/>
      <c r="B117" s="68">
        <f t="shared" si="8"/>
        <v>112</v>
      </c>
      <c r="C117" s="607">
        <v>11500.0</v>
      </c>
      <c r="D117" s="6">
        <f t="shared" si="9"/>
        <v>8871.039412</v>
      </c>
      <c r="E117" s="6">
        <f t="shared" si="1"/>
        <v>2628.960588</v>
      </c>
      <c r="F117" s="6">
        <f t="shared" si="4"/>
        <v>204645.5414</v>
      </c>
      <c r="G117" s="6">
        <f t="shared" si="5"/>
        <v>1083354.459</v>
      </c>
      <c r="H117" s="6">
        <f t="shared" si="6"/>
        <v>1288000</v>
      </c>
      <c r="I117" s="6">
        <f t="shared" si="7"/>
        <v>1173641.459</v>
      </c>
      <c r="J117" s="610">
        <v>9.05</v>
      </c>
      <c r="K117" s="591"/>
      <c r="L117" s="6"/>
      <c r="M117" s="9"/>
      <c r="N117" s="79"/>
      <c r="O117" s="6"/>
      <c r="P117" s="6"/>
      <c r="Q117" s="6"/>
      <c r="R117" s="6"/>
      <c r="S117" s="6"/>
      <c r="T117" s="622"/>
      <c r="U117" s="6"/>
      <c r="V117" s="6"/>
      <c r="W117" s="6"/>
      <c r="X117" s="6"/>
      <c r="Y117" s="6"/>
    </row>
    <row r="118" ht="11.25" customHeight="1">
      <c r="A118" s="7"/>
      <c r="B118" s="68">
        <f t="shared" si="8"/>
        <v>113</v>
      </c>
      <c r="C118" s="607">
        <v>11500.0</v>
      </c>
      <c r="D118" s="6">
        <f t="shared" si="9"/>
        <v>8851.212667</v>
      </c>
      <c r="E118" s="6">
        <f t="shared" si="1"/>
        <v>2648.787333</v>
      </c>
      <c r="F118" s="6">
        <f t="shared" si="4"/>
        <v>207294.3287</v>
      </c>
      <c r="G118" s="6">
        <f t="shared" si="5"/>
        <v>1092205.671</v>
      </c>
      <c r="H118" s="6">
        <f t="shared" si="6"/>
        <v>1299500</v>
      </c>
      <c r="I118" s="6">
        <f t="shared" si="7"/>
        <v>1170992.671</v>
      </c>
      <c r="J118" s="610">
        <v>9.05</v>
      </c>
      <c r="K118" s="591"/>
      <c r="L118" s="6"/>
      <c r="M118" s="9"/>
      <c r="N118" s="79"/>
      <c r="O118" s="6"/>
      <c r="P118" s="6"/>
      <c r="Q118" s="6"/>
      <c r="R118" s="6"/>
      <c r="S118" s="6"/>
      <c r="T118" s="622"/>
      <c r="U118" s="6"/>
      <c r="V118" s="6"/>
      <c r="W118" s="6"/>
      <c r="X118" s="6"/>
      <c r="Y118" s="6"/>
    </row>
    <row r="119" ht="11.25" customHeight="1">
      <c r="A119" s="7"/>
      <c r="B119" s="68">
        <f t="shared" si="8"/>
        <v>114</v>
      </c>
      <c r="C119" s="607">
        <v>11500.0</v>
      </c>
      <c r="D119" s="6">
        <f t="shared" si="9"/>
        <v>8831.236396</v>
      </c>
      <c r="E119" s="6">
        <f t="shared" si="1"/>
        <v>2668.763604</v>
      </c>
      <c r="F119" s="6">
        <f t="shared" si="4"/>
        <v>209963.0923</v>
      </c>
      <c r="G119" s="6">
        <f t="shared" si="5"/>
        <v>1101036.908</v>
      </c>
      <c r="H119" s="6">
        <f t="shared" si="6"/>
        <v>1311000</v>
      </c>
      <c r="I119" s="6">
        <f t="shared" si="7"/>
        <v>1168323.908</v>
      </c>
      <c r="J119" s="610">
        <v>9.05</v>
      </c>
      <c r="K119" s="591"/>
      <c r="L119" s="6"/>
      <c r="M119" s="9"/>
      <c r="N119" s="79"/>
      <c r="O119" s="6"/>
      <c r="P119" s="6"/>
      <c r="Q119" s="6"/>
      <c r="R119" s="6"/>
      <c r="S119" s="6"/>
      <c r="T119" s="622"/>
      <c r="U119" s="6"/>
      <c r="V119" s="6"/>
      <c r="W119" s="6"/>
      <c r="X119" s="6"/>
      <c r="Y119" s="6"/>
    </row>
    <row r="120" ht="11.25" customHeight="1">
      <c r="A120" s="7"/>
      <c r="B120" s="68">
        <f t="shared" si="8"/>
        <v>115</v>
      </c>
      <c r="C120" s="607">
        <v>11500.0</v>
      </c>
      <c r="D120" s="6">
        <f t="shared" si="9"/>
        <v>8811.10947</v>
      </c>
      <c r="E120" s="6">
        <f t="shared" si="1"/>
        <v>2688.89053</v>
      </c>
      <c r="F120" s="6">
        <f t="shared" si="4"/>
        <v>212651.9828</v>
      </c>
      <c r="G120" s="6">
        <f t="shared" si="5"/>
        <v>1109848.017</v>
      </c>
      <c r="H120" s="6">
        <f t="shared" si="6"/>
        <v>1322500</v>
      </c>
      <c r="I120" s="6">
        <f t="shared" si="7"/>
        <v>1165635.017</v>
      </c>
      <c r="J120" s="610">
        <v>9.05</v>
      </c>
      <c r="K120" s="591"/>
      <c r="L120" s="6"/>
      <c r="M120" s="9"/>
      <c r="N120" s="79"/>
      <c r="O120" s="6"/>
      <c r="P120" s="6"/>
      <c r="Q120" s="6"/>
      <c r="R120" s="6"/>
      <c r="S120" s="6"/>
      <c r="T120" s="622"/>
      <c r="U120" s="6"/>
      <c r="V120" s="6"/>
      <c r="W120" s="6"/>
      <c r="X120" s="6"/>
      <c r="Y120" s="6"/>
    </row>
    <row r="121" ht="11.25" customHeight="1">
      <c r="A121" s="7"/>
      <c r="B121" s="68">
        <f t="shared" si="8"/>
        <v>116</v>
      </c>
      <c r="C121" s="607">
        <v>11500.0</v>
      </c>
      <c r="D121" s="6">
        <f t="shared" si="9"/>
        <v>8790.830754</v>
      </c>
      <c r="E121" s="6">
        <f t="shared" si="1"/>
        <v>2709.169246</v>
      </c>
      <c r="F121" s="6">
        <f t="shared" si="4"/>
        <v>215361.1521</v>
      </c>
      <c r="G121" s="6">
        <f t="shared" si="5"/>
        <v>1118638.848</v>
      </c>
      <c r="H121" s="6">
        <f t="shared" si="6"/>
        <v>1334000</v>
      </c>
      <c r="I121" s="6">
        <f t="shared" si="7"/>
        <v>1162925.848</v>
      </c>
      <c r="J121" s="610">
        <v>9.05</v>
      </c>
      <c r="K121" s="591"/>
      <c r="L121" s="6"/>
      <c r="M121" s="9"/>
      <c r="N121" s="79"/>
      <c r="O121" s="6"/>
      <c r="P121" s="6"/>
      <c r="Q121" s="6"/>
      <c r="R121" s="6"/>
      <c r="S121" s="6"/>
      <c r="T121" s="622"/>
      <c r="U121" s="6"/>
      <c r="V121" s="6"/>
      <c r="W121" s="6"/>
      <c r="X121" s="6"/>
      <c r="Y121" s="6"/>
    </row>
    <row r="122" ht="11.25" customHeight="1">
      <c r="A122" s="7"/>
      <c r="B122" s="68">
        <f t="shared" si="8"/>
        <v>117</v>
      </c>
      <c r="C122" s="607">
        <v>11500.0</v>
      </c>
      <c r="D122" s="6">
        <f t="shared" si="9"/>
        <v>8770.399103</v>
      </c>
      <c r="E122" s="6">
        <f t="shared" si="1"/>
        <v>2729.600897</v>
      </c>
      <c r="F122" s="6">
        <f t="shared" si="4"/>
        <v>218090.753</v>
      </c>
      <c r="G122" s="6">
        <f t="shared" si="5"/>
        <v>1127409.247</v>
      </c>
      <c r="H122" s="6">
        <f t="shared" si="6"/>
        <v>1345500</v>
      </c>
      <c r="I122" s="6">
        <f t="shared" si="7"/>
        <v>1160196.247</v>
      </c>
      <c r="J122" s="610">
        <v>9.05</v>
      </c>
      <c r="K122" s="591"/>
      <c r="L122" s="6"/>
      <c r="M122" s="9"/>
      <c r="N122" s="79"/>
      <c r="O122" s="6"/>
      <c r="P122" s="6"/>
      <c r="Q122" s="6"/>
      <c r="R122" s="6"/>
      <c r="S122" s="6"/>
      <c r="T122" s="622"/>
      <c r="U122" s="6"/>
      <c r="V122" s="6"/>
      <c r="W122" s="6"/>
      <c r="X122" s="6"/>
      <c r="Y122" s="6"/>
    </row>
    <row r="123" ht="11.25" customHeight="1">
      <c r="A123" s="7"/>
      <c r="B123" s="68">
        <f t="shared" si="8"/>
        <v>118</v>
      </c>
      <c r="C123" s="607">
        <v>11500.0</v>
      </c>
      <c r="D123" s="6">
        <f t="shared" si="9"/>
        <v>8749.813363</v>
      </c>
      <c r="E123" s="6">
        <f t="shared" si="1"/>
        <v>2750.186637</v>
      </c>
      <c r="F123" s="6">
        <f t="shared" si="4"/>
        <v>220840.9396</v>
      </c>
      <c r="G123" s="6">
        <f t="shared" si="5"/>
        <v>1136159.06</v>
      </c>
      <c r="H123" s="6">
        <f t="shared" si="6"/>
        <v>1357000</v>
      </c>
      <c r="I123" s="6">
        <f t="shared" si="7"/>
        <v>1157446.06</v>
      </c>
      <c r="J123" s="610">
        <v>9.05</v>
      </c>
      <c r="K123" s="591"/>
      <c r="L123" s="6"/>
      <c r="M123" s="9"/>
      <c r="N123" s="79"/>
      <c r="O123" s="6"/>
      <c r="P123" s="6"/>
      <c r="Q123" s="6"/>
      <c r="R123" s="6"/>
      <c r="S123" s="6"/>
      <c r="T123" s="622"/>
      <c r="U123" s="6"/>
      <c r="V123" s="6"/>
      <c r="W123" s="6"/>
      <c r="X123" s="6"/>
      <c r="Y123" s="6"/>
    </row>
    <row r="124" ht="11.25" customHeight="1">
      <c r="A124" s="7"/>
      <c r="B124" s="68">
        <f t="shared" si="8"/>
        <v>119</v>
      </c>
      <c r="C124" s="607">
        <v>11500.0</v>
      </c>
      <c r="D124" s="6">
        <f t="shared" si="9"/>
        <v>8729.072372</v>
      </c>
      <c r="E124" s="6">
        <f t="shared" si="1"/>
        <v>2770.927628</v>
      </c>
      <c r="F124" s="6">
        <f t="shared" si="4"/>
        <v>223611.8673</v>
      </c>
      <c r="G124" s="6">
        <f t="shared" si="5"/>
        <v>1144888.133</v>
      </c>
      <c r="H124" s="6">
        <f t="shared" si="6"/>
        <v>1368500</v>
      </c>
      <c r="I124" s="6">
        <f t="shared" si="7"/>
        <v>1154675.133</v>
      </c>
      <c r="J124" s="610">
        <v>9.05</v>
      </c>
      <c r="K124" s="591"/>
      <c r="L124" s="6"/>
      <c r="M124" s="9"/>
      <c r="N124" s="79"/>
      <c r="O124" s="6"/>
      <c r="P124" s="6"/>
      <c r="Q124" s="6"/>
      <c r="R124" s="6"/>
      <c r="S124" s="6"/>
      <c r="T124" s="622"/>
      <c r="U124" s="6"/>
      <c r="V124" s="6"/>
      <c r="W124" s="6"/>
      <c r="X124" s="6"/>
      <c r="Y124" s="6"/>
    </row>
    <row r="125" ht="11.25" customHeight="1">
      <c r="A125" s="71"/>
      <c r="B125" s="72">
        <f t="shared" si="8"/>
        <v>120</v>
      </c>
      <c r="C125" s="607">
        <v>11500.0</v>
      </c>
      <c r="D125" s="10">
        <f t="shared" si="9"/>
        <v>8708.174959</v>
      </c>
      <c r="E125" s="10">
        <f t="shared" si="1"/>
        <v>2791.825041</v>
      </c>
      <c r="F125" s="10">
        <f t="shared" si="4"/>
        <v>226403.6923</v>
      </c>
      <c r="G125" s="10">
        <f t="shared" si="5"/>
        <v>1153596.308</v>
      </c>
      <c r="H125" s="10">
        <f t="shared" si="6"/>
        <v>1380000</v>
      </c>
      <c r="I125" s="10">
        <f t="shared" si="7"/>
        <v>1151883.308</v>
      </c>
      <c r="J125" s="610">
        <v>9.05</v>
      </c>
      <c r="K125" s="591"/>
      <c r="L125" s="6"/>
      <c r="M125" s="9"/>
      <c r="N125" s="79"/>
      <c r="O125" s="6"/>
      <c r="P125" s="6"/>
      <c r="Q125" s="6"/>
      <c r="R125" s="6"/>
      <c r="S125" s="6"/>
      <c r="T125" s="622"/>
      <c r="U125" s="6"/>
      <c r="V125" s="6"/>
      <c r="W125" s="6"/>
      <c r="X125" s="6"/>
      <c r="Y125" s="6"/>
    </row>
    <row r="126" ht="11.25" customHeight="1">
      <c r="A126" s="100">
        <v>11.0</v>
      </c>
      <c r="B126" s="66">
        <f t="shared" si="8"/>
        <v>121</v>
      </c>
      <c r="C126" s="607">
        <v>11500.0</v>
      </c>
      <c r="D126" s="617">
        <f t="shared" si="9"/>
        <v>8687.119946</v>
      </c>
      <c r="E126" s="617">
        <f t="shared" si="1"/>
        <v>2812.880054</v>
      </c>
      <c r="F126" s="617">
        <f t="shared" si="4"/>
        <v>229216.5724</v>
      </c>
      <c r="G126" s="617">
        <f t="shared" si="5"/>
        <v>1162283.428</v>
      </c>
      <c r="H126" s="617">
        <f t="shared" si="6"/>
        <v>1391500</v>
      </c>
      <c r="I126" s="617">
        <f t="shared" si="7"/>
        <v>1149070.428</v>
      </c>
      <c r="J126" s="610">
        <v>9.05</v>
      </c>
      <c r="K126" s="591"/>
      <c r="L126" s="6"/>
      <c r="M126" s="9"/>
      <c r="N126" s="79"/>
      <c r="O126" s="6"/>
      <c r="P126" s="6"/>
      <c r="Q126" s="6"/>
      <c r="R126" s="6"/>
      <c r="S126" s="6"/>
      <c r="T126" s="622"/>
      <c r="U126" s="6"/>
      <c r="V126" s="6"/>
      <c r="W126" s="6"/>
      <c r="X126" s="6"/>
      <c r="Y126" s="6"/>
    </row>
    <row r="127" ht="11.25" customHeight="1">
      <c r="A127" s="7"/>
      <c r="B127" s="68">
        <f t="shared" si="8"/>
        <v>122</v>
      </c>
      <c r="C127" s="607">
        <v>11500.0</v>
      </c>
      <c r="D127" s="6">
        <f t="shared" si="9"/>
        <v>8665.906142</v>
      </c>
      <c r="E127" s="6">
        <f t="shared" si="1"/>
        <v>2834.093858</v>
      </c>
      <c r="F127" s="6">
        <f t="shared" si="4"/>
        <v>232050.6662</v>
      </c>
      <c r="G127" s="6">
        <f t="shared" si="5"/>
        <v>1170949.334</v>
      </c>
      <c r="H127" s="6">
        <f t="shared" si="6"/>
        <v>1403000</v>
      </c>
      <c r="I127" s="6">
        <f t="shared" si="7"/>
        <v>1146236.334</v>
      </c>
      <c r="J127" s="610">
        <v>9.05</v>
      </c>
      <c r="K127" s="591"/>
      <c r="L127" s="6"/>
      <c r="M127" s="9"/>
      <c r="N127" s="79"/>
      <c r="O127" s="6"/>
      <c r="P127" s="6"/>
      <c r="Q127" s="6"/>
      <c r="R127" s="6"/>
      <c r="S127" s="6"/>
      <c r="T127" s="622"/>
      <c r="U127" s="6"/>
      <c r="V127" s="6"/>
      <c r="W127" s="6"/>
      <c r="X127" s="6"/>
      <c r="Y127" s="6"/>
    </row>
    <row r="128" ht="11.25" customHeight="1">
      <c r="A128" s="7"/>
      <c r="B128" s="68">
        <f t="shared" si="8"/>
        <v>123</v>
      </c>
      <c r="C128" s="607">
        <v>11500.0</v>
      </c>
      <c r="D128" s="6">
        <f t="shared" si="9"/>
        <v>8644.532351</v>
      </c>
      <c r="E128" s="6">
        <f t="shared" si="1"/>
        <v>2855.467649</v>
      </c>
      <c r="F128" s="6">
        <f t="shared" si="4"/>
        <v>234906.1339</v>
      </c>
      <c r="G128" s="6">
        <f t="shared" si="5"/>
        <v>1179593.866</v>
      </c>
      <c r="H128" s="6">
        <f t="shared" si="6"/>
        <v>1414500</v>
      </c>
      <c r="I128" s="6">
        <f t="shared" si="7"/>
        <v>1143380.866</v>
      </c>
      <c r="J128" s="610">
        <v>9.05</v>
      </c>
      <c r="K128" s="591"/>
      <c r="L128" s="6"/>
      <c r="M128" s="9"/>
      <c r="N128" s="79"/>
      <c r="O128" s="6"/>
      <c r="P128" s="6"/>
      <c r="Q128" s="6"/>
      <c r="R128" s="6"/>
      <c r="S128" s="6"/>
      <c r="T128" s="622"/>
      <c r="U128" s="6"/>
      <c r="V128" s="6"/>
      <c r="W128" s="6"/>
      <c r="X128" s="6"/>
      <c r="Y128" s="6"/>
    </row>
    <row r="129" ht="11.25" customHeight="1">
      <c r="A129" s="7"/>
      <c r="B129" s="68">
        <f t="shared" si="8"/>
        <v>124</v>
      </c>
      <c r="C129" s="607">
        <v>11500.0</v>
      </c>
      <c r="D129" s="6">
        <f t="shared" si="9"/>
        <v>8622.997365</v>
      </c>
      <c r="E129" s="6">
        <f t="shared" si="1"/>
        <v>2877.002635</v>
      </c>
      <c r="F129" s="6">
        <f t="shared" si="4"/>
        <v>237783.1365</v>
      </c>
      <c r="G129" s="6">
        <f t="shared" si="5"/>
        <v>1188216.864</v>
      </c>
      <c r="H129" s="6">
        <f t="shared" si="6"/>
        <v>1426000</v>
      </c>
      <c r="I129" s="6">
        <f t="shared" si="7"/>
        <v>1140503.864</v>
      </c>
      <c r="J129" s="610">
        <v>9.05</v>
      </c>
      <c r="K129" s="591"/>
      <c r="L129" s="6"/>
      <c r="M129" s="9"/>
      <c r="N129" s="79"/>
      <c r="O129" s="6"/>
      <c r="P129" s="6"/>
      <c r="Q129" s="6"/>
      <c r="R129" s="6"/>
      <c r="S129" s="6"/>
      <c r="T129" s="622"/>
      <c r="U129" s="6"/>
      <c r="V129" s="6"/>
      <c r="W129" s="6"/>
      <c r="X129" s="6"/>
      <c r="Y129" s="6"/>
    </row>
    <row r="130" ht="11.25" customHeight="1">
      <c r="A130" s="7"/>
      <c r="B130" s="68">
        <f t="shared" si="8"/>
        <v>125</v>
      </c>
      <c r="C130" s="607">
        <v>11500.0</v>
      </c>
      <c r="D130" s="6">
        <f t="shared" si="9"/>
        <v>8601.299971</v>
      </c>
      <c r="E130" s="6">
        <f t="shared" si="1"/>
        <v>2898.700029</v>
      </c>
      <c r="F130" s="6">
        <f t="shared" si="4"/>
        <v>240681.8365</v>
      </c>
      <c r="G130" s="6">
        <f t="shared" si="5"/>
        <v>1196818.163</v>
      </c>
      <c r="H130" s="6">
        <f t="shared" si="6"/>
        <v>1437500</v>
      </c>
      <c r="I130" s="6">
        <f t="shared" si="7"/>
        <v>1137605.163</v>
      </c>
      <c r="J130" s="610">
        <v>9.05</v>
      </c>
      <c r="K130" s="591"/>
      <c r="L130" s="6"/>
      <c r="M130" s="9"/>
      <c r="N130" s="79"/>
      <c r="O130" s="6"/>
      <c r="P130" s="6"/>
      <c r="Q130" s="6"/>
      <c r="R130" s="6"/>
      <c r="S130" s="6"/>
      <c r="T130" s="622"/>
      <c r="U130" s="6"/>
      <c r="V130" s="6"/>
      <c r="W130" s="6"/>
      <c r="X130" s="6"/>
      <c r="Y130" s="6"/>
    </row>
    <row r="131" ht="11.25" customHeight="1">
      <c r="A131" s="7"/>
      <c r="B131" s="68">
        <f t="shared" si="8"/>
        <v>126</v>
      </c>
      <c r="C131" s="607">
        <v>11500.0</v>
      </c>
      <c r="D131" s="6">
        <f t="shared" si="9"/>
        <v>8579.438941</v>
      </c>
      <c r="E131" s="6">
        <f t="shared" si="1"/>
        <v>2920.561059</v>
      </c>
      <c r="F131" s="6">
        <f t="shared" si="4"/>
        <v>243602.3976</v>
      </c>
      <c r="G131" s="6">
        <f t="shared" si="5"/>
        <v>1205397.602</v>
      </c>
      <c r="H131" s="6">
        <f t="shared" si="6"/>
        <v>1449000</v>
      </c>
      <c r="I131" s="6">
        <f t="shared" si="7"/>
        <v>1134684.602</v>
      </c>
      <c r="J131" s="610">
        <v>9.05</v>
      </c>
      <c r="K131" s="591"/>
      <c r="L131" s="6"/>
      <c r="M131" s="9"/>
      <c r="N131" s="79"/>
      <c r="O131" s="6"/>
      <c r="P131" s="6"/>
      <c r="Q131" s="6"/>
      <c r="R131" s="6"/>
      <c r="S131" s="6"/>
      <c r="T131" s="622"/>
      <c r="U131" s="6"/>
      <c r="V131" s="6"/>
      <c r="W131" s="6"/>
      <c r="X131" s="6"/>
      <c r="Y131" s="6"/>
    </row>
    <row r="132" ht="11.25" customHeight="1">
      <c r="A132" s="7"/>
      <c r="B132" s="68">
        <f t="shared" si="8"/>
        <v>127</v>
      </c>
      <c r="C132" s="607">
        <v>11500.0</v>
      </c>
      <c r="D132" s="6">
        <f t="shared" si="9"/>
        <v>8557.413043</v>
      </c>
      <c r="E132" s="6">
        <f t="shared" si="1"/>
        <v>2942.586957</v>
      </c>
      <c r="F132" s="6">
        <f t="shared" si="4"/>
        <v>246544.9845</v>
      </c>
      <c r="G132" s="6">
        <f t="shared" si="5"/>
        <v>1213955.015</v>
      </c>
      <c r="H132" s="6">
        <f t="shared" si="6"/>
        <v>1460500</v>
      </c>
      <c r="I132" s="6">
        <f t="shared" si="7"/>
        <v>1131742.015</v>
      </c>
      <c r="J132" s="610">
        <v>9.05</v>
      </c>
      <c r="K132" s="591"/>
      <c r="L132" s="6"/>
      <c r="M132" s="9"/>
      <c r="N132" s="79"/>
      <c r="O132" s="6"/>
      <c r="P132" s="6"/>
      <c r="Q132" s="6"/>
      <c r="R132" s="6"/>
      <c r="S132" s="6"/>
      <c r="T132" s="622"/>
      <c r="U132" s="6"/>
      <c r="V132" s="6"/>
      <c r="W132" s="6"/>
      <c r="X132" s="6"/>
      <c r="Y132" s="6"/>
    </row>
    <row r="133" ht="11.25" customHeight="1">
      <c r="A133" s="7"/>
      <c r="B133" s="68">
        <f t="shared" si="8"/>
        <v>128</v>
      </c>
      <c r="C133" s="607">
        <v>11500.0</v>
      </c>
      <c r="D133" s="6">
        <f t="shared" si="9"/>
        <v>8535.221033</v>
      </c>
      <c r="E133" s="6">
        <f t="shared" si="1"/>
        <v>2964.778967</v>
      </c>
      <c r="F133" s="6">
        <f t="shared" si="4"/>
        <v>249509.7635</v>
      </c>
      <c r="G133" s="6">
        <f t="shared" si="5"/>
        <v>1222490.236</v>
      </c>
      <c r="H133" s="6">
        <f t="shared" si="6"/>
        <v>1472000</v>
      </c>
      <c r="I133" s="6">
        <f t="shared" si="7"/>
        <v>1128777.236</v>
      </c>
      <c r="J133" s="610">
        <v>9.05</v>
      </c>
      <c r="K133" s="591"/>
      <c r="L133" s="6"/>
      <c r="M133" s="9"/>
      <c r="N133" s="79"/>
      <c r="O133" s="6"/>
      <c r="P133" s="6"/>
      <c r="Q133" s="6"/>
      <c r="R133" s="6"/>
      <c r="S133" s="6"/>
      <c r="T133" s="622"/>
      <c r="U133" s="6"/>
      <c r="V133" s="6"/>
      <c r="W133" s="6"/>
      <c r="X133" s="6"/>
      <c r="Y133" s="6"/>
    </row>
    <row r="134" ht="11.25" customHeight="1">
      <c r="A134" s="7"/>
      <c r="B134" s="68">
        <f t="shared" si="8"/>
        <v>129</v>
      </c>
      <c r="C134" s="607">
        <v>11500.0</v>
      </c>
      <c r="D134" s="6">
        <f t="shared" si="9"/>
        <v>8512.861659</v>
      </c>
      <c r="E134" s="6">
        <f t="shared" si="1"/>
        <v>2987.138341</v>
      </c>
      <c r="F134" s="6">
        <f t="shared" si="4"/>
        <v>252496.9018</v>
      </c>
      <c r="G134" s="6">
        <f t="shared" si="5"/>
        <v>1231003.098</v>
      </c>
      <c r="H134" s="6">
        <f t="shared" si="6"/>
        <v>1483500</v>
      </c>
      <c r="I134" s="6">
        <f t="shared" si="7"/>
        <v>1125790.098</v>
      </c>
      <c r="J134" s="610">
        <v>9.05</v>
      </c>
      <c r="K134" s="591"/>
      <c r="L134" s="6"/>
      <c r="M134" s="9"/>
      <c r="N134" s="79"/>
      <c r="O134" s="6"/>
      <c r="P134" s="6"/>
      <c r="Q134" s="6"/>
      <c r="R134" s="6"/>
      <c r="S134" s="6"/>
      <c r="T134" s="622"/>
      <c r="U134" s="6"/>
      <c r="V134" s="6"/>
      <c r="W134" s="6"/>
      <c r="X134" s="6"/>
      <c r="Y134" s="6"/>
    </row>
    <row r="135" ht="11.25" customHeight="1">
      <c r="A135" s="7"/>
      <c r="B135" s="68">
        <f t="shared" si="8"/>
        <v>130</v>
      </c>
      <c r="C135" s="607">
        <v>11500.0</v>
      </c>
      <c r="D135" s="6">
        <f t="shared" si="9"/>
        <v>8490.333657</v>
      </c>
      <c r="E135" s="6">
        <f t="shared" si="1"/>
        <v>3009.666343</v>
      </c>
      <c r="F135" s="6">
        <f t="shared" si="4"/>
        <v>255506.5682</v>
      </c>
      <c r="G135" s="6">
        <f t="shared" si="5"/>
        <v>1239493.432</v>
      </c>
      <c r="H135" s="6">
        <f t="shared" si="6"/>
        <v>1495000</v>
      </c>
      <c r="I135" s="6">
        <f t="shared" si="7"/>
        <v>1122780.432</v>
      </c>
      <c r="J135" s="610">
        <v>9.05</v>
      </c>
      <c r="K135" s="591"/>
      <c r="L135" s="6"/>
      <c r="M135" s="9"/>
      <c r="N135" s="79"/>
      <c r="O135" s="6"/>
      <c r="P135" s="6"/>
      <c r="Q135" s="6"/>
      <c r="R135" s="6"/>
      <c r="S135" s="6"/>
      <c r="T135" s="622"/>
      <c r="U135" s="6"/>
      <c r="V135" s="6"/>
      <c r="W135" s="6"/>
      <c r="X135" s="6"/>
      <c r="Y135" s="6"/>
    </row>
    <row r="136" ht="11.25" customHeight="1">
      <c r="A136" s="7"/>
      <c r="B136" s="68">
        <f t="shared" si="8"/>
        <v>131</v>
      </c>
      <c r="C136" s="607">
        <v>11500.0</v>
      </c>
      <c r="D136" s="6">
        <f t="shared" si="9"/>
        <v>8467.635757</v>
      </c>
      <c r="E136" s="6">
        <f t="shared" si="1"/>
        <v>3032.364243</v>
      </c>
      <c r="F136" s="6">
        <f t="shared" si="4"/>
        <v>258538.9324</v>
      </c>
      <c r="G136" s="6">
        <f t="shared" si="5"/>
        <v>1247961.068</v>
      </c>
      <c r="H136" s="6">
        <f t="shared" si="6"/>
        <v>1506500</v>
      </c>
      <c r="I136" s="6">
        <f t="shared" si="7"/>
        <v>1119748.068</v>
      </c>
      <c r="J136" s="610">
        <v>9.05</v>
      </c>
      <c r="K136" s="591"/>
      <c r="L136" s="6"/>
      <c r="M136" s="9"/>
      <c r="N136" s="79"/>
      <c r="O136" s="6"/>
      <c r="P136" s="6"/>
      <c r="Q136" s="6"/>
      <c r="R136" s="6"/>
      <c r="S136" s="6"/>
      <c r="T136" s="622"/>
      <c r="U136" s="6"/>
      <c r="V136" s="6"/>
      <c r="W136" s="6"/>
      <c r="X136" s="6"/>
      <c r="Y136" s="6"/>
    </row>
    <row r="137" ht="11.25" customHeight="1">
      <c r="A137" s="71"/>
      <c r="B137" s="72">
        <f t="shared" si="8"/>
        <v>132</v>
      </c>
      <c r="C137" s="607">
        <v>11500.0</v>
      </c>
      <c r="D137" s="10">
        <f t="shared" si="9"/>
        <v>8444.766676</v>
      </c>
      <c r="E137" s="10">
        <f t="shared" si="1"/>
        <v>3055.233324</v>
      </c>
      <c r="F137" s="10">
        <f t="shared" si="4"/>
        <v>261594.1658</v>
      </c>
      <c r="G137" s="10">
        <f t="shared" si="5"/>
        <v>1256405.834</v>
      </c>
      <c r="H137" s="10">
        <f t="shared" si="6"/>
        <v>1518000</v>
      </c>
      <c r="I137" s="10">
        <f t="shared" si="7"/>
        <v>1116692.834</v>
      </c>
      <c r="J137" s="610">
        <v>9.05</v>
      </c>
      <c r="K137" s="591"/>
      <c r="L137" s="6"/>
      <c r="M137" s="9"/>
      <c r="N137" s="79"/>
      <c r="O137" s="6"/>
      <c r="P137" s="6"/>
      <c r="Q137" s="6"/>
      <c r="R137" s="6"/>
      <c r="S137" s="6"/>
      <c r="T137" s="622"/>
      <c r="U137" s="6"/>
      <c r="V137" s="6"/>
      <c r="W137" s="6"/>
      <c r="X137" s="6"/>
      <c r="Y137" s="6"/>
    </row>
    <row r="138" ht="11.25" customHeight="1">
      <c r="A138" s="100">
        <v>12.0</v>
      </c>
      <c r="B138" s="66">
        <f t="shared" si="8"/>
        <v>133</v>
      </c>
      <c r="C138" s="607">
        <v>11500.0</v>
      </c>
      <c r="D138" s="617">
        <f t="shared" si="9"/>
        <v>8421.725125</v>
      </c>
      <c r="E138" s="617">
        <f t="shared" si="1"/>
        <v>3078.274875</v>
      </c>
      <c r="F138" s="617">
        <f t="shared" si="4"/>
        <v>264672.4406</v>
      </c>
      <c r="G138" s="617">
        <f t="shared" si="5"/>
        <v>1264827.559</v>
      </c>
      <c r="H138" s="617">
        <f t="shared" si="6"/>
        <v>1529500</v>
      </c>
      <c r="I138" s="617">
        <f t="shared" si="7"/>
        <v>1113614.559</v>
      </c>
      <c r="J138" s="610">
        <v>9.05</v>
      </c>
      <c r="K138" s="591"/>
      <c r="L138" s="6"/>
      <c r="M138" s="9"/>
      <c r="N138" s="79"/>
      <c r="O138" s="6"/>
      <c r="P138" s="6"/>
      <c r="Q138" s="6"/>
      <c r="R138" s="6"/>
      <c r="S138" s="6"/>
      <c r="T138" s="622"/>
      <c r="U138" s="6"/>
      <c r="V138" s="6"/>
      <c r="W138" s="6"/>
      <c r="X138" s="6"/>
      <c r="Y138" s="6"/>
    </row>
    <row r="139" ht="11.25" customHeight="1">
      <c r="A139" s="7"/>
      <c r="B139" s="68">
        <f t="shared" si="8"/>
        <v>134</v>
      </c>
      <c r="C139" s="607">
        <v>11500.0</v>
      </c>
      <c r="D139" s="6">
        <f t="shared" si="9"/>
        <v>8398.509802</v>
      </c>
      <c r="E139" s="6">
        <f t="shared" si="1"/>
        <v>3101.490198</v>
      </c>
      <c r="F139" s="6">
        <f t="shared" si="4"/>
        <v>267773.9308</v>
      </c>
      <c r="G139" s="6">
        <f t="shared" si="5"/>
        <v>1273226.069</v>
      </c>
      <c r="H139" s="6">
        <f t="shared" si="6"/>
        <v>1541000</v>
      </c>
      <c r="I139" s="6">
        <f t="shared" si="7"/>
        <v>1110513.069</v>
      </c>
      <c r="J139" s="610">
        <v>9.05</v>
      </c>
      <c r="K139" s="591"/>
      <c r="L139" s="6"/>
      <c r="M139" s="9"/>
      <c r="N139" s="79"/>
      <c r="O139" s="6"/>
      <c r="P139" s="6"/>
      <c r="Q139" s="6"/>
      <c r="R139" s="6"/>
      <c r="S139" s="6"/>
      <c r="T139" s="622"/>
      <c r="U139" s="6"/>
      <c r="V139" s="6"/>
      <c r="W139" s="6"/>
      <c r="X139" s="6"/>
      <c r="Y139" s="6"/>
    </row>
    <row r="140" ht="11.25" customHeight="1">
      <c r="A140" s="7"/>
      <c r="B140" s="68">
        <f t="shared" si="8"/>
        <v>135</v>
      </c>
      <c r="C140" s="607">
        <v>11500.0</v>
      </c>
      <c r="D140" s="6">
        <f t="shared" si="9"/>
        <v>8375.119397</v>
      </c>
      <c r="E140" s="6">
        <f t="shared" si="1"/>
        <v>3124.880603</v>
      </c>
      <c r="F140" s="6">
        <f t="shared" si="4"/>
        <v>270898.8114</v>
      </c>
      <c r="G140" s="6">
        <f t="shared" si="5"/>
        <v>1281601.189</v>
      </c>
      <c r="H140" s="6">
        <f t="shared" si="6"/>
        <v>1552500</v>
      </c>
      <c r="I140" s="6">
        <f t="shared" si="7"/>
        <v>1107388.189</v>
      </c>
      <c r="J140" s="610">
        <v>9.05</v>
      </c>
      <c r="K140" s="591"/>
      <c r="L140" s="6"/>
      <c r="M140" s="9"/>
      <c r="N140" s="79"/>
      <c r="O140" s="6"/>
      <c r="P140" s="6"/>
      <c r="Q140" s="6"/>
      <c r="R140" s="6"/>
      <c r="S140" s="6"/>
      <c r="T140" s="622"/>
      <c r="U140" s="6"/>
      <c r="V140" s="6"/>
      <c r="W140" s="6"/>
      <c r="X140" s="6"/>
      <c r="Y140" s="6"/>
    </row>
    <row r="141" ht="11.25" customHeight="1">
      <c r="A141" s="7"/>
      <c r="B141" s="68">
        <f t="shared" si="8"/>
        <v>136</v>
      </c>
      <c r="C141" s="607">
        <v>11500.0</v>
      </c>
      <c r="D141" s="6">
        <f t="shared" si="9"/>
        <v>8351.552589</v>
      </c>
      <c r="E141" s="6">
        <f t="shared" si="1"/>
        <v>3148.447411</v>
      </c>
      <c r="F141" s="6">
        <f t="shared" si="4"/>
        <v>274047.2588</v>
      </c>
      <c r="G141" s="6">
        <f t="shared" si="5"/>
        <v>1289952.741</v>
      </c>
      <c r="H141" s="6">
        <f t="shared" si="6"/>
        <v>1564000</v>
      </c>
      <c r="I141" s="6">
        <f t="shared" si="7"/>
        <v>1104239.741</v>
      </c>
      <c r="J141" s="610">
        <v>9.05</v>
      </c>
      <c r="K141" s="591"/>
      <c r="L141" s="6"/>
      <c r="M141" s="9"/>
      <c r="N141" s="79"/>
      <c r="O141" s="6"/>
      <c r="P141" s="6"/>
      <c r="Q141" s="6"/>
      <c r="R141" s="6"/>
      <c r="S141" s="6"/>
      <c r="T141" s="622"/>
      <c r="U141" s="6"/>
      <c r="V141" s="6"/>
      <c r="W141" s="6"/>
      <c r="X141" s="6"/>
      <c r="Y141" s="6"/>
    </row>
    <row r="142" ht="11.25" customHeight="1">
      <c r="A142" s="7"/>
      <c r="B142" s="68">
        <f t="shared" si="8"/>
        <v>137</v>
      </c>
      <c r="C142" s="607">
        <v>11500.0</v>
      </c>
      <c r="D142" s="6">
        <f t="shared" si="9"/>
        <v>8327.808048</v>
      </c>
      <c r="E142" s="6">
        <f t="shared" si="1"/>
        <v>3172.191952</v>
      </c>
      <c r="F142" s="6">
        <f t="shared" si="4"/>
        <v>277219.4508</v>
      </c>
      <c r="G142" s="6">
        <f t="shared" si="5"/>
        <v>1298280.549</v>
      </c>
      <c r="H142" s="6">
        <f t="shared" si="6"/>
        <v>1575500</v>
      </c>
      <c r="I142" s="6">
        <f t="shared" si="7"/>
        <v>1101067.549</v>
      </c>
      <c r="J142" s="610">
        <v>9.05</v>
      </c>
      <c r="K142" s="591"/>
      <c r="L142" s="6"/>
      <c r="M142" s="9"/>
      <c r="N142" s="79"/>
      <c r="O142" s="6"/>
      <c r="P142" s="6"/>
      <c r="Q142" s="6"/>
      <c r="R142" s="6"/>
      <c r="S142" s="6"/>
      <c r="T142" s="622"/>
      <c r="U142" s="6"/>
      <c r="V142" s="6"/>
      <c r="W142" s="6"/>
      <c r="X142" s="6"/>
      <c r="Y142" s="6"/>
    </row>
    <row r="143" ht="11.25" customHeight="1">
      <c r="A143" s="7"/>
      <c r="B143" s="68">
        <f t="shared" si="8"/>
        <v>138</v>
      </c>
      <c r="C143" s="607">
        <v>11500.0</v>
      </c>
      <c r="D143" s="6">
        <f t="shared" si="9"/>
        <v>8303.884434</v>
      </c>
      <c r="E143" s="6">
        <f t="shared" si="1"/>
        <v>3196.115566</v>
      </c>
      <c r="F143" s="6">
        <f t="shared" si="4"/>
        <v>280415.5664</v>
      </c>
      <c r="G143" s="6">
        <f t="shared" si="5"/>
        <v>1306584.434</v>
      </c>
      <c r="H143" s="6">
        <f t="shared" si="6"/>
        <v>1587000</v>
      </c>
      <c r="I143" s="6">
        <f t="shared" si="7"/>
        <v>1097871.434</v>
      </c>
      <c r="J143" s="610">
        <v>9.05</v>
      </c>
      <c r="K143" s="591"/>
      <c r="L143" s="6"/>
      <c r="M143" s="9"/>
      <c r="N143" s="79"/>
      <c r="O143" s="6"/>
      <c r="P143" s="6"/>
      <c r="Q143" s="6"/>
      <c r="R143" s="6"/>
      <c r="S143" s="6"/>
      <c r="T143" s="622"/>
      <c r="U143" s="6"/>
      <c r="V143" s="6"/>
      <c r="W143" s="6"/>
      <c r="X143" s="6"/>
      <c r="Y143" s="6"/>
    </row>
    <row r="144" ht="11.25" customHeight="1">
      <c r="A144" s="7"/>
      <c r="B144" s="68">
        <f t="shared" si="8"/>
        <v>139</v>
      </c>
      <c r="C144" s="607">
        <v>11500.0</v>
      </c>
      <c r="D144" s="6">
        <f t="shared" si="9"/>
        <v>8279.780395</v>
      </c>
      <c r="E144" s="6">
        <f t="shared" si="1"/>
        <v>3220.219605</v>
      </c>
      <c r="F144" s="6">
        <f t="shared" si="4"/>
        <v>283635.786</v>
      </c>
      <c r="G144" s="6">
        <f t="shared" si="5"/>
        <v>1314864.214</v>
      </c>
      <c r="H144" s="6">
        <f t="shared" si="6"/>
        <v>1598500</v>
      </c>
      <c r="I144" s="6">
        <f t="shared" si="7"/>
        <v>1094651.214</v>
      </c>
      <c r="J144" s="610">
        <v>9.05</v>
      </c>
      <c r="K144" s="591"/>
      <c r="L144" s="6"/>
      <c r="M144" s="9"/>
      <c r="N144" s="79"/>
      <c r="O144" s="6"/>
      <c r="P144" s="6"/>
      <c r="Q144" s="6"/>
      <c r="R144" s="6"/>
      <c r="S144" s="6"/>
      <c r="T144" s="622"/>
      <c r="U144" s="6"/>
      <c r="V144" s="6"/>
      <c r="W144" s="6"/>
      <c r="X144" s="6"/>
      <c r="Y144" s="6"/>
    </row>
    <row r="145" ht="11.25" customHeight="1">
      <c r="A145" s="7"/>
      <c r="B145" s="68">
        <f t="shared" si="8"/>
        <v>140</v>
      </c>
      <c r="C145" s="607">
        <v>11500.0</v>
      </c>
      <c r="D145" s="6">
        <f t="shared" si="9"/>
        <v>8255.494572</v>
      </c>
      <c r="E145" s="6">
        <f t="shared" si="1"/>
        <v>3244.505428</v>
      </c>
      <c r="F145" s="6">
        <f t="shared" si="4"/>
        <v>286880.2914</v>
      </c>
      <c r="G145" s="6">
        <f t="shared" si="5"/>
        <v>1323119.709</v>
      </c>
      <c r="H145" s="6">
        <f t="shared" si="6"/>
        <v>1610000</v>
      </c>
      <c r="I145" s="6">
        <f t="shared" si="7"/>
        <v>1091406.709</v>
      </c>
      <c r="J145" s="610">
        <v>9.05</v>
      </c>
      <c r="K145" s="591"/>
      <c r="L145" s="6"/>
      <c r="M145" s="9"/>
      <c r="N145" s="79"/>
      <c r="O145" s="6"/>
      <c r="P145" s="6"/>
      <c r="Q145" s="6"/>
      <c r="R145" s="6"/>
      <c r="S145" s="6"/>
      <c r="T145" s="622"/>
      <c r="U145" s="6"/>
      <c r="V145" s="6"/>
      <c r="W145" s="6"/>
      <c r="X145" s="6"/>
      <c r="Y145" s="6"/>
    </row>
    <row r="146" ht="11.25" customHeight="1">
      <c r="A146" s="7"/>
      <c r="B146" s="68">
        <f t="shared" si="8"/>
        <v>141</v>
      </c>
      <c r="C146" s="607">
        <v>11500.0</v>
      </c>
      <c r="D146" s="6">
        <f t="shared" si="9"/>
        <v>8231.025594</v>
      </c>
      <c r="E146" s="6">
        <f t="shared" si="1"/>
        <v>3268.974406</v>
      </c>
      <c r="F146" s="6">
        <f t="shared" si="4"/>
        <v>290149.2658</v>
      </c>
      <c r="G146" s="6">
        <f t="shared" si="5"/>
        <v>1331350.734</v>
      </c>
      <c r="H146" s="6">
        <f t="shared" si="6"/>
        <v>1621500</v>
      </c>
      <c r="I146" s="6">
        <f t="shared" si="7"/>
        <v>1088137.734</v>
      </c>
      <c r="J146" s="610">
        <v>9.05</v>
      </c>
      <c r="K146" s="591"/>
      <c r="L146" s="6"/>
      <c r="M146" s="9"/>
      <c r="N146" s="79"/>
      <c r="O146" s="6"/>
      <c r="P146" s="6"/>
      <c r="Q146" s="6"/>
      <c r="R146" s="6"/>
      <c r="S146" s="6"/>
      <c r="T146" s="622"/>
      <c r="U146" s="6"/>
      <c r="V146" s="6"/>
      <c r="W146" s="6"/>
      <c r="X146" s="6"/>
      <c r="Y146" s="6"/>
    </row>
    <row r="147" ht="11.25" customHeight="1">
      <c r="A147" s="7"/>
      <c r="B147" s="68">
        <f t="shared" si="8"/>
        <v>142</v>
      </c>
      <c r="C147" s="607">
        <v>11500.0</v>
      </c>
      <c r="D147" s="6">
        <f t="shared" si="9"/>
        <v>8206.372079</v>
      </c>
      <c r="E147" s="6">
        <f t="shared" si="1"/>
        <v>3293.627921</v>
      </c>
      <c r="F147" s="6">
        <f t="shared" si="4"/>
        <v>293442.8937</v>
      </c>
      <c r="G147" s="6">
        <f t="shared" si="5"/>
        <v>1339557.106</v>
      </c>
      <c r="H147" s="6">
        <f t="shared" si="6"/>
        <v>1633000</v>
      </c>
      <c r="I147" s="6">
        <f t="shared" si="7"/>
        <v>1084844.106</v>
      </c>
      <c r="J147" s="610">
        <v>9.05</v>
      </c>
      <c r="K147" s="591"/>
      <c r="L147" s="6"/>
      <c r="M147" s="9"/>
      <c r="N147" s="79"/>
      <c r="O147" s="6"/>
      <c r="P147" s="6"/>
      <c r="Q147" s="6"/>
      <c r="R147" s="6"/>
      <c r="S147" s="6"/>
      <c r="T147" s="622"/>
      <c r="U147" s="6"/>
      <c r="V147" s="6"/>
      <c r="W147" s="6"/>
      <c r="X147" s="6"/>
      <c r="Y147" s="6"/>
    </row>
    <row r="148" ht="11.25" customHeight="1">
      <c r="A148" s="7"/>
      <c r="B148" s="68">
        <f t="shared" si="8"/>
        <v>143</v>
      </c>
      <c r="C148" s="607">
        <v>11500.0</v>
      </c>
      <c r="D148" s="6">
        <f t="shared" si="9"/>
        <v>8181.532635</v>
      </c>
      <c r="E148" s="6">
        <f t="shared" si="1"/>
        <v>3318.467365</v>
      </c>
      <c r="F148" s="6">
        <f t="shared" si="4"/>
        <v>296761.3611</v>
      </c>
      <c r="G148" s="6">
        <f t="shared" si="5"/>
        <v>1347738.639</v>
      </c>
      <c r="H148" s="6">
        <f t="shared" si="6"/>
        <v>1644500</v>
      </c>
      <c r="I148" s="6">
        <f t="shared" si="7"/>
        <v>1081525.639</v>
      </c>
      <c r="J148" s="610">
        <v>9.05</v>
      </c>
      <c r="K148" s="591"/>
      <c r="L148" s="6"/>
      <c r="M148" s="9"/>
      <c r="N148" s="79"/>
      <c r="O148" s="6"/>
      <c r="P148" s="6"/>
      <c r="Q148" s="6"/>
      <c r="R148" s="6"/>
      <c r="S148" s="6"/>
      <c r="T148" s="622"/>
      <c r="U148" s="6"/>
      <c r="V148" s="6"/>
      <c r="W148" s="6"/>
      <c r="X148" s="6"/>
      <c r="Y148" s="6"/>
    </row>
    <row r="149" ht="11.25" customHeight="1">
      <c r="A149" s="71"/>
      <c r="B149" s="72">
        <f t="shared" si="8"/>
        <v>144</v>
      </c>
      <c r="C149" s="607">
        <v>11500.0</v>
      </c>
      <c r="D149" s="10">
        <f t="shared" si="9"/>
        <v>8156.50586</v>
      </c>
      <c r="E149" s="10">
        <f t="shared" si="1"/>
        <v>3343.49414</v>
      </c>
      <c r="F149" s="10">
        <f t="shared" si="4"/>
        <v>300104.8552</v>
      </c>
      <c r="G149" s="10">
        <f t="shared" si="5"/>
        <v>1355895.145</v>
      </c>
      <c r="H149" s="10">
        <f t="shared" si="6"/>
        <v>1656000</v>
      </c>
      <c r="I149" s="10">
        <f t="shared" si="7"/>
        <v>1078182.145</v>
      </c>
      <c r="J149" s="610">
        <v>9.05</v>
      </c>
      <c r="K149" s="591"/>
      <c r="L149" s="6"/>
      <c r="M149" s="9"/>
      <c r="N149" s="79"/>
      <c r="O149" s="6"/>
      <c r="P149" s="6"/>
      <c r="Q149" s="6"/>
      <c r="R149" s="6"/>
      <c r="S149" s="6"/>
      <c r="T149" s="622"/>
      <c r="U149" s="6"/>
      <c r="V149" s="6"/>
      <c r="W149" s="6"/>
      <c r="X149" s="6"/>
      <c r="Y149" s="6"/>
    </row>
    <row r="150" ht="11.25" customHeight="1">
      <c r="A150" s="100">
        <v>13.0</v>
      </c>
      <c r="B150" s="66">
        <f t="shared" si="8"/>
        <v>145</v>
      </c>
      <c r="C150" s="607">
        <v>11500.0</v>
      </c>
      <c r="D150" s="617">
        <f t="shared" si="9"/>
        <v>8131.290342</v>
      </c>
      <c r="E150" s="617">
        <f t="shared" si="1"/>
        <v>3368.709658</v>
      </c>
      <c r="F150" s="617">
        <f t="shared" si="4"/>
        <v>303473.5649</v>
      </c>
      <c r="G150" s="617">
        <f t="shared" si="5"/>
        <v>1364026.435</v>
      </c>
      <c r="H150" s="617">
        <f t="shared" si="6"/>
        <v>1667500</v>
      </c>
      <c r="I150" s="617">
        <f t="shared" si="7"/>
        <v>1074813.435</v>
      </c>
      <c r="J150" s="610">
        <v>9.05</v>
      </c>
      <c r="K150" s="591"/>
      <c r="L150" s="6"/>
      <c r="M150" s="9"/>
      <c r="N150" s="79"/>
      <c r="O150" s="6"/>
      <c r="P150" s="6"/>
      <c r="Q150" s="6"/>
      <c r="R150" s="6"/>
      <c r="S150" s="6"/>
      <c r="T150" s="622"/>
      <c r="U150" s="6"/>
      <c r="V150" s="6"/>
      <c r="W150" s="6"/>
      <c r="X150" s="6"/>
      <c r="Y150" s="6"/>
    </row>
    <row r="151" ht="11.25" customHeight="1">
      <c r="A151" s="7"/>
      <c r="B151" s="68">
        <f t="shared" si="8"/>
        <v>146</v>
      </c>
      <c r="C151" s="607">
        <v>11500.0</v>
      </c>
      <c r="D151" s="6">
        <f t="shared" si="9"/>
        <v>8105.884656</v>
      </c>
      <c r="E151" s="6">
        <f t="shared" si="1"/>
        <v>3394.115344</v>
      </c>
      <c r="F151" s="6">
        <f t="shared" si="4"/>
        <v>306867.6802</v>
      </c>
      <c r="G151" s="6">
        <f t="shared" si="5"/>
        <v>1372132.32</v>
      </c>
      <c r="H151" s="6">
        <f t="shared" si="6"/>
        <v>1679000</v>
      </c>
      <c r="I151" s="6">
        <f t="shared" si="7"/>
        <v>1071419.32</v>
      </c>
      <c r="J151" s="610">
        <v>9.05</v>
      </c>
      <c r="K151" s="591"/>
      <c r="L151" s="6"/>
      <c r="M151" s="9"/>
      <c r="N151" s="79"/>
      <c r="O151" s="6"/>
      <c r="P151" s="6"/>
      <c r="Q151" s="6"/>
      <c r="R151" s="6"/>
      <c r="S151" s="6"/>
      <c r="T151" s="622"/>
      <c r="U151" s="6"/>
      <c r="V151" s="6"/>
      <c r="W151" s="6"/>
      <c r="X151" s="6"/>
      <c r="Y151" s="6"/>
    </row>
    <row r="152" ht="11.25" customHeight="1">
      <c r="A152" s="7"/>
      <c r="B152" s="68">
        <f t="shared" si="8"/>
        <v>147</v>
      </c>
      <c r="C152" s="607">
        <v>11500.0</v>
      </c>
      <c r="D152" s="6">
        <f t="shared" si="9"/>
        <v>8080.28737</v>
      </c>
      <c r="E152" s="6">
        <f t="shared" si="1"/>
        <v>3419.71263</v>
      </c>
      <c r="F152" s="6">
        <f t="shared" si="4"/>
        <v>310287.3929</v>
      </c>
      <c r="G152" s="6">
        <f t="shared" si="5"/>
        <v>1380212.607</v>
      </c>
      <c r="H152" s="6">
        <f t="shared" si="6"/>
        <v>1690500</v>
      </c>
      <c r="I152" s="6">
        <f t="shared" si="7"/>
        <v>1067999.607</v>
      </c>
      <c r="J152" s="610">
        <v>9.05</v>
      </c>
      <c r="K152" s="591"/>
      <c r="L152" s="6"/>
      <c r="M152" s="9"/>
      <c r="N152" s="79"/>
      <c r="O152" s="6"/>
      <c r="P152" s="6"/>
      <c r="Q152" s="6"/>
      <c r="R152" s="6"/>
      <c r="S152" s="6"/>
      <c r="T152" s="622"/>
      <c r="U152" s="6"/>
      <c r="V152" s="6"/>
      <c r="W152" s="6"/>
      <c r="X152" s="6"/>
      <c r="Y152" s="6"/>
    </row>
    <row r="153" ht="11.25" customHeight="1">
      <c r="A153" s="7"/>
      <c r="B153" s="68">
        <f t="shared" si="8"/>
        <v>148</v>
      </c>
      <c r="C153" s="607">
        <v>11500.0</v>
      </c>
      <c r="D153" s="6">
        <f t="shared" si="9"/>
        <v>8054.497037</v>
      </c>
      <c r="E153" s="6">
        <f t="shared" si="1"/>
        <v>3445.502963</v>
      </c>
      <c r="F153" s="6">
        <f t="shared" si="4"/>
        <v>313732.8958</v>
      </c>
      <c r="G153" s="6">
        <f t="shared" si="5"/>
        <v>1388267.104</v>
      </c>
      <c r="H153" s="6">
        <f t="shared" si="6"/>
        <v>1702000</v>
      </c>
      <c r="I153" s="6">
        <f t="shared" si="7"/>
        <v>1064554.104</v>
      </c>
      <c r="J153" s="610">
        <v>9.05</v>
      </c>
      <c r="K153" s="591"/>
      <c r="L153" s="6"/>
      <c r="M153" s="9"/>
      <c r="N153" s="79"/>
      <c r="O153" s="6"/>
      <c r="P153" s="6"/>
      <c r="Q153" s="6"/>
      <c r="R153" s="6"/>
      <c r="S153" s="6"/>
      <c r="T153" s="622"/>
      <c r="U153" s="6"/>
      <c r="V153" s="6"/>
      <c r="W153" s="6"/>
      <c r="X153" s="6"/>
      <c r="Y153" s="6"/>
    </row>
    <row r="154" ht="11.25" customHeight="1">
      <c r="A154" s="7"/>
      <c r="B154" s="68">
        <f t="shared" si="8"/>
        <v>149</v>
      </c>
      <c r="C154" s="607">
        <v>11500.0</v>
      </c>
      <c r="D154" s="6">
        <f t="shared" si="9"/>
        <v>8028.512202</v>
      </c>
      <c r="E154" s="6">
        <f t="shared" si="1"/>
        <v>3471.487798</v>
      </c>
      <c r="F154" s="6">
        <f t="shared" si="4"/>
        <v>317204.3836</v>
      </c>
      <c r="G154" s="6">
        <f t="shared" si="5"/>
        <v>1396295.616</v>
      </c>
      <c r="H154" s="6">
        <f t="shared" si="6"/>
        <v>1713500</v>
      </c>
      <c r="I154" s="6">
        <f t="shared" si="7"/>
        <v>1061082.616</v>
      </c>
      <c r="J154" s="610">
        <v>9.05</v>
      </c>
      <c r="K154" s="591"/>
      <c r="L154" s="6"/>
      <c r="M154" s="9"/>
      <c r="N154" s="79"/>
      <c r="O154" s="6"/>
      <c r="P154" s="6"/>
      <c r="Q154" s="6"/>
      <c r="R154" s="6"/>
      <c r="S154" s="6"/>
      <c r="T154" s="622"/>
      <c r="U154" s="6"/>
      <c r="V154" s="6"/>
      <c r="W154" s="6"/>
      <c r="X154" s="6"/>
      <c r="Y154" s="6"/>
    </row>
    <row r="155" ht="11.25" customHeight="1">
      <c r="A155" s="7"/>
      <c r="B155" s="68">
        <f t="shared" si="8"/>
        <v>150</v>
      </c>
      <c r="C155" s="607">
        <v>11500.0</v>
      </c>
      <c r="D155" s="6">
        <f t="shared" si="9"/>
        <v>8002.331399</v>
      </c>
      <c r="E155" s="6">
        <f t="shared" si="1"/>
        <v>3497.668601</v>
      </c>
      <c r="F155" s="6">
        <f t="shared" si="4"/>
        <v>320702.0522</v>
      </c>
      <c r="G155" s="6">
        <f t="shared" si="5"/>
        <v>1404297.948</v>
      </c>
      <c r="H155" s="6">
        <f t="shared" si="6"/>
        <v>1725000</v>
      </c>
      <c r="I155" s="6">
        <f t="shared" si="7"/>
        <v>1057584.948</v>
      </c>
      <c r="J155" s="610">
        <v>9.05</v>
      </c>
      <c r="K155" s="591"/>
      <c r="L155" s="6"/>
      <c r="M155" s="9"/>
      <c r="N155" s="79"/>
      <c r="O155" s="6"/>
      <c r="P155" s="6"/>
      <c r="Q155" s="6"/>
      <c r="R155" s="6"/>
      <c r="S155" s="6"/>
      <c r="T155" s="622"/>
      <c r="U155" s="6"/>
      <c r="V155" s="6"/>
      <c r="W155" s="6"/>
      <c r="X155" s="6"/>
      <c r="Y155" s="6"/>
    </row>
    <row r="156" ht="11.25" customHeight="1">
      <c r="A156" s="7"/>
      <c r="B156" s="68">
        <f t="shared" si="8"/>
        <v>151</v>
      </c>
      <c r="C156" s="607">
        <v>11500.0</v>
      </c>
      <c r="D156" s="6">
        <f t="shared" si="9"/>
        <v>7975.953148</v>
      </c>
      <c r="E156" s="6">
        <f t="shared" si="1"/>
        <v>3524.046852</v>
      </c>
      <c r="F156" s="6">
        <f t="shared" si="4"/>
        <v>324226.0991</v>
      </c>
      <c r="G156" s="6">
        <f t="shared" si="5"/>
        <v>1412273.901</v>
      </c>
      <c r="H156" s="6">
        <f t="shared" si="6"/>
        <v>1736500</v>
      </c>
      <c r="I156" s="6">
        <f t="shared" si="7"/>
        <v>1054060.901</v>
      </c>
      <c r="J156" s="610">
        <v>9.05</v>
      </c>
      <c r="K156" s="591"/>
      <c r="L156" s="6"/>
      <c r="M156" s="9"/>
      <c r="N156" s="79"/>
      <c r="O156" s="6"/>
      <c r="P156" s="6"/>
      <c r="Q156" s="6"/>
      <c r="R156" s="6"/>
      <c r="S156" s="6"/>
      <c r="T156" s="622"/>
      <c r="U156" s="6"/>
      <c r="V156" s="6"/>
      <c r="W156" s="6"/>
      <c r="X156" s="6"/>
      <c r="Y156" s="6"/>
    </row>
    <row r="157" ht="11.25" customHeight="1">
      <c r="A157" s="7"/>
      <c r="B157" s="68">
        <f t="shared" si="8"/>
        <v>152</v>
      </c>
      <c r="C157" s="607">
        <v>11500.0</v>
      </c>
      <c r="D157" s="6">
        <f t="shared" si="9"/>
        <v>7949.375961</v>
      </c>
      <c r="E157" s="6">
        <f t="shared" si="1"/>
        <v>3550.624039</v>
      </c>
      <c r="F157" s="6">
        <f t="shared" si="4"/>
        <v>327776.7231</v>
      </c>
      <c r="G157" s="6">
        <f t="shared" si="5"/>
        <v>1420223.277</v>
      </c>
      <c r="H157" s="6">
        <f t="shared" si="6"/>
        <v>1748000</v>
      </c>
      <c r="I157" s="6">
        <f t="shared" si="7"/>
        <v>1050510.277</v>
      </c>
      <c r="J157" s="610">
        <v>9.05</v>
      </c>
      <c r="K157" s="591"/>
      <c r="L157" s="6"/>
      <c r="M157" s="9"/>
      <c r="N157" s="79"/>
      <c r="O157" s="6"/>
      <c r="P157" s="6"/>
      <c r="Q157" s="6"/>
      <c r="R157" s="6"/>
      <c r="S157" s="6"/>
      <c r="T157" s="622"/>
      <c r="U157" s="6"/>
      <c r="V157" s="6"/>
      <c r="W157" s="6"/>
      <c r="X157" s="6"/>
      <c r="Y157" s="6"/>
    </row>
    <row r="158" ht="11.25" customHeight="1">
      <c r="A158" s="7"/>
      <c r="B158" s="68">
        <f t="shared" si="8"/>
        <v>153</v>
      </c>
      <c r="C158" s="607">
        <v>11500.0</v>
      </c>
      <c r="D158" s="6">
        <f t="shared" si="9"/>
        <v>7922.598338</v>
      </c>
      <c r="E158" s="6">
        <f t="shared" si="1"/>
        <v>3577.401662</v>
      </c>
      <c r="F158" s="6">
        <f t="shared" si="4"/>
        <v>331354.1248</v>
      </c>
      <c r="G158" s="6">
        <f t="shared" si="5"/>
        <v>1428145.875</v>
      </c>
      <c r="H158" s="6">
        <f t="shared" si="6"/>
        <v>1759500</v>
      </c>
      <c r="I158" s="6">
        <f t="shared" si="7"/>
        <v>1046932.875</v>
      </c>
      <c r="J158" s="610">
        <v>9.05</v>
      </c>
      <c r="K158" s="591"/>
      <c r="L158" s="6"/>
      <c r="M158" s="9"/>
      <c r="N158" s="79"/>
      <c r="O158" s="6"/>
      <c r="P158" s="6"/>
      <c r="Q158" s="6"/>
      <c r="R158" s="6"/>
      <c r="S158" s="6"/>
      <c r="T158" s="622"/>
      <c r="U158" s="6"/>
      <c r="V158" s="6"/>
      <c r="W158" s="6"/>
      <c r="X158" s="6"/>
      <c r="Y158" s="6"/>
    </row>
    <row r="159" ht="11.25" customHeight="1">
      <c r="A159" s="7"/>
      <c r="B159" s="68">
        <f t="shared" si="8"/>
        <v>154</v>
      </c>
      <c r="C159" s="607">
        <v>11500.0</v>
      </c>
      <c r="D159" s="6">
        <f t="shared" si="9"/>
        <v>7895.618767</v>
      </c>
      <c r="E159" s="6">
        <f t="shared" si="1"/>
        <v>3604.381233</v>
      </c>
      <c r="F159" s="6">
        <f t="shared" si="4"/>
        <v>334958.506</v>
      </c>
      <c r="G159" s="6">
        <f t="shared" si="5"/>
        <v>1436041.494</v>
      </c>
      <c r="H159" s="6">
        <f t="shared" si="6"/>
        <v>1771000</v>
      </c>
      <c r="I159" s="6">
        <f t="shared" si="7"/>
        <v>1043328.494</v>
      </c>
      <c r="J159" s="610">
        <v>9.05</v>
      </c>
      <c r="K159" s="591"/>
      <c r="L159" s="6"/>
      <c r="M159" s="9"/>
      <c r="N159" s="79"/>
      <c r="O159" s="6"/>
      <c r="P159" s="6"/>
      <c r="Q159" s="6"/>
      <c r="R159" s="6"/>
      <c r="S159" s="6"/>
      <c r="T159" s="622"/>
      <c r="U159" s="6"/>
      <c r="V159" s="6"/>
      <c r="W159" s="6"/>
      <c r="X159" s="6"/>
      <c r="Y159" s="6"/>
    </row>
    <row r="160" ht="11.25" customHeight="1">
      <c r="A160" s="7"/>
      <c r="B160" s="68">
        <f t="shared" si="8"/>
        <v>155</v>
      </c>
      <c r="C160" s="607">
        <v>11500.0</v>
      </c>
      <c r="D160" s="6">
        <f t="shared" si="9"/>
        <v>7868.435726</v>
      </c>
      <c r="E160" s="6">
        <f t="shared" si="1"/>
        <v>3631.564274</v>
      </c>
      <c r="F160" s="6">
        <f t="shared" si="4"/>
        <v>338590.0703</v>
      </c>
      <c r="G160" s="6">
        <f t="shared" si="5"/>
        <v>1443909.93</v>
      </c>
      <c r="H160" s="6">
        <f t="shared" si="6"/>
        <v>1782500</v>
      </c>
      <c r="I160" s="6">
        <f t="shared" si="7"/>
        <v>1039696.93</v>
      </c>
      <c r="J160" s="610">
        <v>9.05</v>
      </c>
      <c r="K160" s="591"/>
      <c r="L160" s="6"/>
      <c r="M160" s="9"/>
      <c r="N160" s="79"/>
      <c r="O160" s="6"/>
      <c r="P160" s="6"/>
      <c r="Q160" s="6"/>
      <c r="R160" s="6"/>
      <c r="S160" s="6"/>
      <c r="T160" s="622"/>
      <c r="U160" s="6"/>
      <c r="V160" s="6"/>
      <c r="W160" s="6"/>
      <c r="X160" s="6"/>
      <c r="Y160" s="6"/>
    </row>
    <row r="161" ht="11.25" customHeight="1">
      <c r="A161" s="71"/>
      <c r="B161" s="72">
        <f t="shared" si="8"/>
        <v>156</v>
      </c>
      <c r="C161" s="607">
        <v>11500.0</v>
      </c>
      <c r="D161" s="10">
        <f t="shared" si="9"/>
        <v>7841.047678</v>
      </c>
      <c r="E161" s="10">
        <f t="shared" si="1"/>
        <v>3658.952322</v>
      </c>
      <c r="F161" s="10">
        <f t="shared" si="4"/>
        <v>342249.0226</v>
      </c>
      <c r="G161" s="10">
        <f t="shared" si="5"/>
        <v>1451750.977</v>
      </c>
      <c r="H161" s="10">
        <f t="shared" si="6"/>
        <v>1794000</v>
      </c>
      <c r="I161" s="10">
        <f t="shared" si="7"/>
        <v>1036037.977</v>
      </c>
      <c r="J161" s="610">
        <v>9.05</v>
      </c>
      <c r="K161" s="591"/>
      <c r="L161" s="6"/>
      <c r="M161" s="9"/>
      <c r="N161" s="79"/>
      <c r="O161" s="6"/>
      <c r="P161" s="6"/>
      <c r="Q161" s="6"/>
      <c r="R161" s="6"/>
      <c r="S161" s="6"/>
      <c r="T161" s="622"/>
      <c r="U161" s="6"/>
      <c r="V161" s="6"/>
      <c r="W161" s="6"/>
      <c r="X161" s="6"/>
      <c r="Y161" s="6"/>
    </row>
    <row r="162" ht="11.25" customHeight="1">
      <c r="A162" s="100">
        <v>14.0</v>
      </c>
      <c r="B162" s="66">
        <f t="shared" si="8"/>
        <v>157</v>
      </c>
      <c r="C162" s="607">
        <v>11500.0</v>
      </c>
      <c r="D162" s="617">
        <f t="shared" si="9"/>
        <v>7813.45308</v>
      </c>
      <c r="E162" s="617">
        <f t="shared" si="1"/>
        <v>3686.54692</v>
      </c>
      <c r="F162" s="617">
        <f t="shared" si="4"/>
        <v>345935.5695</v>
      </c>
      <c r="G162" s="617">
        <f t="shared" si="5"/>
        <v>1459564.43</v>
      </c>
      <c r="H162" s="617">
        <f t="shared" si="6"/>
        <v>1805500</v>
      </c>
      <c r="I162" s="617">
        <f t="shared" si="7"/>
        <v>1032351.43</v>
      </c>
      <c r="J162" s="610">
        <v>9.05</v>
      </c>
      <c r="K162" s="591"/>
      <c r="L162" s="6"/>
      <c r="M162" s="9"/>
      <c r="N162" s="79"/>
      <c r="O162" s="6"/>
      <c r="P162" s="6"/>
      <c r="Q162" s="6"/>
      <c r="R162" s="6"/>
      <c r="S162" s="6"/>
      <c r="T162" s="622"/>
      <c r="U162" s="6"/>
      <c r="V162" s="6"/>
      <c r="W162" s="6"/>
      <c r="X162" s="6"/>
      <c r="Y162" s="6"/>
    </row>
    <row r="163" ht="11.25" customHeight="1">
      <c r="A163" s="7"/>
      <c r="B163" s="68">
        <f t="shared" si="8"/>
        <v>158</v>
      </c>
      <c r="C163" s="607">
        <v>11500.0</v>
      </c>
      <c r="D163" s="6">
        <f t="shared" si="9"/>
        <v>7785.650372</v>
      </c>
      <c r="E163" s="6">
        <f t="shared" si="1"/>
        <v>3714.349628</v>
      </c>
      <c r="F163" s="6">
        <f t="shared" si="4"/>
        <v>349649.9192</v>
      </c>
      <c r="G163" s="6">
        <f t="shared" si="5"/>
        <v>1467350.081</v>
      </c>
      <c r="H163" s="6">
        <f t="shared" si="6"/>
        <v>1817000</v>
      </c>
      <c r="I163" s="6">
        <f t="shared" si="7"/>
        <v>1028637.081</v>
      </c>
      <c r="J163" s="610">
        <v>9.05</v>
      </c>
      <c r="K163" s="591"/>
      <c r="L163" s="6"/>
      <c r="M163" s="9"/>
      <c r="N163" s="79"/>
      <c r="O163" s="6"/>
      <c r="P163" s="6"/>
      <c r="Q163" s="6"/>
      <c r="R163" s="6"/>
      <c r="S163" s="6"/>
      <c r="T163" s="622"/>
      <c r="U163" s="6"/>
      <c r="V163" s="6"/>
      <c r="W163" s="6"/>
      <c r="X163" s="6"/>
      <c r="Y163" s="6"/>
    </row>
    <row r="164" ht="11.25" customHeight="1">
      <c r="A164" s="7"/>
      <c r="B164" s="68">
        <f t="shared" si="8"/>
        <v>159</v>
      </c>
      <c r="C164" s="607">
        <v>11500.0</v>
      </c>
      <c r="D164" s="6">
        <f t="shared" si="9"/>
        <v>7757.637985</v>
      </c>
      <c r="E164" s="6">
        <f t="shared" si="1"/>
        <v>3742.362015</v>
      </c>
      <c r="F164" s="6">
        <f t="shared" si="4"/>
        <v>353392.2812</v>
      </c>
      <c r="G164" s="6">
        <f t="shared" si="5"/>
        <v>1475107.719</v>
      </c>
      <c r="H164" s="6">
        <f t="shared" si="6"/>
        <v>1828500</v>
      </c>
      <c r="I164" s="6">
        <f t="shared" si="7"/>
        <v>1024894.719</v>
      </c>
      <c r="J164" s="610">
        <v>9.05</v>
      </c>
      <c r="K164" s="591"/>
      <c r="L164" s="6"/>
      <c r="M164" s="9"/>
      <c r="N164" s="79"/>
      <c r="O164" s="6"/>
      <c r="P164" s="6"/>
      <c r="Q164" s="6"/>
      <c r="R164" s="6"/>
      <c r="S164" s="6"/>
      <c r="T164" s="622"/>
      <c r="U164" s="6"/>
      <c r="V164" s="6"/>
      <c r="W164" s="6"/>
      <c r="X164" s="6"/>
      <c r="Y164" s="6"/>
    </row>
    <row r="165" ht="11.25" customHeight="1">
      <c r="A165" s="7"/>
      <c r="B165" s="68">
        <f t="shared" si="8"/>
        <v>160</v>
      </c>
      <c r="C165" s="607">
        <v>11500.0</v>
      </c>
      <c r="D165" s="6">
        <f t="shared" si="9"/>
        <v>7729.414338</v>
      </c>
      <c r="E165" s="6">
        <f t="shared" si="1"/>
        <v>3770.585662</v>
      </c>
      <c r="F165" s="6">
        <f t="shared" si="4"/>
        <v>357162.8668</v>
      </c>
      <c r="G165" s="6">
        <f t="shared" si="5"/>
        <v>1482837.133</v>
      </c>
      <c r="H165" s="6">
        <f t="shared" si="6"/>
        <v>1840000</v>
      </c>
      <c r="I165" s="6">
        <f t="shared" si="7"/>
        <v>1021124.133</v>
      </c>
      <c r="J165" s="610">
        <v>9.05</v>
      </c>
      <c r="K165" s="591"/>
      <c r="L165" s="6"/>
      <c r="M165" s="9"/>
      <c r="N165" s="79"/>
      <c r="O165" s="6"/>
      <c r="P165" s="6"/>
      <c r="Q165" s="6"/>
      <c r="R165" s="6"/>
      <c r="S165" s="6"/>
      <c r="T165" s="622"/>
      <c r="U165" s="6"/>
      <c r="V165" s="6"/>
      <c r="W165" s="6"/>
      <c r="X165" s="6"/>
      <c r="Y165" s="6"/>
    </row>
    <row r="166" ht="11.25" customHeight="1">
      <c r="A166" s="7"/>
      <c r="B166" s="68">
        <f t="shared" si="8"/>
        <v>161</v>
      </c>
      <c r="C166" s="607">
        <v>11500.0</v>
      </c>
      <c r="D166" s="6">
        <f t="shared" si="9"/>
        <v>7700.977838</v>
      </c>
      <c r="E166" s="6">
        <f t="shared" si="1"/>
        <v>3799.022162</v>
      </c>
      <c r="F166" s="6">
        <f t="shared" si="4"/>
        <v>360961.889</v>
      </c>
      <c r="G166" s="6">
        <f t="shared" si="5"/>
        <v>1490538.111</v>
      </c>
      <c r="H166" s="6">
        <f t="shared" si="6"/>
        <v>1851500</v>
      </c>
      <c r="I166" s="6">
        <f t="shared" si="7"/>
        <v>1017325.111</v>
      </c>
      <c r="J166" s="610">
        <v>9.05</v>
      </c>
      <c r="K166" s="591"/>
      <c r="L166" s="6"/>
      <c r="M166" s="9"/>
      <c r="N166" s="79"/>
      <c r="O166" s="6"/>
      <c r="P166" s="6"/>
      <c r="Q166" s="6"/>
      <c r="R166" s="6"/>
      <c r="S166" s="6"/>
      <c r="T166" s="622"/>
      <c r="U166" s="6"/>
      <c r="V166" s="6"/>
      <c r="W166" s="6"/>
      <c r="X166" s="6"/>
      <c r="Y166" s="6"/>
    </row>
    <row r="167" ht="11.25" customHeight="1">
      <c r="A167" s="7"/>
      <c r="B167" s="68">
        <f t="shared" si="8"/>
        <v>162</v>
      </c>
      <c r="C167" s="607">
        <v>11500.0</v>
      </c>
      <c r="D167" s="6">
        <f t="shared" si="9"/>
        <v>7672.326879</v>
      </c>
      <c r="E167" s="6">
        <f t="shared" si="1"/>
        <v>3827.673121</v>
      </c>
      <c r="F167" s="6">
        <f t="shared" si="4"/>
        <v>364789.5621</v>
      </c>
      <c r="G167" s="6">
        <f t="shared" si="5"/>
        <v>1498210.438</v>
      </c>
      <c r="H167" s="6">
        <f t="shared" si="6"/>
        <v>1863000</v>
      </c>
      <c r="I167" s="6">
        <f t="shared" si="7"/>
        <v>1013497.438</v>
      </c>
      <c r="J167" s="610">
        <v>9.05</v>
      </c>
      <c r="K167" s="591"/>
      <c r="L167" s="6"/>
      <c r="M167" s="9"/>
      <c r="N167" s="79"/>
      <c r="O167" s="6"/>
      <c r="P167" s="6"/>
      <c r="Q167" s="6"/>
      <c r="R167" s="6"/>
      <c r="S167" s="6"/>
      <c r="T167" s="622"/>
      <c r="U167" s="6"/>
      <c r="V167" s="6"/>
      <c r="W167" s="6"/>
      <c r="X167" s="6"/>
      <c r="Y167" s="6"/>
    </row>
    <row r="168" ht="11.25" customHeight="1">
      <c r="A168" s="7"/>
      <c r="B168" s="68">
        <f t="shared" si="8"/>
        <v>163</v>
      </c>
      <c r="C168" s="607">
        <v>11500.0</v>
      </c>
      <c r="D168" s="6">
        <f t="shared" si="9"/>
        <v>7643.459844</v>
      </c>
      <c r="E168" s="6">
        <f t="shared" si="1"/>
        <v>3856.540156</v>
      </c>
      <c r="F168" s="6">
        <f t="shared" si="4"/>
        <v>368646.1023</v>
      </c>
      <c r="G168" s="6">
        <f t="shared" si="5"/>
        <v>1505853.898</v>
      </c>
      <c r="H168" s="6">
        <f t="shared" si="6"/>
        <v>1874500</v>
      </c>
      <c r="I168" s="6">
        <f t="shared" si="7"/>
        <v>1009640.898</v>
      </c>
      <c r="J168" s="610">
        <v>9.05</v>
      </c>
      <c r="K168" s="591"/>
      <c r="L168" s="6"/>
      <c r="M168" s="9"/>
      <c r="N168" s="79"/>
      <c r="O168" s="6"/>
      <c r="P168" s="6"/>
      <c r="Q168" s="6"/>
      <c r="R168" s="6"/>
      <c r="S168" s="6"/>
      <c r="T168" s="622"/>
      <c r="U168" s="6"/>
      <c r="V168" s="6"/>
      <c r="W168" s="6"/>
      <c r="X168" s="6"/>
      <c r="Y168" s="6"/>
    </row>
    <row r="169" ht="11.25" customHeight="1">
      <c r="A169" s="7"/>
      <c r="B169" s="68">
        <f t="shared" si="8"/>
        <v>164</v>
      </c>
      <c r="C169" s="607">
        <v>11500.0</v>
      </c>
      <c r="D169" s="6">
        <f t="shared" si="9"/>
        <v>7614.375104</v>
      </c>
      <c r="E169" s="6">
        <f t="shared" si="1"/>
        <v>3885.624896</v>
      </c>
      <c r="F169" s="6">
        <f t="shared" si="4"/>
        <v>372531.7272</v>
      </c>
      <c r="G169" s="6">
        <f t="shared" si="5"/>
        <v>1513468.273</v>
      </c>
      <c r="H169" s="6">
        <f t="shared" si="6"/>
        <v>1886000</v>
      </c>
      <c r="I169" s="6">
        <f t="shared" si="7"/>
        <v>1005755.273</v>
      </c>
      <c r="J169" s="610">
        <v>9.05</v>
      </c>
      <c r="K169" s="591"/>
      <c r="L169" s="6"/>
      <c r="M169" s="9"/>
      <c r="N169" s="79"/>
      <c r="O169" s="6"/>
      <c r="P169" s="6"/>
      <c r="Q169" s="6"/>
      <c r="R169" s="6"/>
      <c r="S169" s="6"/>
      <c r="T169" s="622"/>
      <c r="U169" s="6"/>
      <c r="V169" s="6"/>
      <c r="W169" s="6"/>
      <c r="X169" s="6"/>
      <c r="Y169" s="6"/>
    </row>
    <row r="170" ht="11.25" customHeight="1">
      <c r="A170" s="7"/>
      <c r="B170" s="68">
        <f t="shared" si="8"/>
        <v>165</v>
      </c>
      <c r="C170" s="607">
        <v>11500.0</v>
      </c>
      <c r="D170" s="6">
        <f t="shared" si="9"/>
        <v>7585.071016</v>
      </c>
      <c r="E170" s="6">
        <f t="shared" si="1"/>
        <v>3914.928984</v>
      </c>
      <c r="F170" s="6">
        <f t="shared" si="4"/>
        <v>376446.6561</v>
      </c>
      <c r="G170" s="6">
        <f t="shared" si="5"/>
        <v>1521053.344</v>
      </c>
      <c r="H170" s="6">
        <f t="shared" si="6"/>
        <v>1897500</v>
      </c>
      <c r="I170" s="6">
        <f t="shared" si="7"/>
        <v>1001840.344</v>
      </c>
      <c r="J170" s="610">
        <v>9.05</v>
      </c>
      <c r="K170" s="591"/>
      <c r="L170" s="6"/>
      <c r="M170" s="9"/>
      <c r="N170" s="79"/>
      <c r="O170" s="6"/>
      <c r="P170" s="6"/>
      <c r="Q170" s="6"/>
      <c r="R170" s="6"/>
      <c r="S170" s="6"/>
      <c r="T170" s="622"/>
      <c r="U170" s="6"/>
      <c r="V170" s="6"/>
      <c r="W170" s="6"/>
      <c r="X170" s="6"/>
      <c r="Y170" s="6"/>
    </row>
    <row r="171" ht="11.25" customHeight="1">
      <c r="A171" s="7"/>
      <c r="B171" s="68">
        <f t="shared" si="8"/>
        <v>166</v>
      </c>
      <c r="C171" s="607">
        <v>11500.0</v>
      </c>
      <c r="D171" s="6">
        <f t="shared" si="9"/>
        <v>7555.545927</v>
      </c>
      <c r="E171" s="6">
        <f t="shared" si="1"/>
        <v>3944.454073</v>
      </c>
      <c r="F171" s="6">
        <f t="shared" si="4"/>
        <v>380391.1102</v>
      </c>
      <c r="G171" s="6">
        <f t="shared" si="5"/>
        <v>1528608.89</v>
      </c>
      <c r="H171" s="6">
        <f t="shared" si="6"/>
        <v>1909000</v>
      </c>
      <c r="I171" s="6">
        <f t="shared" si="7"/>
        <v>997895.8898</v>
      </c>
      <c r="J171" s="610">
        <v>9.05</v>
      </c>
      <c r="K171" s="591"/>
      <c r="L171" s="6"/>
      <c r="M171" s="9"/>
      <c r="N171" s="79"/>
      <c r="O171" s="6"/>
      <c r="P171" s="6"/>
      <c r="Q171" s="6"/>
      <c r="R171" s="6"/>
      <c r="S171" s="6"/>
      <c r="T171" s="622"/>
      <c r="U171" s="6"/>
      <c r="V171" s="6"/>
      <c r="W171" s="6"/>
      <c r="X171" s="6"/>
      <c r="Y171" s="6"/>
    </row>
    <row r="172" ht="11.25" customHeight="1">
      <c r="A172" s="7"/>
      <c r="B172" s="68">
        <f t="shared" si="8"/>
        <v>167</v>
      </c>
      <c r="C172" s="607">
        <v>11500.0</v>
      </c>
      <c r="D172" s="6">
        <f t="shared" si="9"/>
        <v>7525.798169</v>
      </c>
      <c r="E172" s="6">
        <f t="shared" si="1"/>
        <v>3974.201831</v>
      </c>
      <c r="F172" s="6">
        <f t="shared" si="4"/>
        <v>384365.3121</v>
      </c>
      <c r="G172" s="6">
        <f t="shared" si="5"/>
        <v>1536134.688</v>
      </c>
      <c r="H172" s="6">
        <f t="shared" si="6"/>
        <v>1920500</v>
      </c>
      <c r="I172" s="6">
        <f t="shared" si="7"/>
        <v>993921.6879</v>
      </c>
      <c r="J172" s="610">
        <v>9.05</v>
      </c>
      <c r="K172" s="591"/>
      <c r="L172" s="6"/>
      <c r="M172" s="9"/>
      <c r="N172" s="79"/>
      <c r="O172" s="6"/>
      <c r="P172" s="6"/>
      <c r="Q172" s="6"/>
      <c r="R172" s="6"/>
      <c r="S172" s="6"/>
      <c r="T172" s="622"/>
      <c r="U172" s="6"/>
      <c r="V172" s="6"/>
      <c r="W172" s="6"/>
      <c r="X172" s="6"/>
      <c r="Y172" s="6"/>
    </row>
    <row r="173" ht="11.25" customHeight="1">
      <c r="A173" s="71"/>
      <c r="B173" s="72">
        <f t="shared" si="8"/>
        <v>168</v>
      </c>
      <c r="C173" s="607">
        <v>11500.0</v>
      </c>
      <c r="D173" s="10">
        <f t="shared" si="9"/>
        <v>7495.826063</v>
      </c>
      <c r="E173" s="10">
        <f t="shared" si="1"/>
        <v>4004.173937</v>
      </c>
      <c r="F173" s="10">
        <f t="shared" si="4"/>
        <v>388369.486</v>
      </c>
      <c r="G173" s="10">
        <f t="shared" si="5"/>
        <v>1543630.514</v>
      </c>
      <c r="H173" s="10">
        <f t="shared" si="6"/>
        <v>1932000</v>
      </c>
      <c r="I173" s="10">
        <f t="shared" si="7"/>
        <v>989917.514</v>
      </c>
      <c r="J173" s="610">
        <v>9.05</v>
      </c>
      <c r="K173" s="591"/>
      <c r="L173" s="6"/>
      <c r="M173" s="9"/>
      <c r="N173" s="79"/>
      <c r="O173" s="6"/>
      <c r="P173" s="6"/>
      <c r="Q173" s="6"/>
      <c r="R173" s="6"/>
      <c r="S173" s="6"/>
      <c r="T173" s="622"/>
      <c r="U173" s="6"/>
      <c r="V173" s="6"/>
      <c r="W173" s="6"/>
      <c r="X173" s="6"/>
      <c r="Y173" s="6"/>
    </row>
    <row r="174" ht="11.25" customHeight="1">
      <c r="A174" s="100">
        <v>15.0</v>
      </c>
      <c r="B174" s="66">
        <f t="shared" si="8"/>
        <v>169</v>
      </c>
      <c r="C174" s="607">
        <v>11500.0</v>
      </c>
      <c r="D174" s="617">
        <f t="shared" si="9"/>
        <v>7465.627918</v>
      </c>
      <c r="E174" s="617">
        <f t="shared" si="1"/>
        <v>4034.372082</v>
      </c>
      <c r="F174" s="617">
        <f t="shared" si="4"/>
        <v>392403.8581</v>
      </c>
      <c r="G174" s="617">
        <f t="shared" si="5"/>
        <v>1551096.142</v>
      </c>
      <c r="H174" s="617">
        <f t="shared" si="6"/>
        <v>1943500</v>
      </c>
      <c r="I174" s="617">
        <f t="shared" si="7"/>
        <v>985883.1419</v>
      </c>
      <c r="J174" s="610">
        <v>9.05</v>
      </c>
      <c r="K174" s="591"/>
      <c r="L174" s="6"/>
      <c r="M174" s="9"/>
      <c r="N174" s="79"/>
      <c r="O174" s="6"/>
      <c r="P174" s="6"/>
      <c r="Q174" s="6"/>
      <c r="R174" s="6"/>
      <c r="S174" s="6"/>
      <c r="T174" s="622"/>
      <c r="U174" s="6"/>
      <c r="V174" s="6"/>
      <c r="W174" s="6"/>
      <c r="X174" s="6"/>
      <c r="Y174" s="6"/>
    </row>
    <row r="175" ht="11.25" customHeight="1">
      <c r="A175" s="7"/>
      <c r="B175" s="68">
        <f t="shared" si="8"/>
        <v>170</v>
      </c>
      <c r="C175" s="607">
        <v>11500.0</v>
      </c>
      <c r="D175" s="6">
        <f t="shared" si="9"/>
        <v>7435.202029</v>
      </c>
      <c r="E175" s="6">
        <f t="shared" si="1"/>
        <v>4064.797971</v>
      </c>
      <c r="F175" s="6">
        <f t="shared" si="4"/>
        <v>396468.656</v>
      </c>
      <c r="G175" s="6">
        <f t="shared" si="5"/>
        <v>1558531.344</v>
      </c>
      <c r="H175" s="6">
        <f t="shared" si="6"/>
        <v>1955000</v>
      </c>
      <c r="I175" s="6">
        <f t="shared" si="7"/>
        <v>981818.344</v>
      </c>
      <c r="J175" s="610">
        <v>9.05</v>
      </c>
      <c r="K175" s="591"/>
      <c r="L175" s="6"/>
      <c r="M175" s="9"/>
      <c r="N175" s="79"/>
      <c r="O175" s="6"/>
      <c r="P175" s="6"/>
      <c r="Q175" s="6"/>
      <c r="R175" s="6"/>
      <c r="S175" s="6"/>
      <c r="T175" s="622"/>
      <c r="U175" s="6"/>
      <c r="V175" s="6"/>
      <c r="W175" s="6"/>
      <c r="X175" s="6"/>
      <c r="Y175" s="6"/>
    </row>
    <row r="176" ht="11.25" customHeight="1">
      <c r="A176" s="7"/>
      <c r="B176" s="68">
        <f t="shared" si="8"/>
        <v>171</v>
      </c>
      <c r="C176" s="607">
        <v>11500.0</v>
      </c>
      <c r="D176" s="6">
        <f t="shared" si="9"/>
        <v>7404.546677</v>
      </c>
      <c r="E176" s="6">
        <f t="shared" si="1"/>
        <v>4095.453323</v>
      </c>
      <c r="F176" s="6">
        <f t="shared" si="4"/>
        <v>400564.1094</v>
      </c>
      <c r="G176" s="6">
        <f t="shared" si="5"/>
        <v>1565935.891</v>
      </c>
      <c r="H176" s="6">
        <f t="shared" si="6"/>
        <v>1966500</v>
      </c>
      <c r="I176" s="6">
        <f t="shared" si="7"/>
        <v>977722.8906</v>
      </c>
      <c r="J176" s="610">
        <v>9.05</v>
      </c>
      <c r="K176" s="591"/>
      <c r="L176" s="6"/>
      <c r="M176" s="9"/>
      <c r="N176" s="79"/>
      <c r="O176" s="6"/>
      <c r="P176" s="6"/>
      <c r="Q176" s="6"/>
      <c r="R176" s="6"/>
      <c r="S176" s="6"/>
      <c r="T176" s="622"/>
      <c r="U176" s="6"/>
      <c r="V176" s="6"/>
      <c r="W176" s="6"/>
      <c r="X176" s="6"/>
      <c r="Y176" s="6"/>
    </row>
    <row r="177" ht="11.25" customHeight="1">
      <c r="A177" s="7"/>
      <c r="B177" s="68">
        <f t="shared" si="8"/>
        <v>172</v>
      </c>
      <c r="C177" s="607">
        <v>11500.0</v>
      </c>
      <c r="D177" s="6">
        <f t="shared" si="9"/>
        <v>7373.660134</v>
      </c>
      <c r="E177" s="6">
        <f t="shared" si="1"/>
        <v>4126.339866</v>
      </c>
      <c r="F177" s="6">
        <f t="shared" si="4"/>
        <v>404690.4492</v>
      </c>
      <c r="G177" s="6">
        <f t="shared" si="5"/>
        <v>1573309.551</v>
      </c>
      <c r="H177" s="6">
        <f t="shared" si="6"/>
        <v>1978000</v>
      </c>
      <c r="I177" s="6">
        <f t="shared" si="7"/>
        <v>973596.5508</v>
      </c>
      <c r="J177" s="610">
        <v>9.05</v>
      </c>
      <c r="K177" s="591"/>
      <c r="L177" s="6"/>
      <c r="M177" s="9"/>
      <c r="N177" s="79"/>
      <c r="O177" s="6"/>
      <c r="P177" s="6"/>
      <c r="Q177" s="6"/>
      <c r="R177" s="6"/>
      <c r="S177" s="6"/>
      <c r="T177" s="622"/>
      <c r="U177" s="6"/>
      <c r="V177" s="6"/>
      <c r="W177" s="6"/>
      <c r="X177" s="6"/>
      <c r="Y177" s="6"/>
    </row>
    <row r="178" ht="11.25" customHeight="1">
      <c r="A178" s="7"/>
      <c r="B178" s="68">
        <f t="shared" si="8"/>
        <v>173</v>
      </c>
      <c r="C178" s="607">
        <v>11500.0</v>
      </c>
      <c r="D178" s="6">
        <f t="shared" si="9"/>
        <v>7342.540654</v>
      </c>
      <c r="E178" s="6">
        <f t="shared" si="1"/>
        <v>4157.459346</v>
      </c>
      <c r="F178" s="6">
        <f t="shared" si="4"/>
        <v>408847.9086</v>
      </c>
      <c r="G178" s="6">
        <f t="shared" si="5"/>
        <v>1580652.091</v>
      </c>
      <c r="H178" s="6">
        <f t="shared" si="6"/>
        <v>1989500</v>
      </c>
      <c r="I178" s="6">
        <f t="shared" si="7"/>
        <v>969439.0914</v>
      </c>
      <c r="J178" s="610">
        <v>9.05</v>
      </c>
      <c r="K178" s="591"/>
      <c r="L178" s="6"/>
      <c r="M178" s="9"/>
      <c r="N178" s="79"/>
      <c r="O178" s="6"/>
      <c r="P178" s="6"/>
      <c r="Q178" s="6"/>
      <c r="R178" s="6"/>
      <c r="S178" s="6"/>
      <c r="T178" s="622"/>
      <c r="U178" s="6"/>
      <c r="V178" s="6"/>
      <c r="W178" s="6"/>
      <c r="X178" s="6"/>
      <c r="Y178" s="6"/>
    </row>
    <row r="179" ht="11.25" customHeight="1">
      <c r="A179" s="7"/>
      <c r="B179" s="68">
        <f t="shared" si="8"/>
        <v>174</v>
      </c>
      <c r="C179" s="607">
        <v>11500.0</v>
      </c>
      <c r="D179" s="6">
        <f t="shared" si="9"/>
        <v>7311.186481</v>
      </c>
      <c r="E179" s="6">
        <f t="shared" si="1"/>
        <v>4188.813519</v>
      </c>
      <c r="F179" s="6">
        <f t="shared" si="4"/>
        <v>413036.7221</v>
      </c>
      <c r="G179" s="6">
        <f t="shared" si="5"/>
        <v>1587963.278</v>
      </c>
      <c r="H179" s="6">
        <f t="shared" si="6"/>
        <v>2001000</v>
      </c>
      <c r="I179" s="6">
        <f t="shared" si="7"/>
        <v>965250.2779</v>
      </c>
      <c r="J179" s="610">
        <v>9.05</v>
      </c>
      <c r="K179" s="591"/>
      <c r="L179" s="6"/>
      <c r="M179" s="9"/>
      <c r="N179" s="79"/>
      <c r="O179" s="6"/>
      <c r="P179" s="6"/>
      <c r="Q179" s="6"/>
      <c r="R179" s="6"/>
      <c r="S179" s="6"/>
      <c r="T179" s="622"/>
      <c r="U179" s="6"/>
      <c r="V179" s="6"/>
      <c r="W179" s="6"/>
      <c r="X179" s="6"/>
      <c r="Y179" s="6"/>
    </row>
    <row r="180" ht="11.25" customHeight="1">
      <c r="A180" s="7"/>
      <c r="B180" s="68">
        <f t="shared" si="8"/>
        <v>175</v>
      </c>
      <c r="C180" s="607">
        <v>11500.0</v>
      </c>
      <c r="D180" s="6">
        <f t="shared" si="9"/>
        <v>7279.595846</v>
      </c>
      <c r="E180" s="6">
        <f t="shared" si="1"/>
        <v>4220.404154</v>
      </c>
      <c r="F180" s="6">
        <f t="shared" si="4"/>
        <v>417257.1263</v>
      </c>
      <c r="G180" s="6">
        <f t="shared" si="5"/>
        <v>1595242.874</v>
      </c>
      <c r="H180" s="6">
        <f t="shared" si="6"/>
        <v>2012500</v>
      </c>
      <c r="I180" s="6">
        <f t="shared" si="7"/>
        <v>961029.8737</v>
      </c>
      <c r="J180" s="610">
        <v>9.05</v>
      </c>
      <c r="K180" s="591"/>
      <c r="L180" s="6"/>
      <c r="M180" s="9"/>
      <c r="N180" s="79"/>
      <c r="O180" s="6"/>
      <c r="P180" s="6"/>
      <c r="Q180" s="6"/>
      <c r="R180" s="6"/>
      <c r="S180" s="6"/>
      <c r="T180" s="622"/>
      <c r="U180" s="6"/>
      <c r="V180" s="6"/>
      <c r="W180" s="6"/>
      <c r="X180" s="6"/>
      <c r="Y180" s="6"/>
    </row>
    <row r="181" ht="11.25" customHeight="1">
      <c r="A181" s="7"/>
      <c r="B181" s="68">
        <f t="shared" si="8"/>
        <v>176</v>
      </c>
      <c r="C181" s="607">
        <v>11500.0</v>
      </c>
      <c r="D181" s="6">
        <f t="shared" si="9"/>
        <v>7247.766965</v>
      </c>
      <c r="E181" s="6">
        <f t="shared" si="1"/>
        <v>4252.233035</v>
      </c>
      <c r="F181" s="6">
        <f t="shared" si="4"/>
        <v>421509.3593</v>
      </c>
      <c r="G181" s="6">
        <f t="shared" si="5"/>
        <v>1602490.641</v>
      </c>
      <c r="H181" s="6">
        <f t="shared" si="6"/>
        <v>2024000</v>
      </c>
      <c r="I181" s="6">
        <f t="shared" si="7"/>
        <v>956777.6407</v>
      </c>
      <c r="J181" s="610">
        <v>9.05</v>
      </c>
      <c r="K181" s="591"/>
      <c r="L181" s="6"/>
      <c r="M181" s="9"/>
      <c r="N181" s="79"/>
      <c r="O181" s="6"/>
      <c r="P181" s="6"/>
      <c r="Q181" s="6"/>
      <c r="R181" s="6"/>
      <c r="S181" s="6"/>
      <c r="T181" s="622"/>
      <c r="U181" s="6"/>
      <c r="V181" s="6"/>
      <c r="W181" s="6"/>
      <c r="X181" s="6"/>
      <c r="Y181" s="6"/>
    </row>
    <row r="182" ht="11.25" customHeight="1">
      <c r="A182" s="7"/>
      <c r="B182" s="68">
        <f t="shared" si="8"/>
        <v>177</v>
      </c>
      <c r="C182" s="607">
        <v>11500.0</v>
      </c>
      <c r="D182" s="6">
        <f t="shared" si="9"/>
        <v>7215.69804</v>
      </c>
      <c r="E182" s="6">
        <f t="shared" si="1"/>
        <v>4284.30196</v>
      </c>
      <c r="F182" s="6">
        <f t="shared" si="4"/>
        <v>425793.6612</v>
      </c>
      <c r="G182" s="6">
        <f t="shared" si="5"/>
        <v>1609706.339</v>
      </c>
      <c r="H182" s="6">
        <f t="shared" si="6"/>
        <v>2035500</v>
      </c>
      <c r="I182" s="6">
        <f t="shared" si="7"/>
        <v>952493.3388</v>
      </c>
      <c r="J182" s="610">
        <v>9.05</v>
      </c>
      <c r="K182" s="591"/>
      <c r="L182" s="6"/>
      <c r="M182" s="9"/>
      <c r="N182" s="79"/>
      <c r="O182" s="6"/>
      <c r="P182" s="6"/>
      <c r="Q182" s="6"/>
      <c r="R182" s="6"/>
      <c r="S182" s="6"/>
      <c r="T182" s="622"/>
      <c r="U182" s="6"/>
      <c r="V182" s="6"/>
      <c r="W182" s="6"/>
      <c r="X182" s="6"/>
      <c r="Y182" s="6"/>
    </row>
    <row r="183" ht="11.25" customHeight="1">
      <c r="A183" s="7"/>
      <c r="B183" s="68">
        <f t="shared" si="8"/>
        <v>178</v>
      </c>
      <c r="C183" s="607">
        <v>11500.0</v>
      </c>
      <c r="D183" s="6">
        <f t="shared" si="9"/>
        <v>7183.387263</v>
      </c>
      <c r="E183" s="6">
        <f t="shared" si="1"/>
        <v>4316.612737</v>
      </c>
      <c r="F183" s="6">
        <f t="shared" si="4"/>
        <v>430110.274</v>
      </c>
      <c r="G183" s="6">
        <f t="shared" si="5"/>
        <v>1616889.726</v>
      </c>
      <c r="H183" s="6">
        <f t="shared" si="6"/>
        <v>2047000</v>
      </c>
      <c r="I183" s="6">
        <f t="shared" si="7"/>
        <v>948176.726</v>
      </c>
      <c r="J183" s="610">
        <v>9.05</v>
      </c>
      <c r="K183" s="591"/>
      <c r="L183" s="6"/>
      <c r="M183" s="9"/>
      <c r="N183" s="79"/>
      <c r="O183" s="6"/>
      <c r="P183" s="6"/>
      <c r="Q183" s="6"/>
      <c r="R183" s="6"/>
      <c r="S183" s="6"/>
      <c r="T183" s="622"/>
      <c r="U183" s="6"/>
      <c r="V183" s="6"/>
      <c r="W183" s="6"/>
      <c r="X183" s="6"/>
      <c r="Y183" s="6"/>
    </row>
    <row r="184" ht="11.25" customHeight="1">
      <c r="A184" s="7"/>
      <c r="B184" s="68">
        <f t="shared" si="8"/>
        <v>179</v>
      </c>
      <c r="C184" s="607">
        <v>11500.0</v>
      </c>
      <c r="D184" s="6">
        <f t="shared" si="9"/>
        <v>7150.832809</v>
      </c>
      <c r="E184" s="6">
        <f t="shared" si="1"/>
        <v>4349.167191</v>
      </c>
      <c r="F184" s="6">
        <f t="shared" si="4"/>
        <v>434459.4412</v>
      </c>
      <c r="G184" s="6">
        <f t="shared" si="5"/>
        <v>1624040.559</v>
      </c>
      <c r="H184" s="6">
        <f t="shared" si="6"/>
        <v>2058500</v>
      </c>
      <c r="I184" s="6">
        <f t="shared" si="7"/>
        <v>943827.5588</v>
      </c>
      <c r="J184" s="610">
        <v>9.05</v>
      </c>
      <c r="K184" s="591"/>
      <c r="L184" s="6"/>
      <c r="M184" s="9"/>
      <c r="N184" s="79"/>
      <c r="O184" s="6"/>
      <c r="P184" s="6"/>
      <c r="Q184" s="6"/>
      <c r="R184" s="6"/>
      <c r="S184" s="6"/>
      <c r="T184" s="622"/>
      <c r="U184" s="6"/>
      <c r="V184" s="6"/>
      <c r="W184" s="6"/>
      <c r="X184" s="6"/>
      <c r="Y184" s="6"/>
    </row>
    <row r="185" ht="11.25" customHeight="1">
      <c r="A185" s="71"/>
      <c r="B185" s="72">
        <f t="shared" si="8"/>
        <v>180</v>
      </c>
      <c r="C185" s="607">
        <v>11500.0</v>
      </c>
      <c r="D185" s="10">
        <f t="shared" si="9"/>
        <v>7118.032839</v>
      </c>
      <c r="E185" s="10">
        <f t="shared" si="1"/>
        <v>4381.967161</v>
      </c>
      <c r="F185" s="10">
        <f t="shared" si="4"/>
        <v>438841.4083</v>
      </c>
      <c r="G185" s="10">
        <f t="shared" si="5"/>
        <v>1631158.592</v>
      </c>
      <c r="H185" s="10">
        <f t="shared" si="6"/>
        <v>2070000</v>
      </c>
      <c r="I185" s="10">
        <f t="shared" si="7"/>
        <v>939445.5917</v>
      </c>
      <c r="J185" s="610">
        <v>9.05</v>
      </c>
      <c r="K185" s="591"/>
      <c r="L185" s="6"/>
      <c r="M185" s="9"/>
      <c r="N185" s="79"/>
      <c r="O185" s="6"/>
      <c r="P185" s="6"/>
      <c r="Q185" s="6"/>
      <c r="R185" s="6"/>
      <c r="S185" s="6"/>
      <c r="T185" s="622"/>
      <c r="U185" s="6"/>
      <c r="V185" s="6"/>
      <c r="W185" s="6"/>
      <c r="X185" s="6"/>
      <c r="Y185" s="6"/>
    </row>
    <row r="186" ht="11.25" customHeight="1">
      <c r="A186" s="100">
        <v>16.0</v>
      </c>
      <c r="B186" s="66">
        <f t="shared" si="8"/>
        <v>181</v>
      </c>
      <c r="C186" s="607">
        <v>11500.0</v>
      </c>
      <c r="D186" s="617">
        <f t="shared" si="9"/>
        <v>7084.985504</v>
      </c>
      <c r="E186" s="617">
        <f t="shared" si="1"/>
        <v>4415.014496</v>
      </c>
      <c r="F186" s="617">
        <f t="shared" si="4"/>
        <v>443256.4228</v>
      </c>
      <c r="G186" s="617">
        <f t="shared" si="5"/>
        <v>1638243.577</v>
      </c>
      <c r="H186" s="617">
        <f t="shared" si="6"/>
        <v>2081500</v>
      </c>
      <c r="I186" s="617">
        <f t="shared" si="7"/>
        <v>935030.5772</v>
      </c>
      <c r="J186" s="610">
        <v>9.05</v>
      </c>
      <c r="K186" s="591"/>
      <c r="L186" s="6"/>
      <c r="M186" s="9"/>
      <c r="N186" s="79"/>
      <c r="O186" s="6"/>
      <c r="P186" s="6"/>
      <c r="Q186" s="6"/>
      <c r="R186" s="6"/>
      <c r="S186" s="6"/>
      <c r="T186" s="622"/>
      <c r="U186" s="6"/>
      <c r="V186" s="6"/>
      <c r="W186" s="6"/>
      <c r="X186" s="6"/>
      <c r="Y186" s="6"/>
    </row>
    <row r="187" ht="11.25" customHeight="1">
      <c r="A187" s="7"/>
      <c r="B187" s="68">
        <f t="shared" si="8"/>
        <v>182</v>
      </c>
      <c r="C187" s="607">
        <v>11500.0</v>
      </c>
      <c r="D187" s="6">
        <f t="shared" si="9"/>
        <v>7051.688936</v>
      </c>
      <c r="E187" s="6">
        <f t="shared" si="1"/>
        <v>4448.311064</v>
      </c>
      <c r="F187" s="6">
        <f t="shared" si="4"/>
        <v>447704.7339</v>
      </c>
      <c r="G187" s="6">
        <f t="shared" si="5"/>
        <v>1645295.266</v>
      </c>
      <c r="H187" s="6">
        <f t="shared" si="6"/>
        <v>2093000</v>
      </c>
      <c r="I187" s="6">
        <f t="shared" si="7"/>
        <v>930582.2661</v>
      </c>
      <c r="J187" s="610">
        <v>9.05</v>
      </c>
      <c r="K187" s="591"/>
      <c r="L187" s="6"/>
      <c r="M187" s="9"/>
      <c r="N187" s="79"/>
      <c r="O187" s="6"/>
      <c r="P187" s="6"/>
      <c r="Q187" s="6"/>
      <c r="R187" s="6"/>
      <c r="S187" s="6"/>
      <c r="T187" s="622"/>
      <c r="U187" s="6"/>
      <c r="V187" s="6"/>
      <c r="W187" s="6"/>
      <c r="X187" s="6"/>
      <c r="Y187" s="6"/>
    </row>
    <row r="188" ht="11.25" customHeight="1">
      <c r="A188" s="7"/>
      <c r="B188" s="68">
        <f t="shared" si="8"/>
        <v>183</v>
      </c>
      <c r="C188" s="607">
        <v>11500.0</v>
      </c>
      <c r="D188" s="6">
        <f t="shared" si="9"/>
        <v>7018.141257</v>
      </c>
      <c r="E188" s="6">
        <f t="shared" si="1"/>
        <v>4481.858743</v>
      </c>
      <c r="F188" s="6">
        <f t="shared" si="4"/>
        <v>452186.5926</v>
      </c>
      <c r="G188" s="6">
        <f t="shared" si="5"/>
        <v>1652313.407</v>
      </c>
      <c r="H188" s="6">
        <f t="shared" si="6"/>
        <v>2104500</v>
      </c>
      <c r="I188" s="6">
        <f t="shared" si="7"/>
        <v>926100.4074</v>
      </c>
      <c r="J188" s="610">
        <v>9.05</v>
      </c>
      <c r="K188" s="591"/>
      <c r="L188" s="6"/>
      <c r="M188" s="9"/>
      <c r="N188" s="79"/>
      <c r="O188" s="6"/>
      <c r="P188" s="6"/>
      <c r="Q188" s="6"/>
      <c r="R188" s="6"/>
      <c r="S188" s="6"/>
      <c r="T188" s="622"/>
      <c r="U188" s="6"/>
      <c r="V188" s="6"/>
      <c r="W188" s="6"/>
      <c r="X188" s="6"/>
      <c r="Y188" s="6"/>
    </row>
    <row r="189" ht="11.25" customHeight="1">
      <c r="A189" s="7"/>
      <c r="B189" s="68">
        <f t="shared" si="8"/>
        <v>184</v>
      </c>
      <c r="C189" s="607">
        <v>11500.0</v>
      </c>
      <c r="D189" s="6">
        <f t="shared" si="9"/>
        <v>6984.340572</v>
      </c>
      <c r="E189" s="6">
        <f t="shared" si="1"/>
        <v>4515.659428</v>
      </c>
      <c r="F189" s="6">
        <f t="shared" si="4"/>
        <v>456702.2521</v>
      </c>
      <c r="G189" s="6">
        <f t="shared" si="5"/>
        <v>1659297.748</v>
      </c>
      <c r="H189" s="6">
        <f t="shared" si="6"/>
        <v>2116000</v>
      </c>
      <c r="I189" s="6">
        <f t="shared" si="7"/>
        <v>921584.7479</v>
      </c>
      <c r="J189" s="610">
        <v>9.05</v>
      </c>
      <c r="K189" s="591"/>
      <c r="L189" s="6"/>
      <c r="M189" s="9"/>
      <c r="N189" s="79"/>
      <c r="O189" s="6"/>
      <c r="P189" s="6"/>
      <c r="Q189" s="6"/>
      <c r="R189" s="6"/>
      <c r="S189" s="6"/>
      <c r="T189" s="622"/>
      <c r="U189" s="6"/>
      <c r="V189" s="6"/>
      <c r="W189" s="6"/>
      <c r="X189" s="6"/>
      <c r="Y189" s="6"/>
    </row>
    <row r="190" ht="11.25" customHeight="1">
      <c r="A190" s="7"/>
      <c r="B190" s="68">
        <f t="shared" si="8"/>
        <v>185</v>
      </c>
      <c r="C190" s="607">
        <v>11500.0</v>
      </c>
      <c r="D190" s="6">
        <f t="shared" si="9"/>
        <v>6950.284974</v>
      </c>
      <c r="E190" s="6">
        <f t="shared" si="1"/>
        <v>4549.715026</v>
      </c>
      <c r="F190" s="6">
        <f t="shared" si="4"/>
        <v>461251.9671</v>
      </c>
      <c r="G190" s="6">
        <f t="shared" si="5"/>
        <v>1666248.033</v>
      </c>
      <c r="H190" s="6">
        <f t="shared" si="6"/>
        <v>2127500</v>
      </c>
      <c r="I190" s="6">
        <f t="shared" si="7"/>
        <v>917035.0329</v>
      </c>
      <c r="J190" s="610">
        <v>9.05</v>
      </c>
      <c r="K190" s="591"/>
      <c r="L190" s="6"/>
      <c r="M190" s="9"/>
      <c r="N190" s="79"/>
      <c r="O190" s="6"/>
      <c r="P190" s="6"/>
      <c r="Q190" s="6"/>
      <c r="R190" s="6"/>
      <c r="S190" s="6"/>
      <c r="T190" s="622"/>
      <c r="U190" s="6"/>
      <c r="V190" s="6"/>
      <c r="W190" s="6"/>
      <c r="X190" s="6"/>
      <c r="Y190" s="6"/>
    </row>
    <row r="191" ht="11.25" customHeight="1">
      <c r="A191" s="7"/>
      <c r="B191" s="68">
        <f t="shared" si="8"/>
        <v>186</v>
      </c>
      <c r="C191" s="607">
        <v>11500.0</v>
      </c>
      <c r="D191" s="6">
        <f t="shared" si="9"/>
        <v>6915.97254</v>
      </c>
      <c r="E191" s="6">
        <f t="shared" si="1"/>
        <v>4584.02746</v>
      </c>
      <c r="F191" s="6">
        <f t="shared" si="4"/>
        <v>465835.9946</v>
      </c>
      <c r="G191" s="6">
        <f t="shared" si="5"/>
        <v>1673164.005</v>
      </c>
      <c r="H191" s="6">
        <f t="shared" si="6"/>
        <v>2139000</v>
      </c>
      <c r="I191" s="6">
        <f t="shared" si="7"/>
        <v>912451.0054</v>
      </c>
      <c r="J191" s="610">
        <v>9.05</v>
      </c>
      <c r="K191" s="591"/>
      <c r="L191" s="6"/>
      <c r="M191" s="9"/>
      <c r="N191" s="79"/>
      <c r="O191" s="6"/>
      <c r="P191" s="6"/>
      <c r="Q191" s="6"/>
      <c r="R191" s="6"/>
      <c r="S191" s="6"/>
      <c r="T191" s="622"/>
      <c r="U191" s="6"/>
      <c r="V191" s="6"/>
      <c r="W191" s="6"/>
      <c r="X191" s="6"/>
      <c r="Y191" s="6"/>
    </row>
    <row r="192" ht="11.25" customHeight="1">
      <c r="A192" s="7"/>
      <c r="B192" s="68">
        <f t="shared" si="8"/>
        <v>187</v>
      </c>
      <c r="C192" s="607">
        <v>11500.0</v>
      </c>
      <c r="D192" s="6">
        <f t="shared" si="9"/>
        <v>6881.401333</v>
      </c>
      <c r="E192" s="6">
        <f t="shared" si="1"/>
        <v>4618.598667</v>
      </c>
      <c r="F192" s="6">
        <f t="shared" si="4"/>
        <v>470454.5932</v>
      </c>
      <c r="G192" s="6">
        <f t="shared" si="5"/>
        <v>1680045.407</v>
      </c>
      <c r="H192" s="6">
        <f t="shared" si="6"/>
        <v>2150500</v>
      </c>
      <c r="I192" s="6">
        <f t="shared" si="7"/>
        <v>907832.4068</v>
      </c>
      <c r="J192" s="610">
        <v>9.05</v>
      </c>
      <c r="K192" s="591"/>
      <c r="L192" s="6"/>
      <c r="M192" s="9"/>
      <c r="N192" s="79"/>
      <c r="O192" s="6"/>
      <c r="P192" s="6"/>
      <c r="Q192" s="6"/>
      <c r="R192" s="6"/>
      <c r="S192" s="6"/>
      <c r="T192" s="622"/>
      <c r="U192" s="6"/>
      <c r="V192" s="6"/>
      <c r="W192" s="6"/>
      <c r="X192" s="6"/>
      <c r="Y192" s="6"/>
    </row>
    <row r="193" ht="11.25" customHeight="1">
      <c r="A193" s="7"/>
      <c r="B193" s="68">
        <f t="shared" si="8"/>
        <v>188</v>
      </c>
      <c r="C193" s="607">
        <v>11500.0</v>
      </c>
      <c r="D193" s="6">
        <f t="shared" si="9"/>
        <v>6846.569401</v>
      </c>
      <c r="E193" s="6">
        <f t="shared" si="1"/>
        <v>4653.430599</v>
      </c>
      <c r="F193" s="6">
        <f t="shared" si="4"/>
        <v>475108.0238</v>
      </c>
      <c r="G193" s="6">
        <f t="shared" si="5"/>
        <v>1686891.976</v>
      </c>
      <c r="H193" s="6">
        <f t="shared" si="6"/>
        <v>2162000</v>
      </c>
      <c r="I193" s="6">
        <f t="shared" si="7"/>
        <v>903178.9762</v>
      </c>
      <c r="J193" s="610">
        <v>9.05</v>
      </c>
      <c r="K193" s="591"/>
      <c r="L193" s="6"/>
      <c r="M193" s="9"/>
      <c r="N193" s="79"/>
      <c r="O193" s="6"/>
      <c r="P193" s="6"/>
      <c r="Q193" s="6"/>
      <c r="R193" s="6"/>
      <c r="S193" s="6"/>
      <c r="T193" s="622"/>
      <c r="U193" s="6"/>
      <c r="V193" s="6"/>
      <c r="W193" s="6"/>
      <c r="X193" s="6"/>
      <c r="Y193" s="6"/>
    </row>
    <row r="194" ht="11.25" customHeight="1">
      <c r="A194" s="7"/>
      <c r="B194" s="68">
        <f t="shared" si="8"/>
        <v>189</v>
      </c>
      <c r="C194" s="607">
        <v>11500.0</v>
      </c>
      <c r="D194" s="6">
        <f t="shared" si="9"/>
        <v>6811.474779</v>
      </c>
      <c r="E194" s="6">
        <f t="shared" si="1"/>
        <v>4688.525221</v>
      </c>
      <c r="F194" s="6">
        <f t="shared" si="4"/>
        <v>479796.549</v>
      </c>
      <c r="G194" s="6">
        <f t="shared" si="5"/>
        <v>1693703.451</v>
      </c>
      <c r="H194" s="6">
        <f t="shared" si="6"/>
        <v>2173500</v>
      </c>
      <c r="I194" s="6">
        <f t="shared" si="7"/>
        <v>898490.451</v>
      </c>
      <c r="J194" s="610">
        <v>9.05</v>
      </c>
      <c r="K194" s="591"/>
      <c r="L194" s="6"/>
      <c r="M194" s="9"/>
      <c r="N194" s="79"/>
      <c r="O194" s="6"/>
      <c r="P194" s="6"/>
      <c r="Q194" s="6"/>
      <c r="R194" s="6"/>
      <c r="S194" s="6"/>
      <c r="T194" s="622"/>
      <c r="U194" s="6"/>
      <c r="V194" s="6"/>
      <c r="W194" s="6"/>
      <c r="X194" s="6"/>
      <c r="Y194" s="6"/>
    </row>
    <row r="195" ht="11.25" customHeight="1">
      <c r="A195" s="7"/>
      <c r="B195" s="68">
        <f t="shared" si="8"/>
        <v>190</v>
      </c>
      <c r="C195" s="607">
        <v>11500.0</v>
      </c>
      <c r="D195" s="6">
        <f t="shared" si="9"/>
        <v>6776.115484</v>
      </c>
      <c r="E195" s="6">
        <f t="shared" si="1"/>
        <v>4723.884516</v>
      </c>
      <c r="F195" s="6">
        <f t="shared" si="4"/>
        <v>484520.4336</v>
      </c>
      <c r="G195" s="6">
        <f t="shared" si="5"/>
        <v>1700479.566</v>
      </c>
      <c r="H195" s="6">
        <f t="shared" si="6"/>
        <v>2185000</v>
      </c>
      <c r="I195" s="6">
        <f t="shared" si="7"/>
        <v>893766.5664</v>
      </c>
      <c r="J195" s="610">
        <v>9.05</v>
      </c>
      <c r="K195" s="591"/>
      <c r="L195" s="6"/>
      <c r="M195" s="9"/>
      <c r="N195" s="79"/>
      <c r="O195" s="6"/>
      <c r="P195" s="6"/>
      <c r="Q195" s="6"/>
      <c r="R195" s="6"/>
      <c r="S195" s="6"/>
      <c r="T195" s="622"/>
      <c r="U195" s="6"/>
      <c r="V195" s="6"/>
      <c r="W195" s="6"/>
      <c r="X195" s="6"/>
      <c r="Y195" s="6"/>
    </row>
    <row r="196" ht="11.25" customHeight="1">
      <c r="A196" s="7"/>
      <c r="B196" s="68">
        <f t="shared" si="8"/>
        <v>191</v>
      </c>
      <c r="C196" s="607">
        <v>11500.0</v>
      </c>
      <c r="D196" s="6">
        <f t="shared" si="9"/>
        <v>6740.489522</v>
      </c>
      <c r="E196" s="6">
        <f t="shared" si="1"/>
        <v>4759.510478</v>
      </c>
      <c r="F196" s="6">
        <f t="shared" si="4"/>
        <v>489279.944</v>
      </c>
      <c r="G196" s="6">
        <f t="shared" si="5"/>
        <v>1707220.056</v>
      </c>
      <c r="H196" s="6">
        <f t="shared" si="6"/>
        <v>2196500</v>
      </c>
      <c r="I196" s="6">
        <f t="shared" si="7"/>
        <v>889007.056</v>
      </c>
      <c r="J196" s="610">
        <v>9.05</v>
      </c>
      <c r="K196" s="591"/>
      <c r="L196" s="6"/>
      <c r="M196" s="9"/>
      <c r="N196" s="79"/>
      <c r="O196" s="6"/>
      <c r="P196" s="6"/>
      <c r="Q196" s="6"/>
      <c r="R196" s="6"/>
      <c r="S196" s="6"/>
      <c r="T196" s="622"/>
      <c r="U196" s="6"/>
      <c r="V196" s="6"/>
      <c r="W196" s="6"/>
      <c r="X196" s="6"/>
      <c r="Y196" s="6"/>
    </row>
    <row r="197" ht="11.25" customHeight="1">
      <c r="A197" s="71"/>
      <c r="B197" s="72">
        <f t="shared" si="8"/>
        <v>192</v>
      </c>
      <c r="C197" s="607">
        <v>11500.0</v>
      </c>
      <c r="D197" s="10">
        <f t="shared" si="9"/>
        <v>6704.59488</v>
      </c>
      <c r="E197" s="10">
        <f t="shared" si="1"/>
        <v>4795.40512</v>
      </c>
      <c r="F197" s="10">
        <f t="shared" si="4"/>
        <v>494075.3492</v>
      </c>
      <c r="G197" s="10">
        <f t="shared" si="5"/>
        <v>1713924.651</v>
      </c>
      <c r="H197" s="10">
        <f t="shared" si="6"/>
        <v>2208000</v>
      </c>
      <c r="I197" s="10">
        <f t="shared" si="7"/>
        <v>884211.6508</v>
      </c>
      <c r="J197" s="610">
        <v>9.05</v>
      </c>
      <c r="K197" s="591"/>
      <c r="L197" s="6"/>
      <c r="M197" s="9"/>
      <c r="N197" s="79"/>
      <c r="O197" s="6"/>
      <c r="P197" s="6"/>
      <c r="Q197" s="6"/>
      <c r="R197" s="6"/>
      <c r="S197" s="6"/>
      <c r="T197" s="622"/>
      <c r="U197" s="6"/>
      <c r="V197" s="6"/>
      <c r="W197" s="6"/>
      <c r="X197" s="6"/>
      <c r="Y197" s="6"/>
    </row>
    <row r="198" ht="11.25" customHeight="1">
      <c r="A198" s="100">
        <v>17.0</v>
      </c>
      <c r="B198" s="66">
        <f t="shared" si="8"/>
        <v>193</v>
      </c>
      <c r="C198" s="607">
        <v>11500.0</v>
      </c>
      <c r="D198" s="617">
        <f t="shared" si="9"/>
        <v>6668.429533</v>
      </c>
      <c r="E198" s="617">
        <f t="shared" si="1"/>
        <v>4831.570467</v>
      </c>
      <c r="F198" s="617">
        <f t="shared" si="4"/>
        <v>498906.9196</v>
      </c>
      <c r="G198" s="617">
        <f t="shared" si="5"/>
        <v>1720593.08</v>
      </c>
      <c r="H198" s="617">
        <f t="shared" si="6"/>
        <v>2219500</v>
      </c>
      <c r="I198" s="617">
        <f t="shared" si="7"/>
        <v>879380.0804</v>
      </c>
      <c r="J198" s="610">
        <v>9.05</v>
      </c>
      <c r="K198" s="591"/>
      <c r="L198" s="6"/>
      <c r="M198" s="9"/>
      <c r="N198" s="79"/>
      <c r="O198" s="6"/>
      <c r="P198" s="6"/>
      <c r="Q198" s="6"/>
      <c r="R198" s="6"/>
      <c r="S198" s="6"/>
      <c r="T198" s="622"/>
      <c r="U198" s="6"/>
      <c r="V198" s="6"/>
      <c r="W198" s="6"/>
      <c r="X198" s="6"/>
      <c r="Y198" s="6"/>
    </row>
    <row r="199" ht="11.25" customHeight="1">
      <c r="A199" s="7"/>
      <c r="B199" s="68">
        <f t="shared" si="8"/>
        <v>194</v>
      </c>
      <c r="C199" s="607">
        <v>11500.0</v>
      </c>
      <c r="D199" s="6">
        <f t="shared" si="9"/>
        <v>6631.99144</v>
      </c>
      <c r="E199" s="6">
        <f t="shared" si="1"/>
        <v>4868.00856</v>
      </c>
      <c r="F199" s="6">
        <f t="shared" si="4"/>
        <v>503774.9282</v>
      </c>
      <c r="G199" s="6">
        <f t="shared" si="5"/>
        <v>1727225.072</v>
      </c>
      <c r="H199" s="6">
        <f t="shared" si="6"/>
        <v>2231000</v>
      </c>
      <c r="I199" s="6">
        <f t="shared" si="7"/>
        <v>874512.0718</v>
      </c>
      <c r="J199" s="610">
        <v>9.05</v>
      </c>
      <c r="K199" s="591"/>
      <c r="L199" s="6"/>
      <c r="M199" s="9"/>
      <c r="N199" s="79"/>
      <c r="O199" s="6"/>
      <c r="P199" s="6"/>
      <c r="Q199" s="6"/>
      <c r="R199" s="6"/>
      <c r="S199" s="6"/>
      <c r="T199" s="622"/>
      <c r="U199" s="6"/>
      <c r="V199" s="6"/>
      <c r="W199" s="6"/>
      <c r="X199" s="6"/>
      <c r="Y199" s="6"/>
    </row>
    <row r="200" ht="11.25" customHeight="1">
      <c r="A200" s="7"/>
      <c r="B200" s="68">
        <f t="shared" si="8"/>
        <v>195</v>
      </c>
      <c r="C200" s="607">
        <v>11500.0</v>
      </c>
      <c r="D200" s="6">
        <f t="shared" si="9"/>
        <v>6595.278542</v>
      </c>
      <c r="E200" s="6">
        <f t="shared" si="1"/>
        <v>4904.721458</v>
      </c>
      <c r="F200" s="6">
        <f t="shared" si="4"/>
        <v>508679.6496</v>
      </c>
      <c r="G200" s="6">
        <f t="shared" si="5"/>
        <v>1733820.35</v>
      </c>
      <c r="H200" s="6">
        <f t="shared" si="6"/>
        <v>2242500</v>
      </c>
      <c r="I200" s="6">
        <f t="shared" si="7"/>
        <v>869607.3504</v>
      </c>
      <c r="J200" s="610">
        <v>9.05</v>
      </c>
      <c r="K200" s="591"/>
      <c r="L200" s="6"/>
      <c r="M200" s="9"/>
      <c r="N200" s="79"/>
      <c r="O200" s="6"/>
      <c r="P200" s="6"/>
      <c r="Q200" s="6"/>
      <c r="R200" s="6"/>
      <c r="S200" s="6"/>
      <c r="T200" s="622"/>
      <c r="U200" s="6"/>
      <c r="V200" s="6"/>
      <c r="W200" s="6"/>
      <c r="X200" s="6"/>
      <c r="Y200" s="6"/>
    </row>
    <row r="201" ht="11.25" customHeight="1">
      <c r="A201" s="7"/>
      <c r="B201" s="68">
        <f t="shared" si="8"/>
        <v>196</v>
      </c>
      <c r="C201" s="607">
        <v>11500.0</v>
      </c>
      <c r="D201" s="6">
        <f t="shared" si="9"/>
        <v>6558.288767</v>
      </c>
      <c r="E201" s="6">
        <f t="shared" si="1"/>
        <v>4941.711233</v>
      </c>
      <c r="F201" s="6">
        <f t="shared" si="4"/>
        <v>513621.3609</v>
      </c>
      <c r="G201" s="6">
        <f t="shared" si="5"/>
        <v>1740378.639</v>
      </c>
      <c r="H201" s="6">
        <f t="shared" si="6"/>
        <v>2254000</v>
      </c>
      <c r="I201" s="6">
        <f t="shared" si="7"/>
        <v>864665.6391</v>
      </c>
      <c r="J201" s="610">
        <v>9.05</v>
      </c>
      <c r="K201" s="591"/>
      <c r="L201" s="6"/>
      <c r="M201" s="9"/>
      <c r="N201" s="79"/>
      <c r="O201" s="6"/>
      <c r="P201" s="6"/>
      <c r="Q201" s="6"/>
      <c r="R201" s="6"/>
      <c r="S201" s="6"/>
      <c r="T201" s="622"/>
      <c r="U201" s="6"/>
      <c r="V201" s="6"/>
      <c r="W201" s="6"/>
      <c r="X201" s="6"/>
      <c r="Y201" s="6"/>
    </row>
    <row r="202" ht="11.25" customHeight="1">
      <c r="A202" s="7"/>
      <c r="B202" s="68">
        <f t="shared" si="8"/>
        <v>197</v>
      </c>
      <c r="C202" s="607">
        <v>11500.0</v>
      </c>
      <c r="D202" s="6">
        <f t="shared" si="9"/>
        <v>6521.020028</v>
      </c>
      <c r="E202" s="6">
        <f t="shared" si="1"/>
        <v>4978.979972</v>
      </c>
      <c r="F202" s="6">
        <f t="shared" si="4"/>
        <v>518600.3408</v>
      </c>
      <c r="G202" s="6">
        <f t="shared" si="5"/>
        <v>1746899.659</v>
      </c>
      <c r="H202" s="6">
        <f t="shared" si="6"/>
        <v>2265500</v>
      </c>
      <c r="I202" s="6">
        <f t="shared" si="7"/>
        <v>859686.6592</v>
      </c>
      <c r="J202" s="610">
        <v>9.05</v>
      </c>
      <c r="K202" s="591"/>
      <c r="L202" s="6"/>
      <c r="M202" s="9"/>
      <c r="N202" s="79"/>
      <c r="O202" s="6"/>
      <c r="P202" s="6"/>
      <c r="Q202" s="6"/>
      <c r="R202" s="6"/>
      <c r="S202" s="6"/>
      <c r="T202" s="622"/>
      <c r="U202" s="6"/>
      <c r="V202" s="6"/>
      <c r="W202" s="6"/>
      <c r="X202" s="6"/>
      <c r="Y202" s="6"/>
    </row>
    <row r="203" ht="11.25" customHeight="1">
      <c r="A203" s="7"/>
      <c r="B203" s="68">
        <f t="shared" si="8"/>
        <v>198</v>
      </c>
      <c r="C203" s="607">
        <v>11500.0</v>
      </c>
      <c r="D203" s="6">
        <f t="shared" si="9"/>
        <v>6483.470221</v>
      </c>
      <c r="E203" s="6">
        <f t="shared" si="1"/>
        <v>5016.529779</v>
      </c>
      <c r="F203" s="6">
        <f t="shared" si="4"/>
        <v>523616.8706</v>
      </c>
      <c r="G203" s="6">
        <f t="shared" si="5"/>
        <v>1753383.129</v>
      </c>
      <c r="H203" s="6">
        <f t="shared" si="6"/>
        <v>2277000</v>
      </c>
      <c r="I203" s="6">
        <f t="shared" si="7"/>
        <v>854670.1294</v>
      </c>
      <c r="J203" s="610">
        <v>9.05</v>
      </c>
      <c r="K203" s="591"/>
      <c r="L203" s="6"/>
      <c r="M203" s="9"/>
      <c r="N203" s="79"/>
      <c r="O203" s="6"/>
      <c r="P203" s="6"/>
      <c r="Q203" s="6"/>
      <c r="R203" s="6"/>
      <c r="S203" s="6"/>
      <c r="T203" s="622"/>
      <c r="U203" s="6"/>
      <c r="V203" s="6"/>
      <c r="W203" s="6"/>
      <c r="X203" s="6"/>
      <c r="Y203" s="6"/>
    </row>
    <row r="204" ht="11.25" customHeight="1">
      <c r="A204" s="7"/>
      <c r="B204" s="68">
        <f t="shared" si="8"/>
        <v>199</v>
      </c>
      <c r="C204" s="607">
        <v>11500.0</v>
      </c>
      <c r="D204" s="6">
        <f t="shared" si="9"/>
        <v>6445.637226</v>
      </c>
      <c r="E204" s="6">
        <f t="shared" si="1"/>
        <v>5054.362774</v>
      </c>
      <c r="F204" s="6">
        <f t="shared" si="4"/>
        <v>528671.2334</v>
      </c>
      <c r="G204" s="6">
        <f t="shared" si="5"/>
        <v>1759828.767</v>
      </c>
      <c r="H204" s="6">
        <f t="shared" si="6"/>
        <v>2288500</v>
      </c>
      <c r="I204" s="6">
        <f t="shared" si="7"/>
        <v>849615.7666</v>
      </c>
      <c r="J204" s="610">
        <v>9.05</v>
      </c>
      <c r="K204" s="591"/>
      <c r="L204" s="6"/>
      <c r="M204" s="9"/>
      <c r="N204" s="79"/>
      <c r="O204" s="6"/>
      <c r="P204" s="6"/>
      <c r="Q204" s="6"/>
      <c r="R204" s="6"/>
      <c r="S204" s="6"/>
      <c r="T204" s="622"/>
      <c r="U204" s="6"/>
      <c r="V204" s="6"/>
      <c r="W204" s="6"/>
      <c r="X204" s="6"/>
      <c r="Y204" s="6"/>
    </row>
    <row r="205" ht="11.25" customHeight="1">
      <c r="A205" s="7"/>
      <c r="B205" s="68">
        <f t="shared" si="8"/>
        <v>200</v>
      </c>
      <c r="C205" s="607">
        <v>11500.0</v>
      </c>
      <c r="D205" s="6">
        <f t="shared" si="9"/>
        <v>6407.518906</v>
      </c>
      <c r="E205" s="6">
        <f t="shared" si="1"/>
        <v>5092.481094</v>
      </c>
      <c r="F205" s="6">
        <f t="shared" si="4"/>
        <v>533763.7145</v>
      </c>
      <c r="G205" s="6">
        <f t="shared" si="5"/>
        <v>1766236.286</v>
      </c>
      <c r="H205" s="6">
        <f t="shared" si="6"/>
        <v>2300000</v>
      </c>
      <c r="I205" s="6">
        <f t="shared" si="7"/>
        <v>844523.2855</v>
      </c>
      <c r="J205" s="610">
        <v>9.05</v>
      </c>
      <c r="K205" s="591"/>
      <c r="L205" s="6"/>
      <c r="M205" s="9"/>
      <c r="N205" s="79"/>
      <c r="O205" s="6"/>
      <c r="P205" s="6"/>
      <c r="Q205" s="6"/>
      <c r="R205" s="6"/>
      <c r="S205" s="6"/>
      <c r="T205" s="622"/>
      <c r="U205" s="6"/>
      <c r="V205" s="6"/>
      <c r="W205" s="6"/>
      <c r="X205" s="6"/>
      <c r="Y205" s="6"/>
    </row>
    <row r="206" ht="11.25" customHeight="1">
      <c r="A206" s="7"/>
      <c r="B206" s="68">
        <f t="shared" si="8"/>
        <v>201</v>
      </c>
      <c r="C206" s="607">
        <v>11500.0</v>
      </c>
      <c r="D206" s="6">
        <f t="shared" si="9"/>
        <v>6369.113112</v>
      </c>
      <c r="E206" s="6">
        <f t="shared" si="1"/>
        <v>5130.886888</v>
      </c>
      <c r="F206" s="6">
        <f t="shared" si="4"/>
        <v>538894.6014</v>
      </c>
      <c r="G206" s="6">
        <f t="shared" si="5"/>
        <v>1772605.399</v>
      </c>
      <c r="H206" s="6">
        <f t="shared" si="6"/>
        <v>2311500</v>
      </c>
      <c r="I206" s="6">
        <f t="shared" si="7"/>
        <v>839392.3986</v>
      </c>
      <c r="J206" s="610">
        <v>9.05</v>
      </c>
      <c r="K206" s="591"/>
      <c r="L206" s="6"/>
      <c r="M206" s="9"/>
      <c r="N206" s="79"/>
      <c r="O206" s="6"/>
      <c r="P206" s="6"/>
      <c r="Q206" s="6"/>
      <c r="R206" s="6"/>
      <c r="S206" s="6"/>
      <c r="T206" s="622"/>
      <c r="U206" s="6"/>
      <c r="V206" s="6"/>
      <c r="W206" s="6"/>
      <c r="X206" s="6"/>
      <c r="Y206" s="6"/>
    </row>
    <row r="207" ht="11.25" customHeight="1">
      <c r="A207" s="7"/>
      <c r="B207" s="68">
        <f t="shared" si="8"/>
        <v>202</v>
      </c>
      <c r="C207" s="607">
        <v>11500.0</v>
      </c>
      <c r="D207" s="6">
        <f t="shared" si="9"/>
        <v>6330.417673</v>
      </c>
      <c r="E207" s="6">
        <f t="shared" si="1"/>
        <v>5169.582327</v>
      </c>
      <c r="F207" s="6">
        <f t="shared" si="4"/>
        <v>544064.1837</v>
      </c>
      <c r="G207" s="6">
        <f t="shared" si="5"/>
        <v>1778935.816</v>
      </c>
      <c r="H207" s="6">
        <f t="shared" si="6"/>
        <v>2323000</v>
      </c>
      <c r="I207" s="6">
        <f t="shared" si="7"/>
        <v>834222.8163</v>
      </c>
      <c r="J207" s="610">
        <v>9.05</v>
      </c>
      <c r="K207" s="591"/>
      <c r="L207" s="6"/>
      <c r="M207" s="9"/>
      <c r="N207" s="79"/>
      <c r="O207" s="6"/>
      <c r="P207" s="6"/>
      <c r="Q207" s="6"/>
      <c r="R207" s="6"/>
      <c r="S207" s="6"/>
      <c r="T207" s="622"/>
      <c r="U207" s="6"/>
      <c r="V207" s="6"/>
      <c r="W207" s="6"/>
      <c r="X207" s="6"/>
      <c r="Y207" s="6"/>
    </row>
    <row r="208" ht="11.25" customHeight="1">
      <c r="A208" s="7"/>
      <c r="B208" s="68">
        <f t="shared" si="8"/>
        <v>203</v>
      </c>
      <c r="C208" s="607">
        <v>11500.0</v>
      </c>
      <c r="D208" s="6">
        <f t="shared" si="9"/>
        <v>6291.430406</v>
      </c>
      <c r="E208" s="6">
        <f t="shared" si="1"/>
        <v>5208.569594</v>
      </c>
      <c r="F208" s="6">
        <f t="shared" si="4"/>
        <v>549272.7533</v>
      </c>
      <c r="G208" s="6">
        <f t="shared" si="5"/>
        <v>1785227.247</v>
      </c>
      <c r="H208" s="6">
        <f t="shared" si="6"/>
        <v>2334500</v>
      </c>
      <c r="I208" s="6">
        <f t="shared" si="7"/>
        <v>829014.2467</v>
      </c>
      <c r="J208" s="610">
        <v>9.05</v>
      </c>
      <c r="K208" s="591"/>
      <c r="L208" s="6"/>
      <c r="M208" s="9"/>
      <c r="N208" s="79"/>
      <c r="O208" s="6"/>
      <c r="P208" s="6"/>
      <c r="Q208" s="6"/>
      <c r="R208" s="6"/>
      <c r="S208" s="6"/>
      <c r="T208" s="622"/>
      <c r="U208" s="6"/>
      <c r="V208" s="6"/>
      <c r="W208" s="6"/>
      <c r="X208" s="6"/>
      <c r="Y208" s="6"/>
    </row>
    <row r="209" ht="11.25" customHeight="1">
      <c r="A209" s="71"/>
      <c r="B209" s="72">
        <f t="shared" si="8"/>
        <v>204</v>
      </c>
      <c r="C209" s="607">
        <v>11500.0</v>
      </c>
      <c r="D209" s="10">
        <f t="shared" si="9"/>
        <v>6252.149111</v>
      </c>
      <c r="E209" s="10">
        <f t="shared" si="1"/>
        <v>5247.850889</v>
      </c>
      <c r="F209" s="10">
        <f t="shared" si="4"/>
        <v>554520.6042</v>
      </c>
      <c r="G209" s="10">
        <f t="shared" si="5"/>
        <v>1791479.396</v>
      </c>
      <c r="H209" s="10">
        <f t="shared" si="6"/>
        <v>2346000</v>
      </c>
      <c r="I209" s="10">
        <f t="shared" si="7"/>
        <v>823766.3958</v>
      </c>
      <c r="J209" s="610">
        <v>9.05</v>
      </c>
      <c r="K209" s="591"/>
      <c r="L209" s="6"/>
      <c r="M209" s="9"/>
      <c r="N209" s="79"/>
      <c r="O209" s="6"/>
      <c r="P209" s="6"/>
      <c r="Q209" s="6"/>
      <c r="R209" s="6"/>
      <c r="S209" s="6"/>
      <c r="T209" s="622"/>
      <c r="U209" s="6"/>
      <c r="V209" s="6"/>
      <c r="W209" s="6"/>
      <c r="X209" s="6"/>
      <c r="Y209" s="6"/>
    </row>
    <row r="210" ht="11.25" customHeight="1">
      <c r="A210" s="100">
        <v>18.0</v>
      </c>
      <c r="B210" s="66">
        <f t="shared" si="8"/>
        <v>205</v>
      </c>
      <c r="C210" s="607">
        <v>11500.0</v>
      </c>
      <c r="D210" s="617">
        <f t="shared" si="9"/>
        <v>6212.571568</v>
      </c>
      <c r="E210" s="617">
        <f t="shared" si="1"/>
        <v>5287.428432</v>
      </c>
      <c r="F210" s="617">
        <f t="shared" si="4"/>
        <v>559808.0326</v>
      </c>
      <c r="G210" s="617">
        <f t="shared" si="5"/>
        <v>1797691.967</v>
      </c>
      <c r="H210" s="617">
        <f t="shared" si="6"/>
        <v>2357500</v>
      </c>
      <c r="I210" s="617">
        <f t="shared" si="7"/>
        <v>818478.9674</v>
      </c>
      <c r="J210" s="610">
        <v>9.05</v>
      </c>
      <c r="K210" s="591"/>
      <c r="L210" s="6"/>
      <c r="M210" s="9"/>
      <c r="N210" s="79"/>
      <c r="O210" s="6"/>
      <c r="P210" s="6"/>
      <c r="Q210" s="6"/>
      <c r="R210" s="6"/>
      <c r="S210" s="6"/>
      <c r="T210" s="622"/>
      <c r="U210" s="6"/>
      <c r="V210" s="6"/>
      <c r="W210" s="6"/>
      <c r="X210" s="6"/>
      <c r="Y210" s="6"/>
    </row>
    <row r="211" ht="11.25" customHeight="1">
      <c r="A211" s="7"/>
      <c r="B211" s="68">
        <f t="shared" si="8"/>
        <v>206</v>
      </c>
      <c r="C211" s="607">
        <v>11500.0</v>
      </c>
      <c r="D211" s="6">
        <f t="shared" si="9"/>
        <v>6172.695546</v>
      </c>
      <c r="E211" s="6">
        <f t="shared" si="1"/>
        <v>5327.304454</v>
      </c>
      <c r="F211" s="6">
        <f t="shared" si="4"/>
        <v>565135.3371</v>
      </c>
      <c r="G211" s="6">
        <f t="shared" si="5"/>
        <v>1803864.663</v>
      </c>
      <c r="H211" s="6">
        <f t="shared" si="6"/>
        <v>2369000</v>
      </c>
      <c r="I211" s="6">
        <f t="shared" si="7"/>
        <v>813151.6629</v>
      </c>
      <c r="J211" s="610">
        <v>9.05</v>
      </c>
      <c r="K211" s="591"/>
      <c r="L211" s="6"/>
      <c r="M211" s="9"/>
      <c r="N211" s="79"/>
      <c r="O211" s="6"/>
      <c r="P211" s="6"/>
      <c r="Q211" s="6"/>
      <c r="R211" s="6"/>
      <c r="S211" s="6"/>
      <c r="T211" s="622"/>
      <c r="U211" s="6"/>
      <c r="V211" s="6"/>
      <c r="W211" s="6"/>
      <c r="X211" s="6"/>
      <c r="Y211" s="6"/>
    </row>
    <row r="212" ht="11.25" customHeight="1">
      <c r="A212" s="7"/>
      <c r="B212" s="68">
        <f t="shared" si="8"/>
        <v>207</v>
      </c>
      <c r="C212" s="607">
        <v>11500.0</v>
      </c>
      <c r="D212" s="6">
        <f t="shared" si="9"/>
        <v>6132.518791</v>
      </c>
      <c r="E212" s="6">
        <f t="shared" si="1"/>
        <v>5367.481209</v>
      </c>
      <c r="F212" s="6">
        <f t="shared" si="4"/>
        <v>570502.8183</v>
      </c>
      <c r="G212" s="6">
        <f t="shared" si="5"/>
        <v>1809997.182</v>
      </c>
      <c r="H212" s="6">
        <f t="shared" si="6"/>
        <v>2380500</v>
      </c>
      <c r="I212" s="6">
        <f t="shared" si="7"/>
        <v>807784.1817</v>
      </c>
      <c r="J212" s="610">
        <v>9.05</v>
      </c>
      <c r="K212" s="591"/>
      <c r="L212" s="6"/>
      <c r="M212" s="9"/>
      <c r="N212" s="79"/>
      <c r="O212" s="6"/>
      <c r="P212" s="6"/>
      <c r="Q212" s="6"/>
      <c r="R212" s="6"/>
      <c r="S212" s="6"/>
      <c r="T212" s="622"/>
      <c r="U212" s="6"/>
      <c r="V212" s="6"/>
      <c r="W212" s="6"/>
      <c r="X212" s="6"/>
      <c r="Y212" s="6"/>
    </row>
    <row r="213" ht="11.25" customHeight="1">
      <c r="A213" s="7"/>
      <c r="B213" s="68">
        <f t="shared" si="8"/>
        <v>208</v>
      </c>
      <c r="C213" s="607">
        <v>11500.0</v>
      </c>
      <c r="D213" s="6">
        <f t="shared" si="9"/>
        <v>6092.039037</v>
      </c>
      <c r="E213" s="6">
        <f t="shared" si="1"/>
        <v>5407.960963</v>
      </c>
      <c r="F213" s="6">
        <f t="shared" si="4"/>
        <v>575910.7792</v>
      </c>
      <c r="G213" s="6">
        <f t="shared" si="5"/>
        <v>1816089.221</v>
      </c>
      <c r="H213" s="6">
        <f t="shared" si="6"/>
        <v>2392000</v>
      </c>
      <c r="I213" s="6">
        <f t="shared" si="7"/>
        <v>802376.2208</v>
      </c>
      <c r="J213" s="610">
        <v>9.05</v>
      </c>
      <c r="K213" s="591"/>
      <c r="L213" s="6"/>
      <c r="M213" s="9"/>
      <c r="N213" s="79"/>
      <c r="O213" s="6"/>
      <c r="P213" s="6"/>
      <c r="Q213" s="6"/>
      <c r="R213" s="6"/>
      <c r="S213" s="6"/>
      <c r="T213" s="622"/>
      <c r="U213" s="6"/>
      <c r="V213" s="6"/>
      <c r="W213" s="6"/>
      <c r="X213" s="6"/>
      <c r="Y213" s="6"/>
    </row>
    <row r="214" ht="11.25" customHeight="1">
      <c r="A214" s="7"/>
      <c r="B214" s="68">
        <f t="shared" si="8"/>
        <v>209</v>
      </c>
      <c r="C214" s="607">
        <v>11500.0</v>
      </c>
      <c r="D214" s="6">
        <f t="shared" si="9"/>
        <v>6051.253998</v>
      </c>
      <c r="E214" s="6">
        <f t="shared" si="1"/>
        <v>5448.746002</v>
      </c>
      <c r="F214" s="6">
        <f t="shared" si="4"/>
        <v>581359.5252</v>
      </c>
      <c r="G214" s="6">
        <f t="shared" si="5"/>
        <v>1822140.475</v>
      </c>
      <c r="H214" s="6">
        <f t="shared" si="6"/>
        <v>2403500</v>
      </c>
      <c r="I214" s="6">
        <f t="shared" si="7"/>
        <v>796927.4748</v>
      </c>
      <c r="J214" s="610">
        <v>9.05</v>
      </c>
      <c r="K214" s="591"/>
      <c r="L214" s="6"/>
      <c r="M214" s="9"/>
      <c r="N214" s="79"/>
      <c r="O214" s="6"/>
      <c r="P214" s="6"/>
      <c r="Q214" s="6"/>
      <c r="R214" s="6"/>
      <c r="S214" s="6"/>
      <c r="T214" s="622"/>
      <c r="U214" s="6"/>
      <c r="V214" s="6"/>
      <c r="W214" s="6"/>
      <c r="X214" s="6"/>
      <c r="Y214" s="6"/>
    </row>
    <row r="215" ht="11.25" customHeight="1">
      <c r="A215" s="7"/>
      <c r="B215" s="68">
        <f t="shared" si="8"/>
        <v>210</v>
      </c>
      <c r="C215" s="607">
        <v>11500.0</v>
      </c>
      <c r="D215" s="6">
        <f t="shared" si="9"/>
        <v>6010.161372</v>
      </c>
      <c r="E215" s="6">
        <f t="shared" si="1"/>
        <v>5489.838628</v>
      </c>
      <c r="F215" s="6">
        <f t="shared" si="4"/>
        <v>586849.3639</v>
      </c>
      <c r="G215" s="6">
        <f t="shared" si="5"/>
        <v>1828150.636</v>
      </c>
      <c r="H215" s="6">
        <f t="shared" si="6"/>
        <v>2415000</v>
      </c>
      <c r="I215" s="6">
        <f t="shared" si="7"/>
        <v>791437.6361</v>
      </c>
      <c r="J215" s="610">
        <v>9.05</v>
      </c>
      <c r="K215" s="591"/>
      <c r="L215" s="6"/>
      <c r="M215" s="9"/>
      <c r="N215" s="79"/>
      <c r="O215" s="6"/>
      <c r="P215" s="6"/>
      <c r="Q215" s="6"/>
      <c r="R215" s="6"/>
      <c r="S215" s="6"/>
      <c r="T215" s="622"/>
      <c r="U215" s="6"/>
      <c r="V215" s="6"/>
      <c r="W215" s="6"/>
      <c r="X215" s="6"/>
      <c r="Y215" s="6"/>
    </row>
    <row r="216" ht="11.25" customHeight="1">
      <c r="A216" s="7"/>
      <c r="B216" s="68">
        <f t="shared" si="8"/>
        <v>211</v>
      </c>
      <c r="C216" s="607">
        <v>11500.0</v>
      </c>
      <c r="D216" s="6">
        <f t="shared" si="9"/>
        <v>5968.758839</v>
      </c>
      <c r="E216" s="6">
        <f t="shared" si="1"/>
        <v>5531.241161</v>
      </c>
      <c r="F216" s="6">
        <f t="shared" si="4"/>
        <v>592380.605</v>
      </c>
      <c r="G216" s="6">
        <f t="shared" si="5"/>
        <v>1834119.395</v>
      </c>
      <c r="H216" s="6">
        <f t="shared" si="6"/>
        <v>2426500</v>
      </c>
      <c r="I216" s="6">
        <f t="shared" si="7"/>
        <v>785906.395</v>
      </c>
      <c r="J216" s="610">
        <v>9.05</v>
      </c>
      <c r="K216" s="591"/>
      <c r="L216" s="6"/>
      <c r="M216" s="9"/>
      <c r="N216" s="79"/>
      <c r="O216" s="6"/>
      <c r="P216" s="6"/>
      <c r="Q216" s="6"/>
      <c r="R216" s="6"/>
      <c r="S216" s="6"/>
      <c r="T216" s="622"/>
      <c r="U216" s="6"/>
      <c r="V216" s="6"/>
      <c r="W216" s="6"/>
      <c r="X216" s="6"/>
      <c r="Y216" s="6"/>
    </row>
    <row r="217" ht="11.25" customHeight="1">
      <c r="A217" s="7"/>
      <c r="B217" s="68">
        <f t="shared" si="8"/>
        <v>212</v>
      </c>
      <c r="C217" s="607">
        <v>11500.0</v>
      </c>
      <c r="D217" s="6">
        <f t="shared" si="9"/>
        <v>5927.044062</v>
      </c>
      <c r="E217" s="6">
        <f t="shared" si="1"/>
        <v>5572.955938</v>
      </c>
      <c r="F217" s="6">
        <f t="shared" si="4"/>
        <v>597953.561</v>
      </c>
      <c r="G217" s="6">
        <f t="shared" si="5"/>
        <v>1840046.439</v>
      </c>
      <c r="H217" s="6">
        <f t="shared" si="6"/>
        <v>2438000</v>
      </c>
      <c r="I217" s="6">
        <f t="shared" si="7"/>
        <v>780333.439</v>
      </c>
      <c r="J217" s="610">
        <v>9.05</v>
      </c>
      <c r="K217" s="591"/>
      <c r="L217" s="6"/>
      <c r="M217" s="9"/>
      <c r="N217" s="79"/>
      <c r="O217" s="6"/>
      <c r="P217" s="6"/>
      <c r="Q217" s="6"/>
      <c r="R217" s="6"/>
      <c r="S217" s="6"/>
      <c r="T217" s="622"/>
      <c r="U217" s="6"/>
      <c r="V217" s="6"/>
      <c r="W217" s="6"/>
      <c r="X217" s="6"/>
      <c r="Y217" s="6"/>
    </row>
    <row r="218" ht="11.25" customHeight="1">
      <c r="A218" s="7"/>
      <c r="B218" s="68">
        <f t="shared" si="8"/>
        <v>213</v>
      </c>
      <c r="C218" s="607">
        <v>11500.0</v>
      </c>
      <c r="D218" s="6">
        <f t="shared" si="9"/>
        <v>5885.014686</v>
      </c>
      <c r="E218" s="6">
        <f t="shared" si="1"/>
        <v>5614.985314</v>
      </c>
      <c r="F218" s="6">
        <f t="shared" si="4"/>
        <v>603568.5463</v>
      </c>
      <c r="G218" s="6">
        <f t="shared" si="5"/>
        <v>1845931.454</v>
      </c>
      <c r="H218" s="6">
        <f t="shared" si="6"/>
        <v>2449500</v>
      </c>
      <c r="I218" s="6">
        <f t="shared" si="7"/>
        <v>774718.4537</v>
      </c>
      <c r="J218" s="610">
        <v>9.05</v>
      </c>
      <c r="K218" s="591"/>
      <c r="L218" s="6"/>
      <c r="M218" s="9"/>
      <c r="N218" s="79"/>
      <c r="O218" s="6"/>
      <c r="P218" s="6"/>
      <c r="Q218" s="6"/>
      <c r="R218" s="6"/>
      <c r="S218" s="6"/>
      <c r="T218" s="622"/>
      <c r="U218" s="6"/>
      <c r="V218" s="6"/>
      <c r="W218" s="6"/>
      <c r="X218" s="6"/>
      <c r="Y218" s="6"/>
    </row>
    <row r="219" ht="11.25" customHeight="1">
      <c r="A219" s="7"/>
      <c r="B219" s="68">
        <f t="shared" si="8"/>
        <v>214</v>
      </c>
      <c r="C219" s="607">
        <v>11500.0</v>
      </c>
      <c r="D219" s="6">
        <f t="shared" si="9"/>
        <v>5842.668338</v>
      </c>
      <c r="E219" s="6">
        <f t="shared" si="1"/>
        <v>5657.331662</v>
      </c>
      <c r="F219" s="6">
        <f t="shared" si="4"/>
        <v>609225.878</v>
      </c>
      <c r="G219" s="6">
        <f t="shared" si="5"/>
        <v>1851774.122</v>
      </c>
      <c r="H219" s="6">
        <f t="shared" si="6"/>
        <v>2461000</v>
      </c>
      <c r="I219" s="6">
        <f t="shared" si="7"/>
        <v>769061.122</v>
      </c>
      <c r="J219" s="610">
        <v>9.05</v>
      </c>
      <c r="K219" s="591"/>
      <c r="L219" s="6"/>
      <c r="M219" s="9"/>
      <c r="N219" s="79"/>
      <c r="O219" s="6"/>
      <c r="P219" s="6"/>
      <c r="Q219" s="6"/>
      <c r="R219" s="6"/>
      <c r="S219" s="6"/>
      <c r="T219" s="622"/>
      <c r="U219" s="6"/>
      <c r="V219" s="6"/>
      <c r="W219" s="6"/>
      <c r="X219" s="6"/>
      <c r="Y219" s="6"/>
    </row>
    <row r="220" ht="11.25" customHeight="1">
      <c r="A220" s="7"/>
      <c r="B220" s="68">
        <f t="shared" si="8"/>
        <v>215</v>
      </c>
      <c r="C220" s="607">
        <v>11500.0</v>
      </c>
      <c r="D220" s="6">
        <f t="shared" si="9"/>
        <v>5800.002629</v>
      </c>
      <c r="E220" s="6">
        <f t="shared" si="1"/>
        <v>5699.997371</v>
      </c>
      <c r="F220" s="6">
        <f t="shared" si="4"/>
        <v>614925.8753</v>
      </c>
      <c r="G220" s="6">
        <f t="shared" si="5"/>
        <v>1857574.125</v>
      </c>
      <c r="H220" s="6">
        <f t="shared" si="6"/>
        <v>2472500</v>
      </c>
      <c r="I220" s="6">
        <f t="shared" si="7"/>
        <v>763361.1247</v>
      </c>
      <c r="J220" s="610">
        <v>9.05</v>
      </c>
      <c r="K220" s="591"/>
      <c r="L220" s="6"/>
      <c r="M220" s="9"/>
      <c r="N220" s="79"/>
      <c r="O220" s="6"/>
      <c r="P220" s="6"/>
      <c r="Q220" s="6"/>
      <c r="R220" s="6"/>
      <c r="S220" s="6"/>
      <c r="T220" s="622"/>
      <c r="U220" s="6"/>
      <c r="V220" s="6"/>
      <c r="W220" s="6"/>
      <c r="X220" s="6"/>
      <c r="Y220" s="6"/>
    </row>
    <row r="221" ht="11.25" customHeight="1">
      <c r="A221" s="71"/>
      <c r="B221" s="72">
        <f t="shared" si="8"/>
        <v>216</v>
      </c>
      <c r="C221" s="607">
        <v>11500.0</v>
      </c>
      <c r="D221" s="10">
        <f t="shared" si="9"/>
        <v>5757.015149</v>
      </c>
      <c r="E221" s="10">
        <f t="shared" si="1"/>
        <v>5742.984851</v>
      </c>
      <c r="F221" s="10">
        <f t="shared" si="4"/>
        <v>620668.8602</v>
      </c>
      <c r="G221" s="10">
        <f t="shared" si="5"/>
        <v>1863331.14</v>
      </c>
      <c r="H221" s="10">
        <f t="shared" si="6"/>
        <v>2484000</v>
      </c>
      <c r="I221" s="10">
        <f t="shared" si="7"/>
        <v>757618.1398</v>
      </c>
      <c r="J221" s="610">
        <v>9.05</v>
      </c>
      <c r="K221" s="591"/>
      <c r="L221" s="6"/>
      <c r="M221" s="9"/>
      <c r="N221" s="79"/>
      <c r="O221" s="6"/>
      <c r="P221" s="6"/>
      <c r="Q221" s="6"/>
      <c r="R221" s="6"/>
      <c r="S221" s="6"/>
      <c r="T221" s="622"/>
      <c r="U221" s="6"/>
      <c r="V221" s="6"/>
      <c r="W221" s="6"/>
      <c r="X221" s="6"/>
      <c r="Y221" s="6"/>
    </row>
    <row r="222" ht="11.25" customHeight="1">
      <c r="A222" s="100">
        <v>19.0</v>
      </c>
      <c r="B222" s="66">
        <f t="shared" si="8"/>
        <v>217</v>
      </c>
      <c r="C222" s="607">
        <v>11500.0</v>
      </c>
      <c r="D222" s="617">
        <f t="shared" si="9"/>
        <v>5713.703471</v>
      </c>
      <c r="E222" s="617">
        <f t="shared" si="1"/>
        <v>5786.296529</v>
      </c>
      <c r="F222" s="617">
        <f t="shared" si="4"/>
        <v>626455.1567</v>
      </c>
      <c r="G222" s="617">
        <f t="shared" si="5"/>
        <v>1869044.843</v>
      </c>
      <c r="H222" s="617">
        <f t="shared" si="6"/>
        <v>2495500</v>
      </c>
      <c r="I222" s="617">
        <f t="shared" si="7"/>
        <v>751831.8433</v>
      </c>
      <c r="J222" s="610">
        <v>9.05</v>
      </c>
      <c r="K222" s="591"/>
      <c r="L222" s="6"/>
      <c r="M222" s="9"/>
      <c r="N222" s="79"/>
      <c r="O222" s="6"/>
      <c r="P222" s="6"/>
      <c r="Q222" s="6"/>
      <c r="R222" s="6"/>
      <c r="S222" s="6"/>
      <c r="T222" s="622"/>
      <c r="U222" s="6"/>
      <c r="V222" s="6"/>
      <c r="W222" s="6"/>
      <c r="X222" s="6"/>
      <c r="Y222" s="6"/>
    </row>
    <row r="223" ht="11.25" customHeight="1">
      <c r="A223" s="7"/>
      <c r="B223" s="68">
        <f t="shared" si="8"/>
        <v>218</v>
      </c>
      <c r="C223" s="607">
        <v>11500.0</v>
      </c>
      <c r="D223" s="6">
        <f t="shared" si="9"/>
        <v>5670.065152</v>
      </c>
      <c r="E223" s="6">
        <f t="shared" si="1"/>
        <v>5829.934848</v>
      </c>
      <c r="F223" s="6">
        <f t="shared" si="4"/>
        <v>632285.0916</v>
      </c>
      <c r="G223" s="6">
        <f t="shared" si="5"/>
        <v>1874714.908</v>
      </c>
      <c r="H223" s="6">
        <f t="shared" si="6"/>
        <v>2507000</v>
      </c>
      <c r="I223" s="6">
        <f t="shared" si="7"/>
        <v>746001.9084</v>
      </c>
      <c r="J223" s="610">
        <v>9.05</v>
      </c>
      <c r="K223" s="591"/>
      <c r="L223" s="6"/>
      <c r="M223" s="9"/>
      <c r="N223" s="79"/>
      <c r="O223" s="6"/>
      <c r="P223" s="6"/>
      <c r="Q223" s="6"/>
      <c r="R223" s="6"/>
      <c r="S223" s="6"/>
      <c r="T223" s="622"/>
      <c r="U223" s="6"/>
      <c r="V223" s="6"/>
      <c r="W223" s="6"/>
      <c r="X223" s="6"/>
      <c r="Y223" s="6"/>
    </row>
    <row r="224" ht="11.25" customHeight="1">
      <c r="A224" s="7"/>
      <c r="B224" s="68">
        <f t="shared" si="8"/>
        <v>219</v>
      </c>
      <c r="C224" s="607">
        <v>11500.0</v>
      </c>
      <c r="D224" s="6">
        <f t="shared" si="9"/>
        <v>5626.097726</v>
      </c>
      <c r="E224" s="6">
        <f t="shared" si="1"/>
        <v>5873.902274</v>
      </c>
      <c r="F224" s="6">
        <f t="shared" si="4"/>
        <v>638158.9938</v>
      </c>
      <c r="G224" s="6">
        <f t="shared" si="5"/>
        <v>1880341.006</v>
      </c>
      <c r="H224" s="6">
        <f t="shared" si="6"/>
        <v>2518500</v>
      </c>
      <c r="I224" s="6">
        <f t="shared" si="7"/>
        <v>740128.0062</v>
      </c>
      <c r="J224" s="610">
        <v>9.05</v>
      </c>
      <c r="K224" s="591"/>
      <c r="L224" s="6"/>
      <c r="M224" s="9"/>
      <c r="N224" s="79"/>
      <c r="O224" s="6"/>
      <c r="P224" s="6"/>
      <c r="Q224" s="6"/>
      <c r="R224" s="6"/>
      <c r="S224" s="6"/>
      <c r="T224" s="622"/>
      <c r="U224" s="6"/>
      <c r="V224" s="6"/>
      <c r="W224" s="6"/>
      <c r="X224" s="6"/>
      <c r="Y224" s="6"/>
    </row>
    <row r="225" ht="11.25" customHeight="1">
      <c r="A225" s="7"/>
      <c r="B225" s="68">
        <f t="shared" si="8"/>
        <v>220</v>
      </c>
      <c r="C225" s="607">
        <v>11500.0</v>
      </c>
      <c r="D225" s="6">
        <f t="shared" si="9"/>
        <v>5581.798713</v>
      </c>
      <c r="E225" s="6">
        <f t="shared" si="1"/>
        <v>5918.201287</v>
      </c>
      <c r="F225" s="6">
        <f t="shared" si="4"/>
        <v>644077.1951</v>
      </c>
      <c r="G225" s="6">
        <f t="shared" si="5"/>
        <v>1885922.805</v>
      </c>
      <c r="H225" s="6">
        <f t="shared" si="6"/>
        <v>2530000</v>
      </c>
      <c r="I225" s="6">
        <f t="shared" si="7"/>
        <v>734209.8049</v>
      </c>
      <c r="J225" s="610">
        <v>9.05</v>
      </c>
      <c r="K225" s="591"/>
      <c r="L225" s="6"/>
      <c r="M225" s="9"/>
      <c r="N225" s="79"/>
      <c r="O225" s="6"/>
      <c r="P225" s="6"/>
      <c r="Q225" s="6"/>
      <c r="R225" s="6"/>
      <c r="S225" s="6"/>
      <c r="T225" s="622"/>
      <c r="U225" s="6"/>
      <c r="V225" s="6"/>
      <c r="W225" s="6"/>
      <c r="X225" s="6"/>
      <c r="Y225" s="6"/>
    </row>
    <row r="226" ht="11.25" customHeight="1">
      <c r="A226" s="7"/>
      <c r="B226" s="68">
        <f t="shared" si="8"/>
        <v>221</v>
      </c>
      <c r="C226" s="607">
        <v>11500.0</v>
      </c>
      <c r="D226" s="6">
        <f t="shared" si="9"/>
        <v>5537.165612</v>
      </c>
      <c r="E226" s="6">
        <f t="shared" si="1"/>
        <v>5962.834388</v>
      </c>
      <c r="F226" s="6">
        <f t="shared" si="4"/>
        <v>650040.0295</v>
      </c>
      <c r="G226" s="6">
        <f t="shared" si="5"/>
        <v>1891459.97</v>
      </c>
      <c r="H226" s="6">
        <f t="shared" si="6"/>
        <v>2541500</v>
      </c>
      <c r="I226" s="6">
        <f t="shared" si="7"/>
        <v>728246.9705</v>
      </c>
      <c r="J226" s="610">
        <v>9.05</v>
      </c>
      <c r="K226" s="591"/>
      <c r="L226" s="6"/>
      <c r="M226" s="9"/>
      <c r="N226" s="79"/>
      <c r="O226" s="6"/>
      <c r="P226" s="6"/>
      <c r="Q226" s="6"/>
      <c r="R226" s="6"/>
      <c r="S226" s="6"/>
      <c r="T226" s="622"/>
      <c r="U226" s="6"/>
      <c r="V226" s="6"/>
      <c r="W226" s="6"/>
      <c r="X226" s="6"/>
      <c r="Y226" s="6"/>
    </row>
    <row r="227" ht="11.25" customHeight="1">
      <c r="A227" s="7"/>
      <c r="B227" s="68">
        <f t="shared" si="8"/>
        <v>222</v>
      </c>
      <c r="C227" s="607">
        <v>11500.0</v>
      </c>
      <c r="D227" s="6">
        <f t="shared" si="9"/>
        <v>5492.195903</v>
      </c>
      <c r="E227" s="6">
        <f t="shared" si="1"/>
        <v>6007.804097</v>
      </c>
      <c r="F227" s="6">
        <f t="shared" si="4"/>
        <v>656047.8336</v>
      </c>
      <c r="G227" s="6">
        <f t="shared" si="5"/>
        <v>1896952.166</v>
      </c>
      <c r="H227" s="6">
        <f t="shared" si="6"/>
        <v>2553000</v>
      </c>
      <c r="I227" s="6">
        <f t="shared" si="7"/>
        <v>722239.1664</v>
      </c>
      <c r="J227" s="610">
        <v>9.05</v>
      </c>
      <c r="K227" s="591"/>
      <c r="L227" s="6"/>
      <c r="M227" s="9"/>
      <c r="N227" s="79"/>
      <c r="O227" s="6"/>
      <c r="P227" s="6"/>
      <c r="Q227" s="6"/>
      <c r="R227" s="6"/>
      <c r="S227" s="6"/>
      <c r="T227" s="622"/>
      <c r="U227" s="6"/>
      <c r="V227" s="6"/>
      <c r="W227" s="6"/>
      <c r="X227" s="6"/>
      <c r="Y227" s="6"/>
    </row>
    <row r="228" ht="11.25" customHeight="1">
      <c r="A228" s="7"/>
      <c r="B228" s="68">
        <f t="shared" si="8"/>
        <v>223</v>
      </c>
      <c r="C228" s="607">
        <v>11500.0</v>
      </c>
      <c r="D228" s="6">
        <f t="shared" si="9"/>
        <v>5446.887047</v>
      </c>
      <c r="E228" s="6">
        <f t="shared" si="1"/>
        <v>6053.112953</v>
      </c>
      <c r="F228" s="6">
        <f t="shared" si="4"/>
        <v>662100.9466</v>
      </c>
      <c r="G228" s="6">
        <f t="shared" si="5"/>
        <v>1902399.053</v>
      </c>
      <c r="H228" s="6">
        <f t="shared" si="6"/>
        <v>2564500</v>
      </c>
      <c r="I228" s="6">
        <f t="shared" si="7"/>
        <v>716186.0534</v>
      </c>
      <c r="J228" s="610">
        <v>9.05</v>
      </c>
      <c r="K228" s="591"/>
      <c r="L228" s="6"/>
      <c r="M228" s="9"/>
      <c r="N228" s="79"/>
      <c r="O228" s="6"/>
      <c r="P228" s="6"/>
      <c r="Q228" s="6"/>
      <c r="R228" s="6"/>
      <c r="S228" s="6"/>
      <c r="T228" s="622"/>
      <c r="U228" s="6"/>
      <c r="V228" s="6"/>
      <c r="W228" s="6"/>
      <c r="X228" s="6"/>
      <c r="Y228" s="6"/>
    </row>
    <row r="229" ht="11.25" customHeight="1">
      <c r="A229" s="7"/>
      <c r="B229" s="68">
        <f t="shared" si="8"/>
        <v>224</v>
      </c>
      <c r="C229" s="607">
        <v>11500.0</v>
      </c>
      <c r="D229" s="6">
        <f t="shared" si="9"/>
        <v>5401.236486</v>
      </c>
      <c r="E229" s="6">
        <f t="shared" si="1"/>
        <v>6098.763514</v>
      </c>
      <c r="F229" s="6">
        <f t="shared" si="4"/>
        <v>668199.7101</v>
      </c>
      <c r="G229" s="6">
        <f t="shared" si="5"/>
        <v>1907800.29</v>
      </c>
      <c r="H229" s="6">
        <f t="shared" si="6"/>
        <v>2576000</v>
      </c>
      <c r="I229" s="6">
        <f t="shared" si="7"/>
        <v>710087.2899</v>
      </c>
      <c r="J229" s="610">
        <v>9.05</v>
      </c>
      <c r="K229" s="591"/>
      <c r="L229" s="6"/>
      <c r="M229" s="9"/>
      <c r="N229" s="79"/>
      <c r="O229" s="6"/>
      <c r="P229" s="6"/>
      <c r="Q229" s="6"/>
      <c r="R229" s="6"/>
      <c r="S229" s="6"/>
      <c r="T229" s="622"/>
      <c r="U229" s="6"/>
      <c r="V229" s="6"/>
      <c r="W229" s="6"/>
      <c r="X229" s="6"/>
      <c r="Y229" s="6"/>
    </row>
    <row r="230" ht="11.25" customHeight="1">
      <c r="A230" s="7"/>
      <c r="B230" s="68">
        <f t="shared" si="8"/>
        <v>225</v>
      </c>
      <c r="C230" s="607">
        <v>11500.0</v>
      </c>
      <c r="D230" s="6">
        <f t="shared" si="9"/>
        <v>5355.241645</v>
      </c>
      <c r="E230" s="6">
        <f t="shared" si="1"/>
        <v>6144.758355</v>
      </c>
      <c r="F230" s="6">
        <f t="shared" si="4"/>
        <v>674344.4684</v>
      </c>
      <c r="G230" s="6">
        <f t="shared" si="5"/>
        <v>1913155.532</v>
      </c>
      <c r="H230" s="6">
        <f t="shared" si="6"/>
        <v>2587500</v>
      </c>
      <c r="I230" s="6">
        <f t="shared" si="7"/>
        <v>703942.5316</v>
      </c>
      <c r="J230" s="610">
        <v>9.05</v>
      </c>
      <c r="K230" s="591"/>
      <c r="L230" s="6"/>
      <c r="M230" s="9"/>
      <c r="N230" s="79"/>
      <c r="O230" s="6"/>
      <c r="P230" s="6"/>
      <c r="Q230" s="6"/>
      <c r="R230" s="6"/>
      <c r="S230" s="6"/>
      <c r="T230" s="622"/>
      <c r="U230" s="6"/>
      <c r="V230" s="6"/>
      <c r="W230" s="6"/>
      <c r="X230" s="6"/>
      <c r="Y230" s="6"/>
    </row>
    <row r="231" ht="11.25" customHeight="1">
      <c r="A231" s="7"/>
      <c r="B231" s="68">
        <f t="shared" si="8"/>
        <v>226</v>
      </c>
      <c r="C231" s="607">
        <v>11500.0</v>
      </c>
      <c r="D231" s="6">
        <f t="shared" si="9"/>
        <v>5308.899926</v>
      </c>
      <c r="E231" s="6">
        <f t="shared" si="1"/>
        <v>6191.100074</v>
      </c>
      <c r="F231" s="6">
        <f t="shared" si="4"/>
        <v>680535.5685</v>
      </c>
      <c r="G231" s="6">
        <f t="shared" si="5"/>
        <v>1918464.432</v>
      </c>
      <c r="H231" s="6">
        <f t="shared" si="6"/>
        <v>2599000</v>
      </c>
      <c r="I231" s="6">
        <f t="shared" si="7"/>
        <v>697751.4315</v>
      </c>
      <c r="J231" s="610">
        <v>9.05</v>
      </c>
      <c r="K231" s="591"/>
      <c r="L231" s="6"/>
      <c r="M231" s="9"/>
      <c r="N231" s="79"/>
      <c r="O231" s="6"/>
      <c r="P231" s="6"/>
      <c r="Q231" s="6"/>
      <c r="R231" s="6"/>
      <c r="S231" s="6"/>
      <c r="T231" s="622"/>
      <c r="U231" s="6"/>
      <c r="V231" s="6"/>
      <c r="W231" s="6"/>
      <c r="X231" s="6"/>
      <c r="Y231" s="6"/>
    </row>
    <row r="232" ht="11.25" customHeight="1">
      <c r="A232" s="7"/>
      <c r="B232" s="68">
        <f t="shared" si="8"/>
        <v>227</v>
      </c>
      <c r="C232" s="607">
        <v>11500.0</v>
      </c>
      <c r="D232" s="6">
        <f t="shared" si="9"/>
        <v>5262.208713</v>
      </c>
      <c r="E232" s="6">
        <f t="shared" si="1"/>
        <v>6237.791287</v>
      </c>
      <c r="F232" s="6">
        <f t="shared" si="4"/>
        <v>686773.3598</v>
      </c>
      <c r="G232" s="6">
        <f t="shared" si="5"/>
        <v>1923726.64</v>
      </c>
      <c r="H232" s="6">
        <f t="shared" si="6"/>
        <v>2610500</v>
      </c>
      <c r="I232" s="6">
        <f t="shared" si="7"/>
        <v>691513.6402</v>
      </c>
      <c r="J232" s="610">
        <v>9.05</v>
      </c>
      <c r="K232" s="591"/>
      <c r="L232" s="6"/>
      <c r="M232" s="9"/>
      <c r="N232" s="79"/>
      <c r="O232" s="6"/>
      <c r="P232" s="6"/>
      <c r="Q232" s="6"/>
      <c r="R232" s="6"/>
      <c r="S232" s="6"/>
      <c r="T232" s="622"/>
      <c r="U232" s="6"/>
      <c r="V232" s="6"/>
      <c r="W232" s="6"/>
      <c r="X232" s="6"/>
      <c r="Y232" s="6"/>
    </row>
    <row r="233" ht="11.25" customHeight="1">
      <c r="A233" s="71"/>
      <c r="B233" s="72">
        <f t="shared" si="8"/>
        <v>228</v>
      </c>
      <c r="C233" s="607">
        <v>11500.0</v>
      </c>
      <c r="D233" s="10">
        <f t="shared" si="9"/>
        <v>5215.16537</v>
      </c>
      <c r="E233" s="10">
        <f t="shared" si="1"/>
        <v>6284.83463</v>
      </c>
      <c r="F233" s="10">
        <f t="shared" si="4"/>
        <v>693058.1944</v>
      </c>
      <c r="G233" s="10">
        <f t="shared" si="5"/>
        <v>1928941.806</v>
      </c>
      <c r="H233" s="10">
        <f t="shared" si="6"/>
        <v>2622000</v>
      </c>
      <c r="I233" s="10">
        <f t="shared" si="7"/>
        <v>685228.8056</v>
      </c>
      <c r="J233" s="610">
        <v>9.05</v>
      </c>
      <c r="K233" s="591"/>
      <c r="L233" s="6"/>
      <c r="M233" s="9"/>
      <c r="N233" s="79"/>
      <c r="O233" s="6"/>
      <c r="P233" s="6"/>
      <c r="Q233" s="6"/>
      <c r="R233" s="6"/>
      <c r="S233" s="6"/>
      <c r="T233" s="622"/>
      <c r="U233" s="6"/>
      <c r="V233" s="6"/>
      <c r="W233" s="6"/>
      <c r="X233" s="6"/>
      <c r="Y233" s="6"/>
    </row>
    <row r="234" ht="11.25" customHeight="1">
      <c r="A234" s="100">
        <v>20.0</v>
      </c>
      <c r="B234" s="66">
        <f t="shared" si="8"/>
        <v>229</v>
      </c>
      <c r="C234" s="607">
        <v>11500.0</v>
      </c>
      <c r="D234" s="617">
        <f t="shared" si="9"/>
        <v>5167.767242</v>
      </c>
      <c r="E234" s="617">
        <f t="shared" si="1"/>
        <v>6332.232758</v>
      </c>
      <c r="F234" s="617">
        <f t="shared" si="4"/>
        <v>699390.4272</v>
      </c>
      <c r="G234" s="617">
        <f t="shared" si="5"/>
        <v>1934109.573</v>
      </c>
      <c r="H234" s="617">
        <f t="shared" si="6"/>
        <v>2633500</v>
      </c>
      <c r="I234" s="617">
        <f t="shared" si="7"/>
        <v>678896.5728</v>
      </c>
      <c r="J234" s="610">
        <v>9.05</v>
      </c>
      <c r="K234" s="591"/>
      <c r="L234" s="6"/>
      <c r="M234" s="9"/>
      <c r="N234" s="79"/>
      <c r="O234" s="6"/>
      <c r="P234" s="6"/>
      <c r="Q234" s="6"/>
      <c r="R234" s="6"/>
      <c r="S234" s="6"/>
      <c r="T234" s="622"/>
      <c r="U234" s="6"/>
      <c r="V234" s="6"/>
      <c r="W234" s="6"/>
      <c r="X234" s="6"/>
      <c r="Y234" s="6"/>
    </row>
    <row r="235" ht="11.25" customHeight="1">
      <c r="A235" s="7"/>
      <c r="B235" s="68">
        <f t="shared" si="8"/>
        <v>230</v>
      </c>
      <c r="C235" s="607">
        <v>11500.0</v>
      </c>
      <c r="D235" s="6">
        <f t="shared" si="9"/>
        <v>5120.011653</v>
      </c>
      <c r="E235" s="6">
        <f t="shared" si="1"/>
        <v>6379.988347</v>
      </c>
      <c r="F235" s="6">
        <f t="shared" si="4"/>
        <v>705770.4155</v>
      </c>
      <c r="G235" s="6">
        <f t="shared" si="5"/>
        <v>1939229.584</v>
      </c>
      <c r="H235" s="6">
        <f t="shared" si="6"/>
        <v>2645000</v>
      </c>
      <c r="I235" s="6">
        <f t="shared" si="7"/>
        <v>672516.5845</v>
      </c>
      <c r="J235" s="610">
        <v>9.05</v>
      </c>
      <c r="K235" s="591"/>
      <c r="L235" s="6"/>
      <c r="M235" s="9"/>
      <c r="N235" s="79"/>
      <c r="O235" s="6"/>
      <c r="P235" s="6"/>
      <c r="Q235" s="6"/>
      <c r="R235" s="6"/>
      <c r="S235" s="6"/>
      <c r="T235" s="622"/>
      <c r="U235" s="6"/>
      <c r="V235" s="6"/>
      <c r="W235" s="6"/>
      <c r="X235" s="6"/>
      <c r="Y235" s="6"/>
    </row>
    <row r="236" ht="11.25" customHeight="1">
      <c r="A236" s="7"/>
      <c r="B236" s="68">
        <f t="shared" si="8"/>
        <v>231</v>
      </c>
      <c r="C236" s="607">
        <v>11500.0</v>
      </c>
      <c r="D236" s="6">
        <f t="shared" si="9"/>
        <v>5071.895908</v>
      </c>
      <c r="E236" s="6">
        <f t="shared" si="1"/>
        <v>6428.104092</v>
      </c>
      <c r="F236" s="6">
        <f t="shared" si="4"/>
        <v>712198.5196</v>
      </c>
      <c r="G236" s="6">
        <f t="shared" si="5"/>
        <v>1944301.48</v>
      </c>
      <c r="H236" s="6">
        <f t="shared" si="6"/>
        <v>2656500</v>
      </c>
      <c r="I236" s="6">
        <f t="shared" si="7"/>
        <v>666088.4804</v>
      </c>
      <c r="J236" s="610">
        <v>9.05</v>
      </c>
      <c r="K236" s="591"/>
      <c r="L236" s="6"/>
      <c r="M236" s="9"/>
      <c r="N236" s="79"/>
      <c r="O236" s="6"/>
      <c r="P236" s="6"/>
      <c r="Q236" s="6"/>
      <c r="R236" s="6"/>
      <c r="S236" s="6"/>
      <c r="T236" s="622"/>
      <c r="U236" s="6"/>
      <c r="V236" s="6"/>
      <c r="W236" s="6"/>
      <c r="X236" s="6"/>
      <c r="Y236" s="6"/>
    </row>
    <row r="237" ht="11.25" customHeight="1">
      <c r="A237" s="7"/>
      <c r="B237" s="68">
        <f t="shared" si="8"/>
        <v>232</v>
      </c>
      <c r="C237" s="607">
        <v>11500.0</v>
      </c>
      <c r="D237" s="6">
        <f t="shared" si="9"/>
        <v>5023.41729</v>
      </c>
      <c r="E237" s="6">
        <f t="shared" si="1"/>
        <v>6476.58271</v>
      </c>
      <c r="F237" s="6">
        <f t="shared" si="4"/>
        <v>718675.1023</v>
      </c>
      <c r="G237" s="6">
        <f t="shared" si="5"/>
        <v>1949324.898</v>
      </c>
      <c r="H237" s="6">
        <f t="shared" si="6"/>
        <v>2668000</v>
      </c>
      <c r="I237" s="6">
        <f t="shared" si="7"/>
        <v>659611.8977</v>
      </c>
      <c r="J237" s="610">
        <v>9.05</v>
      </c>
      <c r="K237" s="591"/>
      <c r="L237" s="6"/>
      <c r="M237" s="9"/>
      <c r="N237" s="79"/>
      <c r="O237" s="6"/>
      <c r="P237" s="6"/>
      <c r="Q237" s="6"/>
      <c r="R237" s="6"/>
      <c r="S237" s="6"/>
      <c r="T237" s="622"/>
      <c r="U237" s="6"/>
      <c r="V237" s="6"/>
      <c r="W237" s="6"/>
      <c r="X237" s="6"/>
      <c r="Y237" s="6"/>
    </row>
    <row r="238" ht="11.25" customHeight="1">
      <c r="A238" s="7"/>
      <c r="B238" s="68">
        <f t="shared" si="8"/>
        <v>233</v>
      </c>
      <c r="C238" s="607">
        <v>11500.0</v>
      </c>
      <c r="D238" s="6">
        <f t="shared" si="9"/>
        <v>4974.573062</v>
      </c>
      <c r="E238" s="6">
        <f t="shared" si="1"/>
        <v>6525.426938</v>
      </c>
      <c r="F238" s="6">
        <f t="shared" si="4"/>
        <v>725200.5293</v>
      </c>
      <c r="G238" s="6">
        <f t="shared" si="5"/>
        <v>1954299.471</v>
      </c>
      <c r="H238" s="6">
        <f t="shared" si="6"/>
        <v>2679500</v>
      </c>
      <c r="I238" s="6">
        <f t="shared" si="7"/>
        <v>653086.4707</v>
      </c>
      <c r="J238" s="610">
        <v>9.05</v>
      </c>
      <c r="K238" s="591"/>
      <c r="L238" s="6"/>
      <c r="M238" s="9"/>
      <c r="N238" s="79"/>
      <c r="O238" s="6"/>
      <c r="P238" s="6"/>
      <c r="Q238" s="6"/>
      <c r="R238" s="6"/>
      <c r="S238" s="6"/>
      <c r="T238" s="622"/>
      <c r="U238" s="6"/>
      <c r="V238" s="6"/>
      <c r="W238" s="6"/>
      <c r="X238" s="6"/>
      <c r="Y238" s="6"/>
    </row>
    <row r="239" ht="11.25" customHeight="1">
      <c r="A239" s="7"/>
      <c r="B239" s="68">
        <f t="shared" si="8"/>
        <v>234</v>
      </c>
      <c r="C239" s="607">
        <v>11500.0</v>
      </c>
      <c r="D239" s="6">
        <f t="shared" si="9"/>
        <v>4925.360467</v>
      </c>
      <c r="E239" s="6">
        <f t="shared" si="1"/>
        <v>6574.639533</v>
      </c>
      <c r="F239" s="6">
        <f t="shared" si="4"/>
        <v>731775.1688</v>
      </c>
      <c r="G239" s="6">
        <f t="shared" si="5"/>
        <v>1959224.831</v>
      </c>
      <c r="H239" s="6">
        <f t="shared" si="6"/>
        <v>2691000</v>
      </c>
      <c r="I239" s="6">
        <f t="shared" si="7"/>
        <v>646511.8312</v>
      </c>
      <c r="J239" s="610">
        <v>9.05</v>
      </c>
      <c r="K239" s="591"/>
      <c r="L239" s="6"/>
      <c r="M239" s="9"/>
      <c r="N239" s="79"/>
      <c r="O239" s="6"/>
      <c r="P239" s="6"/>
      <c r="Q239" s="6"/>
      <c r="R239" s="6"/>
      <c r="S239" s="6"/>
      <c r="T239" s="622"/>
      <c r="U239" s="6"/>
      <c r="V239" s="6"/>
      <c r="W239" s="6"/>
      <c r="X239" s="6"/>
      <c r="Y239" s="6"/>
    </row>
    <row r="240" ht="11.25" customHeight="1">
      <c r="A240" s="7"/>
      <c r="B240" s="68">
        <f t="shared" si="8"/>
        <v>235</v>
      </c>
      <c r="C240" s="607">
        <v>11500.0</v>
      </c>
      <c r="D240" s="6">
        <f t="shared" si="9"/>
        <v>4875.776727</v>
      </c>
      <c r="E240" s="6">
        <f t="shared" si="1"/>
        <v>6624.223273</v>
      </c>
      <c r="F240" s="6">
        <f t="shared" si="4"/>
        <v>738399.3921</v>
      </c>
      <c r="G240" s="6">
        <f t="shared" si="5"/>
        <v>1964100.608</v>
      </c>
      <c r="H240" s="6">
        <f t="shared" si="6"/>
        <v>2702500</v>
      </c>
      <c r="I240" s="6">
        <f t="shared" si="7"/>
        <v>639887.6079</v>
      </c>
      <c r="J240" s="610">
        <v>9.05</v>
      </c>
      <c r="K240" s="591"/>
      <c r="L240" s="6"/>
      <c r="M240" s="9"/>
      <c r="N240" s="79"/>
      <c r="O240" s="6"/>
      <c r="P240" s="6"/>
      <c r="Q240" s="6"/>
      <c r="R240" s="6"/>
      <c r="S240" s="6"/>
      <c r="T240" s="622"/>
      <c r="U240" s="6"/>
      <c r="V240" s="6"/>
      <c r="W240" s="6"/>
      <c r="X240" s="6"/>
      <c r="Y240" s="6"/>
    </row>
    <row r="241" ht="11.25" customHeight="1">
      <c r="A241" s="7"/>
      <c r="B241" s="68">
        <f t="shared" si="8"/>
        <v>236</v>
      </c>
      <c r="C241" s="607">
        <v>11500.0</v>
      </c>
      <c r="D241" s="6">
        <f t="shared" si="9"/>
        <v>4825.819043</v>
      </c>
      <c r="E241" s="6">
        <f t="shared" si="1"/>
        <v>6674.180957</v>
      </c>
      <c r="F241" s="6">
        <f t="shared" si="4"/>
        <v>745073.573</v>
      </c>
      <c r="G241" s="6">
        <f t="shared" si="5"/>
        <v>1968926.427</v>
      </c>
      <c r="H241" s="6">
        <f t="shared" si="6"/>
        <v>2714000</v>
      </c>
      <c r="I241" s="6">
        <f t="shared" si="7"/>
        <v>633213.427</v>
      </c>
      <c r="J241" s="610">
        <v>9.05</v>
      </c>
      <c r="K241" s="591"/>
      <c r="L241" s="6"/>
      <c r="M241" s="9"/>
      <c r="N241" s="79"/>
      <c r="O241" s="6"/>
      <c r="P241" s="6"/>
      <c r="Q241" s="6"/>
      <c r="R241" s="6"/>
      <c r="S241" s="6"/>
      <c r="T241" s="622"/>
      <c r="U241" s="6"/>
      <c r="V241" s="6"/>
      <c r="W241" s="6"/>
      <c r="X241" s="6"/>
      <c r="Y241" s="6"/>
    </row>
    <row r="242" ht="11.25" customHeight="1">
      <c r="A242" s="7"/>
      <c r="B242" s="68">
        <f t="shared" si="8"/>
        <v>237</v>
      </c>
      <c r="C242" s="607">
        <v>11500.0</v>
      </c>
      <c r="D242" s="6">
        <f t="shared" si="9"/>
        <v>4775.484595</v>
      </c>
      <c r="E242" s="6">
        <f t="shared" si="1"/>
        <v>6724.515405</v>
      </c>
      <c r="F242" s="6">
        <f t="shared" si="4"/>
        <v>751798.0884</v>
      </c>
      <c r="G242" s="6">
        <f t="shared" si="5"/>
        <v>1973701.912</v>
      </c>
      <c r="H242" s="6">
        <f t="shared" si="6"/>
        <v>2725500</v>
      </c>
      <c r="I242" s="6">
        <f t="shared" si="7"/>
        <v>626488.9116</v>
      </c>
      <c r="J242" s="610">
        <v>9.05</v>
      </c>
      <c r="K242" s="591"/>
      <c r="L242" s="6"/>
      <c r="M242" s="9"/>
      <c r="N242" s="79"/>
      <c r="O242" s="6"/>
      <c r="P242" s="6"/>
      <c r="Q242" s="6"/>
      <c r="R242" s="6"/>
      <c r="S242" s="6"/>
      <c r="T242" s="622"/>
      <c r="U242" s="6"/>
      <c r="V242" s="6"/>
      <c r="W242" s="6"/>
      <c r="X242" s="6"/>
      <c r="Y242" s="6"/>
    </row>
    <row r="243" ht="11.25" customHeight="1">
      <c r="A243" s="7"/>
      <c r="B243" s="68">
        <f t="shared" si="8"/>
        <v>238</v>
      </c>
      <c r="C243" s="607">
        <v>11500.0</v>
      </c>
      <c r="D243" s="6">
        <f t="shared" si="9"/>
        <v>4724.770541</v>
      </c>
      <c r="E243" s="6">
        <f t="shared" si="1"/>
        <v>6775.229459</v>
      </c>
      <c r="F243" s="6">
        <f t="shared" si="4"/>
        <v>758573.3179</v>
      </c>
      <c r="G243" s="6">
        <f t="shared" si="5"/>
        <v>1978426.682</v>
      </c>
      <c r="H243" s="6">
        <f t="shared" si="6"/>
        <v>2737000</v>
      </c>
      <c r="I243" s="6">
        <f t="shared" si="7"/>
        <v>619713.6821</v>
      </c>
      <c r="J243" s="610">
        <v>9.05</v>
      </c>
      <c r="K243" s="591"/>
      <c r="L243" s="6"/>
      <c r="M243" s="9"/>
      <c r="N243" s="79"/>
      <c r="O243" s="6"/>
      <c r="P243" s="6"/>
      <c r="Q243" s="6"/>
      <c r="R243" s="6"/>
      <c r="S243" s="6"/>
      <c r="T243" s="622"/>
      <c r="U243" s="6"/>
      <c r="V243" s="6"/>
      <c r="W243" s="6"/>
      <c r="X243" s="6"/>
      <c r="Y243" s="6"/>
    </row>
    <row r="244" ht="11.25" customHeight="1">
      <c r="A244" s="7"/>
      <c r="B244" s="68">
        <f t="shared" si="8"/>
        <v>239</v>
      </c>
      <c r="C244" s="607">
        <v>11500.0</v>
      </c>
      <c r="D244" s="6">
        <f t="shared" si="9"/>
        <v>4673.674019</v>
      </c>
      <c r="E244" s="6">
        <f t="shared" si="1"/>
        <v>6826.325981</v>
      </c>
      <c r="F244" s="6">
        <f t="shared" si="4"/>
        <v>765399.6439</v>
      </c>
      <c r="G244" s="6">
        <f t="shared" si="5"/>
        <v>1983100.356</v>
      </c>
      <c r="H244" s="6">
        <f t="shared" si="6"/>
        <v>2748500</v>
      </c>
      <c r="I244" s="6">
        <f t="shared" si="7"/>
        <v>612887.3561</v>
      </c>
      <c r="J244" s="610">
        <v>9.05</v>
      </c>
      <c r="K244" s="591"/>
      <c r="L244" s="6"/>
      <c r="M244" s="9"/>
      <c r="N244" s="79"/>
      <c r="O244" s="6"/>
      <c r="P244" s="6"/>
      <c r="Q244" s="6"/>
      <c r="R244" s="6"/>
      <c r="S244" s="6"/>
      <c r="T244" s="622"/>
      <c r="U244" s="6"/>
      <c r="V244" s="6"/>
      <c r="W244" s="6"/>
      <c r="X244" s="6"/>
      <c r="Y244" s="6"/>
    </row>
    <row r="245" ht="11.25" customHeight="1">
      <c r="A245" s="71"/>
      <c r="B245" s="72">
        <f t="shared" si="8"/>
        <v>240</v>
      </c>
      <c r="C245" s="607">
        <v>11500.0</v>
      </c>
      <c r="D245" s="10">
        <f t="shared" si="9"/>
        <v>4622.192144</v>
      </c>
      <c r="E245" s="10">
        <f t="shared" si="1"/>
        <v>6877.807856</v>
      </c>
      <c r="F245" s="10">
        <f t="shared" si="4"/>
        <v>772277.4517</v>
      </c>
      <c r="G245" s="10">
        <f t="shared" si="5"/>
        <v>1987722.548</v>
      </c>
      <c r="H245" s="10">
        <f t="shared" si="6"/>
        <v>2760000</v>
      </c>
      <c r="I245" s="10">
        <f t="shared" si="7"/>
        <v>606009.5483</v>
      </c>
      <c r="J245" s="610">
        <v>9.05</v>
      </c>
      <c r="K245" s="591"/>
      <c r="L245" s="6"/>
      <c r="M245" s="9"/>
      <c r="N245" s="79"/>
      <c r="O245" s="6"/>
      <c r="P245" s="6"/>
      <c r="Q245" s="6"/>
      <c r="R245" s="6"/>
      <c r="S245" s="6"/>
      <c r="T245" s="622"/>
      <c r="U245" s="6"/>
      <c r="V245" s="6"/>
      <c r="W245" s="6"/>
      <c r="X245" s="6"/>
      <c r="Y245" s="6"/>
    </row>
    <row r="246" ht="11.25" customHeight="1">
      <c r="A246" s="100">
        <v>21.0</v>
      </c>
      <c r="B246" s="66">
        <f t="shared" si="8"/>
        <v>241</v>
      </c>
      <c r="C246" s="607">
        <v>11500.0</v>
      </c>
      <c r="D246" s="617">
        <f t="shared" si="9"/>
        <v>4570.32201</v>
      </c>
      <c r="E246" s="617">
        <f t="shared" si="1"/>
        <v>6929.67799</v>
      </c>
      <c r="F246" s="617">
        <f t="shared" si="4"/>
        <v>779207.1297</v>
      </c>
      <c r="G246" s="617">
        <f t="shared" si="5"/>
        <v>1992292.87</v>
      </c>
      <c r="H246" s="617">
        <f t="shared" si="6"/>
        <v>2771500</v>
      </c>
      <c r="I246" s="617">
        <f t="shared" si="7"/>
        <v>599079.8703</v>
      </c>
      <c r="J246" s="610">
        <v>9.05</v>
      </c>
      <c r="K246" s="591"/>
      <c r="L246" s="6"/>
      <c r="M246" s="9"/>
      <c r="N246" s="79"/>
      <c r="O246" s="6"/>
      <c r="P246" s="6"/>
      <c r="Q246" s="6"/>
      <c r="R246" s="6"/>
      <c r="S246" s="6"/>
      <c r="T246" s="622"/>
      <c r="U246" s="6"/>
      <c r="V246" s="6"/>
      <c r="W246" s="6"/>
      <c r="X246" s="6"/>
      <c r="Y246" s="6"/>
    </row>
    <row r="247" ht="11.25" customHeight="1">
      <c r="A247" s="7"/>
      <c r="B247" s="68">
        <f t="shared" si="8"/>
        <v>242</v>
      </c>
      <c r="C247" s="607">
        <v>11500.0</v>
      </c>
      <c r="D247" s="6">
        <f t="shared" si="9"/>
        <v>4518.060688</v>
      </c>
      <c r="E247" s="6">
        <f t="shared" si="1"/>
        <v>6981.939312</v>
      </c>
      <c r="F247" s="6">
        <f t="shared" si="4"/>
        <v>786189.069</v>
      </c>
      <c r="G247" s="6">
        <f t="shared" si="5"/>
        <v>1996810.931</v>
      </c>
      <c r="H247" s="6">
        <f t="shared" si="6"/>
        <v>2783000</v>
      </c>
      <c r="I247" s="6">
        <f t="shared" si="7"/>
        <v>592097.931</v>
      </c>
      <c r="J247" s="610">
        <v>9.05</v>
      </c>
      <c r="K247" s="591"/>
      <c r="L247" s="6"/>
      <c r="M247" s="9"/>
      <c r="N247" s="79"/>
      <c r="O247" s="6"/>
      <c r="P247" s="6"/>
      <c r="Q247" s="6"/>
      <c r="R247" s="6"/>
      <c r="S247" s="6"/>
      <c r="T247" s="622"/>
      <c r="U247" s="6"/>
      <c r="V247" s="6"/>
      <c r="W247" s="6"/>
      <c r="X247" s="6"/>
      <c r="Y247" s="6"/>
    </row>
    <row r="248" ht="11.25" customHeight="1">
      <c r="A248" s="7"/>
      <c r="B248" s="68">
        <f t="shared" si="8"/>
        <v>243</v>
      </c>
      <c r="C248" s="607">
        <v>11500.0</v>
      </c>
      <c r="D248" s="6">
        <f t="shared" si="9"/>
        <v>4465.405229</v>
      </c>
      <c r="E248" s="6">
        <f t="shared" si="1"/>
        <v>7034.594771</v>
      </c>
      <c r="F248" s="6">
        <f t="shared" si="4"/>
        <v>793223.6638</v>
      </c>
      <c r="G248" s="6">
        <f t="shared" si="5"/>
        <v>2001276.336</v>
      </c>
      <c r="H248" s="6">
        <f t="shared" si="6"/>
        <v>2794500</v>
      </c>
      <c r="I248" s="6">
        <f t="shared" si="7"/>
        <v>585063.3362</v>
      </c>
      <c r="J248" s="610">
        <v>9.05</v>
      </c>
      <c r="K248" s="591"/>
      <c r="L248" s="6"/>
      <c r="M248" s="9"/>
      <c r="N248" s="79"/>
      <c r="O248" s="6"/>
      <c r="P248" s="6"/>
      <c r="Q248" s="6"/>
      <c r="R248" s="6"/>
      <c r="S248" s="6"/>
      <c r="T248" s="622"/>
      <c r="U248" s="6"/>
      <c r="V248" s="6"/>
      <c r="W248" s="6"/>
      <c r="X248" s="6"/>
      <c r="Y248" s="6"/>
    </row>
    <row r="249" ht="11.25" customHeight="1">
      <c r="A249" s="7"/>
      <c r="B249" s="68">
        <f t="shared" si="8"/>
        <v>244</v>
      </c>
      <c r="C249" s="607">
        <v>11500.0</v>
      </c>
      <c r="D249" s="6">
        <f t="shared" si="9"/>
        <v>4412.352661</v>
      </c>
      <c r="E249" s="6">
        <f t="shared" si="1"/>
        <v>7087.647339</v>
      </c>
      <c r="F249" s="6">
        <f t="shared" si="4"/>
        <v>800311.3111</v>
      </c>
      <c r="G249" s="6">
        <f t="shared" si="5"/>
        <v>2005688.689</v>
      </c>
      <c r="H249" s="6">
        <f t="shared" si="6"/>
        <v>2806000</v>
      </c>
      <c r="I249" s="6">
        <f t="shared" si="7"/>
        <v>577975.6889</v>
      </c>
      <c r="J249" s="610">
        <v>9.05</v>
      </c>
      <c r="K249" s="591"/>
      <c r="L249" s="6"/>
      <c r="M249" s="9"/>
      <c r="N249" s="79"/>
      <c r="O249" s="6"/>
      <c r="P249" s="6"/>
      <c r="Q249" s="6"/>
      <c r="R249" s="6"/>
      <c r="S249" s="6"/>
      <c r="T249" s="622"/>
      <c r="U249" s="6"/>
      <c r="V249" s="6"/>
      <c r="W249" s="6"/>
      <c r="X249" s="6"/>
      <c r="Y249" s="6"/>
    </row>
    <row r="250" ht="11.25" customHeight="1">
      <c r="A250" s="7"/>
      <c r="B250" s="68">
        <f t="shared" si="8"/>
        <v>245</v>
      </c>
      <c r="C250" s="607">
        <v>11500.0</v>
      </c>
      <c r="D250" s="6">
        <f t="shared" si="9"/>
        <v>4358.899987</v>
      </c>
      <c r="E250" s="6">
        <f t="shared" si="1"/>
        <v>7141.100013</v>
      </c>
      <c r="F250" s="6">
        <f t="shared" si="4"/>
        <v>807452.4111</v>
      </c>
      <c r="G250" s="6">
        <f t="shared" si="5"/>
        <v>2010047.589</v>
      </c>
      <c r="H250" s="6">
        <f t="shared" si="6"/>
        <v>2817500</v>
      </c>
      <c r="I250" s="6">
        <f t="shared" si="7"/>
        <v>570834.5889</v>
      </c>
      <c r="J250" s="610">
        <v>9.05</v>
      </c>
      <c r="K250" s="591"/>
      <c r="L250" s="6"/>
      <c r="M250" s="9"/>
      <c r="N250" s="79"/>
      <c r="O250" s="6"/>
      <c r="P250" s="6"/>
      <c r="Q250" s="6"/>
      <c r="R250" s="6"/>
      <c r="S250" s="6"/>
      <c r="T250" s="622"/>
      <c r="U250" s="6"/>
      <c r="V250" s="6"/>
      <c r="W250" s="6"/>
      <c r="X250" s="6"/>
      <c r="Y250" s="6"/>
    </row>
    <row r="251" ht="11.25" customHeight="1">
      <c r="A251" s="7"/>
      <c r="B251" s="68">
        <f t="shared" si="8"/>
        <v>246</v>
      </c>
      <c r="C251" s="607">
        <v>11500.0</v>
      </c>
      <c r="D251" s="6">
        <f t="shared" si="9"/>
        <v>4305.044191</v>
      </c>
      <c r="E251" s="6">
        <f t="shared" si="1"/>
        <v>7194.955809</v>
      </c>
      <c r="F251" s="6">
        <f t="shared" si="4"/>
        <v>814647.367</v>
      </c>
      <c r="G251" s="6">
        <f t="shared" si="5"/>
        <v>2014352.633</v>
      </c>
      <c r="H251" s="6">
        <f t="shared" si="6"/>
        <v>2829000</v>
      </c>
      <c r="I251" s="6">
        <f t="shared" si="7"/>
        <v>563639.633</v>
      </c>
      <c r="J251" s="610">
        <v>9.05</v>
      </c>
      <c r="K251" s="591"/>
      <c r="L251" s="6"/>
      <c r="M251" s="9"/>
      <c r="N251" s="79"/>
      <c r="O251" s="6"/>
      <c r="P251" s="6"/>
      <c r="Q251" s="6"/>
      <c r="R251" s="6"/>
      <c r="S251" s="6"/>
      <c r="T251" s="622"/>
      <c r="U251" s="6"/>
      <c r="V251" s="6"/>
      <c r="W251" s="6"/>
      <c r="X251" s="6"/>
      <c r="Y251" s="6"/>
    </row>
    <row r="252" ht="11.25" customHeight="1">
      <c r="A252" s="7"/>
      <c r="B252" s="68">
        <f t="shared" si="8"/>
        <v>247</v>
      </c>
      <c r="C252" s="607">
        <v>11500.0</v>
      </c>
      <c r="D252" s="6">
        <f t="shared" si="9"/>
        <v>4250.782233</v>
      </c>
      <c r="E252" s="6">
        <f t="shared" si="1"/>
        <v>7249.217767</v>
      </c>
      <c r="F252" s="6">
        <f t="shared" si="4"/>
        <v>821896.5847</v>
      </c>
      <c r="G252" s="6">
        <f t="shared" si="5"/>
        <v>2018603.415</v>
      </c>
      <c r="H252" s="6">
        <f t="shared" si="6"/>
        <v>2840500</v>
      </c>
      <c r="I252" s="6">
        <f t="shared" si="7"/>
        <v>556390.4153</v>
      </c>
      <c r="J252" s="610">
        <v>9.05</v>
      </c>
      <c r="K252" s="591"/>
      <c r="L252" s="6"/>
      <c r="M252" s="9"/>
      <c r="N252" s="79"/>
      <c r="O252" s="6"/>
      <c r="P252" s="6"/>
      <c r="Q252" s="6"/>
      <c r="R252" s="6"/>
      <c r="S252" s="6"/>
      <c r="T252" s="622"/>
      <c r="U252" s="6"/>
      <c r="V252" s="6"/>
      <c r="W252" s="6"/>
      <c r="X252" s="6"/>
      <c r="Y252" s="6"/>
    </row>
    <row r="253" ht="11.25" customHeight="1">
      <c r="A253" s="7"/>
      <c r="B253" s="68">
        <f t="shared" si="8"/>
        <v>248</v>
      </c>
      <c r="C253" s="607">
        <v>11500.0</v>
      </c>
      <c r="D253" s="6">
        <f t="shared" si="9"/>
        <v>4196.111049</v>
      </c>
      <c r="E253" s="6">
        <f t="shared" si="1"/>
        <v>7303.888951</v>
      </c>
      <c r="F253" s="6">
        <f t="shared" si="4"/>
        <v>829200.4737</v>
      </c>
      <c r="G253" s="6">
        <f t="shared" si="5"/>
        <v>2022799.526</v>
      </c>
      <c r="H253" s="6">
        <f t="shared" si="6"/>
        <v>2852000</v>
      </c>
      <c r="I253" s="6">
        <f t="shared" si="7"/>
        <v>549086.5263</v>
      </c>
      <c r="J253" s="610">
        <v>9.05</v>
      </c>
      <c r="K253" s="591"/>
      <c r="L253" s="6"/>
      <c r="M253" s="9"/>
      <c r="N253" s="79"/>
      <c r="O253" s="6"/>
      <c r="P253" s="6"/>
      <c r="Q253" s="6"/>
      <c r="R253" s="6"/>
      <c r="S253" s="6"/>
      <c r="T253" s="622"/>
      <c r="U253" s="6"/>
      <c r="V253" s="6"/>
      <c r="W253" s="6"/>
      <c r="X253" s="6"/>
      <c r="Y253" s="6"/>
    </row>
    <row r="254" ht="11.25" customHeight="1">
      <c r="A254" s="7"/>
      <c r="B254" s="68">
        <f t="shared" si="8"/>
        <v>249</v>
      </c>
      <c r="C254" s="607">
        <v>11500.0</v>
      </c>
      <c r="D254" s="6">
        <f t="shared" si="9"/>
        <v>4141.027553</v>
      </c>
      <c r="E254" s="6">
        <f t="shared" si="1"/>
        <v>7358.972447</v>
      </c>
      <c r="F254" s="6">
        <f t="shared" si="4"/>
        <v>836559.4461</v>
      </c>
      <c r="G254" s="6">
        <f t="shared" si="5"/>
        <v>2026940.554</v>
      </c>
      <c r="H254" s="6">
        <f t="shared" si="6"/>
        <v>2863500</v>
      </c>
      <c r="I254" s="6">
        <f t="shared" si="7"/>
        <v>541727.5539</v>
      </c>
      <c r="J254" s="610">
        <v>9.05</v>
      </c>
      <c r="K254" s="591"/>
      <c r="L254" s="6"/>
      <c r="M254" s="9"/>
      <c r="N254" s="79"/>
      <c r="O254" s="6"/>
      <c r="P254" s="6"/>
      <c r="Q254" s="6"/>
      <c r="R254" s="6"/>
      <c r="S254" s="6"/>
      <c r="T254" s="622"/>
      <c r="U254" s="6"/>
      <c r="V254" s="6"/>
      <c r="W254" s="6"/>
      <c r="X254" s="6"/>
      <c r="Y254" s="6"/>
    </row>
    <row r="255" ht="11.25" customHeight="1">
      <c r="A255" s="7"/>
      <c r="B255" s="68">
        <f t="shared" si="8"/>
        <v>250</v>
      </c>
      <c r="C255" s="607">
        <v>11500.0</v>
      </c>
      <c r="D255" s="6">
        <f t="shared" si="9"/>
        <v>4085.528636</v>
      </c>
      <c r="E255" s="6">
        <f t="shared" si="1"/>
        <v>7414.471364</v>
      </c>
      <c r="F255" s="6">
        <f t="shared" si="4"/>
        <v>843973.9175</v>
      </c>
      <c r="G255" s="6">
        <f t="shared" si="5"/>
        <v>2031026.083</v>
      </c>
      <c r="H255" s="6">
        <f t="shared" si="6"/>
        <v>2875000</v>
      </c>
      <c r="I255" s="6">
        <f t="shared" si="7"/>
        <v>534313.0825</v>
      </c>
      <c r="J255" s="610">
        <v>9.05</v>
      </c>
      <c r="K255" s="591"/>
      <c r="L255" s="6"/>
      <c r="M255" s="9"/>
      <c r="N255" s="79"/>
      <c r="O255" s="6"/>
      <c r="P255" s="6"/>
      <c r="Q255" s="6"/>
      <c r="R255" s="6"/>
      <c r="S255" s="6"/>
      <c r="T255" s="622"/>
      <c r="U255" s="6"/>
      <c r="V255" s="6"/>
      <c r="W255" s="6"/>
      <c r="X255" s="6"/>
      <c r="Y255" s="6"/>
    </row>
    <row r="256" ht="11.25" customHeight="1">
      <c r="A256" s="7"/>
      <c r="B256" s="68">
        <f t="shared" si="8"/>
        <v>251</v>
      </c>
      <c r="C256" s="607">
        <v>11500.0</v>
      </c>
      <c r="D256" s="6">
        <f t="shared" si="9"/>
        <v>4029.611164</v>
      </c>
      <c r="E256" s="6">
        <f t="shared" si="1"/>
        <v>7470.388836</v>
      </c>
      <c r="F256" s="6">
        <f t="shared" si="4"/>
        <v>851444.3063</v>
      </c>
      <c r="G256" s="6">
        <f t="shared" si="5"/>
        <v>2035055.694</v>
      </c>
      <c r="H256" s="6">
        <f t="shared" si="6"/>
        <v>2886500</v>
      </c>
      <c r="I256" s="6">
        <f t="shared" si="7"/>
        <v>526842.6937</v>
      </c>
      <c r="J256" s="610">
        <v>9.05</v>
      </c>
      <c r="K256" s="591"/>
      <c r="L256" s="6"/>
      <c r="M256" s="9"/>
      <c r="N256" s="79"/>
      <c r="O256" s="6"/>
      <c r="P256" s="6"/>
      <c r="Q256" s="6"/>
      <c r="R256" s="6"/>
      <c r="S256" s="6"/>
      <c r="T256" s="622"/>
      <c r="U256" s="6"/>
      <c r="V256" s="6"/>
      <c r="W256" s="6"/>
      <c r="X256" s="6"/>
      <c r="Y256" s="6"/>
    </row>
    <row r="257" ht="11.25" customHeight="1">
      <c r="A257" s="71"/>
      <c r="B257" s="72">
        <f t="shared" si="8"/>
        <v>252</v>
      </c>
      <c r="C257" s="607">
        <v>11500.0</v>
      </c>
      <c r="D257" s="10">
        <f t="shared" si="9"/>
        <v>3973.271982</v>
      </c>
      <c r="E257" s="10">
        <f t="shared" si="1"/>
        <v>7526.728018</v>
      </c>
      <c r="F257" s="10">
        <f t="shared" si="4"/>
        <v>858971.0343</v>
      </c>
      <c r="G257" s="10">
        <f t="shared" si="5"/>
        <v>2039028.966</v>
      </c>
      <c r="H257" s="10">
        <f t="shared" si="6"/>
        <v>2898000</v>
      </c>
      <c r="I257" s="10">
        <f t="shared" si="7"/>
        <v>519315.9657</v>
      </c>
      <c r="J257" s="610">
        <v>9.05</v>
      </c>
      <c r="K257" s="591"/>
      <c r="L257" s="6"/>
      <c r="M257" s="9"/>
      <c r="N257" s="79"/>
      <c r="O257" s="6"/>
      <c r="P257" s="6"/>
      <c r="Q257" s="6"/>
      <c r="R257" s="6"/>
      <c r="S257" s="6"/>
      <c r="T257" s="622"/>
      <c r="U257" s="6"/>
      <c r="V257" s="6"/>
      <c r="W257" s="6"/>
      <c r="X257" s="6"/>
      <c r="Y257" s="6"/>
    </row>
    <row r="258" ht="11.25" customHeight="1">
      <c r="A258" s="100">
        <v>22.0</v>
      </c>
      <c r="B258" s="66">
        <f t="shared" si="8"/>
        <v>253</v>
      </c>
      <c r="C258" s="607">
        <v>11500.0</v>
      </c>
      <c r="D258" s="617">
        <f t="shared" si="9"/>
        <v>3916.507908</v>
      </c>
      <c r="E258" s="617">
        <f t="shared" si="1"/>
        <v>7583.492092</v>
      </c>
      <c r="F258" s="617">
        <f t="shared" si="4"/>
        <v>866554.5264</v>
      </c>
      <c r="G258" s="617">
        <f t="shared" si="5"/>
        <v>2042945.474</v>
      </c>
      <c r="H258" s="617">
        <f t="shared" si="6"/>
        <v>2909500</v>
      </c>
      <c r="I258" s="617">
        <f t="shared" si="7"/>
        <v>511732.4736</v>
      </c>
      <c r="J258" s="610">
        <v>9.05</v>
      </c>
      <c r="K258" s="591"/>
      <c r="L258" s="6"/>
      <c r="M258" s="9"/>
      <c r="N258" s="79"/>
      <c r="O258" s="6"/>
      <c r="P258" s="6"/>
      <c r="Q258" s="6"/>
      <c r="R258" s="6"/>
      <c r="S258" s="6"/>
      <c r="T258" s="622"/>
      <c r="U258" s="6"/>
      <c r="V258" s="6"/>
      <c r="W258" s="6"/>
      <c r="X258" s="6"/>
      <c r="Y258" s="6"/>
    </row>
    <row r="259" ht="11.25" customHeight="1">
      <c r="A259" s="7"/>
      <c r="B259" s="68">
        <f t="shared" si="8"/>
        <v>254</v>
      </c>
      <c r="C259" s="607">
        <v>11500.0</v>
      </c>
      <c r="D259" s="6">
        <f t="shared" si="9"/>
        <v>3859.315738</v>
      </c>
      <c r="E259" s="6">
        <f t="shared" si="1"/>
        <v>7640.684262</v>
      </c>
      <c r="F259" s="6">
        <f t="shared" si="4"/>
        <v>874195.2107</v>
      </c>
      <c r="G259" s="6">
        <f t="shared" si="5"/>
        <v>2046804.789</v>
      </c>
      <c r="H259" s="6">
        <f t="shared" si="6"/>
        <v>2921000</v>
      </c>
      <c r="I259" s="6">
        <f t="shared" si="7"/>
        <v>504091.7893</v>
      </c>
      <c r="J259" s="610">
        <v>9.05</v>
      </c>
      <c r="K259" s="591"/>
      <c r="L259" s="6"/>
      <c r="M259" s="9"/>
      <c r="N259" s="79"/>
      <c r="O259" s="6"/>
      <c r="P259" s="6"/>
      <c r="Q259" s="6"/>
      <c r="R259" s="6"/>
      <c r="S259" s="6"/>
      <c r="T259" s="622"/>
      <c r="U259" s="6"/>
      <c r="V259" s="6"/>
      <c r="W259" s="6"/>
      <c r="X259" s="6"/>
      <c r="Y259" s="6"/>
    </row>
    <row r="260" ht="11.25" customHeight="1">
      <c r="A260" s="7"/>
      <c r="B260" s="68">
        <f t="shared" si="8"/>
        <v>255</v>
      </c>
      <c r="C260" s="607">
        <v>11500.0</v>
      </c>
      <c r="D260" s="6">
        <f t="shared" si="9"/>
        <v>3801.692244</v>
      </c>
      <c r="E260" s="6">
        <f t="shared" si="1"/>
        <v>7698.307756</v>
      </c>
      <c r="F260" s="6">
        <f t="shared" si="4"/>
        <v>881893.5184</v>
      </c>
      <c r="G260" s="6">
        <f t="shared" si="5"/>
        <v>2050606.482</v>
      </c>
      <c r="H260" s="6">
        <f t="shared" si="6"/>
        <v>2932500</v>
      </c>
      <c r="I260" s="6">
        <f t="shared" si="7"/>
        <v>496393.4816</v>
      </c>
      <c r="J260" s="610">
        <v>9.05</v>
      </c>
      <c r="K260" s="591"/>
      <c r="L260" s="6"/>
      <c r="M260" s="9"/>
      <c r="N260" s="79"/>
      <c r="O260" s="6"/>
      <c r="P260" s="6"/>
      <c r="Q260" s="6"/>
      <c r="R260" s="6"/>
      <c r="S260" s="6"/>
      <c r="T260" s="622"/>
      <c r="U260" s="6"/>
      <c r="V260" s="6"/>
      <c r="W260" s="6"/>
      <c r="X260" s="6"/>
      <c r="Y260" s="6"/>
    </row>
    <row r="261" ht="11.25" customHeight="1">
      <c r="A261" s="7"/>
      <c r="B261" s="68">
        <f t="shared" si="8"/>
        <v>256</v>
      </c>
      <c r="C261" s="607">
        <v>11500.0</v>
      </c>
      <c r="D261" s="6">
        <f t="shared" si="9"/>
        <v>3743.634173</v>
      </c>
      <c r="E261" s="6">
        <f t="shared" si="1"/>
        <v>7756.365827</v>
      </c>
      <c r="F261" s="6">
        <f t="shared" si="4"/>
        <v>889649.8843</v>
      </c>
      <c r="G261" s="6">
        <f t="shared" si="5"/>
        <v>2054350.116</v>
      </c>
      <c r="H261" s="6">
        <f t="shared" si="6"/>
        <v>2944000</v>
      </c>
      <c r="I261" s="6">
        <f t="shared" si="7"/>
        <v>488637.1157</v>
      </c>
      <c r="J261" s="610">
        <v>9.05</v>
      </c>
      <c r="K261" s="591"/>
      <c r="L261" s="6"/>
      <c r="M261" s="9"/>
      <c r="N261" s="79"/>
      <c r="O261" s="6"/>
      <c r="P261" s="6"/>
      <c r="Q261" s="6"/>
      <c r="R261" s="6"/>
      <c r="S261" s="6"/>
      <c r="T261" s="622"/>
      <c r="U261" s="6"/>
      <c r="V261" s="6"/>
      <c r="W261" s="6"/>
      <c r="X261" s="6"/>
      <c r="Y261" s="6"/>
    </row>
    <row r="262" ht="11.25" customHeight="1">
      <c r="A262" s="7"/>
      <c r="B262" s="68">
        <f t="shared" si="8"/>
        <v>257</v>
      </c>
      <c r="C262" s="607">
        <v>11500.0</v>
      </c>
      <c r="D262" s="6">
        <f t="shared" si="9"/>
        <v>3685.138248</v>
      </c>
      <c r="E262" s="6">
        <f t="shared" si="1"/>
        <v>7814.861752</v>
      </c>
      <c r="F262" s="6">
        <f t="shared" si="4"/>
        <v>897464.746</v>
      </c>
      <c r="G262" s="6">
        <f t="shared" si="5"/>
        <v>2058035.254</v>
      </c>
      <c r="H262" s="6">
        <f t="shared" si="6"/>
        <v>2955500</v>
      </c>
      <c r="I262" s="6">
        <f t="shared" si="7"/>
        <v>480822.254</v>
      </c>
      <c r="J262" s="610">
        <v>9.05</v>
      </c>
      <c r="K262" s="591"/>
      <c r="L262" s="6"/>
      <c r="M262" s="9"/>
      <c r="N262" s="79"/>
      <c r="O262" s="6"/>
      <c r="P262" s="6"/>
      <c r="Q262" s="6"/>
      <c r="R262" s="6"/>
      <c r="S262" s="6"/>
      <c r="T262" s="622"/>
      <c r="U262" s="6"/>
      <c r="V262" s="6"/>
      <c r="W262" s="6"/>
      <c r="X262" s="6"/>
      <c r="Y262" s="6"/>
    </row>
    <row r="263" ht="11.25" customHeight="1">
      <c r="A263" s="7"/>
      <c r="B263" s="68">
        <f t="shared" si="8"/>
        <v>258</v>
      </c>
      <c r="C263" s="607">
        <v>11500.0</v>
      </c>
      <c r="D263" s="6">
        <f t="shared" si="9"/>
        <v>3626.201165</v>
      </c>
      <c r="E263" s="6">
        <f t="shared" si="1"/>
        <v>7873.798835</v>
      </c>
      <c r="F263" s="6">
        <f t="shared" si="4"/>
        <v>905338.5449</v>
      </c>
      <c r="G263" s="6">
        <f t="shared" si="5"/>
        <v>2061661.455</v>
      </c>
      <c r="H263" s="6">
        <f t="shared" si="6"/>
        <v>2967000</v>
      </c>
      <c r="I263" s="6">
        <f t="shared" si="7"/>
        <v>472948.4551</v>
      </c>
      <c r="J263" s="610">
        <v>9.05</v>
      </c>
      <c r="K263" s="591"/>
      <c r="L263" s="6"/>
      <c r="M263" s="9"/>
      <c r="N263" s="79"/>
      <c r="O263" s="6"/>
      <c r="P263" s="6"/>
      <c r="Q263" s="6"/>
      <c r="R263" s="6"/>
      <c r="S263" s="6"/>
      <c r="T263" s="622"/>
      <c r="U263" s="6"/>
      <c r="V263" s="6"/>
      <c r="W263" s="6"/>
      <c r="X263" s="6"/>
      <c r="Y263" s="6"/>
    </row>
    <row r="264" ht="11.25" customHeight="1">
      <c r="A264" s="7"/>
      <c r="B264" s="68">
        <f t="shared" si="8"/>
        <v>259</v>
      </c>
      <c r="C264" s="607">
        <v>11500.0</v>
      </c>
      <c r="D264" s="6">
        <f t="shared" si="9"/>
        <v>3566.819599</v>
      </c>
      <c r="E264" s="6">
        <f t="shared" si="1"/>
        <v>7933.180401</v>
      </c>
      <c r="F264" s="6">
        <f t="shared" si="4"/>
        <v>913271.7253</v>
      </c>
      <c r="G264" s="6">
        <f t="shared" si="5"/>
        <v>2065228.275</v>
      </c>
      <c r="H264" s="6">
        <f t="shared" si="6"/>
        <v>2978500</v>
      </c>
      <c r="I264" s="6">
        <f t="shared" si="7"/>
        <v>465015.2747</v>
      </c>
      <c r="J264" s="610">
        <v>9.05</v>
      </c>
      <c r="K264" s="591"/>
      <c r="L264" s="6"/>
      <c r="M264" s="9"/>
      <c r="N264" s="79"/>
      <c r="O264" s="6"/>
      <c r="P264" s="6"/>
      <c r="Q264" s="6"/>
      <c r="R264" s="6"/>
      <c r="S264" s="6"/>
      <c r="T264" s="622"/>
      <c r="U264" s="6"/>
      <c r="V264" s="6"/>
      <c r="W264" s="6"/>
      <c r="X264" s="6"/>
      <c r="Y264" s="6"/>
    </row>
    <row r="265" ht="11.25" customHeight="1">
      <c r="A265" s="7"/>
      <c r="B265" s="68">
        <f t="shared" si="8"/>
        <v>260</v>
      </c>
      <c r="C265" s="607">
        <v>11500.0</v>
      </c>
      <c r="D265" s="6">
        <f t="shared" si="9"/>
        <v>3506.990197</v>
      </c>
      <c r="E265" s="6">
        <f t="shared" si="1"/>
        <v>7993.009803</v>
      </c>
      <c r="F265" s="6">
        <f t="shared" si="4"/>
        <v>921264.7351</v>
      </c>
      <c r="G265" s="6">
        <f t="shared" si="5"/>
        <v>2068735.265</v>
      </c>
      <c r="H265" s="6">
        <f t="shared" si="6"/>
        <v>2990000</v>
      </c>
      <c r="I265" s="6">
        <f t="shared" si="7"/>
        <v>457022.2649</v>
      </c>
      <c r="J265" s="610">
        <v>9.05</v>
      </c>
      <c r="K265" s="591"/>
      <c r="L265" s="6"/>
      <c r="M265" s="9"/>
      <c r="N265" s="79"/>
      <c r="O265" s="6"/>
      <c r="P265" s="6"/>
      <c r="Q265" s="6"/>
      <c r="R265" s="6"/>
      <c r="S265" s="6"/>
      <c r="T265" s="622"/>
      <c r="U265" s="6"/>
      <c r="V265" s="6"/>
      <c r="W265" s="6"/>
      <c r="X265" s="6"/>
      <c r="Y265" s="6"/>
    </row>
    <row r="266" ht="11.25" customHeight="1">
      <c r="A266" s="7"/>
      <c r="B266" s="68">
        <f t="shared" si="8"/>
        <v>261</v>
      </c>
      <c r="C266" s="607">
        <v>11500.0</v>
      </c>
      <c r="D266" s="6">
        <f t="shared" si="9"/>
        <v>3446.709581</v>
      </c>
      <c r="E266" s="6">
        <f t="shared" si="1"/>
        <v>8053.290419</v>
      </c>
      <c r="F266" s="6">
        <f t="shared" si="4"/>
        <v>929318.0255</v>
      </c>
      <c r="G266" s="6">
        <f t="shared" si="5"/>
        <v>2072181.975</v>
      </c>
      <c r="H266" s="6">
        <f t="shared" si="6"/>
        <v>3001500</v>
      </c>
      <c r="I266" s="6">
        <f t="shared" si="7"/>
        <v>448968.9745</v>
      </c>
      <c r="J266" s="610">
        <v>9.05</v>
      </c>
      <c r="K266" s="591"/>
      <c r="L266" s="6"/>
      <c r="M266" s="9"/>
      <c r="N266" s="79"/>
      <c r="O266" s="6"/>
      <c r="P266" s="6"/>
      <c r="Q266" s="6"/>
      <c r="R266" s="6"/>
      <c r="S266" s="6"/>
      <c r="T266" s="622"/>
      <c r="U266" s="6"/>
      <c r="V266" s="6"/>
      <c r="W266" s="6"/>
      <c r="X266" s="6"/>
      <c r="Y266" s="6"/>
    </row>
    <row r="267" ht="11.25" customHeight="1">
      <c r="A267" s="7"/>
      <c r="B267" s="68">
        <f t="shared" si="8"/>
        <v>262</v>
      </c>
      <c r="C267" s="607">
        <v>11500.0</v>
      </c>
      <c r="D267" s="6">
        <f t="shared" si="9"/>
        <v>3385.974349</v>
      </c>
      <c r="E267" s="6">
        <f t="shared" si="1"/>
        <v>8114.025651</v>
      </c>
      <c r="F267" s="6">
        <f t="shared" si="4"/>
        <v>937432.0511</v>
      </c>
      <c r="G267" s="6">
        <f t="shared" si="5"/>
        <v>2075567.949</v>
      </c>
      <c r="H267" s="6">
        <f t="shared" si="6"/>
        <v>3013000</v>
      </c>
      <c r="I267" s="6">
        <f t="shared" si="7"/>
        <v>440854.9489</v>
      </c>
      <c r="J267" s="610">
        <v>9.05</v>
      </c>
      <c r="K267" s="591"/>
      <c r="L267" s="6"/>
      <c r="M267" s="9"/>
      <c r="N267" s="79"/>
      <c r="O267" s="6"/>
      <c r="P267" s="6"/>
      <c r="Q267" s="6"/>
      <c r="R267" s="6"/>
      <c r="S267" s="6"/>
      <c r="T267" s="622"/>
      <c r="U267" s="6"/>
      <c r="V267" s="6"/>
      <c r="W267" s="6"/>
      <c r="X267" s="6"/>
      <c r="Y267" s="6"/>
    </row>
    <row r="268" ht="11.25" customHeight="1">
      <c r="A268" s="7"/>
      <c r="B268" s="68">
        <f t="shared" si="8"/>
        <v>263</v>
      </c>
      <c r="C268" s="607">
        <v>11500.0</v>
      </c>
      <c r="D268" s="6">
        <f t="shared" si="9"/>
        <v>3324.781073</v>
      </c>
      <c r="E268" s="6">
        <f t="shared" si="1"/>
        <v>8175.218927</v>
      </c>
      <c r="F268" s="6">
        <f t="shared" si="4"/>
        <v>945607.2701</v>
      </c>
      <c r="G268" s="6">
        <f t="shared" si="5"/>
        <v>2078892.73</v>
      </c>
      <c r="H268" s="6">
        <f t="shared" si="6"/>
        <v>3024500</v>
      </c>
      <c r="I268" s="6">
        <f t="shared" si="7"/>
        <v>432679.7299</v>
      </c>
      <c r="J268" s="610">
        <v>9.05</v>
      </c>
      <c r="K268" s="591"/>
      <c r="L268" s="6"/>
      <c r="M268" s="9"/>
      <c r="N268" s="79"/>
      <c r="O268" s="6"/>
      <c r="P268" s="6"/>
      <c r="Q268" s="6"/>
      <c r="R268" s="6"/>
      <c r="S268" s="6"/>
      <c r="T268" s="622"/>
      <c r="U268" s="6"/>
      <c r="V268" s="6"/>
      <c r="W268" s="6"/>
      <c r="X268" s="6"/>
      <c r="Y268" s="6"/>
    </row>
    <row r="269" ht="11.25" customHeight="1">
      <c r="A269" s="71"/>
      <c r="B269" s="72">
        <f t="shared" si="8"/>
        <v>264</v>
      </c>
      <c r="C269" s="607">
        <v>11500.0</v>
      </c>
      <c r="D269" s="10">
        <f t="shared" si="9"/>
        <v>3263.126297</v>
      </c>
      <c r="E269" s="10">
        <f t="shared" si="1"/>
        <v>8236.873703</v>
      </c>
      <c r="F269" s="10">
        <f t="shared" si="4"/>
        <v>953844.1438</v>
      </c>
      <c r="G269" s="10">
        <f t="shared" si="5"/>
        <v>2082155.856</v>
      </c>
      <c r="H269" s="10">
        <f t="shared" si="6"/>
        <v>3036000</v>
      </c>
      <c r="I269" s="10">
        <f t="shared" si="7"/>
        <v>424442.8562</v>
      </c>
      <c r="J269" s="610">
        <v>9.05</v>
      </c>
      <c r="K269" s="591"/>
      <c r="L269" s="6"/>
      <c r="M269" s="9"/>
      <c r="N269" s="79"/>
      <c r="O269" s="6"/>
      <c r="P269" s="6"/>
      <c r="Q269" s="6"/>
      <c r="R269" s="6"/>
      <c r="S269" s="6"/>
      <c r="T269" s="622"/>
      <c r="U269" s="6"/>
      <c r="V269" s="6"/>
      <c r="W269" s="6"/>
      <c r="X269" s="6"/>
      <c r="Y269" s="6"/>
    </row>
    <row r="270" ht="11.25" customHeight="1">
      <c r="A270" s="100">
        <v>23.0</v>
      </c>
      <c r="B270" s="66">
        <f t="shared" si="8"/>
        <v>265</v>
      </c>
      <c r="C270" s="607">
        <v>11500.0</v>
      </c>
      <c r="D270" s="617">
        <f t="shared" si="9"/>
        <v>3201.006541</v>
      </c>
      <c r="E270" s="617">
        <f t="shared" si="1"/>
        <v>8298.993459</v>
      </c>
      <c r="F270" s="617">
        <f t="shared" si="4"/>
        <v>962143.1372</v>
      </c>
      <c r="G270" s="617">
        <f t="shared" si="5"/>
        <v>2085356.863</v>
      </c>
      <c r="H270" s="617">
        <f t="shared" si="6"/>
        <v>3047500</v>
      </c>
      <c r="I270" s="617">
        <f t="shared" si="7"/>
        <v>416143.8628</v>
      </c>
      <c r="J270" s="610">
        <v>9.05</v>
      </c>
      <c r="K270" s="591"/>
      <c r="L270" s="6"/>
      <c r="M270" s="9"/>
      <c r="N270" s="79"/>
      <c r="O270" s="6"/>
      <c r="P270" s="6"/>
      <c r="Q270" s="6"/>
      <c r="R270" s="6"/>
      <c r="S270" s="6"/>
      <c r="T270" s="622"/>
      <c r="U270" s="6"/>
      <c r="V270" s="6"/>
      <c r="W270" s="6"/>
      <c r="X270" s="6"/>
      <c r="Y270" s="6"/>
    </row>
    <row r="271" ht="11.25" customHeight="1">
      <c r="A271" s="7"/>
      <c r="B271" s="68">
        <f t="shared" si="8"/>
        <v>266</v>
      </c>
      <c r="C271" s="607">
        <v>11500.0</v>
      </c>
      <c r="D271" s="6">
        <f t="shared" si="9"/>
        <v>3138.418298</v>
      </c>
      <c r="E271" s="6">
        <f t="shared" si="1"/>
        <v>8361.581702</v>
      </c>
      <c r="F271" s="6">
        <f t="shared" si="4"/>
        <v>970504.7189</v>
      </c>
      <c r="G271" s="6">
        <f t="shared" si="5"/>
        <v>2088495.281</v>
      </c>
      <c r="H271" s="6">
        <f t="shared" si="6"/>
        <v>3059000</v>
      </c>
      <c r="I271" s="6">
        <f t="shared" si="7"/>
        <v>407782.2811</v>
      </c>
      <c r="J271" s="610">
        <v>9.05</v>
      </c>
      <c r="K271" s="591"/>
      <c r="L271" s="6"/>
      <c r="M271" s="9"/>
      <c r="N271" s="79"/>
      <c r="O271" s="6"/>
      <c r="P271" s="6"/>
      <c r="Q271" s="6"/>
      <c r="R271" s="6"/>
      <c r="S271" s="6"/>
      <c r="T271" s="622"/>
      <c r="U271" s="6"/>
      <c r="V271" s="6"/>
      <c r="W271" s="6"/>
      <c r="X271" s="6"/>
      <c r="Y271" s="6"/>
    </row>
    <row r="272" ht="11.25" customHeight="1">
      <c r="A272" s="7"/>
      <c r="B272" s="68">
        <f t="shared" si="8"/>
        <v>267</v>
      </c>
      <c r="C272" s="607">
        <v>11500.0</v>
      </c>
      <c r="D272" s="6">
        <f t="shared" si="9"/>
        <v>3075.358036</v>
      </c>
      <c r="E272" s="6">
        <f t="shared" si="1"/>
        <v>8424.641964</v>
      </c>
      <c r="F272" s="6">
        <f t="shared" si="4"/>
        <v>978929.3609</v>
      </c>
      <c r="G272" s="6">
        <f t="shared" si="5"/>
        <v>2091570.639</v>
      </c>
      <c r="H272" s="6">
        <f t="shared" si="6"/>
        <v>3070500</v>
      </c>
      <c r="I272" s="6">
        <f t="shared" si="7"/>
        <v>399357.6391</v>
      </c>
      <c r="J272" s="610">
        <v>9.05</v>
      </c>
      <c r="K272" s="591"/>
      <c r="L272" s="6"/>
      <c r="M272" s="9"/>
      <c r="N272" s="79"/>
      <c r="O272" s="6"/>
      <c r="P272" s="6"/>
      <c r="Q272" s="6"/>
      <c r="R272" s="6"/>
      <c r="S272" s="6"/>
      <c r="T272" s="622"/>
      <c r="U272" s="6"/>
      <c r="V272" s="6"/>
      <c r="W272" s="6"/>
      <c r="X272" s="6"/>
      <c r="Y272" s="6"/>
    </row>
    <row r="273" ht="11.25" customHeight="1">
      <c r="A273" s="7"/>
      <c r="B273" s="68">
        <f t="shared" si="8"/>
        <v>268</v>
      </c>
      <c r="C273" s="607">
        <v>11500.0</v>
      </c>
      <c r="D273" s="6">
        <f t="shared" si="9"/>
        <v>3011.822195</v>
      </c>
      <c r="E273" s="6">
        <f t="shared" si="1"/>
        <v>8488.177805</v>
      </c>
      <c r="F273" s="6">
        <f t="shared" si="4"/>
        <v>987417.5387</v>
      </c>
      <c r="G273" s="6">
        <f t="shared" si="5"/>
        <v>2094582.461</v>
      </c>
      <c r="H273" s="6">
        <f t="shared" si="6"/>
        <v>3082000</v>
      </c>
      <c r="I273" s="6">
        <f t="shared" si="7"/>
        <v>390869.4613</v>
      </c>
      <c r="J273" s="610">
        <v>9.05</v>
      </c>
      <c r="K273" s="591"/>
      <c r="L273" s="6"/>
      <c r="M273" s="9"/>
      <c r="N273" s="79"/>
      <c r="O273" s="6"/>
      <c r="P273" s="6"/>
      <c r="Q273" s="6"/>
      <c r="R273" s="6"/>
      <c r="S273" s="6"/>
      <c r="T273" s="622"/>
      <c r="U273" s="6"/>
      <c r="V273" s="6"/>
      <c r="W273" s="6"/>
      <c r="X273" s="6"/>
      <c r="Y273" s="6"/>
    </row>
    <row r="274" ht="11.25" customHeight="1">
      <c r="A274" s="7"/>
      <c r="B274" s="68">
        <f t="shared" si="8"/>
        <v>269</v>
      </c>
      <c r="C274" s="607">
        <v>11500.0</v>
      </c>
      <c r="D274" s="6">
        <f t="shared" si="9"/>
        <v>2947.807187</v>
      </c>
      <c r="E274" s="6">
        <f t="shared" si="1"/>
        <v>8552.192813</v>
      </c>
      <c r="F274" s="6">
        <f t="shared" si="4"/>
        <v>995969.7315</v>
      </c>
      <c r="G274" s="6">
        <f t="shared" si="5"/>
        <v>2097530.268</v>
      </c>
      <c r="H274" s="6">
        <f t="shared" si="6"/>
        <v>3093500</v>
      </c>
      <c r="I274" s="6">
        <f t="shared" si="7"/>
        <v>382317.2685</v>
      </c>
      <c r="J274" s="610">
        <v>9.05</v>
      </c>
      <c r="K274" s="591"/>
      <c r="L274" s="6"/>
      <c r="M274" s="9"/>
      <c r="N274" s="79"/>
      <c r="O274" s="6"/>
      <c r="P274" s="6"/>
      <c r="Q274" s="6"/>
      <c r="R274" s="6"/>
      <c r="S274" s="6"/>
      <c r="T274" s="622"/>
      <c r="U274" s="6"/>
      <c r="V274" s="6"/>
      <c r="W274" s="6"/>
      <c r="X274" s="6"/>
      <c r="Y274" s="6"/>
    </row>
    <row r="275" ht="11.25" customHeight="1">
      <c r="A275" s="7"/>
      <c r="B275" s="68">
        <f t="shared" si="8"/>
        <v>270</v>
      </c>
      <c r="C275" s="607">
        <v>11500.0</v>
      </c>
      <c r="D275" s="6">
        <f t="shared" si="9"/>
        <v>2883.3094</v>
      </c>
      <c r="E275" s="6">
        <f t="shared" si="1"/>
        <v>8616.6906</v>
      </c>
      <c r="F275" s="6">
        <f t="shared" si="4"/>
        <v>1004586.422</v>
      </c>
      <c r="G275" s="6">
        <f t="shared" si="5"/>
        <v>2100413.578</v>
      </c>
      <c r="H275" s="6">
        <f t="shared" si="6"/>
        <v>3105000</v>
      </c>
      <c r="I275" s="6">
        <f t="shared" si="7"/>
        <v>373700.5779</v>
      </c>
      <c r="J275" s="610">
        <v>9.05</v>
      </c>
      <c r="K275" s="591"/>
      <c r="L275" s="6"/>
      <c r="M275" s="9"/>
      <c r="N275" s="79"/>
      <c r="O275" s="6"/>
      <c r="P275" s="6"/>
      <c r="Q275" s="6"/>
      <c r="R275" s="6"/>
      <c r="S275" s="6"/>
      <c r="T275" s="622"/>
      <c r="U275" s="6"/>
      <c r="V275" s="6"/>
      <c r="W275" s="6"/>
      <c r="X275" s="6"/>
      <c r="Y275" s="6"/>
    </row>
    <row r="276" ht="11.25" customHeight="1">
      <c r="A276" s="7"/>
      <c r="B276" s="68">
        <f t="shared" si="8"/>
        <v>271</v>
      </c>
      <c r="C276" s="607">
        <v>11500.0</v>
      </c>
      <c r="D276" s="6">
        <f t="shared" si="9"/>
        <v>2818.325192</v>
      </c>
      <c r="E276" s="6">
        <f t="shared" si="1"/>
        <v>8681.674808</v>
      </c>
      <c r="F276" s="6">
        <f t="shared" si="4"/>
        <v>1013268.097</v>
      </c>
      <c r="G276" s="6">
        <f t="shared" si="5"/>
        <v>2103231.903</v>
      </c>
      <c r="H276" s="6">
        <f t="shared" si="6"/>
        <v>3116500</v>
      </c>
      <c r="I276" s="6">
        <f t="shared" si="7"/>
        <v>365018.9031</v>
      </c>
      <c r="J276" s="610">
        <v>9.05</v>
      </c>
      <c r="K276" s="591"/>
      <c r="L276" s="6"/>
      <c r="M276" s="9"/>
      <c r="N276" s="79"/>
      <c r="O276" s="6"/>
      <c r="P276" s="6"/>
      <c r="Q276" s="6"/>
      <c r="R276" s="6"/>
      <c r="S276" s="6"/>
      <c r="T276" s="622"/>
      <c r="U276" s="6"/>
      <c r="V276" s="6"/>
      <c r="W276" s="6"/>
      <c r="X276" s="6"/>
      <c r="Y276" s="6"/>
    </row>
    <row r="277" ht="11.25" customHeight="1">
      <c r="A277" s="7"/>
      <c r="B277" s="68">
        <f t="shared" si="8"/>
        <v>272</v>
      </c>
      <c r="C277" s="607">
        <v>11500.0</v>
      </c>
      <c r="D277" s="6">
        <f t="shared" si="9"/>
        <v>2752.850894</v>
      </c>
      <c r="E277" s="6">
        <f t="shared" si="1"/>
        <v>8747.149106</v>
      </c>
      <c r="F277" s="6">
        <f t="shared" si="4"/>
        <v>1022015.246</v>
      </c>
      <c r="G277" s="6">
        <f t="shared" si="5"/>
        <v>2105984.754</v>
      </c>
      <c r="H277" s="6">
        <f t="shared" si="6"/>
        <v>3128000</v>
      </c>
      <c r="I277" s="6">
        <f t="shared" si="7"/>
        <v>356271.754</v>
      </c>
      <c r="J277" s="610">
        <v>9.05</v>
      </c>
      <c r="K277" s="591"/>
      <c r="L277" s="6"/>
      <c r="M277" s="9"/>
      <c r="N277" s="79"/>
      <c r="O277" s="6"/>
      <c r="P277" s="6"/>
      <c r="Q277" s="6"/>
      <c r="R277" s="6"/>
      <c r="S277" s="6"/>
      <c r="T277" s="622"/>
      <c r="U277" s="6"/>
      <c r="V277" s="6"/>
      <c r="W277" s="6"/>
      <c r="X277" s="6"/>
      <c r="Y277" s="6"/>
    </row>
    <row r="278" ht="11.25" customHeight="1">
      <c r="A278" s="7"/>
      <c r="B278" s="68">
        <f t="shared" si="8"/>
        <v>273</v>
      </c>
      <c r="C278" s="607">
        <v>11500.0</v>
      </c>
      <c r="D278" s="6">
        <f t="shared" si="9"/>
        <v>2686.882811</v>
      </c>
      <c r="E278" s="6">
        <f t="shared" si="1"/>
        <v>8813.117189</v>
      </c>
      <c r="F278" s="6">
        <f t="shared" si="4"/>
        <v>1030828.363</v>
      </c>
      <c r="G278" s="6">
        <f t="shared" si="5"/>
        <v>2108671.637</v>
      </c>
      <c r="H278" s="6">
        <f t="shared" si="6"/>
        <v>3139500</v>
      </c>
      <c r="I278" s="6">
        <f t="shared" si="7"/>
        <v>347458.6368</v>
      </c>
      <c r="J278" s="610">
        <v>9.05</v>
      </c>
      <c r="K278" s="591"/>
      <c r="L278" s="6"/>
      <c r="M278" s="9"/>
      <c r="N278" s="79"/>
      <c r="O278" s="6"/>
      <c r="P278" s="6"/>
      <c r="Q278" s="6"/>
      <c r="R278" s="6"/>
      <c r="S278" s="6"/>
      <c r="T278" s="622"/>
      <c r="U278" s="6"/>
      <c r="V278" s="6"/>
      <c r="W278" s="6"/>
      <c r="X278" s="6"/>
      <c r="Y278" s="6"/>
    </row>
    <row r="279" ht="11.25" customHeight="1">
      <c r="A279" s="7"/>
      <c r="B279" s="68">
        <f t="shared" si="8"/>
        <v>274</v>
      </c>
      <c r="C279" s="607">
        <v>11500.0</v>
      </c>
      <c r="D279" s="6">
        <f t="shared" si="9"/>
        <v>2620.417219</v>
      </c>
      <c r="E279" s="6">
        <f t="shared" si="1"/>
        <v>8879.582781</v>
      </c>
      <c r="F279" s="6">
        <f t="shared" si="4"/>
        <v>1039707.946</v>
      </c>
      <c r="G279" s="6">
        <f t="shared" si="5"/>
        <v>2111292.054</v>
      </c>
      <c r="H279" s="6">
        <f t="shared" si="6"/>
        <v>3151000</v>
      </c>
      <c r="I279" s="6">
        <f t="shared" si="7"/>
        <v>338579.054</v>
      </c>
      <c r="J279" s="610">
        <v>9.05</v>
      </c>
      <c r="K279" s="591"/>
      <c r="L279" s="6"/>
      <c r="M279" s="9"/>
      <c r="N279" s="79"/>
      <c r="O279" s="6"/>
      <c r="P279" s="6"/>
      <c r="Q279" s="6"/>
      <c r="R279" s="6"/>
      <c r="S279" s="6"/>
      <c r="T279" s="622"/>
      <c r="U279" s="6"/>
      <c r="V279" s="6"/>
      <c r="W279" s="6"/>
      <c r="X279" s="6"/>
      <c r="Y279" s="6"/>
    </row>
    <row r="280" ht="11.25" customHeight="1">
      <c r="A280" s="7"/>
      <c r="B280" s="68">
        <f t="shared" si="8"/>
        <v>275</v>
      </c>
      <c r="C280" s="607">
        <v>11500.0</v>
      </c>
      <c r="D280" s="6">
        <f t="shared" si="9"/>
        <v>2553.450366</v>
      </c>
      <c r="E280" s="6">
        <f t="shared" si="1"/>
        <v>8946.549634</v>
      </c>
      <c r="F280" s="6">
        <f t="shared" si="4"/>
        <v>1048654.496</v>
      </c>
      <c r="G280" s="6">
        <f t="shared" si="5"/>
        <v>2113845.504</v>
      </c>
      <c r="H280" s="6">
        <f t="shared" si="6"/>
        <v>3162500</v>
      </c>
      <c r="I280" s="6">
        <f t="shared" si="7"/>
        <v>329632.5044</v>
      </c>
      <c r="J280" s="610">
        <v>9.05</v>
      </c>
      <c r="K280" s="591"/>
      <c r="L280" s="6"/>
      <c r="M280" s="9"/>
      <c r="N280" s="79"/>
      <c r="O280" s="6"/>
      <c r="P280" s="6"/>
      <c r="Q280" s="6"/>
      <c r="R280" s="6"/>
      <c r="S280" s="6"/>
      <c r="T280" s="622"/>
      <c r="U280" s="6"/>
      <c r="V280" s="6"/>
      <c r="W280" s="6"/>
      <c r="X280" s="6"/>
      <c r="Y280" s="6"/>
    </row>
    <row r="281" ht="11.25" customHeight="1">
      <c r="A281" s="71"/>
      <c r="B281" s="72">
        <f t="shared" si="8"/>
        <v>276</v>
      </c>
      <c r="C281" s="607">
        <v>11500.0</v>
      </c>
      <c r="D281" s="10">
        <f t="shared" si="9"/>
        <v>2485.97847</v>
      </c>
      <c r="E281" s="10">
        <f t="shared" si="1"/>
        <v>9014.02153</v>
      </c>
      <c r="F281" s="10">
        <f t="shared" si="4"/>
        <v>1057668.517</v>
      </c>
      <c r="G281" s="10">
        <f t="shared" si="5"/>
        <v>2116331.483</v>
      </c>
      <c r="H281" s="10">
        <f t="shared" si="6"/>
        <v>3174000</v>
      </c>
      <c r="I281" s="10">
        <f t="shared" si="7"/>
        <v>320618.4828</v>
      </c>
      <c r="J281" s="610">
        <v>9.05</v>
      </c>
      <c r="K281" s="591"/>
      <c r="L281" s="6"/>
      <c r="M281" s="9"/>
      <c r="N281" s="79"/>
      <c r="O281" s="6"/>
      <c r="P281" s="6"/>
      <c r="Q281" s="6"/>
      <c r="R281" s="6"/>
      <c r="S281" s="6"/>
      <c r="T281" s="622"/>
      <c r="U281" s="6"/>
      <c r="V281" s="6"/>
      <c r="W281" s="6"/>
      <c r="X281" s="6"/>
      <c r="Y281" s="6"/>
    </row>
    <row r="282" ht="11.25" customHeight="1">
      <c r="A282" s="100">
        <v>24.0</v>
      </c>
      <c r="B282" s="66">
        <f t="shared" si="8"/>
        <v>277</v>
      </c>
      <c r="C282" s="607">
        <v>11500.0</v>
      </c>
      <c r="D282" s="617">
        <f t="shared" si="9"/>
        <v>2417.997725</v>
      </c>
      <c r="E282" s="617">
        <f t="shared" si="1"/>
        <v>9082.002275</v>
      </c>
      <c r="F282" s="617">
        <f t="shared" si="4"/>
        <v>1066750.519</v>
      </c>
      <c r="G282" s="617">
        <f t="shared" si="5"/>
        <v>2118749.481</v>
      </c>
      <c r="H282" s="617">
        <f t="shared" si="6"/>
        <v>3185500</v>
      </c>
      <c r="I282" s="617">
        <f t="shared" si="7"/>
        <v>311536.4806</v>
      </c>
      <c r="J282" s="610">
        <v>9.05</v>
      </c>
      <c r="K282" s="591"/>
      <c r="L282" s="6"/>
      <c r="M282" s="9"/>
      <c r="N282" s="79"/>
      <c r="O282" s="6"/>
      <c r="P282" s="6"/>
      <c r="Q282" s="6"/>
      <c r="R282" s="6"/>
      <c r="S282" s="6"/>
      <c r="T282" s="622"/>
      <c r="U282" s="6"/>
      <c r="V282" s="6"/>
      <c r="W282" s="6"/>
      <c r="X282" s="6"/>
      <c r="Y282" s="6"/>
    </row>
    <row r="283" ht="11.25" customHeight="1">
      <c r="A283" s="7"/>
      <c r="B283" s="68">
        <f t="shared" si="8"/>
        <v>278</v>
      </c>
      <c r="C283" s="607">
        <v>11500.0</v>
      </c>
      <c r="D283" s="6">
        <f t="shared" si="9"/>
        <v>2349.504291</v>
      </c>
      <c r="E283" s="6">
        <f t="shared" si="1"/>
        <v>9150.495709</v>
      </c>
      <c r="F283" s="6">
        <f t="shared" si="4"/>
        <v>1075901.015</v>
      </c>
      <c r="G283" s="6">
        <f t="shared" si="5"/>
        <v>2121098.985</v>
      </c>
      <c r="H283" s="6">
        <f t="shared" si="6"/>
        <v>3197000</v>
      </c>
      <c r="I283" s="6">
        <f t="shared" si="7"/>
        <v>302385.9849</v>
      </c>
      <c r="J283" s="610">
        <v>9.05</v>
      </c>
      <c r="K283" s="591"/>
      <c r="L283" s="6"/>
      <c r="M283" s="9"/>
      <c r="N283" s="79"/>
      <c r="O283" s="6"/>
      <c r="P283" s="6"/>
      <c r="Q283" s="6"/>
      <c r="R283" s="6"/>
      <c r="S283" s="6"/>
      <c r="T283" s="622"/>
      <c r="U283" s="6"/>
      <c r="V283" s="6"/>
      <c r="W283" s="6"/>
      <c r="X283" s="6"/>
      <c r="Y283" s="6"/>
    </row>
    <row r="284" ht="11.25" customHeight="1">
      <c r="A284" s="7"/>
      <c r="B284" s="68">
        <f t="shared" si="8"/>
        <v>279</v>
      </c>
      <c r="C284" s="607">
        <v>11500.0</v>
      </c>
      <c r="D284" s="6">
        <f t="shared" si="9"/>
        <v>2280.494302</v>
      </c>
      <c r="E284" s="6">
        <f t="shared" si="1"/>
        <v>9219.505698</v>
      </c>
      <c r="F284" s="6">
        <f t="shared" si="4"/>
        <v>1085120.521</v>
      </c>
      <c r="G284" s="6">
        <f t="shared" si="5"/>
        <v>2123379.479</v>
      </c>
      <c r="H284" s="6">
        <f t="shared" si="6"/>
        <v>3208500</v>
      </c>
      <c r="I284" s="6">
        <f t="shared" si="7"/>
        <v>293166.4792</v>
      </c>
      <c r="J284" s="610">
        <v>9.05</v>
      </c>
      <c r="K284" s="591"/>
      <c r="L284" s="6"/>
      <c r="M284" s="9"/>
      <c r="N284" s="79"/>
      <c r="O284" s="6"/>
      <c r="P284" s="6"/>
      <c r="Q284" s="6"/>
      <c r="R284" s="6"/>
      <c r="S284" s="6"/>
      <c r="T284" s="622"/>
      <c r="U284" s="6"/>
      <c r="V284" s="6"/>
      <c r="W284" s="6"/>
      <c r="X284" s="6"/>
      <c r="Y284" s="6"/>
    </row>
    <row r="285" ht="11.25" customHeight="1">
      <c r="A285" s="7"/>
      <c r="B285" s="68">
        <f t="shared" si="8"/>
        <v>280</v>
      </c>
      <c r="C285" s="607">
        <v>11500.0</v>
      </c>
      <c r="D285" s="6">
        <f t="shared" si="9"/>
        <v>2210.963864</v>
      </c>
      <c r="E285" s="6">
        <f t="shared" si="1"/>
        <v>9289.036136</v>
      </c>
      <c r="F285" s="6">
        <f t="shared" si="4"/>
        <v>1094409.557</v>
      </c>
      <c r="G285" s="6">
        <f t="shared" si="5"/>
        <v>2125590.443</v>
      </c>
      <c r="H285" s="6">
        <f t="shared" si="6"/>
        <v>3220000</v>
      </c>
      <c r="I285" s="6">
        <f t="shared" si="7"/>
        <v>283877.443</v>
      </c>
      <c r="J285" s="610">
        <v>9.05</v>
      </c>
      <c r="K285" s="591"/>
      <c r="L285" s="6"/>
      <c r="M285" s="9"/>
      <c r="N285" s="79"/>
      <c r="O285" s="6"/>
      <c r="P285" s="6"/>
      <c r="Q285" s="6"/>
      <c r="R285" s="6"/>
      <c r="S285" s="6"/>
      <c r="T285" s="622"/>
      <c r="U285" s="6"/>
      <c r="V285" s="6"/>
      <c r="W285" s="6"/>
      <c r="X285" s="6"/>
      <c r="Y285" s="6"/>
    </row>
    <row r="286" ht="11.25" customHeight="1">
      <c r="A286" s="7"/>
      <c r="B286" s="68">
        <f t="shared" si="8"/>
        <v>281</v>
      </c>
      <c r="C286" s="607">
        <v>11500.0</v>
      </c>
      <c r="D286" s="6">
        <f t="shared" si="9"/>
        <v>2140.909049</v>
      </c>
      <c r="E286" s="6">
        <f t="shared" si="1"/>
        <v>9359.090951</v>
      </c>
      <c r="F286" s="6">
        <f t="shared" si="4"/>
        <v>1103768.648</v>
      </c>
      <c r="G286" s="6">
        <f t="shared" si="5"/>
        <v>2127731.352</v>
      </c>
      <c r="H286" s="6">
        <f t="shared" si="6"/>
        <v>3231500</v>
      </c>
      <c r="I286" s="6">
        <f t="shared" si="7"/>
        <v>274518.3521</v>
      </c>
      <c r="J286" s="610">
        <v>9.05</v>
      </c>
      <c r="K286" s="591"/>
      <c r="L286" s="6"/>
      <c r="M286" s="9"/>
      <c r="N286" s="79"/>
      <c r="O286" s="6"/>
      <c r="P286" s="6"/>
      <c r="Q286" s="6"/>
      <c r="R286" s="6"/>
      <c r="S286" s="6"/>
      <c r="T286" s="622"/>
      <c r="U286" s="6"/>
      <c r="V286" s="6"/>
      <c r="W286" s="6"/>
      <c r="X286" s="6"/>
      <c r="Y286" s="6"/>
    </row>
    <row r="287" ht="11.25" customHeight="1">
      <c r="A287" s="7"/>
      <c r="B287" s="68">
        <f t="shared" si="8"/>
        <v>282</v>
      </c>
      <c r="C287" s="607">
        <v>11500.0</v>
      </c>
      <c r="D287" s="6">
        <f t="shared" si="9"/>
        <v>2070.325905</v>
      </c>
      <c r="E287" s="6">
        <f t="shared" si="1"/>
        <v>9429.674095</v>
      </c>
      <c r="F287" s="6">
        <f t="shared" si="4"/>
        <v>1113198.322</v>
      </c>
      <c r="G287" s="6">
        <f t="shared" si="5"/>
        <v>2129801.678</v>
      </c>
      <c r="H287" s="6">
        <f t="shared" si="6"/>
        <v>3243000</v>
      </c>
      <c r="I287" s="6">
        <f t="shared" si="7"/>
        <v>265088.678</v>
      </c>
      <c r="J287" s="610">
        <v>9.05</v>
      </c>
      <c r="K287" s="591"/>
      <c r="L287" s="6"/>
      <c r="M287" s="9"/>
      <c r="N287" s="79"/>
      <c r="O287" s="6"/>
      <c r="P287" s="6"/>
      <c r="Q287" s="6"/>
      <c r="R287" s="6"/>
      <c r="S287" s="6"/>
      <c r="T287" s="622"/>
      <c r="U287" s="6"/>
      <c r="V287" s="6"/>
      <c r="W287" s="6"/>
      <c r="X287" s="6"/>
      <c r="Y287" s="6"/>
    </row>
    <row r="288" ht="11.25" customHeight="1">
      <c r="A288" s="7"/>
      <c r="B288" s="68">
        <f t="shared" si="8"/>
        <v>283</v>
      </c>
      <c r="C288" s="607">
        <v>11500.0</v>
      </c>
      <c r="D288" s="6">
        <f t="shared" si="9"/>
        <v>1999.210446</v>
      </c>
      <c r="E288" s="6">
        <f t="shared" si="1"/>
        <v>9500.789554</v>
      </c>
      <c r="F288" s="6">
        <f t="shared" si="4"/>
        <v>1122699.112</v>
      </c>
      <c r="G288" s="6">
        <f t="shared" si="5"/>
        <v>2131800.888</v>
      </c>
      <c r="H288" s="6">
        <f t="shared" si="6"/>
        <v>3254500</v>
      </c>
      <c r="I288" s="6">
        <f t="shared" si="7"/>
        <v>255587.8884</v>
      </c>
      <c r="J288" s="610">
        <v>9.05</v>
      </c>
      <c r="K288" s="591"/>
      <c r="L288" s="6"/>
      <c r="M288" s="9"/>
      <c r="N288" s="79"/>
      <c r="O288" s="6"/>
      <c r="P288" s="6"/>
      <c r="Q288" s="6"/>
      <c r="R288" s="6"/>
      <c r="S288" s="6"/>
      <c r="T288" s="622"/>
      <c r="U288" s="6"/>
      <c r="V288" s="6"/>
      <c r="W288" s="6"/>
      <c r="X288" s="6"/>
      <c r="Y288" s="6"/>
    </row>
    <row r="289" ht="11.25" customHeight="1">
      <c r="A289" s="7"/>
      <c r="B289" s="68">
        <f t="shared" si="8"/>
        <v>284</v>
      </c>
      <c r="C289" s="607">
        <v>11500.0</v>
      </c>
      <c r="D289" s="6">
        <f t="shared" si="9"/>
        <v>1927.558659</v>
      </c>
      <c r="E289" s="6">
        <f t="shared" si="1"/>
        <v>9572.441341</v>
      </c>
      <c r="F289" s="6">
        <f t="shared" si="4"/>
        <v>1132271.553</v>
      </c>
      <c r="G289" s="6">
        <f t="shared" si="5"/>
        <v>2133728.447</v>
      </c>
      <c r="H289" s="6">
        <f t="shared" si="6"/>
        <v>3266000</v>
      </c>
      <c r="I289" s="6">
        <f t="shared" si="7"/>
        <v>246015.4471</v>
      </c>
      <c r="J289" s="610">
        <v>9.05</v>
      </c>
      <c r="K289" s="591"/>
      <c r="L289" s="6"/>
      <c r="M289" s="9"/>
      <c r="N289" s="79"/>
      <c r="O289" s="6"/>
      <c r="P289" s="6"/>
      <c r="Q289" s="6"/>
      <c r="R289" s="6"/>
      <c r="S289" s="6"/>
      <c r="T289" s="622"/>
      <c r="U289" s="6"/>
      <c r="V289" s="6"/>
      <c r="W289" s="6"/>
      <c r="X289" s="6"/>
      <c r="Y289" s="6"/>
    </row>
    <row r="290" ht="11.25" customHeight="1">
      <c r="A290" s="7"/>
      <c r="B290" s="68">
        <f t="shared" si="8"/>
        <v>285</v>
      </c>
      <c r="C290" s="607">
        <v>11500.0</v>
      </c>
      <c r="D290" s="6">
        <f t="shared" si="9"/>
        <v>1855.366497</v>
      </c>
      <c r="E290" s="6">
        <f t="shared" si="1"/>
        <v>9644.633503</v>
      </c>
      <c r="F290" s="6">
        <f t="shared" si="4"/>
        <v>1141916.186</v>
      </c>
      <c r="G290" s="6">
        <f t="shared" si="5"/>
        <v>2135583.814</v>
      </c>
      <c r="H290" s="6">
        <f t="shared" si="6"/>
        <v>3277500</v>
      </c>
      <c r="I290" s="6">
        <f t="shared" si="7"/>
        <v>236370.8136</v>
      </c>
      <c r="J290" s="610">
        <v>9.05</v>
      </c>
      <c r="K290" s="591"/>
      <c r="L290" s="6"/>
      <c r="M290" s="9"/>
      <c r="N290" s="79"/>
      <c r="O290" s="6"/>
      <c r="P290" s="6"/>
      <c r="Q290" s="6"/>
      <c r="R290" s="6"/>
      <c r="S290" s="6"/>
      <c r="T290" s="622"/>
      <c r="U290" s="6"/>
      <c r="V290" s="6"/>
      <c r="W290" s="6"/>
      <c r="X290" s="6"/>
      <c r="Y290" s="6"/>
    </row>
    <row r="291" ht="11.25" customHeight="1">
      <c r="A291" s="7"/>
      <c r="B291" s="68">
        <f t="shared" si="8"/>
        <v>286</v>
      </c>
      <c r="C291" s="607">
        <v>11500.0</v>
      </c>
      <c r="D291" s="6">
        <f t="shared" si="9"/>
        <v>1782.629886</v>
      </c>
      <c r="E291" s="6">
        <f t="shared" si="1"/>
        <v>9717.370114</v>
      </c>
      <c r="F291" s="6">
        <f t="shared" si="4"/>
        <v>1151633.557</v>
      </c>
      <c r="G291" s="6">
        <f t="shared" si="5"/>
        <v>2137366.443</v>
      </c>
      <c r="H291" s="6">
        <f t="shared" si="6"/>
        <v>3289000</v>
      </c>
      <c r="I291" s="6">
        <f t="shared" si="7"/>
        <v>226653.4435</v>
      </c>
      <c r="J291" s="610">
        <v>9.05</v>
      </c>
      <c r="K291" s="591"/>
      <c r="L291" s="6"/>
      <c r="M291" s="9"/>
      <c r="N291" s="79"/>
      <c r="O291" s="6"/>
      <c r="P291" s="6"/>
      <c r="Q291" s="6"/>
      <c r="R291" s="6"/>
      <c r="S291" s="6"/>
      <c r="T291" s="622"/>
      <c r="U291" s="6"/>
      <c r="V291" s="6"/>
      <c r="W291" s="6"/>
      <c r="X291" s="6"/>
      <c r="Y291" s="6"/>
    </row>
    <row r="292" ht="11.25" customHeight="1">
      <c r="A292" s="7"/>
      <c r="B292" s="68">
        <f t="shared" si="8"/>
        <v>287</v>
      </c>
      <c r="C292" s="607">
        <v>11500.0</v>
      </c>
      <c r="D292" s="6">
        <f t="shared" si="9"/>
        <v>1709.344719</v>
      </c>
      <c r="E292" s="6">
        <f t="shared" si="1"/>
        <v>9790.655281</v>
      </c>
      <c r="F292" s="6">
        <f t="shared" si="4"/>
        <v>1161424.212</v>
      </c>
      <c r="G292" s="6">
        <f t="shared" si="5"/>
        <v>2139075.788</v>
      </c>
      <c r="H292" s="6">
        <f t="shared" si="6"/>
        <v>3300500</v>
      </c>
      <c r="I292" s="6">
        <f t="shared" si="7"/>
        <v>216862.7882</v>
      </c>
      <c r="J292" s="610">
        <v>9.05</v>
      </c>
      <c r="K292" s="591"/>
      <c r="L292" s="6"/>
      <c r="M292" s="9"/>
      <c r="N292" s="79"/>
      <c r="O292" s="6"/>
      <c r="P292" s="6"/>
      <c r="Q292" s="6"/>
      <c r="R292" s="6"/>
      <c r="S292" s="6"/>
      <c r="T292" s="622"/>
      <c r="U292" s="6"/>
      <c r="V292" s="6"/>
      <c r="W292" s="6"/>
      <c r="X292" s="6"/>
      <c r="Y292" s="6"/>
    </row>
    <row r="293" ht="11.25" customHeight="1">
      <c r="A293" s="71"/>
      <c r="B293" s="72">
        <f t="shared" si="8"/>
        <v>288</v>
      </c>
      <c r="C293" s="607">
        <v>11500.0</v>
      </c>
      <c r="D293" s="10">
        <f t="shared" si="9"/>
        <v>1635.506861</v>
      </c>
      <c r="E293" s="10">
        <f t="shared" si="1"/>
        <v>9864.493139</v>
      </c>
      <c r="F293" s="10">
        <f t="shared" si="4"/>
        <v>1171288.705</v>
      </c>
      <c r="G293" s="10">
        <f t="shared" si="5"/>
        <v>2140711.295</v>
      </c>
      <c r="H293" s="10">
        <f t="shared" si="6"/>
        <v>3312000</v>
      </c>
      <c r="I293" s="10">
        <f t="shared" si="7"/>
        <v>206998.295</v>
      </c>
      <c r="J293" s="610">
        <v>9.05</v>
      </c>
      <c r="K293" s="591"/>
      <c r="L293" s="6"/>
      <c r="M293" s="9"/>
      <c r="N293" s="79"/>
      <c r="O293" s="6"/>
      <c r="P293" s="6"/>
      <c r="Q293" s="6"/>
      <c r="R293" s="6"/>
      <c r="S293" s="6"/>
      <c r="T293" s="622"/>
      <c r="U293" s="6"/>
      <c r="V293" s="6"/>
      <c r="W293" s="6"/>
      <c r="X293" s="6"/>
      <c r="Y293" s="6"/>
    </row>
    <row r="294" ht="11.25" customHeight="1">
      <c r="A294" s="100">
        <v>25.0</v>
      </c>
      <c r="B294" s="66">
        <f t="shared" si="8"/>
        <v>289</v>
      </c>
      <c r="C294" s="607">
        <v>11500.0</v>
      </c>
      <c r="D294" s="617">
        <f t="shared" si="9"/>
        <v>1561.112142</v>
      </c>
      <c r="E294" s="617">
        <f t="shared" si="1"/>
        <v>9938.887858</v>
      </c>
      <c r="F294" s="617">
        <f t="shared" si="4"/>
        <v>1181227.593</v>
      </c>
      <c r="G294" s="617">
        <f t="shared" si="5"/>
        <v>2142272.407</v>
      </c>
      <c r="H294" s="617">
        <f t="shared" si="6"/>
        <v>3323500</v>
      </c>
      <c r="I294" s="617">
        <f t="shared" si="7"/>
        <v>197059.4072</v>
      </c>
      <c r="J294" s="610">
        <v>9.05</v>
      </c>
      <c r="K294" s="591"/>
      <c r="L294" s="6"/>
      <c r="M294" s="9"/>
      <c r="N294" s="79"/>
      <c r="O294" s="6"/>
      <c r="P294" s="6"/>
      <c r="Q294" s="6"/>
      <c r="R294" s="6"/>
      <c r="S294" s="6"/>
      <c r="T294" s="622"/>
      <c r="U294" s="6"/>
      <c r="V294" s="6"/>
      <c r="W294" s="6"/>
      <c r="X294" s="6"/>
      <c r="Y294" s="6"/>
    </row>
    <row r="295" ht="11.25" customHeight="1">
      <c r="A295" s="7"/>
      <c r="B295" s="68">
        <f t="shared" si="8"/>
        <v>290</v>
      </c>
      <c r="C295" s="607">
        <v>11500.0</v>
      </c>
      <c r="D295" s="6">
        <f t="shared" si="9"/>
        <v>1486.156363</v>
      </c>
      <c r="E295" s="6">
        <f t="shared" si="1"/>
        <v>10013.84364</v>
      </c>
      <c r="F295" s="6">
        <f t="shared" si="4"/>
        <v>1191241.436</v>
      </c>
      <c r="G295" s="6">
        <f t="shared" si="5"/>
        <v>2143758.564</v>
      </c>
      <c r="H295" s="6">
        <f t="shared" si="6"/>
        <v>3335000</v>
      </c>
      <c r="I295" s="6">
        <f t="shared" si="7"/>
        <v>187045.5636</v>
      </c>
      <c r="J295" s="610">
        <v>9.05</v>
      </c>
      <c r="K295" s="591"/>
      <c r="L295" s="6"/>
      <c r="M295" s="9"/>
      <c r="N295" s="79"/>
      <c r="O295" s="6"/>
      <c r="P295" s="6"/>
      <c r="Q295" s="6"/>
      <c r="R295" s="6"/>
      <c r="S295" s="6"/>
      <c r="T295" s="622"/>
      <c r="U295" s="6"/>
      <c r="V295" s="6"/>
      <c r="W295" s="6"/>
      <c r="X295" s="6"/>
      <c r="Y295" s="6"/>
    </row>
    <row r="296" ht="11.25" customHeight="1">
      <c r="A296" s="7"/>
      <c r="B296" s="68">
        <f t="shared" si="8"/>
        <v>291</v>
      </c>
      <c r="C296" s="607">
        <v>11500.0</v>
      </c>
      <c r="D296" s="6">
        <f t="shared" si="9"/>
        <v>1410.635292</v>
      </c>
      <c r="E296" s="6">
        <f t="shared" si="1"/>
        <v>10089.36471</v>
      </c>
      <c r="F296" s="6">
        <f t="shared" si="4"/>
        <v>1201330.801</v>
      </c>
      <c r="G296" s="6">
        <f t="shared" si="5"/>
        <v>2145169.199</v>
      </c>
      <c r="H296" s="6">
        <f t="shared" si="6"/>
        <v>3346500</v>
      </c>
      <c r="I296" s="6">
        <f t="shared" si="7"/>
        <v>176956.1988</v>
      </c>
      <c r="J296" s="610">
        <v>9.05</v>
      </c>
      <c r="K296" s="591"/>
      <c r="L296" s="6"/>
      <c r="M296" s="9"/>
      <c r="N296" s="79"/>
      <c r="O296" s="6"/>
      <c r="P296" s="6"/>
      <c r="Q296" s="6"/>
      <c r="R296" s="6"/>
      <c r="S296" s="6"/>
      <c r="T296" s="622"/>
      <c r="U296" s="6"/>
      <c r="V296" s="6"/>
      <c r="W296" s="6"/>
      <c r="X296" s="6"/>
      <c r="Y296" s="6"/>
    </row>
    <row r="297" ht="11.25" customHeight="1">
      <c r="A297" s="7"/>
      <c r="B297" s="68">
        <f t="shared" si="8"/>
        <v>292</v>
      </c>
      <c r="C297" s="607">
        <v>11500.0</v>
      </c>
      <c r="D297" s="6">
        <f t="shared" si="9"/>
        <v>1334.544666</v>
      </c>
      <c r="E297" s="6">
        <f t="shared" si="1"/>
        <v>10165.45533</v>
      </c>
      <c r="F297" s="6">
        <f t="shared" si="4"/>
        <v>1211496.256</v>
      </c>
      <c r="G297" s="6">
        <f t="shared" si="5"/>
        <v>2146503.744</v>
      </c>
      <c r="H297" s="6">
        <f t="shared" si="6"/>
        <v>3358000</v>
      </c>
      <c r="I297" s="6">
        <f t="shared" si="7"/>
        <v>166790.7435</v>
      </c>
      <c r="J297" s="610">
        <v>9.05</v>
      </c>
      <c r="K297" s="591"/>
      <c r="L297" s="6"/>
      <c r="M297" s="9"/>
      <c r="N297" s="79"/>
      <c r="O297" s="6"/>
      <c r="P297" s="6"/>
      <c r="Q297" s="6"/>
      <c r="R297" s="6"/>
      <c r="S297" s="6"/>
      <c r="T297" s="622"/>
      <c r="U297" s="6"/>
      <c r="V297" s="6"/>
      <c r="W297" s="6"/>
      <c r="X297" s="6"/>
      <c r="Y297" s="6"/>
    </row>
    <row r="298" ht="11.25" customHeight="1">
      <c r="A298" s="7"/>
      <c r="B298" s="68">
        <f t="shared" si="8"/>
        <v>293</v>
      </c>
      <c r="C298" s="607">
        <v>11500.0</v>
      </c>
      <c r="D298" s="6">
        <f t="shared" si="9"/>
        <v>1257.880191</v>
      </c>
      <c r="E298" s="6">
        <f t="shared" si="1"/>
        <v>10242.11981</v>
      </c>
      <c r="F298" s="6">
        <f t="shared" si="4"/>
        <v>1221738.376</v>
      </c>
      <c r="G298" s="6">
        <f t="shared" si="5"/>
        <v>2147761.624</v>
      </c>
      <c r="H298" s="6">
        <f t="shared" si="6"/>
        <v>3369500</v>
      </c>
      <c r="I298" s="6">
        <f t="shared" si="7"/>
        <v>156548.6237</v>
      </c>
      <c r="J298" s="610">
        <v>9.05</v>
      </c>
      <c r="K298" s="591"/>
      <c r="L298" s="6"/>
      <c r="M298" s="9"/>
      <c r="N298" s="79"/>
      <c r="O298" s="6"/>
      <c r="P298" s="6"/>
      <c r="Q298" s="6"/>
      <c r="R298" s="6"/>
      <c r="S298" s="6"/>
      <c r="T298" s="622"/>
      <c r="U298" s="6"/>
      <c r="V298" s="6"/>
      <c r="W298" s="6"/>
      <c r="X298" s="6"/>
      <c r="Y298" s="6"/>
    </row>
    <row r="299" ht="11.25" customHeight="1">
      <c r="A299" s="7"/>
      <c r="B299" s="68">
        <f t="shared" si="8"/>
        <v>294</v>
      </c>
      <c r="C299" s="607">
        <v>11500.0</v>
      </c>
      <c r="D299" s="6">
        <f t="shared" si="9"/>
        <v>1180.637537</v>
      </c>
      <c r="E299" s="6">
        <f t="shared" si="1"/>
        <v>10319.36246</v>
      </c>
      <c r="F299" s="6">
        <f t="shared" si="4"/>
        <v>1232057.739</v>
      </c>
      <c r="G299" s="6">
        <f t="shared" si="5"/>
        <v>2148942.261</v>
      </c>
      <c r="H299" s="6">
        <f t="shared" si="6"/>
        <v>3381000</v>
      </c>
      <c r="I299" s="6">
        <f t="shared" si="7"/>
        <v>146229.2612</v>
      </c>
      <c r="J299" s="610">
        <v>9.05</v>
      </c>
      <c r="K299" s="591"/>
      <c r="L299" s="6"/>
      <c r="M299" s="9"/>
      <c r="N299" s="79"/>
      <c r="O299" s="6"/>
      <c r="P299" s="6"/>
      <c r="Q299" s="6"/>
      <c r="R299" s="6"/>
      <c r="S299" s="6"/>
      <c r="T299" s="622"/>
      <c r="U299" s="6"/>
      <c r="V299" s="6"/>
      <c r="W299" s="6"/>
      <c r="X299" s="6"/>
      <c r="Y299" s="6"/>
    </row>
    <row r="300" ht="11.25" customHeight="1">
      <c r="A300" s="7"/>
      <c r="B300" s="68">
        <f t="shared" si="8"/>
        <v>295</v>
      </c>
      <c r="C300" s="607">
        <v>11500.0</v>
      </c>
      <c r="D300" s="6">
        <f t="shared" si="9"/>
        <v>1102.812345</v>
      </c>
      <c r="E300" s="6">
        <f t="shared" si="1"/>
        <v>10397.18765</v>
      </c>
      <c r="F300" s="6">
        <f t="shared" si="4"/>
        <v>1242454.926</v>
      </c>
      <c r="G300" s="6">
        <f t="shared" si="5"/>
        <v>2150045.074</v>
      </c>
      <c r="H300" s="6">
        <f t="shared" si="6"/>
        <v>3392500</v>
      </c>
      <c r="I300" s="6">
        <f t="shared" si="7"/>
        <v>135832.0736</v>
      </c>
      <c r="J300" s="610">
        <v>9.05</v>
      </c>
      <c r="K300" s="591"/>
      <c r="L300" s="6"/>
      <c r="M300" s="9"/>
      <c r="N300" s="79"/>
      <c r="O300" s="6"/>
      <c r="P300" s="6"/>
      <c r="Q300" s="6"/>
      <c r="R300" s="6"/>
      <c r="S300" s="6"/>
      <c r="T300" s="622"/>
      <c r="U300" s="6"/>
      <c r="V300" s="6"/>
      <c r="W300" s="6"/>
      <c r="X300" s="6"/>
      <c r="Y300" s="6"/>
    </row>
    <row r="301" ht="11.25" customHeight="1">
      <c r="A301" s="7"/>
      <c r="B301" s="68">
        <f t="shared" si="8"/>
        <v>296</v>
      </c>
      <c r="C301" s="607">
        <v>11500.0</v>
      </c>
      <c r="D301" s="6">
        <f t="shared" si="9"/>
        <v>1024.400222</v>
      </c>
      <c r="E301" s="6">
        <f t="shared" si="1"/>
        <v>10475.59978</v>
      </c>
      <c r="F301" s="6">
        <f t="shared" si="4"/>
        <v>1252930.526</v>
      </c>
      <c r="G301" s="6">
        <f t="shared" si="5"/>
        <v>2151069.474</v>
      </c>
      <c r="H301" s="6">
        <f t="shared" si="6"/>
        <v>3404000</v>
      </c>
      <c r="I301" s="6">
        <f t="shared" si="7"/>
        <v>125356.4738</v>
      </c>
      <c r="J301" s="610">
        <v>9.05</v>
      </c>
      <c r="K301" s="591"/>
      <c r="L301" s="6"/>
      <c r="M301" s="9"/>
      <c r="N301" s="79"/>
      <c r="O301" s="6"/>
      <c r="P301" s="6"/>
      <c r="Q301" s="6"/>
      <c r="R301" s="6"/>
      <c r="S301" s="6"/>
      <c r="T301" s="622"/>
      <c r="U301" s="6"/>
      <c r="V301" s="6"/>
      <c r="W301" s="6"/>
      <c r="X301" s="6"/>
      <c r="Y301" s="6"/>
    </row>
    <row r="302" ht="11.25" customHeight="1">
      <c r="A302" s="7"/>
      <c r="B302" s="68">
        <f t="shared" si="8"/>
        <v>297</v>
      </c>
      <c r="C302" s="607">
        <v>11500.0</v>
      </c>
      <c r="D302" s="6">
        <f t="shared" si="9"/>
        <v>945.39674</v>
      </c>
      <c r="E302" s="6">
        <f t="shared" si="1"/>
        <v>10554.60326</v>
      </c>
      <c r="F302" s="6">
        <f t="shared" si="4"/>
        <v>1263485.129</v>
      </c>
      <c r="G302" s="6">
        <f t="shared" si="5"/>
        <v>2152014.871</v>
      </c>
      <c r="H302" s="6">
        <f t="shared" si="6"/>
        <v>3415500</v>
      </c>
      <c r="I302" s="6">
        <f t="shared" si="7"/>
        <v>114801.8705</v>
      </c>
      <c r="J302" s="610">
        <v>9.05</v>
      </c>
      <c r="K302" s="591"/>
      <c r="L302" s="6"/>
      <c r="M302" s="9"/>
      <c r="N302" s="79"/>
      <c r="O302" s="6"/>
      <c r="P302" s="6"/>
      <c r="Q302" s="6"/>
      <c r="R302" s="6"/>
      <c r="S302" s="6"/>
      <c r="T302" s="622"/>
      <c r="U302" s="6"/>
      <c r="V302" s="6"/>
      <c r="W302" s="6"/>
      <c r="X302" s="6"/>
      <c r="Y302" s="6"/>
    </row>
    <row r="303" ht="11.25" customHeight="1">
      <c r="A303" s="7"/>
      <c r="B303" s="68">
        <f t="shared" si="8"/>
        <v>298</v>
      </c>
      <c r="C303" s="607">
        <v>11500.0</v>
      </c>
      <c r="D303" s="6">
        <f t="shared" si="9"/>
        <v>865.7974404</v>
      </c>
      <c r="E303" s="6">
        <f t="shared" si="1"/>
        <v>10634.20256</v>
      </c>
      <c r="F303" s="6">
        <f t="shared" si="4"/>
        <v>1274119.332</v>
      </c>
      <c r="G303" s="6">
        <f t="shared" si="5"/>
        <v>2152880.668</v>
      </c>
      <c r="H303" s="6">
        <f t="shared" si="6"/>
        <v>3427000</v>
      </c>
      <c r="I303" s="6">
        <f t="shared" si="7"/>
        <v>104167.668</v>
      </c>
      <c r="J303" s="610">
        <v>9.05</v>
      </c>
      <c r="K303" s="591"/>
      <c r="L303" s="6"/>
      <c r="M303" s="9"/>
      <c r="N303" s="79"/>
      <c r="O303" s="6"/>
      <c r="P303" s="6"/>
      <c r="Q303" s="6"/>
      <c r="R303" s="6"/>
      <c r="S303" s="6"/>
      <c r="T303" s="622"/>
      <c r="U303" s="6"/>
      <c r="V303" s="6"/>
      <c r="W303" s="6"/>
      <c r="X303" s="6"/>
      <c r="Y303" s="6"/>
    </row>
    <row r="304" ht="11.25" customHeight="1">
      <c r="A304" s="7"/>
      <c r="B304" s="68">
        <f t="shared" si="8"/>
        <v>299</v>
      </c>
      <c r="C304" s="607">
        <v>11500.0</v>
      </c>
      <c r="D304" s="6">
        <f t="shared" si="9"/>
        <v>785.5978294</v>
      </c>
      <c r="E304" s="6">
        <f t="shared" si="1"/>
        <v>10714.40217</v>
      </c>
      <c r="F304" s="6">
        <f t="shared" si="4"/>
        <v>1284833.734</v>
      </c>
      <c r="G304" s="6">
        <f t="shared" si="5"/>
        <v>2153666.266</v>
      </c>
      <c r="H304" s="6">
        <f t="shared" si="6"/>
        <v>3438500</v>
      </c>
      <c r="I304" s="6">
        <f t="shared" si="7"/>
        <v>93453.26582</v>
      </c>
      <c r="J304" s="610">
        <v>9.05</v>
      </c>
      <c r="K304" s="591"/>
      <c r="L304" s="6"/>
      <c r="M304" s="9"/>
      <c r="N304" s="79"/>
      <c r="O304" s="6"/>
      <c r="P304" s="6"/>
      <c r="Q304" s="6"/>
      <c r="R304" s="6"/>
      <c r="S304" s="6"/>
      <c r="T304" s="622"/>
      <c r="U304" s="6"/>
      <c r="V304" s="6"/>
      <c r="W304" s="6"/>
      <c r="X304" s="6"/>
      <c r="Y304" s="6"/>
    </row>
    <row r="305" ht="11.25" customHeight="1">
      <c r="A305" s="71"/>
      <c r="B305" s="72">
        <f t="shared" si="8"/>
        <v>300</v>
      </c>
      <c r="C305" s="607">
        <v>11500.0</v>
      </c>
      <c r="D305" s="10">
        <f t="shared" si="9"/>
        <v>704.7933797</v>
      </c>
      <c r="E305" s="10">
        <f t="shared" si="1"/>
        <v>10795.20662</v>
      </c>
      <c r="F305" s="10">
        <f t="shared" si="4"/>
        <v>1295628.941</v>
      </c>
      <c r="G305" s="10">
        <f t="shared" si="5"/>
        <v>2154371.059</v>
      </c>
      <c r="H305" s="10">
        <f t="shared" si="6"/>
        <v>3450000</v>
      </c>
      <c r="I305" s="10">
        <f t="shared" si="7"/>
        <v>82658.05919</v>
      </c>
      <c r="J305" s="610">
        <v>9.05</v>
      </c>
      <c r="K305" s="591"/>
      <c r="L305" s="6"/>
      <c r="M305" s="9"/>
      <c r="N305" s="79"/>
      <c r="O305" s="6"/>
      <c r="P305" s="6"/>
      <c r="Q305" s="6"/>
      <c r="R305" s="6"/>
      <c r="S305" s="6"/>
      <c r="T305" s="622"/>
      <c r="U305" s="6"/>
      <c r="V305" s="6"/>
      <c r="W305" s="6"/>
      <c r="X305" s="6"/>
      <c r="Y305" s="6"/>
    </row>
    <row r="306" ht="11.25" customHeight="1">
      <c r="A306" s="100">
        <v>26.0</v>
      </c>
      <c r="B306" s="66">
        <f t="shared" si="8"/>
        <v>301</v>
      </c>
      <c r="C306" s="607">
        <v>11500.0</v>
      </c>
      <c r="D306" s="617">
        <f t="shared" si="9"/>
        <v>623.3795298</v>
      </c>
      <c r="E306" s="617">
        <f t="shared" si="1"/>
        <v>10876.62047</v>
      </c>
      <c r="F306" s="617">
        <f t="shared" si="4"/>
        <v>1306505.561</v>
      </c>
      <c r="G306" s="617">
        <f t="shared" si="5"/>
        <v>2154994.439</v>
      </c>
      <c r="H306" s="617">
        <f t="shared" si="6"/>
        <v>3461500</v>
      </c>
      <c r="I306" s="617">
        <f t="shared" si="7"/>
        <v>71781.43872</v>
      </c>
      <c r="J306" s="610">
        <v>9.05</v>
      </c>
      <c r="K306" s="591"/>
      <c r="L306" s="6"/>
      <c r="M306" s="9"/>
      <c r="N306" s="79"/>
      <c r="O306" s="6"/>
      <c r="P306" s="6"/>
      <c r="Q306" s="6"/>
      <c r="R306" s="6"/>
      <c r="S306" s="6"/>
      <c r="T306" s="622"/>
      <c r="U306" s="6"/>
      <c r="V306" s="6"/>
      <c r="W306" s="6"/>
      <c r="X306" s="6"/>
      <c r="Y306" s="6"/>
    </row>
    <row r="307" ht="11.25" customHeight="1">
      <c r="A307" s="7"/>
      <c r="B307" s="68">
        <f t="shared" si="8"/>
        <v>302</v>
      </c>
      <c r="C307" s="607">
        <v>11500.0</v>
      </c>
      <c r="D307" s="6">
        <f t="shared" si="9"/>
        <v>541.3516837</v>
      </c>
      <c r="E307" s="6">
        <f t="shared" si="1"/>
        <v>10958.64832</v>
      </c>
      <c r="F307" s="6">
        <f t="shared" si="4"/>
        <v>1317464.21</v>
      </c>
      <c r="G307" s="6">
        <f t="shared" si="5"/>
        <v>2155535.79</v>
      </c>
      <c r="H307" s="6">
        <f t="shared" si="6"/>
        <v>3473000</v>
      </c>
      <c r="I307" s="6">
        <f t="shared" si="7"/>
        <v>60822.79041</v>
      </c>
      <c r="J307" s="610">
        <v>9.05</v>
      </c>
      <c r="K307" s="591"/>
      <c r="L307" s="6"/>
      <c r="M307" s="9"/>
      <c r="N307" s="79"/>
      <c r="O307" s="6"/>
      <c r="P307" s="6"/>
      <c r="Q307" s="6"/>
      <c r="R307" s="6"/>
      <c r="S307" s="6"/>
      <c r="T307" s="622"/>
      <c r="U307" s="6"/>
      <c r="V307" s="6"/>
      <c r="W307" s="6"/>
      <c r="X307" s="6"/>
      <c r="Y307" s="6"/>
    </row>
    <row r="308" ht="11.25" customHeight="1">
      <c r="A308" s="7"/>
      <c r="B308" s="68">
        <f t="shared" si="8"/>
        <v>303</v>
      </c>
      <c r="C308" s="607">
        <v>11500.0</v>
      </c>
      <c r="D308" s="6">
        <f t="shared" si="9"/>
        <v>458.705211</v>
      </c>
      <c r="E308" s="6">
        <f t="shared" si="1"/>
        <v>11041.29479</v>
      </c>
      <c r="F308" s="6">
        <f t="shared" si="4"/>
        <v>1328505.504</v>
      </c>
      <c r="G308" s="6">
        <f t="shared" si="5"/>
        <v>2155994.496</v>
      </c>
      <c r="H308" s="6">
        <f t="shared" si="6"/>
        <v>3484500</v>
      </c>
      <c r="I308" s="6">
        <f t="shared" si="7"/>
        <v>49781.49562</v>
      </c>
      <c r="J308" s="610">
        <v>9.05</v>
      </c>
      <c r="K308" s="591"/>
      <c r="L308" s="6"/>
      <c r="M308" s="9"/>
      <c r="N308" s="79"/>
      <c r="O308" s="6"/>
      <c r="P308" s="6"/>
      <c r="Q308" s="6"/>
      <c r="R308" s="6"/>
      <c r="S308" s="6"/>
      <c r="T308" s="622"/>
      <c r="U308" s="6"/>
      <c r="V308" s="6"/>
      <c r="W308" s="6"/>
      <c r="X308" s="6"/>
      <c r="Y308" s="6"/>
    </row>
    <row r="309" ht="11.25" customHeight="1">
      <c r="A309" s="7"/>
      <c r="B309" s="68">
        <f t="shared" si="8"/>
        <v>304</v>
      </c>
      <c r="C309" s="607">
        <v>11500.0</v>
      </c>
      <c r="D309" s="6">
        <f t="shared" si="9"/>
        <v>375.4354461</v>
      </c>
      <c r="E309" s="6">
        <f t="shared" si="1"/>
        <v>11124.56455</v>
      </c>
      <c r="F309" s="6">
        <f t="shared" si="4"/>
        <v>1339630.069</v>
      </c>
      <c r="G309" s="6">
        <f t="shared" si="5"/>
        <v>2156369.931</v>
      </c>
      <c r="H309" s="6">
        <f t="shared" si="6"/>
        <v>3496000</v>
      </c>
      <c r="I309" s="6">
        <f t="shared" si="7"/>
        <v>38656.93107</v>
      </c>
      <c r="J309" s="610">
        <v>9.05</v>
      </c>
      <c r="K309" s="591"/>
      <c r="L309" s="6"/>
      <c r="M309" s="9"/>
      <c r="N309" s="79"/>
      <c r="O309" s="6"/>
      <c r="P309" s="6"/>
      <c r="Q309" s="6"/>
      <c r="R309" s="6"/>
      <c r="S309" s="6"/>
      <c r="T309" s="622"/>
      <c r="U309" s="6"/>
      <c r="V309" s="6"/>
      <c r="W309" s="6"/>
      <c r="X309" s="6"/>
      <c r="Y309" s="6"/>
    </row>
    <row r="310" ht="11.25" customHeight="1">
      <c r="A310" s="7"/>
      <c r="B310" s="68">
        <f t="shared" si="8"/>
        <v>305</v>
      </c>
      <c r="C310" s="607">
        <v>11500.0</v>
      </c>
      <c r="D310" s="6">
        <f t="shared" si="9"/>
        <v>291.5376885</v>
      </c>
      <c r="E310" s="6">
        <f t="shared" si="1"/>
        <v>11208.46231</v>
      </c>
      <c r="F310" s="6">
        <f t="shared" si="4"/>
        <v>1350838.531</v>
      </c>
      <c r="G310" s="6">
        <f t="shared" si="5"/>
        <v>2156661.469</v>
      </c>
      <c r="H310" s="6">
        <f t="shared" si="6"/>
        <v>3507500</v>
      </c>
      <c r="I310" s="6">
        <f t="shared" si="7"/>
        <v>27448.46875</v>
      </c>
      <c r="J310" s="610">
        <v>9.05</v>
      </c>
      <c r="K310" s="591"/>
      <c r="L310" s="6"/>
      <c r="M310" s="9"/>
      <c r="N310" s="79"/>
      <c r="O310" s="6"/>
      <c r="P310" s="6"/>
      <c r="Q310" s="6"/>
      <c r="R310" s="6"/>
      <c r="S310" s="6"/>
      <c r="T310" s="622"/>
      <c r="U310" s="6"/>
      <c r="V310" s="6"/>
      <c r="W310" s="6"/>
      <c r="X310" s="6"/>
      <c r="Y310" s="6"/>
    </row>
    <row r="311" ht="11.25" customHeight="1">
      <c r="A311" s="7"/>
      <c r="B311" s="68">
        <f t="shared" si="8"/>
        <v>306</v>
      </c>
      <c r="C311" s="607">
        <v>11500.0</v>
      </c>
      <c r="D311" s="6">
        <f t="shared" si="9"/>
        <v>207.0072019</v>
      </c>
      <c r="E311" s="6">
        <f t="shared" si="1"/>
        <v>11292.9928</v>
      </c>
      <c r="F311" s="6">
        <f t="shared" si="4"/>
        <v>1362131.524</v>
      </c>
      <c r="G311" s="6">
        <f t="shared" si="5"/>
        <v>2156868.476</v>
      </c>
      <c r="H311" s="6">
        <f t="shared" si="6"/>
        <v>3519000</v>
      </c>
      <c r="I311" s="6">
        <f t="shared" si="7"/>
        <v>16155.47596</v>
      </c>
      <c r="J311" s="610">
        <v>9.05</v>
      </c>
      <c r="K311" s="591"/>
      <c r="L311" s="6"/>
      <c r="M311" s="9"/>
      <c r="N311" s="79"/>
      <c r="O311" s="6"/>
      <c r="P311" s="6"/>
      <c r="Q311" s="6"/>
      <c r="R311" s="6"/>
      <c r="S311" s="6"/>
      <c r="T311" s="622"/>
      <c r="U311" s="6"/>
      <c r="V311" s="6"/>
      <c r="W311" s="6"/>
      <c r="X311" s="6"/>
      <c r="Y311" s="6"/>
    </row>
    <row r="312" ht="11.25" customHeight="1">
      <c r="A312" s="7"/>
      <c r="B312" s="68">
        <f t="shared" si="8"/>
        <v>307</v>
      </c>
      <c r="C312" s="607">
        <v>11500.0</v>
      </c>
      <c r="D312" s="6">
        <f t="shared" si="9"/>
        <v>121.8392145</v>
      </c>
      <c r="E312" s="6">
        <f t="shared" si="1"/>
        <v>11378.16079</v>
      </c>
      <c r="F312" s="6">
        <f t="shared" si="4"/>
        <v>1373509.685</v>
      </c>
      <c r="G312" s="6">
        <f t="shared" si="5"/>
        <v>2156990.315</v>
      </c>
      <c r="H312" s="6">
        <f t="shared" si="6"/>
        <v>3530500</v>
      </c>
      <c r="I312" s="6">
        <f t="shared" si="7"/>
        <v>4777.31517</v>
      </c>
      <c r="J312" s="610">
        <v>9.05</v>
      </c>
      <c r="K312" s="591"/>
      <c r="L312" s="6"/>
      <c r="M312" s="9"/>
      <c r="N312" s="79"/>
      <c r="O312" s="6"/>
      <c r="P312" s="6"/>
      <c r="Q312" s="6"/>
      <c r="R312" s="6"/>
      <c r="S312" s="6"/>
      <c r="T312" s="622"/>
      <c r="U312" s="6"/>
      <c r="V312" s="6"/>
      <c r="W312" s="6"/>
      <c r="X312" s="6"/>
      <c r="Y312" s="6"/>
    </row>
    <row r="313" ht="11.25" customHeight="1">
      <c r="A313" s="7"/>
      <c r="B313" s="68">
        <f t="shared" si="8"/>
        <v>308</v>
      </c>
      <c r="C313" s="607">
        <v>11500.0</v>
      </c>
      <c r="D313" s="6">
        <f t="shared" si="9"/>
        <v>36.02891858</v>
      </c>
      <c r="E313" s="6">
        <f t="shared" si="1"/>
        <v>11463.97108</v>
      </c>
      <c r="F313" s="6">
        <f t="shared" si="4"/>
        <v>1384973.656</v>
      </c>
      <c r="G313" s="6">
        <f t="shared" si="5"/>
        <v>2157026.344</v>
      </c>
      <c r="H313" s="6">
        <f t="shared" si="6"/>
        <v>3542000</v>
      </c>
      <c r="I313" s="6">
        <f t="shared" si="7"/>
        <v>-6686.655911</v>
      </c>
      <c r="J313" s="610">
        <v>9.05</v>
      </c>
      <c r="K313" s="591"/>
      <c r="L313" s="6"/>
      <c r="M313" s="9"/>
      <c r="N313" s="79"/>
      <c r="O313" s="6"/>
      <c r="P313" s="6"/>
      <c r="Q313" s="6"/>
      <c r="R313" s="6"/>
      <c r="S313" s="6"/>
      <c r="T313" s="622"/>
      <c r="U313" s="6"/>
      <c r="V313" s="6"/>
      <c r="W313" s="6"/>
      <c r="X313" s="6"/>
      <c r="Y313" s="6"/>
    </row>
    <row r="314" ht="11.25" customHeight="1">
      <c r="A314" s="7"/>
      <c r="B314" s="68">
        <f t="shared" si="8"/>
        <v>309</v>
      </c>
      <c r="C314" s="607">
        <v>11500.0</v>
      </c>
      <c r="D314" s="6">
        <f t="shared" si="9"/>
        <v>-50.42853</v>
      </c>
      <c r="E314" s="6">
        <f t="shared" si="1"/>
        <v>11550.42853</v>
      </c>
      <c r="F314" s="6">
        <f t="shared" si="4"/>
        <v>1396524.084</v>
      </c>
      <c r="G314" s="6">
        <f t="shared" si="5"/>
        <v>2156975.916</v>
      </c>
      <c r="H314" s="6">
        <f t="shared" si="6"/>
        <v>3553500</v>
      </c>
      <c r="I314" s="6">
        <f t="shared" si="7"/>
        <v>-18237.08444</v>
      </c>
      <c r="J314" s="610">
        <v>9.05</v>
      </c>
      <c r="K314" s="591"/>
      <c r="L314" s="6"/>
      <c r="M314" s="9"/>
      <c r="N314" s="79"/>
      <c r="O314" s="6"/>
      <c r="P314" s="6"/>
      <c r="Q314" s="6"/>
      <c r="R314" s="6"/>
      <c r="S314" s="6"/>
      <c r="T314" s="622"/>
      <c r="U314" s="6"/>
      <c r="V314" s="6"/>
      <c r="W314" s="6"/>
      <c r="X314" s="6"/>
      <c r="Y314" s="6"/>
    </row>
    <row r="315" ht="11.25" customHeight="1">
      <c r="A315" s="7"/>
      <c r="B315" s="68">
        <f t="shared" si="8"/>
        <v>310</v>
      </c>
      <c r="C315" s="607">
        <v>11500.0</v>
      </c>
      <c r="D315" s="6">
        <f t="shared" si="9"/>
        <v>-137.5380118</v>
      </c>
      <c r="E315" s="6">
        <f t="shared" si="1"/>
        <v>11637.53801</v>
      </c>
      <c r="F315" s="6">
        <f t="shared" si="4"/>
        <v>1408161.622</v>
      </c>
      <c r="G315" s="6">
        <f t="shared" si="5"/>
        <v>2156838.378</v>
      </c>
      <c r="H315" s="6">
        <f t="shared" si="6"/>
        <v>3565000</v>
      </c>
      <c r="I315" s="6">
        <f t="shared" si="7"/>
        <v>-29874.62245</v>
      </c>
      <c r="J315" s="610">
        <v>9.05</v>
      </c>
      <c r="K315" s="591"/>
      <c r="L315" s="6"/>
      <c r="M315" s="9"/>
      <c r="N315" s="79"/>
      <c r="O315" s="6"/>
      <c r="P315" s="6"/>
      <c r="Q315" s="6"/>
      <c r="R315" s="6"/>
      <c r="S315" s="6"/>
      <c r="T315" s="622"/>
      <c r="U315" s="6"/>
      <c r="V315" s="6"/>
      <c r="W315" s="6"/>
      <c r="X315" s="6"/>
      <c r="Y315" s="6"/>
    </row>
    <row r="316" ht="11.25" customHeight="1">
      <c r="A316" s="7"/>
      <c r="B316" s="68">
        <f t="shared" si="8"/>
        <v>311</v>
      </c>
      <c r="C316" s="607">
        <v>11500.0</v>
      </c>
      <c r="D316" s="6">
        <f t="shared" si="9"/>
        <v>-225.3044443</v>
      </c>
      <c r="E316" s="6">
        <f t="shared" si="1"/>
        <v>11725.30444</v>
      </c>
      <c r="F316" s="6">
        <f t="shared" si="4"/>
        <v>1419886.927</v>
      </c>
      <c r="G316" s="6">
        <f t="shared" si="5"/>
        <v>2156613.073</v>
      </c>
      <c r="H316" s="6">
        <f t="shared" si="6"/>
        <v>3576500</v>
      </c>
      <c r="I316" s="6">
        <f t="shared" si="7"/>
        <v>-41599.9269</v>
      </c>
      <c r="J316" s="610">
        <v>9.05</v>
      </c>
      <c r="K316" s="591"/>
      <c r="L316" s="6"/>
      <c r="M316" s="9"/>
      <c r="N316" s="79"/>
      <c r="O316" s="6"/>
      <c r="P316" s="6"/>
      <c r="Q316" s="6"/>
      <c r="R316" s="6"/>
      <c r="S316" s="6"/>
      <c r="T316" s="622"/>
      <c r="U316" s="6"/>
      <c r="V316" s="6"/>
      <c r="W316" s="6"/>
      <c r="X316" s="6"/>
      <c r="Y316" s="6"/>
    </row>
    <row r="317" ht="11.25" customHeight="1">
      <c r="A317" s="71"/>
      <c r="B317" s="72">
        <f t="shared" si="8"/>
        <v>312</v>
      </c>
      <c r="C317" s="607">
        <v>11500.0</v>
      </c>
      <c r="D317" s="10">
        <f t="shared" si="9"/>
        <v>-313.732782</v>
      </c>
      <c r="E317" s="10">
        <f t="shared" si="1"/>
        <v>11813.73278</v>
      </c>
      <c r="F317" s="10">
        <f t="shared" si="4"/>
        <v>1431700.66</v>
      </c>
      <c r="G317" s="10">
        <f t="shared" si="5"/>
        <v>2156299.34</v>
      </c>
      <c r="H317" s="10">
        <f t="shared" si="6"/>
        <v>3588000</v>
      </c>
      <c r="I317" s="10">
        <f t="shared" si="7"/>
        <v>-53413.65968</v>
      </c>
      <c r="J317" s="610">
        <v>9.05</v>
      </c>
      <c r="K317" s="591"/>
      <c r="L317" s="6"/>
      <c r="M317" s="9"/>
      <c r="N317" s="79"/>
      <c r="O317" s="6"/>
      <c r="P317" s="6"/>
      <c r="Q317" s="6"/>
      <c r="R317" s="6"/>
      <c r="S317" s="6"/>
      <c r="T317" s="622"/>
      <c r="U317" s="6"/>
      <c r="V317" s="6"/>
      <c r="W317" s="6"/>
      <c r="X317" s="6"/>
      <c r="Y317" s="6"/>
    </row>
    <row r="318" ht="11.25" customHeight="1">
      <c r="A318" s="100">
        <v>27.0</v>
      </c>
      <c r="B318" s="66">
        <f t="shared" si="8"/>
        <v>313</v>
      </c>
      <c r="C318" s="607">
        <v>11500.0</v>
      </c>
      <c r="D318" s="617">
        <f t="shared" si="9"/>
        <v>-402.8280167</v>
      </c>
      <c r="E318" s="617">
        <f t="shared" si="1"/>
        <v>11902.82802</v>
      </c>
      <c r="F318" s="617">
        <f t="shared" si="4"/>
        <v>1443603.488</v>
      </c>
      <c r="G318" s="617">
        <f t="shared" si="5"/>
        <v>2155896.512</v>
      </c>
      <c r="H318" s="617">
        <f t="shared" si="6"/>
        <v>3599500</v>
      </c>
      <c r="I318" s="617">
        <f t="shared" si="7"/>
        <v>-65316.4877</v>
      </c>
      <c r="J318" s="610">
        <v>9.05</v>
      </c>
      <c r="K318" s="591"/>
      <c r="L318" s="6"/>
      <c r="M318" s="9"/>
      <c r="N318" s="79"/>
      <c r="O318" s="6"/>
      <c r="P318" s="6"/>
      <c r="Q318" s="6"/>
      <c r="R318" s="6"/>
      <c r="S318" s="6"/>
      <c r="T318" s="622"/>
      <c r="U318" s="6"/>
      <c r="V318" s="6"/>
      <c r="W318" s="6"/>
      <c r="X318" s="6"/>
      <c r="Y318" s="6"/>
    </row>
    <row r="319" ht="11.25" customHeight="1">
      <c r="A319" s="7"/>
      <c r="B319" s="68">
        <f t="shared" si="8"/>
        <v>314</v>
      </c>
      <c r="C319" s="607">
        <v>11500.0</v>
      </c>
      <c r="D319" s="6">
        <f t="shared" si="9"/>
        <v>-492.595178</v>
      </c>
      <c r="E319" s="6">
        <f t="shared" si="1"/>
        <v>11992.59518</v>
      </c>
      <c r="F319" s="6">
        <f t="shared" si="4"/>
        <v>1455596.083</v>
      </c>
      <c r="G319" s="6">
        <f t="shared" si="5"/>
        <v>2155403.917</v>
      </c>
      <c r="H319" s="6">
        <f t="shared" si="6"/>
        <v>3611000</v>
      </c>
      <c r="I319" s="6">
        <f t="shared" si="7"/>
        <v>-77309.08287</v>
      </c>
      <c r="J319" s="610">
        <v>9.05</v>
      </c>
      <c r="K319" s="591"/>
      <c r="L319" s="6"/>
      <c r="M319" s="9"/>
      <c r="N319" s="79"/>
      <c r="O319" s="6"/>
      <c r="P319" s="6"/>
      <c r="Q319" s="6"/>
      <c r="R319" s="6"/>
      <c r="S319" s="6"/>
      <c r="T319" s="622"/>
      <c r="U319" s="6"/>
      <c r="V319" s="6"/>
      <c r="W319" s="6"/>
      <c r="X319" s="6"/>
      <c r="Y319" s="6"/>
    </row>
    <row r="320" ht="11.25" customHeight="1">
      <c r="A320" s="7"/>
      <c r="B320" s="68">
        <f t="shared" si="8"/>
        <v>315</v>
      </c>
      <c r="C320" s="607">
        <v>11500.0</v>
      </c>
      <c r="D320" s="6">
        <f t="shared" si="9"/>
        <v>-583.0393333</v>
      </c>
      <c r="E320" s="6">
        <f t="shared" si="1"/>
        <v>12083.03933</v>
      </c>
      <c r="F320" s="6">
        <f t="shared" si="4"/>
        <v>1467679.122</v>
      </c>
      <c r="G320" s="6">
        <f t="shared" si="5"/>
        <v>2154820.878</v>
      </c>
      <c r="H320" s="6">
        <f t="shared" si="6"/>
        <v>3622500</v>
      </c>
      <c r="I320" s="6">
        <f t="shared" si="7"/>
        <v>-89392.12221</v>
      </c>
      <c r="J320" s="610">
        <v>9.05</v>
      </c>
      <c r="K320" s="591"/>
      <c r="L320" s="6"/>
      <c r="M320" s="9"/>
      <c r="N320" s="79"/>
      <c r="O320" s="6"/>
      <c r="P320" s="6"/>
      <c r="Q320" s="6"/>
      <c r="R320" s="6"/>
      <c r="S320" s="6"/>
      <c r="T320" s="622"/>
      <c r="U320" s="6"/>
      <c r="V320" s="6"/>
      <c r="W320" s="6"/>
      <c r="X320" s="6"/>
      <c r="Y320" s="6"/>
    </row>
    <row r="321" ht="11.25" customHeight="1">
      <c r="A321" s="7"/>
      <c r="B321" s="68">
        <f t="shared" si="8"/>
        <v>316</v>
      </c>
      <c r="C321" s="607">
        <v>11500.0</v>
      </c>
      <c r="D321" s="6">
        <f t="shared" si="9"/>
        <v>-674.1655883</v>
      </c>
      <c r="E321" s="6">
        <f t="shared" si="1"/>
        <v>12174.16559</v>
      </c>
      <c r="F321" s="6">
        <f t="shared" si="4"/>
        <v>1479853.288</v>
      </c>
      <c r="G321" s="6">
        <f t="shared" si="5"/>
        <v>2154146.712</v>
      </c>
      <c r="H321" s="6">
        <f t="shared" si="6"/>
        <v>3634000</v>
      </c>
      <c r="I321" s="6">
        <f t="shared" si="7"/>
        <v>-101566.2878</v>
      </c>
      <c r="J321" s="610">
        <v>9.05</v>
      </c>
      <c r="K321" s="591"/>
      <c r="L321" s="6"/>
      <c r="M321" s="9"/>
      <c r="N321" s="79"/>
      <c r="O321" s="6"/>
      <c r="P321" s="6"/>
      <c r="Q321" s="6"/>
      <c r="R321" s="6"/>
      <c r="S321" s="6"/>
      <c r="T321" s="622"/>
      <c r="U321" s="6"/>
      <c r="V321" s="6"/>
      <c r="W321" s="6"/>
      <c r="X321" s="6"/>
      <c r="Y321" s="6"/>
    </row>
    <row r="322" ht="11.25" customHeight="1">
      <c r="A322" s="7"/>
      <c r="B322" s="68">
        <f t="shared" si="8"/>
        <v>317</v>
      </c>
      <c r="C322" s="607">
        <v>11500.0</v>
      </c>
      <c r="D322" s="6">
        <f t="shared" si="9"/>
        <v>-765.9790871</v>
      </c>
      <c r="E322" s="6">
        <f t="shared" si="1"/>
        <v>12265.97909</v>
      </c>
      <c r="F322" s="6">
        <f t="shared" si="4"/>
        <v>1492119.267</v>
      </c>
      <c r="G322" s="6">
        <f t="shared" si="5"/>
        <v>2153380.733</v>
      </c>
      <c r="H322" s="6">
        <f t="shared" si="6"/>
        <v>3645500</v>
      </c>
      <c r="I322" s="6">
        <f t="shared" si="7"/>
        <v>-113832.2669</v>
      </c>
      <c r="J322" s="610">
        <v>9.05</v>
      </c>
      <c r="K322" s="591"/>
      <c r="L322" s="6"/>
      <c r="M322" s="9"/>
      <c r="N322" s="79"/>
      <c r="O322" s="6"/>
      <c r="P322" s="6"/>
      <c r="Q322" s="6"/>
      <c r="R322" s="6"/>
      <c r="S322" s="6"/>
      <c r="T322" s="622"/>
      <c r="U322" s="6"/>
      <c r="V322" s="6"/>
      <c r="W322" s="6"/>
      <c r="X322" s="6"/>
      <c r="Y322" s="6"/>
    </row>
    <row r="323" ht="11.25" customHeight="1">
      <c r="A323" s="7"/>
      <c r="B323" s="68">
        <f t="shared" si="8"/>
        <v>318</v>
      </c>
      <c r="C323" s="607">
        <v>11500.0</v>
      </c>
      <c r="D323" s="6">
        <f t="shared" si="9"/>
        <v>-858.4850127</v>
      </c>
      <c r="E323" s="6">
        <f t="shared" si="1"/>
        <v>12358.48501</v>
      </c>
      <c r="F323" s="6">
        <f t="shared" si="4"/>
        <v>1504477.752</v>
      </c>
      <c r="G323" s="6">
        <f t="shared" si="5"/>
        <v>2152522.248</v>
      </c>
      <c r="H323" s="6">
        <f t="shared" si="6"/>
        <v>3657000</v>
      </c>
      <c r="I323" s="6">
        <f t="shared" si="7"/>
        <v>-126190.7519</v>
      </c>
      <c r="J323" s="610">
        <v>9.05</v>
      </c>
      <c r="K323" s="591"/>
      <c r="L323" s="6"/>
      <c r="M323" s="9"/>
      <c r="N323" s="79"/>
      <c r="O323" s="6"/>
      <c r="P323" s="6"/>
      <c r="Q323" s="6"/>
      <c r="R323" s="6"/>
      <c r="S323" s="6"/>
      <c r="T323" s="622"/>
      <c r="U323" s="6"/>
      <c r="V323" s="6"/>
      <c r="W323" s="6"/>
      <c r="X323" s="6"/>
      <c r="Y323" s="6"/>
    </row>
    <row r="324" ht="11.25" customHeight="1">
      <c r="A324" s="7"/>
      <c r="B324" s="68">
        <f t="shared" si="8"/>
        <v>319</v>
      </c>
      <c r="C324" s="607">
        <v>11500.0</v>
      </c>
      <c r="D324" s="6">
        <f t="shared" si="9"/>
        <v>-951.6885872</v>
      </c>
      <c r="E324" s="6">
        <f t="shared" si="1"/>
        <v>12451.68859</v>
      </c>
      <c r="F324" s="6">
        <f t="shared" si="4"/>
        <v>1516929.44</v>
      </c>
      <c r="G324" s="6">
        <f t="shared" si="5"/>
        <v>2151570.56</v>
      </c>
      <c r="H324" s="6">
        <f t="shared" si="6"/>
        <v>3668500</v>
      </c>
      <c r="I324" s="6">
        <f t="shared" si="7"/>
        <v>-138642.4405</v>
      </c>
      <c r="J324" s="610">
        <v>9.05</v>
      </c>
      <c r="K324" s="591"/>
      <c r="L324" s="6"/>
      <c r="M324" s="9"/>
      <c r="N324" s="79"/>
      <c r="O324" s="6"/>
      <c r="P324" s="6"/>
      <c r="Q324" s="6"/>
      <c r="R324" s="6"/>
      <c r="S324" s="6"/>
      <c r="T324" s="622"/>
      <c r="U324" s="6"/>
      <c r="V324" s="6"/>
      <c r="W324" s="6"/>
      <c r="X324" s="6"/>
      <c r="Y324" s="6"/>
    </row>
    <row r="325" ht="11.25" customHeight="1">
      <c r="A325" s="7"/>
      <c r="B325" s="68">
        <f t="shared" si="8"/>
        <v>320</v>
      </c>
      <c r="C325" s="607">
        <v>11500.0</v>
      </c>
      <c r="D325" s="6">
        <f t="shared" si="9"/>
        <v>-1045.595072</v>
      </c>
      <c r="E325" s="6">
        <f t="shared" si="1"/>
        <v>12545.59507</v>
      </c>
      <c r="F325" s="6">
        <f t="shared" si="4"/>
        <v>1529475.036</v>
      </c>
      <c r="G325" s="6">
        <f t="shared" si="5"/>
        <v>2150524.964</v>
      </c>
      <c r="H325" s="6">
        <f t="shared" si="6"/>
        <v>3680000</v>
      </c>
      <c r="I325" s="6">
        <f t="shared" si="7"/>
        <v>-151188.0356</v>
      </c>
      <c r="J325" s="610">
        <v>9.05</v>
      </c>
      <c r="K325" s="591"/>
      <c r="L325" s="6"/>
      <c r="M325" s="9"/>
      <c r="N325" s="79"/>
      <c r="O325" s="6"/>
      <c r="P325" s="6"/>
      <c r="Q325" s="6"/>
      <c r="R325" s="6"/>
      <c r="S325" s="6"/>
      <c r="T325" s="622"/>
      <c r="U325" s="6"/>
      <c r="V325" s="6"/>
      <c r="W325" s="6"/>
      <c r="X325" s="6"/>
      <c r="Y325" s="6"/>
    </row>
    <row r="326" ht="11.25" customHeight="1">
      <c r="A326" s="7"/>
      <c r="B326" s="68">
        <f t="shared" si="8"/>
        <v>321</v>
      </c>
      <c r="C326" s="607">
        <v>11500.0</v>
      </c>
      <c r="D326" s="6">
        <f t="shared" si="9"/>
        <v>-1140.209768</v>
      </c>
      <c r="E326" s="6">
        <f t="shared" si="1"/>
        <v>12640.20977</v>
      </c>
      <c r="F326" s="6">
        <f t="shared" si="4"/>
        <v>1542115.245</v>
      </c>
      <c r="G326" s="6">
        <f t="shared" si="5"/>
        <v>2149384.755</v>
      </c>
      <c r="H326" s="6">
        <f t="shared" si="6"/>
        <v>3691500</v>
      </c>
      <c r="I326" s="6">
        <f t="shared" si="7"/>
        <v>-163828.2453</v>
      </c>
      <c r="J326" s="610">
        <v>9.05</v>
      </c>
      <c r="K326" s="591"/>
      <c r="L326" s="6"/>
      <c r="M326" s="9"/>
      <c r="N326" s="79"/>
      <c r="O326" s="6"/>
      <c r="P326" s="6"/>
      <c r="Q326" s="6"/>
      <c r="R326" s="6"/>
      <c r="S326" s="6"/>
      <c r="T326" s="622"/>
      <c r="U326" s="6"/>
      <c r="V326" s="6"/>
      <c r="W326" s="6"/>
      <c r="X326" s="6"/>
      <c r="Y326" s="6"/>
    </row>
    <row r="327" ht="11.25" customHeight="1">
      <c r="A327" s="7"/>
      <c r="B327" s="68">
        <f t="shared" si="8"/>
        <v>322</v>
      </c>
      <c r="C327" s="607">
        <v>11500.0</v>
      </c>
      <c r="D327" s="6">
        <f t="shared" si="9"/>
        <v>-1235.538017</v>
      </c>
      <c r="E327" s="6">
        <f t="shared" si="1"/>
        <v>12735.53802</v>
      </c>
      <c r="F327" s="6">
        <f t="shared" si="4"/>
        <v>1554850.783</v>
      </c>
      <c r="G327" s="6">
        <f t="shared" si="5"/>
        <v>2148149.217</v>
      </c>
      <c r="H327" s="6">
        <f t="shared" si="6"/>
        <v>3703000</v>
      </c>
      <c r="I327" s="6">
        <f t="shared" si="7"/>
        <v>-176563.7833</v>
      </c>
      <c r="J327" s="610">
        <v>9.05</v>
      </c>
      <c r="K327" s="591"/>
      <c r="L327" s="6"/>
      <c r="M327" s="9"/>
      <c r="N327" s="79"/>
      <c r="O327" s="6"/>
      <c r="P327" s="6"/>
      <c r="Q327" s="6"/>
      <c r="R327" s="6"/>
      <c r="S327" s="6"/>
      <c r="T327" s="622"/>
      <c r="U327" s="6"/>
      <c r="V327" s="6"/>
      <c r="W327" s="6"/>
      <c r="X327" s="6"/>
      <c r="Y327" s="6"/>
    </row>
    <row r="328" ht="11.25" customHeight="1">
      <c r="A328" s="7"/>
      <c r="B328" s="68">
        <f t="shared" si="8"/>
        <v>323</v>
      </c>
      <c r="C328" s="607">
        <v>11500.0</v>
      </c>
      <c r="D328" s="6">
        <f t="shared" si="9"/>
        <v>-1331.585199</v>
      </c>
      <c r="E328" s="6">
        <f t="shared" si="1"/>
        <v>12831.5852</v>
      </c>
      <c r="F328" s="6">
        <f t="shared" si="4"/>
        <v>1567682.369</v>
      </c>
      <c r="G328" s="6">
        <f t="shared" si="5"/>
        <v>2146817.631</v>
      </c>
      <c r="H328" s="6">
        <f t="shared" si="6"/>
        <v>3714500</v>
      </c>
      <c r="I328" s="6">
        <f t="shared" si="7"/>
        <v>-189395.3685</v>
      </c>
      <c r="J328" s="610">
        <v>9.05</v>
      </c>
      <c r="K328" s="591"/>
      <c r="L328" s="6"/>
      <c r="M328" s="9"/>
      <c r="N328" s="79"/>
      <c r="O328" s="6"/>
      <c r="P328" s="6"/>
      <c r="Q328" s="6"/>
      <c r="R328" s="6"/>
      <c r="S328" s="6"/>
      <c r="T328" s="622"/>
      <c r="U328" s="6"/>
      <c r="V328" s="6"/>
      <c r="W328" s="6"/>
      <c r="X328" s="6"/>
      <c r="Y328" s="6"/>
    </row>
    <row r="329" ht="11.25" customHeight="1">
      <c r="A329" s="71"/>
      <c r="B329" s="72">
        <f t="shared" si="8"/>
        <v>324</v>
      </c>
      <c r="C329" s="607">
        <v>11500.0</v>
      </c>
      <c r="D329" s="10">
        <f t="shared" si="9"/>
        <v>-1428.356738</v>
      </c>
      <c r="E329" s="10">
        <f t="shared" si="1"/>
        <v>12928.35674</v>
      </c>
      <c r="F329" s="10">
        <f t="shared" si="4"/>
        <v>1580610.725</v>
      </c>
      <c r="G329" s="10">
        <f t="shared" si="5"/>
        <v>2145389.275</v>
      </c>
      <c r="H329" s="10">
        <f t="shared" si="6"/>
        <v>3726000</v>
      </c>
      <c r="I329" s="10">
        <f t="shared" si="7"/>
        <v>-202323.7253</v>
      </c>
      <c r="J329" s="610">
        <v>9.05</v>
      </c>
      <c r="K329" s="591"/>
      <c r="L329" s="6"/>
      <c r="M329" s="9"/>
      <c r="N329" s="79"/>
      <c r="O329" s="6"/>
      <c r="P329" s="6"/>
      <c r="Q329" s="6"/>
      <c r="R329" s="6"/>
      <c r="S329" s="6"/>
      <c r="T329" s="622"/>
      <c r="U329" s="6"/>
      <c r="V329" s="6"/>
      <c r="W329" s="6"/>
      <c r="X329" s="6"/>
      <c r="Y329" s="6"/>
    </row>
    <row r="330" ht="11.25" customHeight="1">
      <c r="A330" s="100">
        <v>28.0</v>
      </c>
      <c r="B330" s="66">
        <f t="shared" si="8"/>
        <v>325</v>
      </c>
      <c r="C330" s="607">
        <v>11500.0</v>
      </c>
      <c r="D330" s="617">
        <f t="shared" si="9"/>
        <v>-1525.858095</v>
      </c>
      <c r="E330" s="617">
        <f t="shared" si="1"/>
        <v>13025.85809</v>
      </c>
      <c r="F330" s="617">
        <f t="shared" si="4"/>
        <v>1593636.583</v>
      </c>
      <c r="G330" s="617">
        <f t="shared" si="5"/>
        <v>2143863.417</v>
      </c>
      <c r="H330" s="617">
        <f t="shared" si="6"/>
        <v>3737500</v>
      </c>
      <c r="I330" s="617">
        <f t="shared" si="7"/>
        <v>-215349.5834</v>
      </c>
      <c r="J330" s="610">
        <v>9.05</v>
      </c>
      <c r="K330" s="591"/>
      <c r="L330" s="6"/>
      <c r="M330" s="9"/>
      <c r="N330" s="79"/>
      <c r="O330" s="6"/>
      <c r="P330" s="6"/>
      <c r="Q330" s="6"/>
      <c r="R330" s="6"/>
      <c r="S330" s="6"/>
      <c r="T330" s="622"/>
      <c r="U330" s="6"/>
      <c r="V330" s="6"/>
      <c r="W330" s="6"/>
      <c r="X330" s="6"/>
      <c r="Y330" s="6"/>
    </row>
    <row r="331" ht="11.25" customHeight="1">
      <c r="A331" s="7"/>
      <c r="B331" s="68">
        <f t="shared" si="8"/>
        <v>326</v>
      </c>
      <c r="C331" s="607">
        <v>11500.0</v>
      </c>
      <c r="D331" s="6">
        <f t="shared" si="9"/>
        <v>-1624.094775</v>
      </c>
      <c r="E331" s="6">
        <f t="shared" si="1"/>
        <v>13124.09477</v>
      </c>
      <c r="F331" s="6">
        <f t="shared" si="4"/>
        <v>1606760.678</v>
      </c>
      <c r="G331" s="6">
        <f t="shared" si="5"/>
        <v>2142239.322</v>
      </c>
      <c r="H331" s="6">
        <f t="shared" si="6"/>
        <v>3749000</v>
      </c>
      <c r="I331" s="6">
        <f t="shared" si="7"/>
        <v>-228473.6781</v>
      </c>
      <c r="J331" s="610">
        <v>9.05</v>
      </c>
      <c r="K331" s="591"/>
      <c r="L331" s="6"/>
      <c r="M331" s="9"/>
      <c r="N331" s="79"/>
      <c r="O331" s="6"/>
      <c r="P331" s="6"/>
      <c r="Q331" s="6"/>
      <c r="R331" s="6"/>
      <c r="S331" s="6"/>
      <c r="T331" s="622"/>
      <c r="U331" s="6"/>
      <c r="V331" s="6"/>
      <c r="W331" s="6"/>
      <c r="X331" s="6"/>
      <c r="Y331" s="6"/>
    </row>
    <row r="332" ht="11.25" customHeight="1">
      <c r="A332" s="7"/>
      <c r="B332" s="68">
        <f t="shared" si="8"/>
        <v>327</v>
      </c>
      <c r="C332" s="607">
        <v>11500.0</v>
      </c>
      <c r="D332" s="6">
        <f t="shared" si="9"/>
        <v>-1723.072323</v>
      </c>
      <c r="E332" s="6">
        <f t="shared" si="1"/>
        <v>13223.07232</v>
      </c>
      <c r="F332" s="6">
        <f t="shared" si="4"/>
        <v>1619983.75</v>
      </c>
      <c r="G332" s="6">
        <f t="shared" si="5"/>
        <v>2140516.25</v>
      </c>
      <c r="H332" s="6">
        <f t="shared" si="6"/>
        <v>3760500</v>
      </c>
      <c r="I332" s="6">
        <f t="shared" si="7"/>
        <v>-241696.7505</v>
      </c>
      <c r="J332" s="610">
        <v>9.05</v>
      </c>
      <c r="K332" s="591"/>
      <c r="L332" s="6"/>
      <c r="M332" s="9"/>
      <c r="N332" s="79"/>
      <c r="O332" s="6"/>
      <c r="P332" s="6"/>
      <c r="Q332" s="6"/>
      <c r="R332" s="6"/>
      <c r="S332" s="6"/>
      <c r="T332" s="622"/>
      <c r="U332" s="6"/>
      <c r="V332" s="6"/>
      <c r="W332" s="6"/>
      <c r="X332" s="6"/>
      <c r="Y332" s="6"/>
    </row>
    <row r="333" ht="11.25" customHeight="1">
      <c r="A333" s="7"/>
      <c r="B333" s="68">
        <f t="shared" si="8"/>
        <v>328</v>
      </c>
      <c r="C333" s="607">
        <v>11500.0</v>
      </c>
      <c r="D333" s="6">
        <f t="shared" si="9"/>
        <v>-1822.796326</v>
      </c>
      <c r="E333" s="6">
        <f t="shared" si="1"/>
        <v>13322.79633</v>
      </c>
      <c r="F333" s="6">
        <f t="shared" si="4"/>
        <v>1633306.547</v>
      </c>
      <c r="G333" s="6">
        <f t="shared" si="5"/>
        <v>2138693.453</v>
      </c>
      <c r="H333" s="6">
        <f t="shared" si="6"/>
        <v>3772000</v>
      </c>
      <c r="I333" s="6">
        <f t="shared" si="7"/>
        <v>-255019.5468</v>
      </c>
      <c r="J333" s="610">
        <v>9.05</v>
      </c>
      <c r="K333" s="591"/>
      <c r="L333" s="6"/>
      <c r="M333" s="9"/>
      <c r="N333" s="79"/>
      <c r="O333" s="6"/>
      <c r="P333" s="6"/>
      <c r="Q333" s="6"/>
      <c r="R333" s="6"/>
      <c r="S333" s="6"/>
      <c r="T333" s="622"/>
      <c r="U333" s="6"/>
      <c r="V333" s="6"/>
      <c r="W333" s="6"/>
      <c r="X333" s="6"/>
      <c r="Y333" s="6"/>
    </row>
    <row r="334" ht="11.25" customHeight="1">
      <c r="A334" s="7"/>
      <c r="B334" s="68">
        <f t="shared" si="8"/>
        <v>329</v>
      </c>
      <c r="C334" s="607">
        <v>11500.0</v>
      </c>
      <c r="D334" s="6">
        <f t="shared" si="9"/>
        <v>-1923.272415</v>
      </c>
      <c r="E334" s="6">
        <f t="shared" si="1"/>
        <v>13423.27242</v>
      </c>
      <c r="F334" s="6">
        <f t="shared" si="4"/>
        <v>1646729.819</v>
      </c>
      <c r="G334" s="6">
        <f t="shared" si="5"/>
        <v>2136770.181</v>
      </c>
      <c r="H334" s="6">
        <f t="shared" si="6"/>
        <v>3783500</v>
      </c>
      <c r="I334" s="6">
        <f t="shared" si="7"/>
        <v>-268442.8192</v>
      </c>
      <c r="J334" s="610">
        <v>9.05</v>
      </c>
      <c r="K334" s="591"/>
      <c r="L334" s="6"/>
      <c r="M334" s="9"/>
      <c r="N334" s="79"/>
      <c r="O334" s="6"/>
      <c r="P334" s="6"/>
      <c r="Q334" s="6"/>
      <c r="R334" s="6"/>
      <c r="S334" s="6"/>
      <c r="T334" s="622"/>
      <c r="U334" s="6"/>
      <c r="V334" s="6"/>
      <c r="W334" s="6"/>
      <c r="X334" s="6"/>
      <c r="Y334" s="6"/>
    </row>
    <row r="335" ht="11.25" customHeight="1">
      <c r="A335" s="7"/>
      <c r="B335" s="68">
        <f t="shared" si="8"/>
        <v>330</v>
      </c>
      <c r="C335" s="607">
        <v>11500.0</v>
      </c>
      <c r="D335" s="6">
        <f t="shared" si="9"/>
        <v>-2024.506262</v>
      </c>
      <c r="E335" s="6">
        <f t="shared" si="1"/>
        <v>13524.50626</v>
      </c>
      <c r="F335" s="6">
        <f t="shared" si="4"/>
        <v>1660254.325</v>
      </c>
      <c r="G335" s="6">
        <f t="shared" si="5"/>
        <v>2134745.675</v>
      </c>
      <c r="H335" s="6">
        <f t="shared" si="6"/>
        <v>3795000</v>
      </c>
      <c r="I335" s="6">
        <f t="shared" si="7"/>
        <v>-281967.3255</v>
      </c>
      <c r="J335" s="610">
        <v>9.05</v>
      </c>
      <c r="K335" s="591"/>
      <c r="L335" s="6"/>
      <c r="M335" s="9"/>
      <c r="N335" s="79"/>
      <c r="O335" s="6"/>
      <c r="P335" s="6"/>
      <c r="Q335" s="6"/>
      <c r="R335" s="6"/>
      <c r="S335" s="6"/>
      <c r="T335" s="622"/>
      <c r="U335" s="6"/>
      <c r="V335" s="6"/>
      <c r="W335" s="6"/>
      <c r="X335" s="6"/>
      <c r="Y335" s="6"/>
    </row>
    <row r="336" ht="11.25" customHeight="1">
      <c r="A336" s="7"/>
      <c r="B336" s="68">
        <f t="shared" si="8"/>
        <v>331</v>
      </c>
      <c r="C336" s="607">
        <v>11500.0</v>
      </c>
      <c r="D336" s="6">
        <f t="shared" si="9"/>
        <v>-2126.50358</v>
      </c>
      <c r="E336" s="6">
        <f t="shared" si="1"/>
        <v>13626.50358</v>
      </c>
      <c r="F336" s="6">
        <f t="shared" si="4"/>
        <v>1673880.829</v>
      </c>
      <c r="G336" s="6">
        <f t="shared" si="5"/>
        <v>2132619.171</v>
      </c>
      <c r="H336" s="6">
        <f t="shared" si="6"/>
        <v>3806500</v>
      </c>
      <c r="I336" s="6">
        <f t="shared" si="7"/>
        <v>-295593.8291</v>
      </c>
      <c r="J336" s="610">
        <v>9.05</v>
      </c>
      <c r="K336" s="591"/>
      <c r="L336" s="6"/>
      <c r="M336" s="9"/>
      <c r="N336" s="79"/>
      <c r="O336" s="6"/>
      <c r="P336" s="6"/>
      <c r="Q336" s="6"/>
      <c r="R336" s="6"/>
      <c r="S336" s="6"/>
      <c r="T336" s="622"/>
      <c r="U336" s="6"/>
      <c r="V336" s="6"/>
      <c r="W336" s="6"/>
      <c r="X336" s="6"/>
      <c r="Y336" s="6"/>
    </row>
    <row r="337" ht="11.25" customHeight="1">
      <c r="A337" s="7"/>
      <c r="B337" s="68">
        <f t="shared" si="8"/>
        <v>332</v>
      </c>
      <c r="C337" s="607">
        <v>11500.0</v>
      </c>
      <c r="D337" s="6">
        <f t="shared" si="9"/>
        <v>-2229.270127</v>
      </c>
      <c r="E337" s="6">
        <f t="shared" si="1"/>
        <v>13729.27013</v>
      </c>
      <c r="F337" s="6">
        <f t="shared" si="4"/>
        <v>1687610.099</v>
      </c>
      <c r="G337" s="6">
        <f t="shared" si="5"/>
        <v>2130389.901</v>
      </c>
      <c r="H337" s="6">
        <f t="shared" si="6"/>
        <v>3818000</v>
      </c>
      <c r="I337" s="6">
        <f t="shared" si="7"/>
        <v>-309323.0992</v>
      </c>
      <c r="J337" s="610">
        <v>9.05</v>
      </c>
      <c r="K337" s="591"/>
      <c r="L337" s="6"/>
      <c r="M337" s="9"/>
      <c r="N337" s="79"/>
      <c r="O337" s="6"/>
      <c r="P337" s="6"/>
      <c r="Q337" s="6"/>
      <c r="R337" s="6"/>
      <c r="S337" s="6"/>
      <c r="T337" s="622"/>
      <c r="U337" s="6"/>
      <c r="V337" s="6"/>
      <c r="W337" s="6"/>
      <c r="X337" s="6"/>
      <c r="Y337" s="6"/>
    </row>
    <row r="338" ht="11.25" customHeight="1">
      <c r="A338" s="7"/>
      <c r="B338" s="68">
        <f t="shared" si="8"/>
        <v>333</v>
      </c>
      <c r="C338" s="607">
        <v>11500.0</v>
      </c>
      <c r="D338" s="6">
        <f t="shared" si="9"/>
        <v>-2332.811706</v>
      </c>
      <c r="E338" s="6">
        <f t="shared" si="1"/>
        <v>13832.81171</v>
      </c>
      <c r="F338" s="6">
        <f t="shared" si="4"/>
        <v>1701442.911</v>
      </c>
      <c r="G338" s="6">
        <f t="shared" si="5"/>
        <v>2128057.089</v>
      </c>
      <c r="H338" s="6">
        <f t="shared" si="6"/>
        <v>3829500</v>
      </c>
      <c r="I338" s="6">
        <f t="shared" si="7"/>
        <v>-323155.9109</v>
      </c>
      <c r="J338" s="610">
        <v>9.05</v>
      </c>
      <c r="K338" s="591"/>
      <c r="L338" s="6"/>
      <c r="M338" s="9"/>
      <c r="N338" s="79"/>
      <c r="O338" s="6"/>
      <c r="P338" s="6"/>
      <c r="Q338" s="6"/>
      <c r="R338" s="6"/>
      <c r="S338" s="6"/>
      <c r="T338" s="622"/>
      <c r="U338" s="6"/>
      <c r="V338" s="6"/>
      <c r="W338" s="6"/>
      <c r="X338" s="6"/>
      <c r="Y338" s="6"/>
    </row>
    <row r="339" ht="11.25" customHeight="1">
      <c r="A339" s="7"/>
      <c r="B339" s="68">
        <f t="shared" si="8"/>
        <v>334</v>
      </c>
      <c r="C339" s="607">
        <v>11500.0</v>
      </c>
      <c r="D339" s="6">
        <f t="shared" si="9"/>
        <v>-2437.134161</v>
      </c>
      <c r="E339" s="6">
        <f t="shared" si="1"/>
        <v>13937.13416</v>
      </c>
      <c r="F339" s="6">
        <f t="shared" si="4"/>
        <v>1715380.045</v>
      </c>
      <c r="G339" s="6">
        <f t="shared" si="5"/>
        <v>2125619.955</v>
      </c>
      <c r="H339" s="6">
        <f t="shared" si="6"/>
        <v>3841000</v>
      </c>
      <c r="I339" s="6">
        <f t="shared" si="7"/>
        <v>-337093.045</v>
      </c>
      <c r="J339" s="610">
        <v>9.05</v>
      </c>
      <c r="K339" s="591"/>
      <c r="L339" s="6"/>
      <c r="M339" s="9"/>
      <c r="N339" s="79"/>
      <c r="O339" s="6"/>
      <c r="P339" s="6"/>
      <c r="Q339" s="6"/>
      <c r="R339" s="6"/>
      <c r="S339" s="6"/>
      <c r="T339" s="622"/>
      <c r="U339" s="6"/>
      <c r="V339" s="6"/>
      <c r="W339" s="6"/>
      <c r="X339" s="6"/>
      <c r="Y339" s="6"/>
    </row>
    <row r="340" ht="11.25" customHeight="1">
      <c r="A340" s="7"/>
      <c r="B340" s="68">
        <f t="shared" si="8"/>
        <v>335</v>
      </c>
      <c r="C340" s="607">
        <v>11500.0</v>
      </c>
      <c r="D340" s="6">
        <f t="shared" si="9"/>
        <v>-2542.243381</v>
      </c>
      <c r="E340" s="6">
        <f t="shared" si="1"/>
        <v>14042.24338</v>
      </c>
      <c r="F340" s="6">
        <f t="shared" si="4"/>
        <v>1729422.288</v>
      </c>
      <c r="G340" s="6">
        <f t="shared" si="5"/>
        <v>2123077.712</v>
      </c>
      <c r="H340" s="6">
        <f t="shared" si="6"/>
        <v>3852500</v>
      </c>
      <c r="I340" s="6">
        <f t="shared" si="7"/>
        <v>-351135.2884</v>
      </c>
      <c r="J340" s="610">
        <v>9.05</v>
      </c>
      <c r="K340" s="591"/>
      <c r="L340" s="6"/>
      <c r="M340" s="9"/>
      <c r="N340" s="79"/>
      <c r="O340" s="6"/>
      <c r="P340" s="6"/>
      <c r="Q340" s="6"/>
      <c r="R340" s="6"/>
      <c r="S340" s="6"/>
      <c r="T340" s="622"/>
      <c r="U340" s="6"/>
      <c r="V340" s="6"/>
      <c r="W340" s="6"/>
      <c r="X340" s="6"/>
      <c r="Y340" s="6"/>
    </row>
    <row r="341" ht="11.25" customHeight="1">
      <c r="A341" s="71"/>
      <c r="B341" s="72">
        <f t="shared" si="8"/>
        <v>336</v>
      </c>
      <c r="C341" s="607">
        <v>11500.0</v>
      </c>
      <c r="D341" s="10">
        <f t="shared" si="9"/>
        <v>-2648.1453</v>
      </c>
      <c r="E341" s="10">
        <f t="shared" si="1"/>
        <v>14148.1453</v>
      </c>
      <c r="F341" s="10">
        <f t="shared" si="4"/>
        <v>1743570.434</v>
      </c>
      <c r="G341" s="10">
        <f t="shared" si="5"/>
        <v>2120429.566</v>
      </c>
      <c r="H341" s="10">
        <f t="shared" si="6"/>
        <v>3864000</v>
      </c>
      <c r="I341" s="10">
        <f t="shared" si="7"/>
        <v>-365283.4337</v>
      </c>
      <c r="J341" s="610">
        <v>9.05</v>
      </c>
      <c r="K341" s="591"/>
      <c r="L341" s="6"/>
      <c r="M341" s="9"/>
      <c r="N341" s="79"/>
      <c r="O341" s="6"/>
      <c r="P341" s="6"/>
      <c r="Q341" s="6"/>
      <c r="R341" s="6"/>
      <c r="S341" s="6"/>
      <c r="T341" s="622"/>
      <c r="U341" s="6"/>
      <c r="V341" s="6"/>
      <c r="W341" s="6"/>
      <c r="X341" s="6"/>
      <c r="Y341" s="6"/>
    </row>
    <row r="342" ht="11.25" customHeight="1">
      <c r="A342" s="100">
        <v>29.0</v>
      </c>
      <c r="B342" s="66">
        <f t="shared" si="8"/>
        <v>337</v>
      </c>
      <c r="C342" s="607">
        <v>11500.0</v>
      </c>
      <c r="D342" s="617">
        <f t="shared" si="9"/>
        <v>-2754.845896</v>
      </c>
      <c r="E342" s="617">
        <f t="shared" si="1"/>
        <v>14254.8459</v>
      </c>
      <c r="F342" s="617">
        <f t="shared" si="4"/>
        <v>1757825.28</v>
      </c>
      <c r="G342" s="617">
        <f t="shared" si="5"/>
        <v>2117674.72</v>
      </c>
      <c r="H342" s="617">
        <f t="shared" si="6"/>
        <v>3875500</v>
      </c>
      <c r="I342" s="617">
        <f t="shared" si="7"/>
        <v>-379538.2796</v>
      </c>
      <c r="J342" s="610">
        <v>9.05</v>
      </c>
      <c r="K342" s="591"/>
      <c r="L342" s="6"/>
      <c r="M342" s="9"/>
      <c r="N342" s="79"/>
      <c r="O342" s="6"/>
      <c r="P342" s="6"/>
      <c r="Q342" s="6"/>
      <c r="R342" s="6"/>
      <c r="S342" s="6"/>
      <c r="T342" s="622"/>
      <c r="U342" s="6"/>
      <c r="V342" s="6"/>
      <c r="W342" s="6"/>
      <c r="X342" s="6"/>
      <c r="Y342" s="6"/>
    </row>
    <row r="343" ht="11.25" customHeight="1">
      <c r="A343" s="7"/>
      <c r="B343" s="68">
        <f t="shared" si="8"/>
        <v>338</v>
      </c>
      <c r="C343" s="607">
        <v>11500.0</v>
      </c>
      <c r="D343" s="6">
        <f t="shared" si="9"/>
        <v>-2862.351192</v>
      </c>
      <c r="E343" s="6">
        <f t="shared" si="1"/>
        <v>14362.35119</v>
      </c>
      <c r="F343" s="6">
        <f t="shared" si="4"/>
        <v>1772187.631</v>
      </c>
      <c r="G343" s="6">
        <f t="shared" si="5"/>
        <v>2114812.369</v>
      </c>
      <c r="H343" s="6">
        <f t="shared" si="6"/>
        <v>3887000</v>
      </c>
      <c r="I343" s="6">
        <f t="shared" si="7"/>
        <v>-393900.6308</v>
      </c>
      <c r="J343" s="610">
        <v>9.05</v>
      </c>
      <c r="K343" s="591"/>
      <c r="L343" s="6"/>
      <c r="M343" s="9"/>
      <c r="N343" s="79"/>
      <c r="O343" s="6"/>
      <c r="P343" s="6"/>
      <c r="Q343" s="6"/>
      <c r="R343" s="6"/>
      <c r="S343" s="6"/>
      <c r="T343" s="622"/>
      <c r="U343" s="6"/>
      <c r="V343" s="6"/>
      <c r="W343" s="6"/>
      <c r="X343" s="6"/>
      <c r="Y343" s="6"/>
    </row>
    <row r="344" ht="11.25" customHeight="1">
      <c r="A344" s="7"/>
      <c r="B344" s="68">
        <f t="shared" si="8"/>
        <v>339</v>
      </c>
      <c r="C344" s="607">
        <v>11500.0</v>
      </c>
      <c r="D344" s="6">
        <f t="shared" si="9"/>
        <v>-2970.667257</v>
      </c>
      <c r="E344" s="6">
        <f t="shared" si="1"/>
        <v>14470.66726</v>
      </c>
      <c r="F344" s="6">
        <f t="shared" si="4"/>
        <v>1786658.298</v>
      </c>
      <c r="G344" s="6">
        <f t="shared" si="5"/>
        <v>2111841.702</v>
      </c>
      <c r="H344" s="6">
        <f t="shared" si="6"/>
        <v>3898500</v>
      </c>
      <c r="I344" s="6">
        <f t="shared" si="7"/>
        <v>-408371.2981</v>
      </c>
      <c r="J344" s="610">
        <v>9.05</v>
      </c>
      <c r="K344" s="591"/>
      <c r="L344" s="6"/>
      <c r="M344" s="9"/>
      <c r="N344" s="79"/>
      <c r="O344" s="6"/>
      <c r="P344" s="6"/>
      <c r="Q344" s="6"/>
      <c r="R344" s="6"/>
      <c r="S344" s="6"/>
      <c r="T344" s="622"/>
      <c r="U344" s="6"/>
      <c r="V344" s="6"/>
      <c r="W344" s="6"/>
      <c r="X344" s="6"/>
      <c r="Y344" s="6"/>
    </row>
    <row r="345" ht="11.25" customHeight="1">
      <c r="A345" s="7"/>
      <c r="B345" s="68">
        <f t="shared" si="8"/>
        <v>340</v>
      </c>
      <c r="C345" s="607">
        <v>11500.0</v>
      </c>
      <c r="D345" s="6">
        <f t="shared" si="9"/>
        <v>-3079.800206</v>
      </c>
      <c r="E345" s="6">
        <f t="shared" si="1"/>
        <v>14579.80021</v>
      </c>
      <c r="F345" s="6">
        <f t="shared" si="4"/>
        <v>1801238.098</v>
      </c>
      <c r="G345" s="6">
        <f t="shared" si="5"/>
        <v>2108761.902</v>
      </c>
      <c r="H345" s="6">
        <f t="shared" si="6"/>
        <v>3910000</v>
      </c>
      <c r="I345" s="6">
        <f t="shared" si="7"/>
        <v>-422951.0983</v>
      </c>
      <c r="J345" s="610">
        <v>9.05</v>
      </c>
      <c r="K345" s="591"/>
      <c r="L345" s="6"/>
      <c r="M345" s="9"/>
      <c r="N345" s="79"/>
      <c r="O345" s="6"/>
      <c r="P345" s="6"/>
      <c r="Q345" s="6"/>
      <c r="R345" s="6"/>
      <c r="S345" s="6"/>
      <c r="T345" s="622"/>
      <c r="U345" s="6"/>
      <c r="V345" s="6"/>
      <c r="W345" s="6"/>
      <c r="X345" s="6"/>
      <c r="Y345" s="6"/>
    </row>
    <row r="346" ht="11.25" customHeight="1">
      <c r="A346" s="7"/>
      <c r="B346" s="68">
        <f t="shared" si="8"/>
        <v>341</v>
      </c>
      <c r="C346" s="607">
        <v>11500.0</v>
      </c>
      <c r="D346" s="6">
        <f t="shared" si="9"/>
        <v>-3189.7562</v>
      </c>
      <c r="E346" s="6">
        <f t="shared" si="1"/>
        <v>14689.7562</v>
      </c>
      <c r="F346" s="6">
        <f t="shared" si="4"/>
        <v>1815927.854</v>
      </c>
      <c r="G346" s="6">
        <f t="shared" si="5"/>
        <v>2105572.146</v>
      </c>
      <c r="H346" s="6">
        <f t="shared" si="6"/>
        <v>3921500</v>
      </c>
      <c r="I346" s="6">
        <f t="shared" si="7"/>
        <v>-437640.8545</v>
      </c>
      <c r="J346" s="610">
        <v>9.05</v>
      </c>
      <c r="K346" s="591"/>
      <c r="L346" s="6"/>
      <c r="M346" s="9"/>
      <c r="N346" s="79"/>
      <c r="O346" s="6"/>
      <c r="P346" s="6"/>
      <c r="Q346" s="6"/>
      <c r="R346" s="6"/>
      <c r="S346" s="6"/>
      <c r="T346" s="622"/>
      <c r="U346" s="6"/>
      <c r="V346" s="6"/>
      <c r="W346" s="6"/>
      <c r="X346" s="6"/>
      <c r="Y346" s="6"/>
    </row>
    <row r="347" ht="11.25" customHeight="1">
      <c r="A347" s="7"/>
      <c r="B347" s="68">
        <f t="shared" si="8"/>
        <v>342</v>
      </c>
      <c r="C347" s="607">
        <v>11500.0</v>
      </c>
      <c r="D347" s="6">
        <f t="shared" si="9"/>
        <v>-3300.541444</v>
      </c>
      <c r="E347" s="6">
        <f t="shared" si="1"/>
        <v>14800.54144</v>
      </c>
      <c r="F347" s="6">
        <f t="shared" si="4"/>
        <v>1830728.396</v>
      </c>
      <c r="G347" s="6">
        <f t="shared" si="5"/>
        <v>2102271.604</v>
      </c>
      <c r="H347" s="6">
        <f t="shared" si="6"/>
        <v>3933000</v>
      </c>
      <c r="I347" s="6">
        <f t="shared" si="7"/>
        <v>-452441.3959</v>
      </c>
      <c r="J347" s="610">
        <v>9.05</v>
      </c>
      <c r="K347" s="591"/>
      <c r="L347" s="6"/>
      <c r="M347" s="9"/>
      <c r="N347" s="79"/>
      <c r="O347" s="6"/>
      <c r="P347" s="6"/>
      <c r="Q347" s="6"/>
      <c r="R347" s="6"/>
      <c r="S347" s="6"/>
      <c r="T347" s="622"/>
      <c r="U347" s="6"/>
      <c r="V347" s="6"/>
      <c r="W347" s="6"/>
      <c r="X347" s="6"/>
      <c r="Y347" s="6"/>
    </row>
    <row r="348" ht="11.25" customHeight="1">
      <c r="A348" s="7"/>
      <c r="B348" s="68">
        <f t="shared" si="8"/>
        <v>343</v>
      </c>
      <c r="C348" s="607">
        <v>11500.0</v>
      </c>
      <c r="D348" s="6">
        <f t="shared" si="9"/>
        <v>-3412.162194</v>
      </c>
      <c r="E348" s="6">
        <f t="shared" si="1"/>
        <v>14912.16219</v>
      </c>
      <c r="F348" s="6">
        <f t="shared" si="4"/>
        <v>1845640.558</v>
      </c>
      <c r="G348" s="6">
        <f t="shared" si="5"/>
        <v>2098859.442</v>
      </c>
      <c r="H348" s="6">
        <f t="shared" si="6"/>
        <v>3944500</v>
      </c>
      <c r="I348" s="6">
        <f t="shared" si="7"/>
        <v>-467353.5581</v>
      </c>
      <c r="J348" s="610">
        <v>9.05</v>
      </c>
      <c r="K348" s="591"/>
      <c r="L348" s="6"/>
      <c r="M348" s="9"/>
      <c r="N348" s="79"/>
      <c r="O348" s="6"/>
      <c r="P348" s="6"/>
      <c r="Q348" s="6"/>
      <c r="R348" s="6"/>
      <c r="S348" s="6"/>
      <c r="T348" s="622"/>
      <c r="U348" s="6"/>
      <c r="V348" s="6"/>
      <c r="W348" s="6"/>
      <c r="X348" s="6"/>
      <c r="Y348" s="6"/>
    </row>
    <row r="349" ht="11.25" customHeight="1">
      <c r="A349" s="7"/>
      <c r="B349" s="68">
        <f t="shared" si="8"/>
        <v>344</v>
      </c>
      <c r="C349" s="607">
        <v>11500.0</v>
      </c>
      <c r="D349" s="6">
        <f t="shared" si="9"/>
        <v>-3524.624751</v>
      </c>
      <c r="E349" s="6">
        <f t="shared" si="1"/>
        <v>15024.62475</v>
      </c>
      <c r="F349" s="6">
        <f t="shared" si="4"/>
        <v>1860665.183</v>
      </c>
      <c r="G349" s="6">
        <f t="shared" si="5"/>
        <v>2095334.817</v>
      </c>
      <c r="H349" s="6">
        <f t="shared" si="6"/>
        <v>3956000</v>
      </c>
      <c r="I349" s="6">
        <f t="shared" si="7"/>
        <v>-482378.1829</v>
      </c>
      <c r="J349" s="610">
        <v>9.05</v>
      </c>
      <c r="K349" s="591"/>
      <c r="L349" s="6"/>
      <c r="M349" s="9"/>
      <c r="N349" s="79"/>
      <c r="O349" s="6"/>
      <c r="P349" s="6"/>
      <c r="Q349" s="6"/>
      <c r="R349" s="6"/>
      <c r="S349" s="6"/>
      <c r="T349" s="622"/>
      <c r="U349" s="6"/>
      <c r="V349" s="6"/>
      <c r="W349" s="6"/>
      <c r="X349" s="6"/>
      <c r="Y349" s="6"/>
    </row>
    <row r="350" ht="11.25" customHeight="1">
      <c r="A350" s="7"/>
      <c r="B350" s="68">
        <f t="shared" si="8"/>
        <v>345</v>
      </c>
      <c r="C350" s="607">
        <v>11500.0</v>
      </c>
      <c r="D350" s="6">
        <f t="shared" si="9"/>
        <v>-3637.935462</v>
      </c>
      <c r="E350" s="6">
        <f t="shared" si="1"/>
        <v>15137.93546</v>
      </c>
      <c r="F350" s="6">
        <f t="shared" si="4"/>
        <v>1875803.118</v>
      </c>
      <c r="G350" s="6">
        <f t="shared" si="5"/>
        <v>2091696.882</v>
      </c>
      <c r="H350" s="6">
        <f t="shared" si="6"/>
        <v>3967500</v>
      </c>
      <c r="I350" s="6">
        <f t="shared" si="7"/>
        <v>-497516.1183</v>
      </c>
      <c r="J350" s="610">
        <v>9.05</v>
      </c>
      <c r="K350" s="591"/>
      <c r="L350" s="6"/>
      <c r="M350" s="9"/>
      <c r="N350" s="79"/>
      <c r="O350" s="6"/>
      <c r="P350" s="6"/>
      <c r="Q350" s="6"/>
      <c r="R350" s="6"/>
      <c r="S350" s="6"/>
      <c r="T350" s="622"/>
      <c r="U350" s="6"/>
      <c r="V350" s="6"/>
      <c r="W350" s="6"/>
      <c r="X350" s="6"/>
      <c r="Y350" s="6"/>
    </row>
    <row r="351" ht="11.25" customHeight="1">
      <c r="A351" s="7"/>
      <c r="B351" s="68">
        <f t="shared" si="8"/>
        <v>346</v>
      </c>
      <c r="C351" s="607">
        <v>11500.0</v>
      </c>
      <c r="D351" s="6">
        <f t="shared" si="9"/>
        <v>-3752.100726</v>
      </c>
      <c r="E351" s="6">
        <f t="shared" si="1"/>
        <v>15252.10073</v>
      </c>
      <c r="F351" s="6">
        <f t="shared" si="4"/>
        <v>1891055.219</v>
      </c>
      <c r="G351" s="6">
        <f t="shared" si="5"/>
        <v>2087944.781</v>
      </c>
      <c r="H351" s="6">
        <f t="shared" si="6"/>
        <v>3979000</v>
      </c>
      <c r="I351" s="6">
        <f t="shared" si="7"/>
        <v>-512768.2191</v>
      </c>
      <c r="J351" s="610">
        <v>9.05</v>
      </c>
      <c r="K351" s="591"/>
      <c r="L351" s="6"/>
      <c r="M351" s="9"/>
      <c r="N351" s="79"/>
      <c r="O351" s="6"/>
      <c r="P351" s="6"/>
      <c r="Q351" s="6"/>
      <c r="R351" s="6"/>
      <c r="S351" s="6"/>
      <c r="T351" s="622"/>
      <c r="U351" s="6"/>
      <c r="V351" s="6"/>
      <c r="W351" s="6"/>
      <c r="X351" s="6"/>
      <c r="Y351" s="6"/>
    </row>
    <row r="352" ht="11.25" customHeight="1">
      <c r="A352" s="7"/>
      <c r="B352" s="68">
        <f t="shared" si="8"/>
        <v>347</v>
      </c>
      <c r="C352" s="607">
        <v>11500.0</v>
      </c>
      <c r="D352" s="6">
        <f t="shared" si="9"/>
        <v>-3867.126985</v>
      </c>
      <c r="E352" s="6">
        <f t="shared" si="1"/>
        <v>15367.12699</v>
      </c>
      <c r="F352" s="6">
        <f t="shared" si="4"/>
        <v>1906422.346</v>
      </c>
      <c r="G352" s="6">
        <f t="shared" si="5"/>
        <v>2084077.654</v>
      </c>
      <c r="H352" s="6">
        <f t="shared" si="6"/>
        <v>3990500</v>
      </c>
      <c r="I352" s="6">
        <f t="shared" si="7"/>
        <v>-528135.346</v>
      </c>
      <c r="J352" s="610">
        <v>9.05</v>
      </c>
      <c r="K352" s="591"/>
      <c r="L352" s="6"/>
      <c r="M352" s="9"/>
      <c r="N352" s="79"/>
      <c r="O352" s="6"/>
      <c r="P352" s="6"/>
      <c r="Q352" s="6"/>
      <c r="R352" s="6"/>
      <c r="S352" s="6"/>
      <c r="T352" s="622"/>
      <c r="U352" s="6"/>
      <c r="V352" s="6"/>
      <c r="W352" s="6"/>
      <c r="X352" s="6"/>
      <c r="Y352" s="6"/>
    </row>
    <row r="353" ht="11.25" customHeight="1">
      <c r="A353" s="71"/>
      <c r="B353" s="72">
        <f t="shared" si="8"/>
        <v>348</v>
      </c>
      <c r="C353" s="607">
        <v>11500.0</v>
      </c>
      <c r="D353" s="10">
        <f t="shared" si="9"/>
        <v>-3983.020735</v>
      </c>
      <c r="E353" s="10">
        <f t="shared" si="1"/>
        <v>15483.02073</v>
      </c>
      <c r="F353" s="10">
        <f t="shared" si="4"/>
        <v>1921905.367</v>
      </c>
      <c r="G353" s="10">
        <f t="shared" si="5"/>
        <v>2080094.633</v>
      </c>
      <c r="H353" s="10">
        <f t="shared" si="6"/>
        <v>4002000</v>
      </c>
      <c r="I353" s="10">
        <f t="shared" si="7"/>
        <v>-543618.3668</v>
      </c>
      <c r="J353" s="610">
        <v>9.05</v>
      </c>
      <c r="K353" s="591"/>
      <c r="L353" s="6"/>
      <c r="M353" s="9"/>
      <c r="N353" s="79"/>
      <c r="O353" s="6"/>
      <c r="P353" s="6"/>
      <c r="Q353" s="6"/>
      <c r="R353" s="6"/>
      <c r="S353" s="6"/>
      <c r="T353" s="622"/>
      <c r="U353" s="6"/>
      <c r="V353" s="6"/>
      <c r="W353" s="6"/>
      <c r="X353" s="6"/>
      <c r="Y353" s="6"/>
    </row>
    <row r="354" ht="11.25" customHeight="1">
      <c r="A354" s="7">
        <v>30.0</v>
      </c>
      <c r="B354" s="68">
        <f t="shared" si="8"/>
        <v>349</v>
      </c>
      <c r="C354" s="607">
        <v>11500.0</v>
      </c>
      <c r="D354" s="6">
        <f t="shared" si="9"/>
        <v>-4099.788516</v>
      </c>
      <c r="E354" s="6">
        <f t="shared" si="1"/>
        <v>15599.78852</v>
      </c>
      <c r="F354" s="6">
        <f t="shared" si="4"/>
        <v>1937505.155</v>
      </c>
      <c r="G354" s="6">
        <f t="shared" si="5"/>
        <v>2075994.845</v>
      </c>
      <c r="H354" s="6">
        <f t="shared" si="6"/>
        <v>4013500</v>
      </c>
      <c r="I354" s="6">
        <f t="shared" si="7"/>
        <v>-559218.1553</v>
      </c>
      <c r="J354" s="610">
        <v>9.05</v>
      </c>
      <c r="K354" s="591"/>
      <c r="L354" s="6"/>
      <c r="M354" s="9"/>
      <c r="N354" s="79"/>
      <c r="O354" s="6"/>
      <c r="P354" s="6"/>
      <c r="Q354" s="6"/>
      <c r="R354" s="6"/>
      <c r="S354" s="6"/>
      <c r="T354" s="622"/>
      <c r="U354" s="6"/>
      <c r="V354" s="6"/>
      <c r="W354" s="6"/>
      <c r="X354" s="6"/>
      <c r="Y354" s="6"/>
    </row>
    <row r="355" ht="11.25" customHeight="1">
      <c r="A355" s="7"/>
      <c r="B355" s="68">
        <f t="shared" si="8"/>
        <v>350</v>
      </c>
      <c r="C355" s="607">
        <v>11500.0</v>
      </c>
      <c r="D355" s="6">
        <f t="shared" si="9"/>
        <v>-4217.436921</v>
      </c>
      <c r="E355" s="6">
        <f t="shared" si="1"/>
        <v>15717.43692</v>
      </c>
      <c r="F355" s="6">
        <f t="shared" si="4"/>
        <v>1953222.592</v>
      </c>
      <c r="G355" s="6">
        <f t="shared" si="5"/>
        <v>2071777.408</v>
      </c>
      <c r="H355" s="6">
        <f t="shared" si="6"/>
        <v>4025000</v>
      </c>
      <c r="I355" s="6">
        <f t="shared" si="7"/>
        <v>-574935.5922</v>
      </c>
      <c r="J355" s="610">
        <v>9.05</v>
      </c>
      <c r="K355" s="591"/>
      <c r="L355" s="6"/>
      <c r="M355" s="9"/>
      <c r="N355" s="79"/>
      <c r="O355" s="6"/>
      <c r="P355" s="6"/>
      <c r="Q355" s="6"/>
      <c r="R355" s="6"/>
      <c r="S355" s="6"/>
      <c r="T355" s="622"/>
      <c r="U355" s="6"/>
      <c r="V355" s="6"/>
      <c r="W355" s="6"/>
      <c r="X355" s="6"/>
      <c r="Y355" s="6"/>
    </row>
    <row r="356" ht="11.25" customHeight="1">
      <c r="A356" s="7"/>
      <c r="B356" s="68">
        <f t="shared" si="8"/>
        <v>351</v>
      </c>
      <c r="C356" s="607">
        <v>11500.0</v>
      </c>
      <c r="D356" s="6">
        <f t="shared" si="9"/>
        <v>-4335.972591</v>
      </c>
      <c r="E356" s="6">
        <f t="shared" si="1"/>
        <v>15835.97259</v>
      </c>
      <c r="F356" s="6">
        <f t="shared" si="4"/>
        <v>1969058.565</v>
      </c>
      <c r="G356" s="6">
        <f t="shared" si="5"/>
        <v>2067441.435</v>
      </c>
      <c r="H356" s="6">
        <f t="shared" si="6"/>
        <v>4036500</v>
      </c>
      <c r="I356" s="6">
        <f t="shared" si="7"/>
        <v>-590771.5648</v>
      </c>
      <c r="J356" s="610">
        <v>9.05</v>
      </c>
      <c r="K356" s="591"/>
      <c r="L356" s="6"/>
      <c r="M356" s="9"/>
      <c r="N356" s="79"/>
      <c r="O356" s="6"/>
      <c r="P356" s="6"/>
      <c r="Q356" s="6"/>
      <c r="R356" s="6"/>
      <c r="S356" s="6"/>
      <c r="T356" s="622"/>
      <c r="U356" s="6"/>
      <c r="V356" s="6"/>
      <c r="W356" s="6"/>
      <c r="X356" s="6"/>
      <c r="Y356" s="6"/>
    </row>
    <row r="357" ht="11.25" customHeight="1">
      <c r="A357" s="7"/>
      <c r="B357" s="68">
        <f t="shared" si="8"/>
        <v>352</v>
      </c>
      <c r="C357" s="607">
        <v>11500.0</v>
      </c>
      <c r="D357" s="6">
        <f t="shared" si="9"/>
        <v>-4455.402218</v>
      </c>
      <c r="E357" s="6">
        <f t="shared" si="1"/>
        <v>15955.40222</v>
      </c>
      <c r="F357" s="6">
        <f t="shared" si="4"/>
        <v>1985013.967</v>
      </c>
      <c r="G357" s="6">
        <f t="shared" si="5"/>
        <v>2062986.033</v>
      </c>
      <c r="H357" s="6">
        <f t="shared" si="6"/>
        <v>4048000</v>
      </c>
      <c r="I357" s="6">
        <f t="shared" si="7"/>
        <v>-606726.967</v>
      </c>
      <c r="J357" s="610">
        <v>9.05</v>
      </c>
      <c r="K357" s="591"/>
      <c r="L357" s="6"/>
      <c r="M357" s="9"/>
      <c r="N357" s="79"/>
      <c r="O357" s="6"/>
      <c r="P357" s="6"/>
      <c r="Q357" s="6"/>
      <c r="R357" s="6"/>
      <c r="S357" s="6"/>
      <c r="T357" s="622"/>
      <c r="U357" s="6"/>
      <c r="V357" s="6"/>
      <c r="W357" s="6"/>
      <c r="X357" s="6"/>
      <c r="Y357" s="6"/>
    </row>
    <row r="358" ht="11.25" customHeight="1">
      <c r="A358" s="7"/>
      <c r="B358" s="68">
        <f t="shared" si="8"/>
        <v>353</v>
      </c>
      <c r="C358" s="607">
        <v>11500.0</v>
      </c>
      <c r="D358" s="6">
        <f t="shared" si="9"/>
        <v>-4575.732543</v>
      </c>
      <c r="E358" s="6">
        <f t="shared" si="1"/>
        <v>16075.73254</v>
      </c>
      <c r="F358" s="6">
        <f t="shared" si="4"/>
        <v>2001089.7</v>
      </c>
      <c r="G358" s="6">
        <f t="shared" si="5"/>
        <v>2058410.3</v>
      </c>
      <c r="H358" s="6">
        <f t="shared" si="6"/>
        <v>4059500</v>
      </c>
      <c r="I358" s="6">
        <f t="shared" si="7"/>
        <v>-622802.6996</v>
      </c>
      <c r="J358" s="610">
        <v>9.05</v>
      </c>
      <c r="K358" s="591"/>
      <c r="L358" s="6"/>
      <c r="M358" s="9"/>
      <c r="N358" s="79"/>
      <c r="O358" s="6"/>
      <c r="P358" s="6"/>
      <c r="Q358" s="6"/>
      <c r="R358" s="6"/>
      <c r="S358" s="6"/>
      <c r="T358" s="622"/>
      <c r="U358" s="6"/>
      <c r="V358" s="6"/>
      <c r="W358" s="6"/>
      <c r="X358" s="6"/>
      <c r="Y358" s="6"/>
    </row>
    <row r="359" ht="11.25" customHeight="1">
      <c r="A359" s="7"/>
      <c r="B359" s="68">
        <f t="shared" si="8"/>
        <v>354</v>
      </c>
      <c r="C359" s="607">
        <v>11500.0</v>
      </c>
      <c r="D359" s="6">
        <f t="shared" si="9"/>
        <v>-4696.970359</v>
      </c>
      <c r="E359" s="6">
        <f t="shared" si="1"/>
        <v>16196.97036</v>
      </c>
      <c r="F359" s="6">
        <f t="shared" si="4"/>
        <v>2017286.67</v>
      </c>
      <c r="G359" s="6">
        <f t="shared" si="5"/>
        <v>2053713.33</v>
      </c>
      <c r="H359" s="6">
        <f t="shared" si="6"/>
        <v>4071000</v>
      </c>
      <c r="I359" s="6">
        <f t="shared" si="7"/>
        <v>-638999.6699</v>
      </c>
      <c r="J359" s="610">
        <v>9.05</v>
      </c>
      <c r="K359" s="591"/>
      <c r="L359" s="6"/>
      <c r="M359" s="9"/>
      <c r="N359" s="79"/>
      <c r="O359" s="6"/>
      <c r="P359" s="6"/>
      <c r="Q359" s="6"/>
      <c r="R359" s="6"/>
      <c r="S359" s="6"/>
      <c r="T359" s="622"/>
      <c r="U359" s="6"/>
      <c r="V359" s="6"/>
      <c r="W359" s="6"/>
      <c r="X359" s="6"/>
      <c r="Y359" s="6"/>
    </row>
    <row r="360" ht="11.25" customHeight="1">
      <c r="A360" s="7"/>
      <c r="B360" s="68">
        <f t="shared" si="8"/>
        <v>355</v>
      </c>
      <c r="C360" s="607">
        <v>11500.0</v>
      </c>
      <c r="D360" s="6">
        <f t="shared" si="9"/>
        <v>-4819.122511</v>
      </c>
      <c r="E360" s="6">
        <f t="shared" si="1"/>
        <v>16319.12251</v>
      </c>
      <c r="F360" s="6">
        <f t="shared" si="4"/>
        <v>2033605.792</v>
      </c>
      <c r="G360" s="6">
        <f t="shared" si="5"/>
        <v>2048894.208</v>
      </c>
      <c r="H360" s="6">
        <f t="shared" si="6"/>
        <v>4082500</v>
      </c>
      <c r="I360" s="6">
        <f t="shared" si="7"/>
        <v>-655318.7924</v>
      </c>
      <c r="J360" s="610">
        <v>9.05</v>
      </c>
      <c r="K360" s="591"/>
      <c r="L360" s="6"/>
      <c r="M360" s="9"/>
      <c r="N360" s="79"/>
      <c r="O360" s="6"/>
      <c r="P360" s="6"/>
      <c r="Q360" s="6"/>
      <c r="R360" s="6"/>
      <c r="S360" s="6"/>
      <c r="T360" s="622"/>
      <c r="U360" s="6"/>
      <c r="V360" s="6"/>
      <c r="W360" s="6"/>
      <c r="X360" s="6"/>
      <c r="Y360" s="6"/>
    </row>
    <row r="361" ht="11.25" customHeight="1">
      <c r="A361" s="7"/>
      <c r="B361" s="68">
        <f t="shared" si="8"/>
        <v>356</v>
      </c>
      <c r="C361" s="607">
        <v>11500.0</v>
      </c>
      <c r="D361" s="6">
        <f t="shared" si="9"/>
        <v>-4942.195893</v>
      </c>
      <c r="E361" s="6">
        <f t="shared" si="1"/>
        <v>16442.19589</v>
      </c>
      <c r="F361" s="6">
        <f t="shared" si="4"/>
        <v>2050047.988</v>
      </c>
      <c r="G361" s="6">
        <f t="shared" si="5"/>
        <v>2043952.012</v>
      </c>
      <c r="H361" s="6">
        <f t="shared" si="6"/>
        <v>4094000</v>
      </c>
      <c r="I361" s="6">
        <f t="shared" si="7"/>
        <v>-671760.9883</v>
      </c>
      <c r="J361" s="610">
        <v>9.05</v>
      </c>
      <c r="K361" s="591"/>
      <c r="L361" s="6"/>
      <c r="M361" s="9"/>
      <c r="N361" s="79"/>
      <c r="O361" s="6"/>
      <c r="P361" s="6"/>
      <c r="Q361" s="6"/>
      <c r="R361" s="6"/>
      <c r="S361" s="6"/>
      <c r="T361" s="622"/>
      <c r="U361" s="6"/>
      <c r="V361" s="6"/>
      <c r="W361" s="6"/>
      <c r="X361" s="6"/>
      <c r="Y361" s="6"/>
    </row>
    <row r="362" ht="11.25" customHeight="1">
      <c r="A362" s="7"/>
      <c r="B362" s="68">
        <f t="shared" si="8"/>
        <v>357</v>
      </c>
      <c r="C362" s="607">
        <v>11500.0</v>
      </c>
      <c r="D362" s="6">
        <f t="shared" si="9"/>
        <v>-5066.197454</v>
      </c>
      <c r="E362" s="6">
        <f t="shared" si="1"/>
        <v>16566.19745</v>
      </c>
      <c r="F362" s="6">
        <f t="shared" si="4"/>
        <v>2066614.186</v>
      </c>
      <c r="G362" s="6">
        <f t="shared" si="5"/>
        <v>2038885.814</v>
      </c>
      <c r="H362" s="6">
        <f t="shared" si="6"/>
        <v>4105500</v>
      </c>
      <c r="I362" s="6">
        <f t="shared" si="7"/>
        <v>-688327.1858</v>
      </c>
      <c r="J362" s="610">
        <v>9.05</v>
      </c>
      <c r="K362" s="591"/>
      <c r="L362" s="6"/>
      <c r="M362" s="9"/>
      <c r="N362" s="79"/>
      <c r="O362" s="6"/>
      <c r="P362" s="6"/>
      <c r="Q362" s="6"/>
      <c r="R362" s="6"/>
      <c r="S362" s="6"/>
      <c r="T362" s="622"/>
      <c r="U362" s="6"/>
      <c r="V362" s="6"/>
      <c r="W362" s="6"/>
      <c r="X362" s="6"/>
      <c r="Y362" s="6"/>
    </row>
    <row r="363" ht="11.25" customHeight="1">
      <c r="A363" s="7"/>
      <c r="B363" s="68">
        <f t="shared" si="8"/>
        <v>358</v>
      </c>
      <c r="C363" s="607">
        <v>11500.0</v>
      </c>
      <c r="D363" s="6">
        <f t="shared" si="9"/>
        <v>-5191.134193</v>
      </c>
      <c r="E363" s="6">
        <f t="shared" si="1"/>
        <v>16691.13419</v>
      </c>
      <c r="F363" s="6">
        <f t="shared" si="4"/>
        <v>2083305.32</v>
      </c>
      <c r="G363" s="6">
        <f t="shared" si="5"/>
        <v>2033694.68</v>
      </c>
      <c r="H363" s="6">
        <f t="shared" si="6"/>
        <v>4117000</v>
      </c>
      <c r="I363" s="6">
        <f t="shared" si="7"/>
        <v>-705018.32</v>
      </c>
      <c r="J363" s="610">
        <v>9.05</v>
      </c>
      <c r="K363" s="591"/>
      <c r="L363" s="6"/>
      <c r="M363" s="9"/>
      <c r="N363" s="79"/>
      <c r="O363" s="6"/>
      <c r="P363" s="6"/>
      <c r="Q363" s="6"/>
      <c r="R363" s="6"/>
      <c r="S363" s="6"/>
      <c r="T363" s="622"/>
      <c r="U363" s="6"/>
      <c r="V363" s="6"/>
      <c r="W363" s="6"/>
      <c r="X363" s="6"/>
      <c r="Y363" s="6"/>
    </row>
    <row r="364" ht="11.25" customHeight="1">
      <c r="A364" s="7"/>
      <c r="B364" s="68">
        <f t="shared" si="8"/>
        <v>359</v>
      </c>
      <c r="C364" s="607">
        <v>11500.0</v>
      </c>
      <c r="D364" s="6">
        <f t="shared" si="9"/>
        <v>-5317.013163</v>
      </c>
      <c r="E364" s="6">
        <f t="shared" si="1"/>
        <v>16817.01316</v>
      </c>
      <c r="F364" s="6">
        <f t="shared" si="4"/>
        <v>2100122.333</v>
      </c>
      <c r="G364" s="6">
        <f t="shared" si="5"/>
        <v>2028377.667</v>
      </c>
      <c r="H364" s="6">
        <f t="shared" si="6"/>
        <v>4128500</v>
      </c>
      <c r="I364" s="6">
        <f t="shared" si="7"/>
        <v>-721835.3331</v>
      </c>
      <c r="J364" s="610">
        <v>9.05</v>
      </c>
      <c r="K364" s="591"/>
      <c r="L364" s="6"/>
      <c r="M364" s="9"/>
      <c r="N364" s="79"/>
      <c r="O364" s="6"/>
      <c r="P364" s="6"/>
      <c r="Q364" s="6"/>
      <c r="R364" s="6"/>
      <c r="S364" s="6"/>
      <c r="T364" s="622"/>
      <c r="U364" s="6"/>
      <c r="V364" s="6"/>
      <c r="W364" s="6"/>
      <c r="X364" s="6"/>
      <c r="Y364" s="6"/>
    </row>
    <row r="365" ht="12.0" customHeight="1">
      <c r="A365" s="7"/>
      <c r="B365" s="106">
        <f t="shared" si="8"/>
        <v>360</v>
      </c>
      <c r="C365" s="607">
        <v>11500.0</v>
      </c>
      <c r="D365" s="113">
        <f t="shared" si="9"/>
        <v>-5443.841471</v>
      </c>
      <c r="E365" s="113">
        <f t="shared" si="1"/>
        <v>16943.84147</v>
      </c>
      <c r="F365" s="113">
        <f t="shared" si="4"/>
        <v>2117066.175</v>
      </c>
      <c r="G365" s="113">
        <f t="shared" si="5"/>
        <v>2022933.825</v>
      </c>
      <c r="H365" s="113">
        <f t="shared" si="6"/>
        <v>4140000</v>
      </c>
      <c r="I365" s="113">
        <f t="shared" si="7"/>
        <v>-738779.1746</v>
      </c>
      <c r="J365" s="610">
        <v>9.05</v>
      </c>
      <c r="K365" s="591"/>
      <c r="L365" s="6"/>
      <c r="M365" s="9"/>
      <c r="N365" s="79"/>
      <c r="O365" s="6"/>
      <c r="P365" s="6"/>
      <c r="Q365" s="6"/>
      <c r="R365" s="6"/>
      <c r="S365" s="6"/>
      <c r="T365" s="622"/>
      <c r="U365" s="6"/>
      <c r="V365" s="6"/>
      <c r="W365" s="6"/>
      <c r="X365" s="6"/>
      <c r="Y365" s="6"/>
    </row>
    <row r="366" ht="11.25" customHeight="1">
      <c r="A366" s="7"/>
      <c r="B366" s="5"/>
      <c r="C366" s="6"/>
      <c r="D366" s="6"/>
      <c r="E366" s="6"/>
      <c r="F366" s="6"/>
      <c r="G366" s="6"/>
      <c r="H366" s="6"/>
      <c r="I366" s="6"/>
      <c r="J366" s="11"/>
      <c r="K366" s="591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ht="11.25" customHeight="1">
      <c r="A367" s="7"/>
      <c r="B367" s="5"/>
      <c r="C367" s="6"/>
      <c r="D367" s="6"/>
      <c r="E367" s="6"/>
      <c r="F367" s="6"/>
      <c r="G367" s="6"/>
      <c r="H367" s="6"/>
      <c r="I367" s="6"/>
      <c r="J367" s="11"/>
      <c r="K367" s="591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ht="11.25" customHeight="1">
      <c r="A368" s="7"/>
      <c r="B368" s="5"/>
      <c r="C368" s="6"/>
      <c r="D368" s="6"/>
      <c r="E368" s="6"/>
      <c r="F368" s="6"/>
      <c r="G368" s="6"/>
      <c r="H368" s="6"/>
      <c r="I368" s="6"/>
      <c r="J368" s="11"/>
      <c r="K368" s="591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ht="11.25" customHeight="1">
      <c r="A369" s="7"/>
      <c r="B369" s="5"/>
      <c r="C369" s="6"/>
      <c r="D369" s="6"/>
      <c r="E369" s="6"/>
      <c r="F369" s="6"/>
      <c r="G369" s="6"/>
      <c r="H369" s="6"/>
      <c r="I369" s="6"/>
      <c r="J369" s="11"/>
      <c r="K369" s="591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ht="11.25" customHeight="1">
      <c r="A370" s="7"/>
      <c r="B370" s="5"/>
      <c r="C370" s="6"/>
      <c r="D370" s="6"/>
      <c r="E370" s="6"/>
      <c r="F370" s="6"/>
      <c r="G370" s="6"/>
      <c r="H370" s="6"/>
      <c r="I370" s="6"/>
      <c r="J370" s="11"/>
      <c r="K370" s="591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ht="11.25" customHeight="1">
      <c r="A371" s="7"/>
      <c r="B371" s="5"/>
      <c r="C371" s="6"/>
      <c r="D371" s="6"/>
      <c r="E371" s="6"/>
      <c r="F371" s="6"/>
      <c r="G371" s="6"/>
      <c r="H371" s="6"/>
      <c r="I371" s="6"/>
      <c r="J371" s="11"/>
      <c r="K371" s="591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ht="11.25" customHeight="1">
      <c r="A372" s="7"/>
      <c r="B372" s="5"/>
      <c r="C372" s="6"/>
      <c r="D372" s="6"/>
      <c r="E372" s="6"/>
      <c r="F372" s="6"/>
      <c r="G372" s="6"/>
      <c r="H372" s="6"/>
      <c r="I372" s="6"/>
      <c r="J372" s="11"/>
      <c r="K372" s="591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ht="11.25" customHeight="1">
      <c r="A373" s="7"/>
      <c r="B373" s="5"/>
      <c r="C373" s="6"/>
      <c r="D373" s="6"/>
      <c r="E373" s="6"/>
      <c r="F373" s="6"/>
      <c r="G373" s="6"/>
      <c r="H373" s="6"/>
      <c r="I373" s="6"/>
      <c r="J373" s="11"/>
      <c r="K373" s="591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ht="11.25" customHeight="1">
      <c r="A374" s="7"/>
      <c r="B374" s="5"/>
      <c r="C374" s="6"/>
      <c r="D374" s="6"/>
      <c r="E374" s="6"/>
      <c r="F374" s="6"/>
      <c r="G374" s="6"/>
      <c r="H374" s="6"/>
      <c r="I374" s="6"/>
      <c r="J374" s="11"/>
      <c r="K374" s="591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11.25" customHeight="1">
      <c r="A375" s="7"/>
      <c r="B375" s="5"/>
      <c r="C375" s="6"/>
      <c r="D375" s="6"/>
      <c r="E375" s="6"/>
      <c r="F375" s="6"/>
      <c r="G375" s="6"/>
      <c r="H375" s="6"/>
      <c r="I375" s="6"/>
      <c r="J375" s="11"/>
      <c r="K375" s="591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11.25" customHeight="1">
      <c r="A376" s="7"/>
      <c r="B376" s="5"/>
      <c r="C376" s="6"/>
      <c r="D376" s="6"/>
      <c r="E376" s="6"/>
      <c r="F376" s="6"/>
      <c r="G376" s="6"/>
      <c r="H376" s="6"/>
      <c r="I376" s="6"/>
      <c r="J376" s="11"/>
      <c r="K376" s="591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11.25" customHeight="1">
      <c r="A377" s="7"/>
      <c r="B377" s="5"/>
      <c r="C377" s="6"/>
      <c r="D377" s="6"/>
      <c r="E377" s="6"/>
      <c r="F377" s="6"/>
      <c r="G377" s="6"/>
      <c r="H377" s="6"/>
      <c r="I377" s="6"/>
      <c r="J377" s="11"/>
      <c r="K377" s="591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11.25" customHeight="1">
      <c r="A378" s="7"/>
      <c r="B378" s="5"/>
      <c r="C378" s="6"/>
      <c r="D378" s="6"/>
      <c r="E378" s="6"/>
      <c r="F378" s="6"/>
      <c r="G378" s="6"/>
      <c r="H378" s="6"/>
      <c r="I378" s="6"/>
      <c r="J378" s="11"/>
      <c r="K378" s="591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11.25" customHeight="1">
      <c r="A379" s="7"/>
      <c r="B379" s="5"/>
      <c r="C379" s="6"/>
      <c r="D379" s="6"/>
      <c r="E379" s="6"/>
      <c r="F379" s="6"/>
      <c r="G379" s="6"/>
      <c r="H379" s="6"/>
      <c r="I379" s="6"/>
      <c r="J379" s="11"/>
      <c r="K379" s="591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11.25" customHeight="1">
      <c r="A380" s="7"/>
      <c r="B380" s="5"/>
      <c r="C380" s="6"/>
      <c r="D380" s="6"/>
      <c r="E380" s="6"/>
      <c r="F380" s="6"/>
      <c r="G380" s="6"/>
      <c r="H380" s="6"/>
      <c r="I380" s="6"/>
      <c r="J380" s="11"/>
      <c r="K380" s="591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ht="11.25" customHeight="1">
      <c r="A381" s="7"/>
      <c r="B381" s="5"/>
      <c r="C381" s="6"/>
      <c r="D381" s="6"/>
      <c r="E381" s="6"/>
      <c r="F381" s="6"/>
      <c r="G381" s="6"/>
      <c r="H381" s="6"/>
      <c r="I381" s="6"/>
      <c r="J381" s="11"/>
      <c r="K381" s="591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ht="11.25" customHeight="1">
      <c r="A382" s="7"/>
      <c r="B382" s="5"/>
      <c r="C382" s="6"/>
      <c r="D382" s="6"/>
      <c r="E382" s="6"/>
      <c r="F382" s="6"/>
      <c r="G382" s="6"/>
      <c r="H382" s="6"/>
      <c r="I382" s="6"/>
      <c r="J382" s="11"/>
      <c r="K382" s="591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11.25" customHeight="1">
      <c r="A383" s="7"/>
      <c r="B383" s="5"/>
      <c r="C383" s="6"/>
      <c r="D383" s="6"/>
      <c r="E383" s="6"/>
      <c r="F383" s="6"/>
      <c r="G383" s="6"/>
      <c r="H383" s="6"/>
      <c r="I383" s="6"/>
      <c r="J383" s="11"/>
      <c r="K383" s="591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11.25" customHeight="1">
      <c r="A384" s="7"/>
      <c r="B384" s="5"/>
      <c r="C384" s="6"/>
      <c r="D384" s="6"/>
      <c r="E384" s="6"/>
      <c r="F384" s="6"/>
      <c r="G384" s="6"/>
      <c r="H384" s="6"/>
      <c r="I384" s="6"/>
      <c r="J384" s="11"/>
      <c r="K384" s="591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11.25" customHeight="1">
      <c r="A385" s="7"/>
      <c r="B385" s="5"/>
      <c r="C385" s="6"/>
      <c r="D385" s="6"/>
      <c r="E385" s="6"/>
      <c r="F385" s="6"/>
      <c r="G385" s="6"/>
      <c r="H385" s="6"/>
      <c r="I385" s="6"/>
      <c r="J385" s="11"/>
      <c r="K385" s="591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11.25" customHeight="1">
      <c r="A386" s="7"/>
      <c r="B386" s="5"/>
      <c r="C386" s="6"/>
      <c r="D386" s="6"/>
      <c r="E386" s="6"/>
      <c r="F386" s="6"/>
      <c r="G386" s="6"/>
      <c r="H386" s="6"/>
      <c r="I386" s="6"/>
      <c r="J386" s="11"/>
      <c r="K386" s="591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11.25" customHeight="1">
      <c r="A387" s="7"/>
      <c r="B387" s="5"/>
      <c r="C387" s="6"/>
      <c r="D387" s="6"/>
      <c r="E387" s="6"/>
      <c r="F387" s="6"/>
      <c r="G387" s="6"/>
      <c r="H387" s="6"/>
      <c r="I387" s="6"/>
      <c r="J387" s="11"/>
      <c r="K387" s="591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11.25" customHeight="1">
      <c r="A388" s="7"/>
      <c r="B388" s="5"/>
      <c r="C388" s="6"/>
      <c r="D388" s="6"/>
      <c r="E388" s="6"/>
      <c r="F388" s="6"/>
      <c r="G388" s="6"/>
      <c r="H388" s="6"/>
      <c r="I388" s="6"/>
      <c r="J388" s="11"/>
      <c r="K388" s="591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11.25" customHeight="1">
      <c r="A389" s="7"/>
      <c r="B389" s="5"/>
      <c r="C389" s="6"/>
      <c r="D389" s="6"/>
      <c r="E389" s="6"/>
      <c r="F389" s="6"/>
      <c r="G389" s="6"/>
      <c r="H389" s="6"/>
      <c r="I389" s="6"/>
      <c r="J389" s="11"/>
      <c r="K389" s="591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11.25" customHeight="1">
      <c r="A390" s="7"/>
      <c r="B390" s="5"/>
      <c r="C390" s="6"/>
      <c r="D390" s="6"/>
      <c r="E390" s="6"/>
      <c r="F390" s="6"/>
      <c r="G390" s="6"/>
      <c r="H390" s="6"/>
      <c r="I390" s="6"/>
      <c r="J390" s="11"/>
      <c r="K390" s="591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11.25" customHeight="1">
      <c r="A391" s="7"/>
      <c r="B391" s="5"/>
      <c r="C391" s="6"/>
      <c r="D391" s="6"/>
      <c r="E391" s="6"/>
      <c r="F391" s="6"/>
      <c r="G391" s="6"/>
      <c r="H391" s="6"/>
      <c r="I391" s="6"/>
      <c r="J391" s="11"/>
      <c r="K391" s="591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11.25" customHeight="1">
      <c r="A392" s="7"/>
      <c r="B392" s="5"/>
      <c r="C392" s="6"/>
      <c r="D392" s="6"/>
      <c r="E392" s="6"/>
      <c r="F392" s="6"/>
      <c r="G392" s="6"/>
      <c r="H392" s="6"/>
      <c r="I392" s="6"/>
      <c r="J392" s="11"/>
      <c r="K392" s="591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11.25" customHeight="1">
      <c r="A393" s="7"/>
      <c r="B393" s="5"/>
      <c r="C393" s="6"/>
      <c r="D393" s="6"/>
      <c r="E393" s="6"/>
      <c r="F393" s="6"/>
      <c r="G393" s="6"/>
      <c r="H393" s="6"/>
      <c r="I393" s="6"/>
      <c r="J393" s="11"/>
      <c r="K393" s="591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11.25" customHeight="1">
      <c r="A394" s="7"/>
      <c r="B394" s="5"/>
      <c r="C394" s="6"/>
      <c r="D394" s="6"/>
      <c r="E394" s="6"/>
      <c r="F394" s="6"/>
      <c r="G394" s="6"/>
      <c r="H394" s="6"/>
      <c r="I394" s="6"/>
      <c r="J394" s="11"/>
      <c r="K394" s="591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11.25" customHeight="1">
      <c r="A395" s="7"/>
      <c r="B395" s="5"/>
      <c r="C395" s="6"/>
      <c r="D395" s="6"/>
      <c r="E395" s="6"/>
      <c r="F395" s="6"/>
      <c r="G395" s="6"/>
      <c r="H395" s="6"/>
      <c r="I395" s="6"/>
      <c r="J395" s="11"/>
      <c r="K395" s="591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11.25" customHeight="1">
      <c r="A396" s="7"/>
      <c r="B396" s="5"/>
      <c r="C396" s="6"/>
      <c r="D396" s="6"/>
      <c r="E396" s="6"/>
      <c r="F396" s="6"/>
      <c r="G396" s="6"/>
      <c r="H396" s="6"/>
      <c r="I396" s="6"/>
      <c r="J396" s="11"/>
      <c r="K396" s="591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11.25" customHeight="1">
      <c r="A397" s="7"/>
      <c r="B397" s="5"/>
      <c r="C397" s="6"/>
      <c r="D397" s="6"/>
      <c r="E397" s="6"/>
      <c r="F397" s="6"/>
      <c r="G397" s="6"/>
      <c r="H397" s="6"/>
      <c r="I397" s="6"/>
      <c r="J397" s="11"/>
      <c r="K397" s="591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11.25" customHeight="1">
      <c r="A398" s="7"/>
      <c r="B398" s="5"/>
      <c r="C398" s="6"/>
      <c r="D398" s="6"/>
      <c r="E398" s="6"/>
      <c r="F398" s="6"/>
      <c r="G398" s="6"/>
      <c r="H398" s="6"/>
      <c r="I398" s="6"/>
      <c r="J398" s="11"/>
      <c r="K398" s="591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11.25" customHeight="1">
      <c r="A399" s="7"/>
      <c r="B399" s="5"/>
      <c r="C399" s="6"/>
      <c r="D399" s="6"/>
      <c r="E399" s="6"/>
      <c r="F399" s="6"/>
      <c r="G399" s="6"/>
      <c r="H399" s="6"/>
      <c r="I399" s="6"/>
      <c r="J399" s="11"/>
      <c r="K399" s="591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11.25" customHeight="1">
      <c r="A400" s="7"/>
      <c r="B400" s="5"/>
      <c r="C400" s="6"/>
      <c r="D400" s="6"/>
      <c r="E400" s="6"/>
      <c r="F400" s="6"/>
      <c r="G400" s="6"/>
      <c r="H400" s="6"/>
      <c r="I400" s="6"/>
      <c r="J400" s="11"/>
      <c r="K400" s="591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11.25" customHeight="1">
      <c r="A401" s="7"/>
      <c r="B401" s="5"/>
      <c r="C401" s="6"/>
      <c r="D401" s="6"/>
      <c r="E401" s="6"/>
      <c r="F401" s="6"/>
      <c r="G401" s="6"/>
      <c r="H401" s="6"/>
      <c r="I401" s="6"/>
      <c r="J401" s="11"/>
      <c r="K401" s="591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11.25" customHeight="1">
      <c r="A402" s="7"/>
      <c r="B402" s="5"/>
      <c r="C402" s="6"/>
      <c r="D402" s="6"/>
      <c r="E402" s="6"/>
      <c r="F402" s="6"/>
      <c r="G402" s="6"/>
      <c r="H402" s="6"/>
      <c r="I402" s="6"/>
      <c r="J402" s="11"/>
      <c r="K402" s="591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11.25" customHeight="1">
      <c r="A403" s="7"/>
      <c r="B403" s="5"/>
      <c r="C403" s="6"/>
      <c r="D403" s="6"/>
      <c r="E403" s="6"/>
      <c r="F403" s="6"/>
      <c r="G403" s="6"/>
      <c r="H403" s="6"/>
      <c r="I403" s="6"/>
      <c r="J403" s="11"/>
      <c r="K403" s="591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11.25" customHeight="1">
      <c r="A404" s="7"/>
      <c r="B404" s="5"/>
      <c r="C404" s="6"/>
      <c r="D404" s="6"/>
      <c r="E404" s="6"/>
      <c r="F404" s="6"/>
      <c r="G404" s="6"/>
      <c r="H404" s="6"/>
      <c r="I404" s="6"/>
      <c r="J404" s="11"/>
      <c r="K404" s="591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11.25" customHeight="1">
      <c r="A405" s="7"/>
      <c r="B405" s="5"/>
      <c r="C405" s="6"/>
      <c r="D405" s="6"/>
      <c r="E405" s="6"/>
      <c r="F405" s="6"/>
      <c r="G405" s="6"/>
      <c r="H405" s="6"/>
      <c r="I405" s="6"/>
      <c r="J405" s="11"/>
      <c r="K405" s="591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11.25" customHeight="1">
      <c r="A406" s="7"/>
      <c r="B406" s="5"/>
      <c r="C406" s="6"/>
      <c r="D406" s="6"/>
      <c r="E406" s="6"/>
      <c r="F406" s="6"/>
      <c r="G406" s="6"/>
      <c r="H406" s="6"/>
      <c r="I406" s="6"/>
      <c r="J406" s="11"/>
      <c r="K406" s="591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11.25" customHeight="1">
      <c r="A407" s="7"/>
      <c r="B407" s="5"/>
      <c r="C407" s="6"/>
      <c r="D407" s="6"/>
      <c r="E407" s="6"/>
      <c r="F407" s="6"/>
      <c r="G407" s="6"/>
      <c r="H407" s="6"/>
      <c r="I407" s="6"/>
      <c r="J407" s="11"/>
      <c r="K407" s="591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11.25" customHeight="1">
      <c r="A408" s="7"/>
      <c r="B408" s="5"/>
      <c r="C408" s="6"/>
      <c r="D408" s="6"/>
      <c r="E408" s="6"/>
      <c r="F408" s="6"/>
      <c r="G408" s="6"/>
      <c r="H408" s="6"/>
      <c r="I408" s="6"/>
      <c r="J408" s="11"/>
      <c r="K408" s="591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11.25" customHeight="1">
      <c r="A409" s="7"/>
      <c r="B409" s="5"/>
      <c r="C409" s="6"/>
      <c r="D409" s="6"/>
      <c r="E409" s="6"/>
      <c r="F409" s="6"/>
      <c r="G409" s="6"/>
      <c r="H409" s="6"/>
      <c r="I409" s="6"/>
      <c r="J409" s="11"/>
      <c r="K409" s="591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11.25" customHeight="1">
      <c r="A410" s="7"/>
      <c r="B410" s="5"/>
      <c r="C410" s="6"/>
      <c r="D410" s="6"/>
      <c r="E410" s="6"/>
      <c r="F410" s="6"/>
      <c r="G410" s="6"/>
      <c r="H410" s="6"/>
      <c r="I410" s="6"/>
      <c r="J410" s="11"/>
      <c r="K410" s="591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11.25" customHeight="1">
      <c r="A411" s="7"/>
      <c r="B411" s="5"/>
      <c r="C411" s="6"/>
      <c r="D411" s="6"/>
      <c r="E411" s="6"/>
      <c r="F411" s="6"/>
      <c r="G411" s="6"/>
      <c r="H411" s="6"/>
      <c r="I411" s="6"/>
      <c r="J411" s="11"/>
      <c r="K411" s="591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11.25" customHeight="1">
      <c r="A412" s="7"/>
      <c r="B412" s="5"/>
      <c r="C412" s="6"/>
      <c r="D412" s="6"/>
      <c r="E412" s="6"/>
      <c r="F412" s="6"/>
      <c r="G412" s="6"/>
      <c r="H412" s="6"/>
      <c r="I412" s="6"/>
      <c r="J412" s="11"/>
      <c r="K412" s="591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11.25" customHeight="1">
      <c r="A413" s="7"/>
      <c r="B413" s="5"/>
      <c r="C413" s="6"/>
      <c r="D413" s="6"/>
      <c r="E413" s="6"/>
      <c r="F413" s="6"/>
      <c r="G413" s="6"/>
      <c r="H413" s="6"/>
      <c r="I413" s="6"/>
      <c r="J413" s="11"/>
      <c r="K413" s="591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11.25" customHeight="1">
      <c r="A414" s="7"/>
      <c r="B414" s="5"/>
      <c r="C414" s="6"/>
      <c r="D414" s="6"/>
      <c r="E414" s="6"/>
      <c r="F414" s="6"/>
      <c r="G414" s="6"/>
      <c r="H414" s="6"/>
      <c r="I414" s="6"/>
      <c r="J414" s="11"/>
      <c r="K414" s="591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11.25" customHeight="1">
      <c r="A415" s="7"/>
      <c r="B415" s="5"/>
      <c r="C415" s="6"/>
      <c r="D415" s="6"/>
      <c r="E415" s="6"/>
      <c r="F415" s="6"/>
      <c r="G415" s="6"/>
      <c r="H415" s="6"/>
      <c r="I415" s="6"/>
      <c r="J415" s="11"/>
      <c r="K415" s="591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11.25" customHeight="1">
      <c r="A416" s="7"/>
      <c r="B416" s="5"/>
      <c r="C416" s="6"/>
      <c r="D416" s="6"/>
      <c r="E416" s="6"/>
      <c r="F416" s="6"/>
      <c r="G416" s="6"/>
      <c r="H416" s="6"/>
      <c r="I416" s="6"/>
      <c r="J416" s="11"/>
      <c r="K416" s="591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11.25" customHeight="1">
      <c r="A417" s="7"/>
      <c r="B417" s="5"/>
      <c r="C417" s="6"/>
      <c r="D417" s="6"/>
      <c r="E417" s="6"/>
      <c r="F417" s="6"/>
      <c r="G417" s="6"/>
      <c r="H417" s="6"/>
      <c r="I417" s="6"/>
      <c r="J417" s="11"/>
      <c r="K417" s="591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11.25" customHeight="1">
      <c r="A418" s="7"/>
      <c r="B418" s="5"/>
      <c r="C418" s="6"/>
      <c r="D418" s="6"/>
      <c r="E418" s="6"/>
      <c r="F418" s="6"/>
      <c r="G418" s="6"/>
      <c r="H418" s="6"/>
      <c r="I418" s="6"/>
      <c r="J418" s="11"/>
      <c r="K418" s="591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11.25" customHeight="1">
      <c r="A419" s="7"/>
      <c r="B419" s="5"/>
      <c r="C419" s="6"/>
      <c r="D419" s="6"/>
      <c r="E419" s="6"/>
      <c r="F419" s="6"/>
      <c r="G419" s="6"/>
      <c r="H419" s="6"/>
      <c r="I419" s="6"/>
      <c r="J419" s="11"/>
      <c r="K419" s="591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11.25" customHeight="1">
      <c r="A420" s="7"/>
      <c r="B420" s="5"/>
      <c r="C420" s="6"/>
      <c r="D420" s="6"/>
      <c r="E420" s="6"/>
      <c r="F420" s="6"/>
      <c r="G420" s="6"/>
      <c r="H420" s="6"/>
      <c r="I420" s="6"/>
      <c r="J420" s="11"/>
      <c r="K420" s="591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11.25" customHeight="1">
      <c r="A421" s="7"/>
      <c r="B421" s="5"/>
      <c r="C421" s="6"/>
      <c r="D421" s="6"/>
      <c r="E421" s="6"/>
      <c r="F421" s="6"/>
      <c r="G421" s="6"/>
      <c r="H421" s="6"/>
      <c r="I421" s="6"/>
      <c r="J421" s="11"/>
      <c r="K421" s="591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11.25" customHeight="1">
      <c r="A422" s="7"/>
      <c r="B422" s="5"/>
      <c r="C422" s="6"/>
      <c r="D422" s="6"/>
      <c r="E422" s="6"/>
      <c r="F422" s="6"/>
      <c r="G422" s="6"/>
      <c r="H422" s="6"/>
      <c r="I422" s="6"/>
      <c r="J422" s="11"/>
      <c r="K422" s="591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11.25" customHeight="1">
      <c r="A423" s="7"/>
      <c r="B423" s="5"/>
      <c r="C423" s="6"/>
      <c r="D423" s="6"/>
      <c r="E423" s="6"/>
      <c r="F423" s="6"/>
      <c r="G423" s="6"/>
      <c r="H423" s="6"/>
      <c r="I423" s="6"/>
      <c r="J423" s="11"/>
      <c r="K423" s="591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11.25" customHeight="1">
      <c r="A424" s="7"/>
      <c r="B424" s="5"/>
      <c r="C424" s="6"/>
      <c r="D424" s="6"/>
      <c r="E424" s="6"/>
      <c r="F424" s="6"/>
      <c r="G424" s="6"/>
      <c r="H424" s="6"/>
      <c r="I424" s="6"/>
      <c r="J424" s="11"/>
      <c r="K424" s="591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11.25" customHeight="1">
      <c r="A425" s="7"/>
      <c r="B425" s="5"/>
      <c r="C425" s="6"/>
      <c r="D425" s="6"/>
      <c r="E425" s="6"/>
      <c r="F425" s="6"/>
      <c r="G425" s="6"/>
      <c r="H425" s="6"/>
      <c r="I425" s="6"/>
      <c r="J425" s="11"/>
      <c r="K425" s="591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11.25" customHeight="1">
      <c r="A426" s="7"/>
      <c r="B426" s="5"/>
      <c r="C426" s="6"/>
      <c r="D426" s="6"/>
      <c r="E426" s="6"/>
      <c r="F426" s="6"/>
      <c r="G426" s="6"/>
      <c r="H426" s="6"/>
      <c r="I426" s="6"/>
      <c r="J426" s="11"/>
      <c r="K426" s="591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11.25" customHeight="1">
      <c r="A427" s="7"/>
      <c r="B427" s="5"/>
      <c r="C427" s="6"/>
      <c r="D427" s="6"/>
      <c r="E427" s="6"/>
      <c r="F427" s="6"/>
      <c r="G427" s="6"/>
      <c r="H427" s="6"/>
      <c r="I427" s="6"/>
      <c r="J427" s="11"/>
      <c r="K427" s="591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11.25" customHeight="1">
      <c r="A428" s="7"/>
      <c r="B428" s="5"/>
      <c r="C428" s="6"/>
      <c r="D428" s="6"/>
      <c r="E428" s="6"/>
      <c r="F428" s="6"/>
      <c r="G428" s="6"/>
      <c r="H428" s="6"/>
      <c r="I428" s="6"/>
      <c r="J428" s="11"/>
      <c r="K428" s="591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11.25" customHeight="1">
      <c r="A429" s="7"/>
      <c r="B429" s="5"/>
      <c r="C429" s="6"/>
      <c r="D429" s="6"/>
      <c r="E429" s="6"/>
      <c r="F429" s="6"/>
      <c r="G429" s="6"/>
      <c r="H429" s="6"/>
      <c r="I429" s="6"/>
      <c r="J429" s="11"/>
      <c r="K429" s="591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11.25" customHeight="1">
      <c r="A430" s="7"/>
      <c r="B430" s="5"/>
      <c r="C430" s="6"/>
      <c r="D430" s="6"/>
      <c r="E430" s="6"/>
      <c r="F430" s="6"/>
      <c r="G430" s="6"/>
      <c r="H430" s="6"/>
      <c r="I430" s="6"/>
      <c r="J430" s="11"/>
      <c r="K430" s="591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11.25" customHeight="1">
      <c r="A431" s="7"/>
      <c r="B431" s="5"/>
      <c r="C431" s="6"/>
      <c r="D431" s="6"/>
      <c r="E431" s="6"/>
      <c r="F431" s="6"/>
      <c r="G431" s="6"/>
      <c r="H431" s="6"/>
      <c r="I431" s="6"/>
      <c r="J431" s="11"/>
      <c r="K431" s="591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11.25" customHeight="1">
      <c r="A432" s="7"/>
      <c r="B432" s="5"/>
      <c r="C432" s="6"/>
      <c r="D432" s="6"/>
      <c r="E432" s="6"/>
      <c r="F432" s="6"/>
      <c r="G432" s="6"/>
      <c r="H432" s="6"/>
      <c r="I432" s="6"/>
      <c r="J432" s="11"/>
      <c r="K432" s="591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11.25" customHeight="1">
      <c r="A433" s="7"/>
      <c r="B433" s="5"/>
      <c r="C433" s="6"/>
      <c r="D433" s="6"/>
      <c r="E433" s="6"/>
      <c r="F433" s="6"/>
      <c r="G433" s="6"/>
      <c r="H433" s="6"/>
      <c r="I433" s="6"/>
      <c r="J433" s="11"/>
      <c r="K433" s="591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11.25" customHeight="1">
      <c r="A434" s="7"/>
      <c r="B434" s="5"/>
      <c r="C434" s="6"/>
      <c r="D434" s="6"/>
      <c r="E434" s="6"/>
      <c r="F434" s="6"/>
      <c r="G434" s="6"/>
      <c r="H434" s="6"/>
      <c r="I434" s="6"/>
      <c r="J434" s="11"/>
      <c r="K434" s="591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11.25" customHeight="1">
      <c r="A435" s="7"/>
      <c r="B435" s="5"/>
      <c r="C435" s="6"/>
      <c r="D435" s="6"/>
      <c r="E435" s="6"/>
      <c r="F435" s="6"/>
      <c r="G435" s="6"/>
      <c r="H435" s="6"/>
      <c r="I435" s="6"/>
      <c r="J435" s="11"/>
      <c r="K435" s="591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11.25" customHeight="1">
      <c r="A436" s="7"/>
      <c r="B436" s="5"/>
      <c r="C436" s="6"/>
      <c r="D436" s="6"/>
      <c r="E436" s="6"/>
      <c r="F436" s="6"/>
      <c r="G436" s="6"/>
      <c r="H436" s="6"/>
      <c r="I436" s="6"/>
      <c r="J436" s="11"/>
      <c r="K436" s="591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11.25" customHeight="1">
      <c r="A437" s="7"/>
      <c r="B437" s="5"/>
      <c r="C437" s="6"/>
      <c r="D437" s="6"/>
      <c r="E437" s="6"/>
      <c r="F437" s="6"/>
      <c r="G437" s="6"/>
      <c r="H437" s="6"/>
      <c r="I437" s="6"/>
      <c r="J437" s="11"/>
      <c r="K437" s="591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11.25" customHeight="1">
      <c r="A438" s="7"/>
      <c r="B438" s="5"/>
      <c r="C438" s="6"/>
      <c r="D438" s="6"/>
      <c r="E438" s="6"/>
      <c r="F438" s="6"/>
      <c r="G438" s="6"/>
      <c r="H438" s="6"/>
      <c r="I438" s="6"/>
      <c r="J438" s="11"/>
      <c r="K438" s="591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11.25" customHeight="1">
      <c r="A439" s="7"/>
      <c r="B439" s="5"/>
      <c r="C439" s="6"/>
      <c r="D439" s="6"/>
      <c r="E439" s="6"/>
      <c r="F439" s="6"/>
      <c r="G439" s="6"/>
      <c r="H439" s="6"/>
      <c r="I439" s="6"/>
      <c r="J439" s="11"/>
      <c r="K439" s="591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11.25" customHeight="1">
      <c r="A440" s="7"/>
      <c r="B440" s="5"/>
      <c r="C440" s="6"/>
      <c r="D440" s="6"/>
      <c r="E440" s="6"/>
      <c r="F440" s="6"/>
      <c r="G440" s="6"/>
      <c r="H440" s="6"/>
      <c r="I440" s="6"/>
      <c r="J440" s="11"/>
      <c r="K440" s="591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11.25" customHeight="1">
      <c r="A441" s="7"/>
      <c r="B441" s="5"/>
      <c r="C441" s="6"/>
      <c r="D441" s="6"/>
      <c r="E441" s="6"/>
      <c r="F441" s="6"/>
      <c r="G441" s="6"/>
      <c r="H441" s="6"/>
      <c r="I441" s="6"/>
      <c r="J441" s="11"/>
      <c r="K441" s="591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11.25" customHeight="1">
      <c r="A442" s="7"/>
      <c r="B442" s="5"/>
      <c r="C442" s="6"/>
      <c r="D442" s="6"/>
      <c r="E442" s="6"/>
      <c r="F442" s="6"/>
      <c r="G442" s="6"/>
      <c r="H442" s="6"/>
      <c r="I442" s="6"/>
      <c r="J442" s="11"/>
      <c r="K442" s="591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11.25" customHeight="1">
      <c r="A443" s="7"/>
      <c r="B443" s="5"/>
      <c r="C443" s="6"/>
      <c r="D443" s="6"/>
      <c r="E443" s="6"/>
      <c r="F443" s="6"/>
      <c r="G443" s="6"/>
      <c r="H443" s="6"/>
      <c r="I443" s="6"/>
      <c r="J443" s="11"/>
      <c r="K443" s="591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11.25" customHeight="1">
      <c r="A444" s="7"/>
      <c r="B444" s="5"/>
      <c r="C444" s="6"/>
      <c r="D444" s="6"/>
      <c r="E444" s="6"/>
      <c r="F444" s="6"/>
      <c r="G444" s="6"/>
      <c r="H444" s="6"/>
      <c r="I444" s="6"/>
      <c r="J444" s="11"/>
      <c r="K444" s="591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11.25" customHeight="1">
      <c r="A445" s="7"/>
      <c r="B445" s="5"/>
      <c r="C445" s="6"/>
      <c r="D445" s="6"/>
      <c r="E445" s="6"/>
      <c r="F445" s="6"/>
      <c r="G445" s="6"/>
      <c r="H445" s="6"/>
      <c r="I445" s="6"/>
      <c r="J445" s="11"/>
      <c r="K445" s="591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11.25" customHeight="1">
      <c r="A446" s="7"/>
      <c r="B446" s="5"/>
      <c r="C446" s="6"/>
      <c r="D446" s="6"/>
      <c r="E446" s="6"/>
      <c r="F446" s="6"/>
      <c r="G446" s="6"/>
      <c r="H446" s="6"/>
      <c r="I446" s="6"/>
      <c r="J446" s="11"/>
      <c r="K446" s="591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11.25" customHeight="1">
      <c r="A447" s="7"/>
      <c r="B447" s="5"/>
      <c r="C447" s="6"/>
      <c r="D447" s="6"/>
      <c r="E447" s="6"/>
      <c r="F447" s="6"/>
      <c r="G447" s="6"/>
      <c r="H447" s="6"/>
      <c r="I447" s="6"/>
      <c r="J447" s="11"/>
      <c r="K447" s="591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11.25" customHeight="1">
      <c r="A448" s="7"/>
      <c r="B448" s="5"/>
      <c r="C448" s="6"/>
      <c r="D448" s="6"/>
      <c r="E448" s="6"/>
      <c r="F448" s="6"/>
      <c r="G448" s="6"/>
      <c r="H448" s="6"/>
      <c r="I448" s="6"/>
      <c r="J448" s="11"/>
      <c r="K448" s="591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11.25" customHeight="1">
      <c r="A449" s="7"/>
      <c r="B449" s="5"/>
      <c r="C449" s="6"/>
      <c r="D449" s="6"/>
      <c r="E449" s="6"/>
      <c r="F449" s="6"/>
      <c r="G449" s="6"/>
      <c r="H449" s="6"/>
      <c r="I449" s="6"/>
      <c r="J449" s="11"/>
      <c r="K449" s="591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11.25" customHeight="1">
      <c r="A450" s="7"/>
      <c r="B450" s="5"/>
      <c r="C450" s="6"/>
      <c r="D450" s="6"/>
      <c r="E450" s="6"/>
      <c r="F450" s="6"/>
      <c r="G450" s="6"/>
      <c r="H450" s="6"/>
      <c r="I450" s="6"/>
      <c r="J450" s="11"/>
      <c r="K450" s="591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11.25" customHeight="1">
      <c r="A451" s="7"/>
      <c r="B451" s="5"/>
      <c r="C451" s="6"/>
      <c r="D451" s="6"/>
      <c r="E451" s="6"/>
      <c r="F451" s="6"/>
      <c r="G451" s="6"/>
      <c r="H451" s="6"/>
      <c r="I451" s="6"/>
      <c r="J451" s="11"/>
      <c r="K451" s="591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11.25" customHeight="1">
      <c r="A452" s="7"/>
      <c r="B452" s="5"/>
      <c r="C452" s="6"/>
      <c r="D452" s="6"/>
      <c r="E452" s="6"/>
      <c r="F452" s="6"/>
      <c r="G452" s="6"/>
      <c r="H452" s="6"/>
      <c r="I452" s="6"/>
      <c r="J452" s="11"/>
      <c r="K452" s="591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11.25" customHeight="1">
      <c r="A453" s="7"/>
      <c r="B453" s="5"/>
      <c r="C453" s="6"/>
      <c r="D453" s="6"/>
      <c r="E453" s="6"/>
      <c r="F453" s="6"/>
      <c r="G453" s="6"/>
      <c r="H453" s="6"/>
      <c r="I453" s="6"/>
      <c r="J453" s="11"/>
      <c r="K453" s="591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11.25" customHeight="1">
      <c r="A454" s="7"/>
      <c r="B454" s="5"/>
      <c r="C454" s="6"/>
      <c r="D454" s="6"/>
      <c r="E454" s="6"/>
      <c r="F454" s="6"/>
      <c r="G454" s="6"/>
      <c r="H454" s="6"/>
      <c r="I454" s="6"/>
      <c r="J454" s="11"/>
      <c r="K454" s="591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11.25" customHeight="1">
      <c r="A455" s="7"/>
      <c r="B455" s="5"/>
      <c r="C455" s="6"/>
      <c r="D455" s="6"/>
      <c r="E455" s="6"/>
      <c r="F455" s="6"/>
      <c r="G455" s="6"/>
      <c r="H455" s="6"/>
      <c r="I455" s="6"/>
      <c r="J455" s="11"/>
      <c r="K455" s="591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11.25" customHeight="1">
      <c r="A456" s="7"/>
      <c r="B456" s="5"/>
      <c r="C456" s="6"/>
      <c r="D456" s="6"/>
      <c r="E456" s="6"/>
      <c r="F456" s="6"/>
      <c r="G456" s="6"/>
      <c r="H456" s="6"/>
      <c r="I456" s="6"/>
      <c r="J456" s="11"/>
      <c r="K456" s="591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11.25" customHeight="1">
      <c r="A457" s="7"/>
      <c r="B457" s="5"/>
      <c r="C457" s="6"/>
      <c r="D457" s="6"/>
      <c r="E457" s="6"/>
      <c r="F457" s="6"/>
      <c r="G457" s="6"/>
      <c r="H457" s="6"/>
      <c r="I457" s="6"/>
      <c r="J457" s="11"/>
      <c r="K457" s="591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11.25" customHeight="1">
      <c r="A458" s="7"/>
      <c r="B458" s="5"/>
      <c r="C458" s="6"/>
      <c r="D458" s="6"/>
      <c r="E458" s="6"/>
      <c r="F458" s="6"/>
      <c r="G458" s="6"/>
      <c r="H458" s="6"/>
      <c r="I458" s="6"/>
      <c r="J458" s="11"/>
      <c r="K458" s="591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11.25" customHeight="1">
      <c r="A459" s="7"/>
      <c r="B459" s="5"/>
      <c r="C459" s="6"/>
      <c r="D459" s="6"/>
      <c r="E459" s="6"/>
      <c r="F459" s="6"/>
      <c r="G459" s="6"/>
      <c r="H459" s="6"/>
      <c r="I459" s="6"/>
      <c r="J459" s="11"/>
      <c r="K459" s="591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11.25" customHeight="1">
      <c r="A460" s="7"/>
      <c r="B460" s="5"/>
      <c r="C460" s="6"/>
      <c r="D460" s="6"/>
      <c r="E460" s="6"/>
      <c r="F460" s="6"/>
      <c r="G460" s="6"/>
      <c r="H460" s="6"/>
      <c r="I460" s="6"/>
      <c r="J460" s="11"/>
      <c r="K460" s="591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11.25" customHeight="1">
      <c r="A461" s="7"/>
      <c r="B461" s="5"/>
      <c r="C461" s="6"/>
      <c r="D461" s="6"/>
      <c r="E461" s="6"/>
      <c r="F461" s="6"/>
      <c r="G461" s="6"/>
      <c r="H461" s="6"/>
      <c r="I461" s="6"/>
      <c r="J461" s="11"/>
      <c r="K461" s="591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11.25" customHeight="1">
      <c r="A462" s="7"/>
      <c r="B462" s="5"/>
      <c r="C462" s="6"/>
      <c r="D462" s="6"/>
      <c r="E462" s="6"/>
      <c r="F462" s="6"/>
      <c r="G462" s="6"/>
      <c r="H462" s="6"/>
      <c r="I462" s="6"/>
      <c r="J462" s="11"/>
      <c r="K462" s="591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11.25" customHeight="1">
      <c r="A463" s="7"/>
      <c r="B463" s="5"/>
      <c r="C463" s="6"/>
      <c r="D463" s="6"/>
      <c r="E463" s="6"/>
      <c r="F463" s="6"/>
      <c r="G463" s="6"/>
      <c r="H463" s="6"/>
      <c r="I463" s="6"/>
      <c r="J463" s="11"/>
      <c r="K463" s="591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11.25" customHeight="1">
      <c r="A464" s="7"/>
      <c r="B464" s="5"/>
      <c r="C464" s="6"/>
      <c r="D464" s="6"/>
      <c r="E464" s="6"/>
      <c r="F464" s="6"/>
      <c r="G464" s="6"/>
      <c r="H464" s="6"/>
      <c r="I464" s="6"/>
      <c r="J464" s="11"/>
      <c r="K464" s="591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11.25" customHeight="1">
      <c r="A465" s="7"/>
      <c r="B465" s="5"/>
      <c r="C465" s="6"/>
      <c r="D465" s="6"/>
      <c r="E465" s="6"/>
      <c r="F465" s="6"/>
      <c r="G465" s="6"/>
      <c r="H465" s="6"/>
      <c r="I465" s="6"/>
      <c r="J465" s="11"/>
      <c r="K465" s="591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11.25" customHeight="1">
      <c r="A466" s="7"/>
      <c r="B466" s="5"/>
      <c r="C466" s="6"/>
      <c r="D466" s="6"/>
      <c r="E466" s="6"/>
      <c r="F466" s="6"/>
      <c r="G466" s="6"/>
      <c r="H466" s="6"/>
      <c r="I466" s="6"/>
      <c r="J466" s="11"/>
      <c r="K466" s="591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11.25" customHeight="1">
      <c r="A467" s="7"/>
      <c r="B467" s="5"/>
      <c r="C467" s="6"/>
      <c r="D467" s="6"/>
      <c r="E467" s="6"/>
      <c r="F467" s="6"/>
      <c r="G467" s="6"/>
      <c r="H467" s="6"/>
      <c r="I467" s="6"/>
      <c r="J467" s="11"/>
      <c r="K467" s="591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11.25" customHeight="1">
      <c r="A468" s="7"/>
      <c r="B468" s="5"/>
      <c r="C468" s="6"/>
      <c r="D468" s="6"/>
      <c r="E468" s="6"/>
      <c r="F468" s="6"/>
      <c r="G468" s="6"/>
      <c r="H468" s="6"/>
      <c r="I468" s="6"/>
      <c r="J468" s="11"/>
      <c r="K468" s="591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11.25" customHeight="1">
      <c r="A469" s="7"/>
      <c r="B469" s="5"/>
      <c r="C469" s="6"/>
      <c r="D469" s="6"/>
      <c r="E469" s="6"/>
      <c r="F469" s="6"/>
      <c r="G469" s="6"/>
      <c r="H469" s="6"/>
      <c r="I469" s="6"/>
      <c r="J469" s="11"/>
      <c r="K469" s="591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11.25" customHeight="1">
      <c r="A470" s="7"/>
      <c r="B470" s="5"/>
      <c r="C470" s="6"/>
      <c r="D470" s="6"/>
      <c r="E470" s="6"/>
      <c r="F470" s="6"/>
      <c r="G470" s="6"/>
      <c r="H470" s="6"/>
      <c r="I470" s="6"/>
      <c r="J470" s="11"/>
      <c r="K470" s="591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11.25" customHeight="1">
      <c r="A471" s="7"/>
      <c r="B471" s="5"/>
      <c r="C471" s="6"/>
      <c r="D471" s="6"/>
      <c r="E471" s="6"/>
      <c r="F471" s="6"/>
      <c r="G471" s="6"/>
      <c r="H471" s="6"/>
      <c r="I471" s="6"/>
      <c r="J471" s="11"/>
      <c r="K471" s="591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11.25" customHeight="1">
      <c r="A472" s="7"/>
      <c r="B472" s="5"/>
      <c r="C472" s="6"/>
      <c r="D472" s="6"/>
      <c r="E472" s="6"/>
      <c r="F472" s="6"/>
      <c r="G472" s="6"/>
      <c r="H472" s="6"/>
      <c r="I472" s="6"/>
      <c r="J472" s="11"/>
      <c r="K472" s="591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11.25" customHeight="1">
      <c r="A473" s="7"/>
      <c r="B473" s="5"/>
      <c r="C473" s="6"/>
      <c r="D473" s="6"/>
      <c r="E473" s="6"/>
      <c r="F473" s="6"/>
      <c r="G473" s="6"/>
      <c r="H473" s="6"/>
      <c r="I473" s="6"/>
      <c r="J473" s="11"/>
      <c r="K473" s="591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11.25" customHeight="1">
      <c r="A474" s="7"/>
      <c r="B474" s="5"/>
      <c r="C474" s="6"/>
      <c r="D474" s="6"/>
      <c r="E474" s="6"/>
      <c r="F474" s="6"/>
      <c r="G474" s="6"/>
      <c r="H474" s="6"/>
      <c r="I474" s="6"/>
      <c r="J474" s="11"/>
      <c r="K474" s="591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11.25" customHeight="1">
      <c r="A475" s="7"/>
      <c r="B475" s="5"/>
      <c r="C475" s="6"/>
      <c r="D475" s="6"/>
      <c r="E475" s="6"/>
      <c r="F475" s="6"/>
      <c r="G475" s="6"/>
      <c r="H475" s="6"/>
      <c r="I475" s="6"/>
      <c r="J475" s="11"/>
      <c r="K475" s="591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11.25" customHeight="1">
      <c r="A476" s="7"/>
      <c r="B476" s="5"/>
      <c r="C476" s="6"/>
      <c r="D476" s="6"/>
      <c r="E476" s="6"/>
      <c r="F476" s="6"/>
      <c r="G476" s="6"/>
      <c r="H476" s="6"/>
      <c r="I476" s="6"/>
      <c r="J476" s="11"/>
      <c r="K476" s="591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11.25" customHeight="1">
      <c r="A477" s="7"/>
      <c r="B477" s="5"/>
      <c r="C477" s="6"/>
      <c r="D477" s="6"/>
      <c r="E477" s="6"/>
      <c r="F477" s="6"/>
      <c r="G477" s="6"/>
      <c r="H477" s="6"/>
      <c r="I477" s="6"/>
      <c r="J477" s="11"/>
      <c r="K477" s="591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11.25" customHeight="1">
      <c r="A478" s="7"/>
      <c r="B478" s="5"/>
      <c r="C478" s="6"/>
      <c r="D478" s="6"/>
      <c r="E478" s="6"/>
      <c r="F478" s="6"/>
      <c r="G478" s="6"/>
      <c r="H478" s="6"/>
      <c r="I478" s="6"/>
      <c r="J478" s="11"/>
      <c r="K478" s="591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11.25" customHeight="1">
      <c r="A479" s="7"/>
      <c r="B479" s="5"/>
      <c r="C479" s="6"/>
      <c r="D479" s="6"/>
      <c r="E479" s="6"/>
      <c r="F479" s="6"/>
      <c r="G479" s="6"/>
      <c r="H479" s="6"/>
      <c r="I479" s="6"/>
      <c r="J479" s="11"/>
      <c r="K479" s="591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11.25" customHeight="1">
      <c r="A480" s="7"/>
      <c r="B480" s="5"/>
      <c r="C480" s="6"/>
      <c r="D480" s="6"/>
      <c r="E480" s="6"/>
      <c r="F480" s="6"/>
      <c r="G480" s="6"/>
      <c r="H480" s="6"/>
      <c r="I480" s="6"/>
      <c r="J480" s="11"/>
      <c r="K480" s="591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11.25" customHeight="1">
      <c r="A481" s="7"/>
      <c r="B481" s="5"/>
      <c r="C481" s="6"/>
      <c r="D481" s="6"/>
      <c r="E481" s="6"/>
      <c r="F481" s="6"/>
      <c r="G481" s="6"/>
      <c r="H481" s="6"/>
      <c r="I481" s="6"/>
      <c r="J481" s="11"/>
      <c r="K481" s="591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11.25" customHeight="1">
      <c r="A482" s="7"/>
      <c r="B482" s="5"/>
      <c r="C482" s="6"/>
      <c r="D482" s="6"/>
      <c r="E482" s="6"/>
      <c r="F482" s="6"/>
      <c r="G482" s="6"/>
      <c r="H482" s="6"/>
      <c r="I482" s="6"/>
      <c r="J482" s="11"/>
      <c r="K482" s="591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11.25" customHeight="1">
      <c r="A483" s="7"/>
      <c r="B483" s="5"/>
      <c r="C483" s="6"/>
      <c r="D483" s="6"/>
      <c r="E483" s="6"/>
      <c r="F483" s="6"/>
      <c r="G483" s="6"/>
      <c r="H483" s="6"/>
      <c r="I483" s="6"/>
      <c r="J483" s="11"/>
      <c r="K483" s="591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11.25" customHeight="1">
      <c r="A484" s="7"/>
      <c r="B484" s="5"/>
      <c r="C484" s="6"/>
      <c r="D484" s="6"/>
      <c r="E484" s="6"/>
      <c r="F484" s="6"/>
      <c r="G484" s="6"/>
      <c r="H484" s="6"/>
      <c r="I484" s="6"/>
      <c r="J484" s="11"/>
      <c r="K484" s="591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11.25" customHeight="1">
      <c r="A485" s="7"/>
      <c r="B485" s="5"/>
      <c r="C485" s="6"/>
      <c r="D485" s="6"/>
      <c r="E485" s="6"/>
      <c r="F485" s="6"/>
      <c r="G485" s="6"/>
      <c r="H485" s="6"/>
      <c r="I485" s="6"/>
      <c r="J485" s="11"/>
      <c r="K485" s="591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11.25" customHeight="1">
      <c r="A486" s="7"/>
      <c r="B486" s="5"/>
      <c r="C486" s="6"/>
      <c r="D486" s="6"/>
      <c r="E486" s="6"/>
      <c r="F486" s="6"/>
      <c r="G486" s="6"/>
      <c r="H486" s="6"/>
      <c r="I486" s="6"/>
      <c r="J486" s="11"/>
      <c r="K486" s="591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11.25" customHeight="1">
      <c r="A487" s="7"/>
      <c r="B487" s="5"/>
      <c r="C487" s="6"/>
      <c r="D487" s="6"/>
      <c r="E487" s="6"/>
      <c r="F487" s="6"/>
      <c r="G487" s="6"/>
      <c r="H487" s="6"/>
      <c r="I487" s="6"/>
      <c r="J487" s="11"/>
      <c r="K487" s="591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11.25" customHeight="1">
      <c r="A488" s="7"/>
      <c r="B488" s="5"/>
      <c r="C488" s="6"/>
      <c r="D488" s="6"/>
      <c r="E488" s="6"/>
      <c r="F488" s="6"/>
      <c r="G488" s="6"/>
      <c r="H488" s="6"/>
      <c r="I488" s="6"/>
      <c r="J488" s="11"/>
      <c r="K488" s="591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11.25" customHeight="1">
      <c r="A489" s="7"/>
      <c r="B489" s="5"/>
      <c r="C489" s="6"/>
      <c r="D489" s="6"/>
      <c r="E489" s="6"/>
      <c r="F489" s="6"/>
      <c r="G489" s="6"/>
      <c r="H489" s="6"/>
      <c r="I489" s="6"/>
      <c r="J489" s="11"/>
      <c r="K489" s="591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11.25" customHeight="1">
      <c r="A490" s="7"/>
      <c r="B490" s="5"/>
      <c r="C490" s="6"/>
      <c r="D490" s="6"/>
      <c r="E490" s="6"/>
      <c r="F490" s="6"/>
      <c r="G490" s="6"/>
      <c r="H490" s="6"/>
      <c r="I490" s="6"/>
      <c r="J490" s="11"/>
      <c r="K490" s="591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11.25" customHeight="1">
      <c r="A491" s="7"/>
      <c r="B491" s="5"/>
      <c r="C491" s="6"/>
      <c r="D491" s="6"/>
      <c r="E491" s="6"/>
      <c r="F491" s="6"/>
      <c r="G491" s="6"/>
      <c r="H491" s="6"/>
      <c r="I491" s="6"/>
      <c r="J491" s="11"/>
      <c r="K491" s="591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11.25" customHeight="1">
      <c r="A492" s="7"/>
      <c r="B492" s="5"/>
      <c r="C492" s="6"/>
      <c r="D492" s="6"/>
      <c r="E492" s="6"/>
      <c r="F492" s="6"/>
      <c r="G492" s="6"/>
      <c r="H492" s="6"/>
      <c r="I492" s="6"/>
      <c r="J492" s="11"/>
      <c r="K492" s="591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11.25" customHeight="1">
      <c r="A493" s="7"/>
      <c r="B493" s="5"/>
      <c r="C493" s="6"/>
      <c r="D493" s="6"/>
      <c r="E493" s="6"/>
      <c r="F493" s="6"/>
      <c r="G493" s="6"/>
      <c r="H493" s="6"/>
      <c r="I493" s="6"/>
      <c r="J493" s="11"/>
      <c r="K493" s="591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11.25" customHeight="1">
      <c r="A494" s="7"/>
      <c r="B494" s="5"/>
      <c r="C494" s="6"/>
      <c r="D494" s="6"/>
      <c r="E494" s="6"/>
      <c r="F494" s="6"/>
      <c r="G494" s="6"/>
      <c r="H494" s="6"/>
      <c r="I494" s="6"/>
      <c r="J494" s="11"/>
      <c r="K494" s="591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11.25" customHeight="1">
      <c r="A495" s="7"/>
      <c r="B495" s="5"/>
      <c r="C495" s="6"/>
      <c r="D495" s="6"/>
      <c r="E495" s="6"/>
      <c r="F495" s="6"/>
      <c r="G495" s="6"/>
      <c r="H495" s="6"/>
      <c r="I495" s="6"/>
      <c r="J495" s="11"/>
      <c r="K495" s="591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11.25" customHeight="1">
      <c r="A496" s="7"/>
      <c r="B496" s="5"/>
      <c r="C496" s="6"/>
      <c r="D496" s="6"/>
      <c r="E496" s="6"/>
      <c r="F496" s="6"/>
      <c r="G496" s="6"/>
      <c r="H496" s="6"/>
      <c r="I496" s="6"/>
      <c r="J496" s="11"/>
      <c r="K496" s="591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11.25" customHeight="1">
      <c r="A497" s="7"/>
      <c r="B497" s="5"/>
      <c r="C497" s="6"/>
      <c r="D497" s="6"/>
      <c r="E497" s="6"/>
      <c r="F497" s="6"/>
      <c r="G497" s="6"/>
      <c r="H497" s="6"/>
      <c r="I497" s="6"/>
      <c r="J497" s="11"/>
      <c r="K497" s="591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11.25" customHeight="1">
      <c r="A498" s="7"/>
      <c r="B498" s="5"/>
      <c r="C498" s="6"/>
      <c r="D498" s="6"/>
      <c r="E498" s="6"/>
      <c r="F498" s="6"/>
      <c r="G498" s="6"/>
      <c r="H498" s="6"/>
      <c r="I498" s="6"/>
      <c r="J498" s="11"/>
      <c r="K498" s="591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11.25" customHeight="1">
      <c r="A499" s="7"/>
      <c r="B499" s="5"/>
      <c r="C499" s="6"/>
      <c r="D499" s="6"/>
      <c r="E499" s="6"/>
      <c r="F499" s="6"/>
      <c r="G499" s="6"/>
      <c r="H499" s="6"/>
      <c r="I499" s="6"/>
      <c r="J499" s="11"/>
      <c r="K499" s="591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11.25" customHeight="1">
      <c r="A500" s="7"/>
      <c r="B500" s="5"/>
      <c r="C500" s="6"/>
      <c r="D500" s="6"/>
      <c r="E500" s="6"/>
      <c r="F500" s="6"/>
      <c r="G500" s="6"/>
      <c r="H500" s="6"/>
      <c r="I500" s="6"/>
      <c r="J500" s="11"/>
      <c r="K500" s="591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11.25" customHeight="1">
      <c r="A501" s="7"/>
      <c r="B501" s="5"/>
      <c r="C501" s="6"/>
      <c r="D501" s="6"/>
      <c r="E501" s="6"/>
      <c r="F501" s="6"/>
      <c r="G501" s="6"/>
      <c r="H501" s="6"/>
      <c r="I501" s="6"/>
      <c r="J501" s="11"/>
      <c r="K501" s="591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11.25" customHeight="1">
      <c r="A502" s="7"/>
      <c r="B502" s="5"/>
      <c r="C502" s="6"/>
      <c r="D502" s="6"/>
      <c r="E502" s="6"/>
      <c r="F502" s="6"/>
      <c r="G502" s="6"/>
      <c r="H502" s="6"/>
      <c r="I502" s="6"/>
      <c r="J502" s="11"/>
      <c r="K502" s="591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ht="11.25" customHeight="1">
      <c r="A503" s="7"/>
      <c r="B503" s="5"/>
      <c r="C503" s="6"/>
      <c r="D503" s="6"/>
      <c r="E503" s="6"/>
      <c r="F503" s="6"/>
      <c r="G503" s="6"/>
      <c r="H503" s="6"/>
      <c r="I503" s="6"/>
      <c r="J503" s="11"/>
      <c r="K503" s="591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ht="11.25" customHeight="1">
      <c r="A504" s="7"/>
      <c r="B504" s="5"/>
      <c r="C504" s="6"/>
      <c r="D504" s="6"/>
      <c r="E504" s="6"/>
      <c r="F504" s="6"/>
      <c r="G504" s="6"/>
      <c r="H504" s="6"/>
      <c r="I504" s="6"/>
      <c r="J504" s="11"/>
      <c r="K504" s="591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ht="11.25" customHeight="1">
      <c r="A505" s="7"/>
      <c r="B505" s="5"/>
      <c r="C505" s="6"/>
      <c r="D505" s="6"/>
      <c r="E505" s="6"/>
      <c r="F505" s="6"/>
      <c r="G505" s="6"/>
      <c r="H505" s="6"/>
      <c r="I505" s="6"/>
      <c r="J505" s="11"/>
      <c r="K505" s="591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ht="11.25" customHeight="1">
      <c r="A506" s="7"/>
      <c r="B506" s="5"/>
      <c r="C506" s="6"/>
      <c r="D506" s="6"/>
      <c r="E506" s="6"/>
      <c r="F506" s="6"/>
      <c r="G506" s="6"/>
      <c r="H506" s="6"/>
      <c r="I506" s="6"/>
      <c r="J506" s="11"/>
      <c r="K506" s="591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ht="11.25" customHeight="1">
      <c r="A507" s="7"/>
      <c r="B507" s="5"/>
      <c r="C507" s="6"/>
      <c r="D507" s="6"/>
      <c r="E507" s="6"/>
      <c r="F507" s="6"/>
      <c r="G507" s="6"/>
      <c r="H507" s="6"/>
      <c r="I507" s="6"/>
      <c r="J507" s="11"/>
      <c r="K507" s="591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ht="11.25" customHeight="1">
      <c r="A508" s="7"/>
      <c r="B508" s="5"/>
      <c r="C508" s="6"/>
      <c r="D508" s="6"/>
      <c r="E508" s="6"/>
      <c r="F508" s="6"/>
      <c r="G508" s="6"/>
      <c r="H508" s="6"/>
      <c r="I508" s="6"/>
      <c r="J508" s="11"/>
      <c r="K508" s="591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ht="11.25" customHeight="1">
      <c r="A509" s="7"/>
      <c r="B509" s="5"/>
      <c r="C509" s="6"/>
      <c r="D509" s="6"/>
      <c r="E509" s="6"/>
      <c r="F509" s="6"/>
      <c r="G509" s="6"/>
      <c r="H509" s="6"/>
      <c r="I509" s="6"/>
      <c r="J509" s="11"/>
      <c r="K509" s="591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ht="11.25" customHeight="1">
      <c r="A510" s="7"/>
      <c r="B510" s="5"/>
      <c r="C510" s="6"/>
      <c r="D510" s="6"/>
      <c r="E510" s="6"/>
      <c r="F510" s="6"/>
      <c r="G510" s="6"/>
      <c r="H510" s="6"/>
      <c r="I510" s="6"/>
      <c r="J510" s="11"/>
      <c r="K510" s="591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ht="11.25" customHeight="1">
      <c r="A511" s="7"/>
      <c r="B511" s="5"/>
      <c r="C511" s="6"/>
      <c r="D511" s="6"/>
      <c r="E511" s="6"/>
      <c r="F511" s="6"/>
      <c r="G511" s="6"/>
      <c r="H511" s="6"/>
      <c r="I511" s="6"/>
      <c r="J511" s="11"/>
      <c r="K511" s="591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ht="11.25" customHeight="1">
      <c r="A512" s="7"/>
      <c r="B512" s="5"/>
      <c r="C512" s="6"/>
      <c r="D512" s="6"/>
      <c r="E512" s="6"/>
      <c r="F512" s="6"/>
      <c r="G512" s="6"/>
      <c r="H512" s="6"/>
      <c r="I512" s="6"/>
      <c r="J512" s="11"/>
      <c r="K512" s="591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ht="11.25" customHeight="1">
      <c r="A513" s="7"/>
      <c r="B513" s="5"/>
      <c r="C513" s="6"/>
      <c r="D513" s="6"/>
      <c r="E513" s="6"/>
      <c r="F513" s="6"/>
      <c r="G513" s="6"/>
      <c r="H513" s="6"/>
      <c r="I513" s="6"/>
      <c r="J513" s="11"/>
      <c r="K513" s="591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ht="11.25" customHeight="1">
      <c r="A514" s="7"/>
      <c r="B514" s="5"/>
      <c r="C514" s="6"/>
      <c r="D514" s="6"/>
      <c r="E514" s="6"/>
      <c r="F514" s="6"/>
      <c r="G514" s="6"/>
      <c r="H514" s="6"/>
      <c r="I514" s="6"/>
      <c r="J514" s="11"/>
      <c r="K514" s="591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ht="11.25" customHeight="1">
      <c r="A515" s="7"/>
      <c r="B515" s="5"/>
      <c r="C515" s="6"/>
      <c r="D515" s="6"/>
      <c r="E515" s="6"/>
      <c r="F515" s="6"/>
      <c r="G515" s="6"/>
      <c r="H515" s="6"/>
      <c r="I515" s="6"/>
      <c r="J515" s="11"/>
      <c r="K515" s="591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ht="11.25" customHeight="1">
      <c r="A516" s="7"/>
      <c r="B516" s="5"/>
      <c r="C516" s="6"/>
      <c r="D516" s="6"/>
      <c r="E516" s="6"/>
      <c r="F516" s="6"/>
      <c r="G516" s="6"/>
      <c r="H516" s="6"/>
      <c r="I516" s="6"/>
      <c r="J516" s="11"/>
      <c r="K516" s="591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ht="11.25" customHeight="1">
      <c r="A517" s="7"/>
      <c r="B517" s="5"/>
      <c r="C517" s="6"/>
      <c r="D517" s="6"/>
      <c r="E517" s="6"/>
      <c r="F517" s="6"/>
      <c r="G517" s="6"/>
      <c r="H517" s="6"/>
      <c r="I517" s="6"/>
      <c r="J517" s="11"/>
      <c r="K517" s="591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ht="11.25" customHeight="1">
      <c r="A518" s="7"/>
      <c r="B518" s="5"/>
      <c r="C518" s="6"/>
      <c r="D518" s="6"/>
      <c r="E518" s="6"/>
      <c r="F518" s="6"/>
      <c r="G518" s="6"/>
      <c r="H518" s="6"/>
      <c r="I518" s="6"/>
      <c r="J518" s="11"/>
      <c r="K518" s="591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ht="11.25" customHeight="1">
      <c r="A519" s="7"/>
      <c r="B519" s="5"/>
      <c r="C519" s="6"/>
      <c r="D519" s="6"/>
      <c r="E519" s="6"/>
      <c r="F519" s="6"/>
      <c r="G519" s="6"/>
      <c r="H519" s="6"/>
      <c r="I519" s="6"/>
      <c r="J519" s="11"/>
      <c r="K519" s="591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ht="11.25" customHeight="1">
      <c r="A520" s="7"/>
      <c r="B520" s="5"/>
      <c r="C520" s="6"/>
      <c r="D520" s="6"/>
      <c r="E520" s="6"/>
      <c r="F520" s="6"/>
      <c r="G520" s="6"/>
      <c r="H520" s="6"/>
      <c r="I520" s="6"/>
      <c r="J520" s="11"/>
      <c r="K520" s="591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ht="11.25" customHeight="1">
      <c r="A521" s="7"/>
      <c r="B521" s="5"/>
      <c r="C521" s="6"/>
      <c r="D521" s="6"/>
      <c r="E521" s="6"/>
      <c r="F521" s="6"/>
      <c r="G521" s="6"/>
      <c r="H521" s="6"/>
      <c r="I521" s="6"/>
      <c r="J521" s="11"/>
      <c r="K521" s="591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ht="11.25" customHeight="1">
      <c r="A522" s="7"/>
      <c r="B522" s="5"/>
      <c r="C522" s="6"/>
      <c r="D522" s="6"/>
      <c r="E522" s="6"/>
      <c r="F522" s="6"/>
      <c r="G522" s="6"/>
      <c r="H522" s="6"/>
      <c r="I522" s="6"/>
      <c r="J522" s="11"/>
      <c r="K522" s="591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ht="11.25" customHeight="1">
      <c r="A523" s="7"/>
      <c r="B523" s="5"/>
      <c r="C523" s="6"/>
      <c r="D523" s="6"/>
      <c r="E523" s="6"/>
      <c r="F523" s="6"/>
      <c r="G523" s="6"/>
      <c r="H523" s="6"/>
      <c r="I523" s="6"/>
      <c r="J523" s="11"/>
      <c r="K523" s="591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ht="11.25" customHeight="1">
      <c r="A524" s="7"/>
      <c r="B524" s="5"/>
      <c r="C524" s="6"/>
      <c r="D524" s="6"/>
      <c r="E524" s="6"/>
      <c r="F524" s="6"/>
      <c r="G524" s="6"/>
      <c r="H524" s="6"/>
      <c r="I524" s="6"/>
      <c r="J524" s="11"/>
      <c r="K524" s="591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ht="11.25" customHeight="1">
      <c r="A525" s="7"/>
      <c r="B525" s="5"/>
      <c r="C525" s="6"/>
      <c r="D525" s="6"/>
      <c r="E525" s="6"/>
      <c r="F525" s="6"/>
      <c r="G525" s="6"/>
      <c r="H525" s="6"/>
      <c r="I525" s="6"/>
      <c r="J525" s="11"/>
      <c r="K525" s="591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ht="11.25" customHeight="1">
      <c r="A526" s="7"/>
      <c r="B526" s="5"/>
      <c r="C526" s="6"/>
      <c r="D526" s="6"/>
      <c r="E526" s="6"/>
      <c r="F526" s="6"/>
      <c r="G526" s="6"/>
      <c r="H526" s="6"/>
      <c r="I526" s="6"/>
      <c r="J526" s="11"/>
      <c r="K526" s="591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ht="11.25" customHeight="1">
      <c r="A527" s="7"/>
      <c r="B527" s="5"/>
      <c r="C527" s="6"/>
      <c r="D527" s="6"/>
      <c r="E527" s="6"/>
      <c r="F527" s="6"/>
      <c r="G527" s="6"/>
      <c r="H527" s="6"/>
      <c r="I527" s="6"/>
      <c r="J527" s="11"/>
      <c r="K527" s="591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ht="11.25" customHeight="1">
      <c r="A528" s="7"/>
      <c r="B528" s="5"/>
      <c r="C528" s="6"/>
      <c r="D528" s="6"/>
      <c r="E528" s="6"/>
      <c r="F528" s="6"/>
      <c r="G528" s="6"/>
      <c r="H528" s="6"/>
      <c r="I528" s="6"/>
      <c r="J528" s="11"/>
      <c r="K528" s="591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ht="11.25" customHeight="1">
      <c r="A529" s="7"/>
      <c r="B529" s="5"/>
      <c r="C529" s="6"/>
      <c r="D529" s="6"/>
      <c r="E529" s="6"/>
      <c r="F529" s="6"/>
      <c r="G529" s="6"/>
      <c r="H529" s="6"/>
      <c r="I529" s="6"/>
      <c r="J529" s="11"/>
      <c r="K529" s="591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ht="11.25" customHeight="1">
      <c r="A530" s="7"/>
      <c r="B530" s="5"/>
      <c r="C530" s="6"/>
      <c r="D530" s="6"/>
      <c r="E530" s="6"/>
      <c r="F530" s="6"/>
      <c r="G530" s="6"/>
      <c r="H530" s="6"/>
      <c r="I530" s="6"/>
      <c r="J530" s="11"/>
      <c r="K530" s="591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11.25" customHeight="1">
      <c r="A531" s="7"/>
      <c r="B531" s="5"/>
      <c r="C531" s="6"/>
      <c r="D531" s="6"/>
      <c r="E531" s="6"/>
      <c r="F531" s="6"/>
      <c r="G531" s="6"/>
      <c r="H531" s="6"/>
      <c r="I531" s="6"/>
      <c r="J531" s="11"/>
      <c r="K531" s="591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ht="11.25" customHeight="1">
      <c r="A532" s="7"/>
      <c r="B532" s="5"/>
      <c r="C532" s="6"/>
      <c r="D532" s="6"/>
      <c r="E532" s="6"/>
      <c r="F532" s="6"/>
      <c r="G532" s="6"/>
      <c r="H532" s="6"/>
      <c r="I532" s="6"/>
      <c r="J532" s="11"/>
      <c r="K532" s="591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ht="11.25" customHeight="1">
      <c r="A533" s="7"/>
      <c r="B533" s="5"/>
      <c r="C533" s="6"/>
      <c r="D533" s="6"/>
      <c r="E533" s="6"/>
      <c r="F533" s="6"/>
      <c r="G533" s="6"/>
      <c r="H533" s="6"/>
      <c r="I533" s="6"/>
      <c r="J533" s="11"/>
      <c r="K533" s="591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ht="11.25" customHeight="1">
      <c r="A534" s="7"/>
      <c r="B534" s="5"/>
      <c r="C534" s="6"/>
      <c r="D534" s="6"/>
      <c r="E534" s="6"/>
      <c r="F534" s="6"/>
      <c r="G534" s="6"/>
      <c r="H534" s="6"/>
      <c r="I534" s="6"/>
      <c r="J534" s="11"/>
      <c r="K534" s="591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ht="11.25" customHeight="1">
      <c r="A535" s="7"/>
      <c r="B535" s="5"/>
      <c r="C535" s="6"/>
      <c r="D535" s="6"/>
      <c r="E535" s="6"/>
      <c r="F535" s="6"/>
      <c r="G535" s="6"/>
      <c r="H535" s="6"/>
      <c r="I535" s="6"/>
      <c r="J535" s="11"/>
      <c r="K535" s="591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ht="11.25" customHeight="1">
      <c r="A536" s="7"/>
      <c r="B536" s="5"/>
      <c r="C536" s="6"/>
      <c r="D536" s="6"/>
      <c r="E536" s="6"/>
      <c r="F536" s="6"/>
      <c r="G536" s="6"/>
      <c r="H536" s="6"/>
      <c r="I536" s="6"/>
      <c r="J536" s="11"/>
      <c r="K536" s="591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ht="11.25" customHeight="1">
      <c r="A537" s="7"/>
      <c r="B537" s="5"/>
      <c r="C537" s="6"/>
      <c r="D537" s="6"/>
      <c r="E537" s="6"/>
      <c r="F537" s="6"/>
      <c r="G537" s="6"/>
      <c r="H537" s="6"/>
      <c r="I537" s="6"/>
      <c r="J537" s="11"/>
      <c r="K537" s="591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ht="11.25" customHeight="1">
      <c r="A538" s="7"/>
      <c r="B538" s="5"/>
      <c r="C538" s="6"/>
      <c r="D538" s="6"/>
      <c r="E538" s="6"/>
      <c r="F538" s="6"/>
      <c r="G538" s="6"/>
      <c r="H538" s="6"/>
      <c r="I538" s="6"/>
      <c r="J538" s="11"/>
      <c r="K538" s="591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ht="11.25" customHeight="1">
      <c r="A539" s="7"/>
      <c r="B539" s="5"/>
      <c r="C539" s="6"/>
      <c r="D539" s="6"/>
      <c r="E539" s="6"/>
      <c r="F539" s="6"/>
      <c r="G539" s="6"/>
      <c r="H539" s="6"/>
      <c r="I539" s="6"/>
      <c r="J539" s="11"/>
      <c r="K539" s="591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ht="11.25" customHeight="1">
      <c r="A540" s="7"/>
      <c r="B540" s="5"/>
      <c r="C540" s="6"/>
      <c r="D540" s="6"/>
      <c r="E540" s="6"/>
      <c r="F540" s="6"/>
      <c r="G540" s="6"/>
      <c r="H540" s="6"/>
      <c r="I540" s="6"/>
      <c r="J540" s="11"/>
      <c r="K540" s="591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ht="11.25" customHeight="1">
      <c r="A541" s="7"/>
      <c r="B541" s="5"/>
      <c r="C541" s="6"/>
      <c r="D541" s="6"/>
      <c r="E541" s="6"/>
      <c r="F541" s="6"/>
      <c r="G541" s="6"/>
      <c r="H541" s="6"/>
      <c r="I541" s="6"/>
      <c r="J541" s="11"/>
      <c r="K541" s="591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ht="11.25" customHeight="1">
      <c r="A542" s="7"/>
      <c r="B542" s="5"/>
      <c r="C542" s="6"/>
      <c r="D542" s="6"/>
      <c r="E542" s="6"/>
      <c r="F542" s="6"/>
      <c r="G542" s="6"/>
      <c r="H542" s="6"/>
      <c r="I542" s="6"/>
      <c r="J542" s="11"/>
      <c r="K542" s="591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ht="11.25" customHeight="1">
      <c r="A543" s="7"/>
      <c r="B543" s="5"/>
      <c r="C543" s="6"/>
      <c r="D543" s="6"/>
      <c r="E543" s="6"/>
      <c r="F543" s="6"/>
      <c r="G543" s="6"/>
      <c r="H543" s="6"/>
      <c r="I543" s="6"/>
      <c r="J543" s="11"/>
      <c r="K543" s="591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ht="11.25" customHeight="1">
      <c r="A544" s="7"/>
      <c r="B544" s="5"/>
      <c r="C544" s="6"/>
      <c r="D544" s="6"/>
      <c r="E544" s="6"/>
      <c r="F544" s="6"/>
      <c r="G544" s="6"/>
      <c r="H544" s="6"/>
      <c r="I544" s="6"/>
      <c r="J544" s="11"/>
      <c r="K544" s="591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ht="11.25" customHeight="1">
      <c r="A545" s="7"/>
      <c r="B545" s="5"/>
      <c r="C545" s="6"/>
      <c r="D545" s="6"/>
      <c r="E545" s="6"/>
      <c r="F545" s="6"/>
      <c r="G545" s="6"/>
      <c r="H545" s="6"/>
      <c r="I545" s="6"/>
      <c r="J545" s="11"/>
      <c r="K545" s="591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ht="11.25" customHeight="1">
      <c r="A546" s="7"/>
      <c r="B546" s="5"/>
      <c r="C546" s="6"/>
      <c r="D546" s="6"/>
      <c r="E546" s="6"/>
      <c r="F546" s="6"/>
      <c r="G546" s="6"/>
      <c r="H546" s="6"/>
      <c r="I546" s="6"/>
      <c r="J546" s="11"/>
      <c r="K546" s="591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ht="11.25" customHeight="1">
      <c r="A547" s="7"/>
      <c r="B547" s="5"/>
      <c r="C547" s="6"/>
      <c r="D547" s="6"/>
      <c r="E547" s="6"/>
      <c r="F547" s="6"/>
      <c r="G547" s="6"/>
      <c r="H547" s="6"/>
      <c r="I547" s="6"/>
      <c r="J547" s="11"/>
      <c r="K547" s="591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ht="11.25" customHeight="1">
      <c r="A548" s="7"/>
      <c r="B548" s="5"/>
      <c r="C548" s="6"/>
      <c r="D548" s="6"/>
      <c r="E548" s="6"/>
      <c r="F548" s="6"/>
      <c r="G548" s="6"/>
      <c r="H548" s="6"/>
      <c r="I548" s="6"/>
      <c r="J548" s="11"/>
      <c r="K548" s="591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ht="11.25" customHeight="1">
      <c r="A549" s="7"/>
      <c r="B549" s="5"/>
      <c r="C549" s="6"/>
      <c r="D549" s="6"/>
      <c r="E549" s="6"/>
      <c r="F549" s="6"/>
      <c r="G549" s="6"/>
      <c r="H549" s="6"/>
      <c r="I549" s="6"/>
      <c r="J549" s="11"/>
      <c r="K549" s="591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ht="11.25" customHeight="1">
      <c r="A550" s="7"/>
      <c r="B550" s="5"/>
      <c r="C550" s="6"/>
      <c r="D550" s="6"/>
      <c r="E550" s="6"/>
      <c r="F550" s="6"/>
      <c r="G550" s="6"/>
      <c r="H550" s="6"/>
      <c r="I550" s="6"/>
      <c r="J550" s="11"/>
      <c r="K550" s="591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ht="11.25" customHeight="1">
      <c r="A551" s="7"/>
      <c r="B551" s="5"/>
      <c r="C551" s="6"/>
      <c r="D551" s="6"/>
      <c r="E551" s="6"/>
      <c r="F551" s="6"/>
      <c r="G551" s="6"/>
      <c r="H551" s="6"/>
      <c r="I551" s="6"/>
      <c r="J551" s="11"/>
      <c r="K551" s="591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ht="11.25" customHeight="1">
      <c r="A552" s="7"/>
      <c r="B552" s="5"/>
      <c r="C552" s="6"/>
      <c r="D552" s="6"/>
      <c r="E552" s="6"/>
      <c r="F552" s="6"/>
      <c r="G552" s="6"/>
      <c r="H552" s="6"/>
      <c r="I552" s="6"/>
      <c r="J552" s="11"/>
      <c r="K552" s="591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ht="11.25" customHeight="1">
      <c r="A553" s="7"/>
      <c r="B553" s="5"/>
      <c r="C553" s="6"/>
      <c r="D553" s="6"/>
      <c r="E553" s="6"/>
      <c r="F553" s="6"/>
      <c r="G553" s="6"/>
      <c r="H553" s="6"/>
      <c r="I553" s="6"/>
      <c r="J553" s="11"/>
      <c r="K553" s="591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ht="11.25" customHeight="1">
      <c r="A554" s="7"/>
      <c r="B554" s="5"/>
      <c r="C554" s="6"/>
      <c r="D554" s="6"/>
      <c r="E554" s="6"/>
      <c r="F554" s="6"/>
      <c r="G554" s="6"/>
      <c r="H554" s="6"/>
      <c r="I554" s="6"/>
      <c r="J554" s="11"/>
      <c r="K554" s="591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ht="11.25" customHeight="1">
      <c r="A555" s="7"/>
      <c r="B555" s="5"/>
      <c r="C555" s="6"/>
      <c r="D555" s="6"/>
      <c r="E555" s="6"/>
      <c r="F555" s="6"/>
      <c r="G555" s="6"/>
      <c r="H555" s="6"/>
      <c r="I555" s="6"/>
      <c r="J555" s="11"/>
      <c r="K555" s="591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ht="11.25" customHeight="1">
      <c r="A556" s="7"/>
      <c r="B556" s="5"/>
      <c r="C556" s="6"/>
      <c r="D556" s="6"/>
      <c r="E556" s="6"/>
      <c r="F556" s="6"/>
      <c r="G556" s="6"/>
      <c r="H556" s="6"/>
      <c r="I556" s="6"/>
      <c r="J556" s="11"/>
      <c r="K556" s="591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ht="11.25" customHeight="1">
      <c r="A557" s="7"/>
      <c r="B557" s="5"/>
      <c r="C557" s="6"/>
      <c r="D557" s="6"/>
      <c r="E557" s="6"/>
      <c r="F557" s="6"/>
      <c r="G557" s="6"/>
      <c r="H557" s="6"/>
      <c r="I557" s="6"/>
      <c r="J557" s="11"/>
      <c r="K557" s="591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ht="11.25" customHeight="1">
      <c r="A558" s="7"/>
      <c r="B558" s="5"/>
      <c r="C558" s="6"/>
      <c r="D558" s="6"/>
      <c r="E558" s="6"/>
      <c r="F558" s="6"/>
      <c r="G558" s="6"/>
      <c r="H558" s="6"/>
      <c r="I558" s="6"/>
      <c r="J558" s="11"/>
      <c r="K558" s="591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ht="11.25" customHeight="1">
      <c r="A559" s="7"/>
      <c r="B559" s="5"/>
      <c r="C559" s="6"/>
      <c r="D559" s="6"/>
      <c r="E559" s="6"/>
      <c r="F559" s="6"/>
      <c r="G559" s="6"/>
      <c r="H559" s="6"/>
      <c r="I559" s="6"/>
      <c r="J559" s="11"/>
      <c r="K559" s="591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ht="11.25" customHeight="1">
      <c r="A560" s="7"/>
      <c r="B560" s="5"/>
      <c r="C560" s="6"/>
      <c r="D560" s="6"/>
      <c r="E560" s="6"/>
      <c r="F560" s="6"/>
      <c r="G560" s="6"/>
      <c r="H560" s="6"/>
      <c r="I560" s="6"/>
      <c r="J560" s="11"/>
      <c r="K560" s="591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ht="11.25" customHeight="1">
      <c r="A561" s="7"/>
      <c r="B561" s="5"/>
      <c r="C561" s="6"/>
      <c r="D561" s="6"/>
      <c r="E561" s="6"/>
      <c r="F561" s="6"/>
      <c r="G561" s="6"/>
      <c r="H561" s="6"/>
      <c r="I561" s="6"/>
      <c r="J561" s="11"/>
      <c r="K561" s="591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ht="11.25" customHeight="1">
      <c r="A562" s="7"/>
      <c r="B562" s="5"/>
      <c r="C562" s="6"/>
      <c r="D562" s="6"/>
      <c r="E562" s="6"/>
      <c r="F562" s="6"/>
      <c r="G562" s="6"/>
      <c r="H562" s="6"/>
      <c r="I562" s="6"/>
      <c r="J562" s="11"/>
      <c r="K562" s="591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ht="11.25" customHeight="1">
      <c r="A563" s="7"/>
      <c r="B563" s="5"/>
      <c r="C563" s="6"/>
      <c r="D563" s="6"/>
      <c r="E563" s="6"/>
      <c r="F563" s="6"/>
      <c r="G563" s="6"/>
      <c r="H563" s="6"/>
      <c r="I563" s="6"/>
      <c r="J563" s="11"/>
      <c r="K563" s="591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ht="11.25" customHeight="1">
      <c r="A564" s="7"/>
      <c r="B564" s="5"/>
      <c r="C564" s="6"/>
      <c r="D564" s="6"/>
      <c r="E564" s="6"/>
      <c r="F564" s="6"/>
      <c r="G564" s="6"/>
      <c r="H564" s="6"/>
      <c r="I564" s="6"/>
      <c r="J564" s="11"/>
      <c r="K564" s="591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ht="11.25" customHeight="1">
      <c r="A565" s="7"/>
      <c r="B565" s="5"/>
      <c r="C565" s="6"/>
      <c r="D565" s="6"/>
      <c r="E565" s="6"/>
      <c r="F565" s="6"/>
      <c r="G565" s="6"/>
      <c r="H565" s="6"/>
      <c r="I565" s="6"/>
      <c r="J565" s="11"/>
      <c r="K565" s="591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ht="11.25" customHeight="1">
      <c r="A566" s="7"/>
      <c r="B566" s="5"/>
      <c r="C566" s="6"/>
      <c r="D566" s="6"/>
      <c r="E566" s="6"/>
      <c r="F566" s="6"/>
      <c r="G566" s="6"/>
      <c r="H566" s="6"/>
      <c r="I566" s="6"/>
      <c r="J566" s="11"/>
      <c r="K566" s="591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ht="11.25" customHeight="1">
      <c r="A567" s="7"/>
      <c r="B567" s="5"/>
      <c r="C567" s="6"/>
      <c r="D567" s="6"/>
      <c r="E567" s="6"/>
      <c r="F567" s="6"/>
      <c r="G567" s="6"/>
      <c r="H567" s="6"/>
      <c r="I567" s="6"/>
      <c r="J567" s="11"/>
      <c r="K567" s="591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ht="11.25" customHeight="1">
      <c r="A568" s="7"/>
      <c r="B568" s="5"/>
      <c r="C568" s="6"/>
      <c r="D568" s="6"/>
      <c r="E568" s="6"/>
      <c r="F568" s="6"/>
      <c r="G568" s="6"/>
      <c r="H568" s="6"/>
      <c r="I568" s="6"/>
      <c r="J568" s="11"/>
      <c r="K568" s="591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ht="11.25" customHeight="1">
      <c r="A569" s="7"/>
      <c r="B569" s="5"/>
      <c r="C569" s="6"/>
      <c r="D569" s="6"/>
      <c r="E569" s="6"/>
      <c r="F569" s="6"/>
      <c r="G569" s="6"/>
      <c r="H569" s="6"/>
      <c r="I569" s="6"/>
      <c r="J569" s="11"/>
      <c r="K569" s="591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ht="11.25" customHeight="1">
      <c r="A570" s="7"/>
      <c r="B570" s="5"/>
      <c r="C570" s="6"/>
      <c r="D570" s="6"/>
      <c r="E570" s="6"/>
      <c r="F570" s="6"/>
      <c r="G570" s="6"/>
      <c r="H570" s="6"/>
      <c r="I570" s="6"/>
      <c r="J570" s="11"/>
      <c r="K570" s="591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ht="11.25" customHeight="1">
      <c r="A571" s="7"/>
      <c r="B571" s="5"/>
      <c r="C571" s="6"/>
      <c r="D571" s="6"/>
      <c r="E571" s="6"/>
      <c r="F571" s="6"/>
      <c r="G571" s="6"/>
      <c r="H571" s="6"/>
      <c r="I571" s="6"/>
      <c r="J571" s="11"/>
      <c r="K571" s="591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ht="11.25" customHeight="1">
      <c r="A572" s="7"/>
      <c r="B572" s="5"/>
      <c r="C572" s="6"/>
      <c r="D572" s="6"/>
      <c r="E572" s="6"/>
      <c r="F572" s="6"/>
      <c r="G572" s="6"/>
      <c r="H572" s="6"/>
      <c r="I572" s="6"/>
      <c r="J572" s="11"/>
      <c r="K572" s="591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ht="11.25" customHeight="1">
      <c r="A573" s="7"/>
      <c r="B573" s="5"/>
      <c r="C573" s="6"/>
      <c r="D573" s="6"/>
      <c r="E573" s="6"/>
      <c r="F573" s="6"/>
      <c r="G573" s="6"/>
      <c r="H573" s="6"/>
      <c r="I573" s="6"/>
      <c r="J573" s="11"/>
      <c r="K573" s="591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ht="11.25" customHeight="1">
      <c r="A574" s="7"/>
      <c r="B574" s="5"/>
      <c r="C574" s="6"/>
      <c r="D574" s="6"/>
      <c r="E574" s="6"/>
      <c r="F574" s="6"/>
      <c r="G574" s="6"/>
      <c r="H574" s="6"/>
      <c r="I574" s="6"/>
      <c r="J574" s="11"/>
      <c r="K574" s="591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ht="11.25" customHeight="1">
      <c r="A575" s="7"/>
      <c r="B575" s="5"/>
      <c r="C575" s="6"/>
      <c r="D575" s="6"/>
      <c r="E575" s="6"/>
      <c r="F575" s="6"/>
      <c r="G575" s="6"/>
      <c r="H575" s="6"/>
      <c r="I575" s="6"/>
      <c r="J575" s="11"/>
      <c r="K575" s="591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ht="11.25" customHeight="1">
      <c r="A576" s="7"/>
      <c r="B576" s="5"/>
      <c r="C576" s="6"/>
      <c r="D576" s="6"/>
      <c r="E576" s="6"/>
      <c r="F576" s="6"/>
      <c r="G576" s="6"/>
      <c r="H576" s="6"/>
      <c r="I576" s="6"/>
      <c r="J576" s="11"/>
      <c r="K576" s="591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ht="11.25" customHeight="1">
      <c r="A577" s="7"/>
      <c r="B577" s="5"/>
      <c r="C577" s="6"/>
      <c r="D577" s="6"/>
      <c r="E577" s="6"/>
      <c r="F577" s="6"/>
      <c r="G577" s="6"/>
      <c r="H577" s="6"/>
      <c r="I577" s="6"/>
      <c r="J577" s="11"/>
      <c r="K577" s="591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ht="11.25" customHeight="1">
      <c r="A578" s="7"/>
      <c r="B578" s="5"/>
      <c r="C578" s="6"/>
      <c r="D578" s="6"/>
      <c r="E578" s="6"/>
      <c r="F578" s="6"/>
      <c r="G578" s="6"/>
      <c r="H578" s="6"/>
      <c r="I578" s="6"/>
      <c r="J578" s="11"/>
      <c r="K578" s="591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ht="11.25" customHeight="1">
      <c r="A579" s="7"/>
      <c r="B579" s="5"/>
      <c r="C579" s="6"/>
      <c r="D579" s="6"/>
      <c r="E579" s="6"/>
      <c r="F579" s="6"/>
      <c r="G579" s="6"/>
      <c r="H579" s="6"/>
      <c r="I579" s="6"/>
      <c r="J579" s="11"/>
      <c r="K579" s="591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ht="11.25" customHeight="1">
      <c r="A580" s="7"/>
      <c r="B580" s="5"/>
      <c r="C580" s="6"/>
      <c r="D580" s="6"/>
      <c r="E580" s="6"/>
      <c r="F580" s="6"/>
      <c r="G580" s="6"/>
      <c r="H580" s="6"/>
      <c r="I580" s="6"/>
      <c r="J580" s="11"/>
      <c r="K580" s="591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ht="11.25" customHeight="1">
      <c r="A581" s="7"/>
      <c r="B581" s="5"/>
      <c r="C581" s="6"/>
      <c r="D581" s="6"/>
      <c r="E581" s="6"/>
      <c r="F581" s="6"/>
      <c r="G581" s="6"/>
      <c r="H581" s="6"/>
      <c r="I581" s="6"/>
      <c r="J581" s="11"/>
      <c r="K581" s="591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ht="11.25" customHeight="1">
      <c r="A582" s="7"/>
      <c r="B582" s="5"/>
      <c r="C582" s="6"/>
      <c r="D582" s="6"/>
      <c r="E582" s="6"/>
      <c r="F582" s="6"/>
      <c r="G582" s="6"/>
      <c r="H582" s="6"/>
      <c r="I582" s="6"/>
      <c r="J582" s="11"/>
      <c r="K582" s="591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ht="11.25" customHeight="1">
      <c r="A583" s="7"/>
      <c r="B583" s="5"/>
      <c r="C583" s="6"/>
      <c r="D583" s="6"/>
      <c r="E583" s="6"/>
      <c r="F583" s="6"/>
      <c r="G583" s="6"/>
      <c r="H583" s="6"/>
      <c r="I583" s="6"/>
      <c r="J583" s="11"/>
      <c r="K583" s="591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ht="11.25" customHeight="1">
      <c r="A584" s="7"/>
      <c r="B584" s="5"/>
      <c r="C584" s="6"/>
      <c r="D584" s="6"/>
      <c r="E584" s="6"/>
      <c r="F584" s="6"/>
      <c r="G584" s="6"/>
      <c r="H584" s="6"/>
      <c r="I584" s="6"/>
      <c r="J584" s="11"/>
      <c r="K584" s="591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ht="11.25" customHeight="1">
      <c r="A585" s="7"/>
      <c r="B585" s="5"/>
      <c r="C585" s="6"/>
      <c r="D585" s="6"/>
      <c r="E585" s="6"/>
      <c r="F585" s="6"/>
      <c r="G585" s="6"/>
      <c r="H585" s="6"/>
      <c r="I585" s="6"/>
      <c r="J585" s="11"/>
      <c r="K585" s="591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ht="11.25" customHeight="1">
      <c r="A586" s="7"/>
      <c r="B586" s="5"/>
      <c r="C586" s="6"/>
      <c r="D586" s="6"/>
      <c r="E586" s="6"/>
      <c r="F586" s="6"/>
      <c r="G586" s="6"/>
      <c r="H586" s="6"/>
      <c r="I586" s="6"/>
      <c r="J586" s="11"/>
      <c r="K586" s="591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ht="11.25" customHeight="1">
      <c r="A587" s="7"/>
      <c r="B587" s="5"/>
      <c r="C587" s="6"/>
      <c r="D587" s="6"/>
      <c r="E587" s="6"/>
      <c r="F587" s="6"/>
      <c r="G587" s="6"/>
      <c r="H587" s="6"/>
      <c r="I587" s="6"/>
      <c r="J587" s="11"/>
      <c r="K587" s="591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ht="11.25" customHeight="1">
      <c r="A588" s="7"/>
      <c r="B588" s="5"/>
      <c r="C588" s="6"/>
      <c r="D588" s="6"/>
      <c r="E588" s="6"/>
      <c r="F588" s="6"/>
      <c r="G588" s="6"/>
      <c r="H588" s="6"/>
      <c r="I588" s="6"/>
      <c r="J588" s="11"/>
      <c r="K588" s="591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ht="11.25" customHeight="1">
      <c r="A589" s="7"/>
      <c r="B589" s="5"/>
      <c r="C589" s="6"/>
      <c r="D589" s="6"/>
      <c r="E589" s="6"/>
      <c r="F589" s="6"/>
      <c r="G589" s="6"/>
      <c r="H589" s="6"/>
      <c r="I589" s="6"/>
      <c r="J589" s="11"/>
      <c r="K589" s="591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ht="11.25" customHeight="1">
      <c r="A590" s="7"/>
      <c r="B590" s="5"/>
      <c r="C590" s="6"/>
      <c r="D590" s="6"/>
      <c r="E590" s="6"/>
      <c r="F590" s="6"/>
      <c r="G590" s="6"/>
      <c r="H590" s="6"/>
      <c r="I590" s="6"/>
      <c r="J590" s="11"/>
      <c r="K590" s="591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ht="11.25" customHeight="1">
      <c r="A591" s="7"/>
      <c r="B591" s="5"/>
      <c r="C591" s="6"/>
      <c r="D591" s="6"/>
      <c r="E591" s="6"/>
      <c r="F591" s="6"/>
      <c r="G591" s="6"/>
      <c r="H591" s="6"/>
      <c r="I591" s="6"/>
      <c r="J591" s="11"/>
      <c r="K591" s="591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ht="11.25" customHeight="1">
      <c r="A592" s="7"/>
      <c r="B592" s="5"/>
      <c r="C592" s="6"/>
      <c r="D592" s="6"/>
      <c r="E592" s="6"/>
      <c r="F592" s="6"/>
      <c r="G592" s="6"/>
      <c r="H592" s="6"/>
      <c r="I592" s="6"/>
      <c r="J592" s="11"/>
      <c r="K592" s="591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ht="11.25" customHeight="1">
      <c r="A593" s="7"/>
      <c r="B593" s="5"/>
      <c r="C593" s="6"/>
      <c r="D593" s="6"/>
      <c r="E593" s="6"/>
      <c r="F593" s="6"/>
      <c r="G593" s="6"/>
      <c r="H593" s="6"/>
      <c r="I593" s="6"/>
      <c r="J593" s="11"/>
      <c r="K593" s="591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ht="11.25" customHeight="1">
      <c r="A594" s="7"/>
      <c r="B594" s="5"/>
      <c r="C594" s="6"/>
      <c r="D594" s="6"/>
      <c r="E594" s="6"/>
      <c r="F594" s="6"/>
      <c r="G594" s="6"/>
      <c r="H594" s="6"/>
      <c r="I594" s="6"/>
      <c r="J594" s="11"/>
      <c r="K594" s="591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ht="11.25" customHeight="1">
      <c r="A595" s="7"/>
      <c r="B595" s="5"/>
      <c r="C595" s="6"/>
      <c r="D595" s="6"/>
      <c r="E595" s="6"/>
      <c r="F595" s="6"/>
      <c r="G595" s="6"/>
      <c r="H595" s="6"/>
      <c r="I595" s="6"/>
      <c r="J595" s="11"/>
      <c r="K595" s="591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ht="11.25" customHeight="1">
      <c r="A596" s="7"/>
      <c r="B596" s="5"/>
      <c r="C596" s="6"/>
      <c r="D596" s="6"/>
      <c r="E596" s="6"/>
      <c r="F596" s="6"/>
      <c r="G596" s="6"/>
      <c r="H596" s="6"/>
      <c r="I596" s="6"/>
      <c r="J596" s="11"/>
      <c r="K596" s="591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ht="11.25" customHeight="1">
      <c r="A597" s="7"/>
      <c r="B597" s="5"/>
      <c r="C597" s="6"/>
      <c r="D597" s="6"/>
      <c r="E597" s="6"/>
      <c r="F597" s="6"/>
      <c r="G597" s="6"/>
      <c r="H597" s="6"/>
      <c r="I597" s="6"/>
      <c r="J597" s="11"/>
      <c r="K597" s="591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ht="11.25" customHeight="1">
      <c r="A598" s="7"/>
      <c r="B598" s="5"/>
      <c r="C598" s="6"/>
      <c r="D598" s="6"/>
      <c r="E598" s="6"/>
      <c r="F598" s="6"/>
      <c r="G598" s="6"/>
      <c r="H598" s="6"/>
      <c r="I598" s="6"/>
      <c r="J598" s="11"/>
      <c r="K598" s="591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ht="11.25" customHeight="1">
      <c r="A599" s="7"/>
      <c r="B599" s="5"/>
      <c r="C599" s="6"/>
      <c r="D599" s="6"/>
      <c r="E599" s="6"/>
      <c r="F599" s="6"/>
      <c r="G599" s="6"/>
      <c r="H599" s="6"/>
      <c r="I599" s="6"/>
      <c r="J599" s="11"/>
      <c r="K599" s="591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ht="11.25" customHeight="1">
      <c r="A600" s="7"/>
      <c r="B600" s="5"/>
      <c r="C600" s="6"/>
      <c r="D600" s="6"/>
      <c r="E600" s="6"/>
      <c r="F600" s="6"/>
      <c r="G600" s="6"/>
      <c r="H600" s="6"/>
      <c r="I600" s="6"/>
      <c r="J600" s="11"/>
      <c r="K600" s="591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ht="11.25" customHeight="1">
      <c r="A601" s="7"/>
      <c r="B601" s="5"/>
      <c r="C601" s="6"/>
      <c r="D601" s="6"/>
      <c r="E601" s="6"/>
      <c r="F601" s="6"/>
      <c r="G601" s="6"/>
      <c r="H601" s="6"/>
      <c r="I601" s="6"/>
      <c r="J601" s="11"/>
      <c r="K601" s="591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ht="11.25" customHeight="1">
      <c r="A602" s="7"/>
      <c r="B602" s="5"/>
      <c r="C602" s="6"/>
      <c r="D602" s="6"/>
      <c r="E602" s="6"/>
      <c r="F602" s="6"/>
      <c r="G602" s="6"/>
      <c r="H602" s="6"/>
      <c r="I602" s="6"/>
      <c r="J602" s="11"/>
      <c r="K602" s="591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ht="11.25" customHeight="1">
      <c r="A603" s="7"/>
      <c r="B603" s="5"/>
      <c r="C603" s="6"/>
      <c r="D603" s="6"/>
      <c r="E603" s="6"/>
      <c r="F603" s="6"/>
      <c r="G603" s="6"/>
      <c r="H603" s="6"/>
      <c r="I603" s="6"/>
      <c r="J603" s="11"/>
      <c r="K603" s="591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ht="11.25" customHeight="1">
      <c r="A604" s="7"/>
      <c r="B604" s="5"/>
      <c r="C604" s="6"/>
      <c r="D604" s="6"/>
      <c r="E604" s="6"/>
      <c r="F604" s="6"/>
      <c r="G604" s="6"/>
      <c r="H604" s="6"/>
      <c r="I604" s="6"/>
      <c r="J604" s="11"/>
      <c r="K604" s="591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ht="11.25" customHeight="1">
      <c r="A605" s="7"/>
      <c r="B605" s="5"/>
      <c r="C605" s="6"/>
      <c r="D605" s="6"/>
      <c r="E605" s="6"/>
      <c r="F605" s="6"/>
      <c r="G605" s="6"/>
      <c r="H605" s="6"/>
      <c r="I605" s="6"/>
      <c r="J605" s="11"/>
      <c r="K605" s="591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ht="11.25" customHeight="1">
      <c r="A606" s="7"/>
      <c r="B606" s="5"/>
      <c r="C606" s="6"/>
      <c r="D606" s="6"/>
      <c r="E606" s="6"/>
      <c r="F606" s="6"/>
      <c r="G606" s="6"/>
      <c r="H606" s="6"/>
      <c r="I606" s="6"/>
      <c r="J606" s="11"/>
      <c r="K606" s="591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ht="11.25" customHeight="1">
      <c r="A607" s="7"/>
      <c r="B607" s="5"/>
      <c r="C607" s="6"/>
      <c r="D607" s="6"/>
      <c r="E607" s="6"/>
      <c r="F607" s="6"/>
      <c r="G607" s="6"/>
      <c r="H607" s="6"/>
      <c r="I607" s="6"/>
      <c r="J607" s="11"/>
      <c r="K607" s="591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ht="11.25" customHeight="1">
      <c r="A608" s="7"/>
      <c r="B608" s="5"/>
      <c r="C608" s="6"/>
      <c r="D608" s="6"/>
      <c r="E608" s="6"/>
      <c r="F608" s="6"/>
      <c r="G608" s="6"/>
      <c r="H608" s="6"/>
      <c r="I608" s="6"/>
      <c r="J608" s="11"/>
      <c r="K608" s="591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ht="11.25" customHeight="1">
      <c r="A609" s="7"/>
      <c r="B609" s="5"/>
      <c r="C609" s="6"/>
      <c r="D609" s="6"/>
      <c r="E609" s="6"/>
      <c r="F609" s="6"/>
      <c r="G609" s="6"/>
      <c r="H609" s="6"/>
      <c r="I609" s="6"/>
      <c r="J609" s="11"/>
      <c r="K609" s="591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ht="11.25" customHeight="1">
      <c r="A610" s="7"/>
      <c r="B610" s="5"/>
      <c r="C610" s="6"/>
      <c r="D610" s="6"/>
      <c r="E610" s="6"/>
      <c r="F610" s="6"/>
      <c r="G610" s="6"/>
      <c r="H610" s="6"/>
      <c r="I610" s="6"/>
      <c r="J610" s="11"/>
      <c r="K610" s="591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ht="11.25" customHeight="1">
      <c r="A611" s="7"/>
      <c r="B611" s="5"/>
      <c r="C611" s="6"/>
      <c r="D611" s="6"/>
      <c r="E611" s="6"/>
      <c r="F611" s="6"/>
      <c r="G611" s="6"/>
      <c r="H611" s="6"/>
      <c r="I611" s="6"/>
      <c r="J611" s="11"/>
      <c r="K611" s="591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ht="11.25" customHeight="1">
      <c r="A612" s="7"/>
      <c r="B612" s="5"/>
      <c r="C612" s="6"/>
      <c r="D612" s="6"/>
      <c r="E612" s="6"/>
      <c r="F612" s="6"/>
      <c r="G612" s="6"/>
      <c r="H612" s="6"/>
      <c r="I612" s="6"/>
      <c r="J612" s="11"/>
      <c r="K612" s="591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ht="11.25" customHeight="1">
      <c r="A613" s="7"/>
      <c r="B613" s="5"/>
      <c r="C613" s="6"/>
      <c r="D613" s="6"/>
      <c r="E613" s="6"/>
      <c r="F613" s="6"/>
      <c r="G613" s="6"/>
      <c r="H613" s="6"/>
      <c r="I613" s="6"/>
      <c r="J613" s="11"/>
      <c r="K613" s="591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ht="11.25" customHeight="1">
      <c r="A614" s="7"/>
      <c r="B614" s="5"/>
      <c r="C614" s="6"/>
      <c r="D614" s="6"/>
      <c r="E614" s="6"/>
      <c r="F614" s="6"/>
      <c r="G614" s="6"/>
      <c r="H614" s="6"/>
      <c r="I614" s="6"/>
      <c r="J614" s="11"/>
      <c r="K614" s="591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ht="11.25" customHeight="1">
      <c r="A615" s="7"/>
      <c r="B615" s="5"/>
      <c r="C615" s="6"/>
      <c r="D615" s="6"/>
      <c r="E615" s="6"/>
      <c r="F615" s="6"/>
      <c r="G615" s="6"/>
      <c r="H615" s="6"/>
      <c r="I615" s="6"/>
      <c r="J615" s="11"/>
      <c r="K615" s="591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ht="11.25" customHeight="1">
      <c r="A616" s="7"/>
      <c r="B616" s="5"/>
      <c r="C616" s="6"/>
      <c r="D616" s="6"/>
      <c r="E616" s="6"/>
      <c r="F616" s="6"/>
      <c r="G616" s="6"/>
      <c r="H616" s="6"/>
      <c r="I616" s="6"/>
      <c r="J616" s="11"/>
      <c r="K616" s="591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ht="11.25" customHeight="1">
      <c r="A617" s="7"/>
      <c r="B617" s="5"/>
      <c r="C617" s="6"/>
      <c r="D617" s="6"/>
      <c r="E617" s="6"/>
      <c r="F617" s="6"/>
      <c r="G617" s="6"/>
      <c r="H617" s="6"/>
      <c r="I617" s="6"/>
      <c r="J617" s="11"/>
      <c r="K617" s="591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ht="11.25" customHeight="1">
      <c r="A618" s="7"/>
      <c r="B618" s="5"/>
      <c r="C618" s="6"/>
      <c r="D618" s="6"/>
      <c r="E618" s="6"/>
      <c r="F618" s="6"/>
      <c r="G618" s="6"/>
      <c r="H618" s="6"/>
      <c r="I618" s="6"/>
      <c r="J618" s="11"/>
      <c r="K618" s="591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ht="11.25" customHeight="1">
      <c r="A619" s="7"/>
      <c r="B619" s="5"/>
      <c r="C619" s="6"/>
      <c r="D619" s="6"/>
      <c r="E619" s="6"/>
      <c r="F619" s="6"/>
      <c r="G619" s="6"/>
      <c r="H619" s="6"/>
      <c r="I619" s="6"/>
      <c r="J619" s="11"/>
      <c r="K619" s="591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ht="11.25" customHeight="1">
      <c r="A620" s="7"/>
      <c r="B620" s="5"/>
      <c r="C620" s="6"/>
      <c r="D620" s="6"/>
      <c r="E620" s="6"/>
      <c r="F620" s="6"/>
      <c r="G620" s="6"/>
      <c r="H620" s="6"/>
      <c r="I620" s="6"/>
      <c r="J620" s="11"/>
      <c r="K620" s="591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ht="11.25" customHeight="1">
      <c r="A621" s="7"/>
      <c r="B621" s="5"/>
      <c r="C621" s="6"/>
      <c r="D621" s="6"/>
      <c r="E621" s="6"/>
      <c r="F621" s="6"/>
      <c r="G621" s="6"/>
      <c r="H621" s="6"/>
      <c r="I621" s="6"/>
      <c r="J621" s="11"/>
      <c r="K621" s="591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ht="11.25" customHeight="1">
      <c r="A622" s="7"/>
      <c r="B622" s="5"/>
      <c r="C622" s="6"/>
      <c r="D622" s="6"/>
      <c r="E622" s="6"/>
      <c r="F622" s="6"/>
      <c r="G622" s="6"/>
      <c r="H622" s="6"/>
      <c r="I622" s="6"/>
      <c r="J622" s="11"/>
      <c r="K622" s="591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ht="11.25" customHeight="1">
      <c r="A623" s="7"/>
      <c r="B623" s="5"/>
      <c r="C623" s="6"/>
      <c r="D623" s="6"/>
      <c r="E623" s="6"/>
      <c r="F623" s="6"/>
      <c r="G623" s="6"/>
      <c r="H623" s="6"/>
      <c r="I623" s="6"/>
      <c r="J623" s="11"/>
      <c r="K623" s="591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ht="11.25" customHeight="1">
      <c r="A624" s="7"/>
      <c r="B624" s="5"/>
      <c r="C624" s="6"/>
      <c r="D624" s="6"/>
      <c r="E624" s="6"/>
      <c r="F624" s="6"/>
      <c r="G624" s="6"/>
      <c r="H624" s="6"/>
      <c r="I624" s="6"/>
      <c r="J624" s="11"/>
      <c r="K624" s="591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ht="11.25" customHeight="1">
      <c r="A625" s="7"/>
      <c r="B625" s="5"/>
      <c r="C625" s="6"/>
      <c r="D625" s="6"/>
      <c r="E625" s="6"/>
      <c r="F625" s="6"/>
      <c r="G625" s="6"/>
      <c r="H625" s="6"/>
      <c r="I625" s="6"/>
      <c r="J625" s="11"/>
      <c r="K625" s="591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ht="11.25" customHeight="1">
      <c r="A626" s="7"/>
      <c r="B626" s="5"/>
      <c r="C626" s="6"/>
      <c r="D626" s="6"/>
      <c r="E626" s="6"/>
      <c r="F626" s="6"/>
      <c r="G626" s="6"/>
      <c r="H626" s="6"/>
      <c r="I626" s="6"/>
      <c r="J626" s="11"/>
      <c r="K626" s="591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ht="11.25" customHeight="1">
      <c r="A627" s="7"/>
      <c r="B627" s="5"/>
      <c r="C627" s="6"/>
      <c r="D627" s="6"/>
      <c r="E627" s="6"/>
      <c r="F627" s="6"/>
      <c r="G627" s="6"/>
      <c r="H627" s="6"/>
      <c r="I627" s="6"/>
      <c r="J627" s="11"/>
      <c r="K627" s="591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ht="11.25" customHeight="1">
      <c r="A628" s="7"/>
      <c r="B628" s="5"/>
      <c r="C628" s="6"/>
      <c r="D628" s="6"/>
      <c r="E628" s="6"/>
      <c r="F628" s="6"/>
      <c r="G628" s="6"/>
      <c r="H628" s="6"/>
      <c r="I628" s="6"/>
      <c r="J628" s="11"/>
      <c r="K628" s="591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ht="11.25" customHeight="1">
      <c r="A629" s="7"/>
      <c r="B629" s="5"/>
      <c r="C629" s="6"/>
      <c r="D629" s="6"/>
      <c r="E629" s="6"/>
      <c r="F629" s="6"/>
      <c r="G629" s="6"/>
      <c r="H629" s="6"/>
      <c r="I629" s="6"/>
      <c r="J629" s="11"/>
      <c r="K629" s="591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ht="11.25" customHeight="1">
      <c r="A630" s="7"/>
      <c r="B630" s="5"/>
      <c r="C630" s="6"/>
      <c r="D630" s="6"/>
      <c r="E630" s="6"/>
      <c r="F630" s="6"/>
      <c r="G630" s="6"/>
      <c r="H630" s="6"/>
      <c r="I630" s="6"/>
      <c r="J630" s="11"/>
      <c r="K630" s="591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ht="11.25" customHeight="1">
      <c r="A631" s="7"/>
      <c r="B631" s="5"/>
      <c r="C631" s="6"/>
      <c r="D631" s="6"/>
      <c r="E631" s="6"/>
      <c r="F631" s="6"/>
      <c r="G631" s="6"/>
      <c r="H631" s="6"/>
      <c r="I631" s="6"/>
      <c r="J631" s="11"/>
      <c r="K631" s="591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ht="11.25" customHeight="1">
      <c r="A632" s="7"/>
      <c r="B632" s="5"/>
      <c r="C632" s="6"/>
      <c r="D632" s="6"/>
      <c r="E632" s="6"/>
      <c r="F632" s="6"/>
      <c r="G632" s="6"/>
      <c r="H632" s="6"/>
      <c r="I632" s="6"/>
      <c r="J632" s="11"/>
      <c r="K632" s="591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ht="11.25" customHeight="1">
      <c r="A633" s="7"/>
      <c r="B633" s="5"/>
      <c r="C633" s="6"/>
      <c r="D633" s="6"/>
      <c r="E633" s="6"/>
      <c r="F633" s="6"/>
      <c r="G633" s="6"/>
      <c r="H633" s="6"/>
      <c r="I633" s="6"/>
      <c r="J633" s="11"/>
      <c r="K633" s="591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ht="11.25" customHeight="1">
      <c r="A634" s="7"/>
      <c r="B634" s="5"/>
      <c r="C634" s="6"/>
      <c r="D634" s="6"/>
      <c r="E634" s="6"/>
      <c r="F634" s="6"/>
      <c r="G634" s="6"/>
      <c r="H634" s="6"/>
      <c r="I634" s="6"/>
      <c r="J634" s="11"/>
      <c r="K634" s="591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ht="11.25" customHeight="1">
      <c r="A635" s="7"/>
      <c r="B635" s="5"/>
      <c r="C635" s="6"/>
      <c r="D635" s="6"/>
      <c r="E635" s="6"/>
      <c r="F635" s="6"/>
      <c r="G635" s="6"/>
      <c r="H635" s="6"/>
      <c r="I635" s="6"/>
      <c r="J635" s="11"/>
      <c r="K635" s="591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ht="11.25" customHeight="1">
      <c r="A636" s="7"/>
      <c r="B636" s="5"/>
      <c r="C636" s="6"/>
      <c r="D636" s="6"/>
      <c r="E636" s="6"/>
      <c r="F636" s="6"/>
      <c r="G636" s="6"/>
      <c r="H636" s="6"/>
      <c r="I636" s="6"/>
      <c r="J636" s="11"/>
      <c r="K636" s="591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ht="11.25" customHeight="1">
      <c r="A637" s="7"/>
      <c r="B637" s="5"/>
      <c r="C637" s="6"/>
      <c r="D637" s="6"/>
      <c r="E637" s="6"/>
      <c r="F637" s="6"/>
      <c r="G637" s="6"/>
      <c r="H637" s="6"/>
      <c r="I637" s="6"/>
      <c r="J637" s="11"/>
      <c r="K637" s="591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ht="11.25" customHeight="1">
      <c r="A638" s="7"/>
      <c r="B638" s="5"/>
      <c r="C638" s="6"/>
      <c r="D638" s="6"/>
      <c r="E638" s="6"/>
      <c r="F638" s="6"/>
      <c r="G638" s="6"/>
      <c r="H638" s="6"/>
      <c r="I638" s="6"/>
      <c r="J638" s="11"/>
      <c r="K638" s="591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ht="11.25" customHeight="1">
      <c r="A639" s="7"/>
      <c r="B639" s="5"/>
      <c r="C639" s="6"/>
      <c r="D639" s="6"/>
      <c r="E639" s="6"/>
      <c r="F639" s="6"/>
      <c r="G639" s="6"/>
      <c r="H639" s="6"/>
      <c r="I639" s="6"/>
      <c r="J639" s="11"/>
      <c r="K639" s="591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ht="11.25" customHeight="1">
      <c r="A640" s="7"/>
      <c r="B640" s="5"/>
      <c r="C640" s="6"/>
      <c r="D640" s="6"/>
      <c r="E640" s="6"/>
      <c r="F640" s="6"/>
      <c r="G640" s="6"/>
      <c r="H640" s="6"/>
      <c r="I640" s="6"/>
      <c r="J640" s="11"/>
      <c r="K640" s="591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ht="11.25" customHeight="1">
      <c r="A641" s="7"/>
      <c r="B641" s="5"/>
      <c r="C641" s="6"/>
      <c r="D641" s="6"/>
      <c r="E641" s="6"/>
      <c r="F641" s="6"/>
      <c r="G641" s="6"/>
      <c r="H641" s="6"/>
      <c r="I641" s="6"/>
      <c r="J641" s="11"/>
      <c r="K641" s="591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ht="11.25" customHeight="1">
      <c r="A642" s="7"/>
      <c r="B642" s="5"/>
      <c r="C642" s="6"/>
      <c r="D642" s="6"/>
      <c r="E642" s="6"/>
      <c r="F642" s="6"/>
      <c r="G642" s="6"/>
      <c r="H642" s="6"/>
      <c r="I642" s="6"/>
      <c r="J642" s="11"/>
      <c r="K642" s="591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ht="11.25" customHeight="1">
      <c r="A643" s="7"/>
      <c r="B643" s="5"/>
      <c r="C643" s="6"/>
      <c r="D643" s="6"/>
      <c r="E643" s="6"/>
      <c r="F643" s="6"/>
      <c r="G643" s="6"/>
      <c r="H643" s="6"/>
      <c r="I643" s="6"/>
      <c r="J643" s="11"/>
      <c r="K643" s="591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ht="11.25" customHeight="1">
      <c r="A644" s="7"/>
      <c r="B644" s="5"/>
      <c r="C644" s="6"/>
      <c r="D644" s="6"/>
      <c r="E644" s="6"/>
      <c r="F644" s="6"/>
      <c r="G644" s="6"/>
      <c r="H644" s="6"/>
      <c r="I644" s="6"/>
      <c r="J644" s="11"/>
      <c r="K644" s="591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ht="11.25" customHeight="1">
      <c r="A645" s="7"/>
      <c r="B645" s="5"/>
      <c r="C645" s="6"/>
      <c r="D645" s="6"/>
      <c r="E645" s="6"/>
      <c r="F645" s="6"/>
      <c r="G645" s="6"/>
      <c r="H645" s="6"/>
      <c r="I645" s="6"/>
      <c r="J645" s="11"/>
      <c r="K645" s="591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ht="11.25" customHeight="1">
      <c r="A646" s="7"/>
      <c r="B646" s="5"/>
      <c r="C646" s="6"/>
      <c r="D646" s="6"/>
      <c r="E646" s="6"/>
      <c r="F646" s="6"/>
      <c r="G646" s="6"/>
      <c r="H646" s="6"/>
      <c r="I646" s="6"/>
      <c r="J646" s="11"/>
      <c r="K646" s="591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ht="11.25" customHeight="1">
      <c r="A647" s="7"/>
      <c r="B647" s="5"/>
      <c r="C647" s="6"/>
      <c r="D647" s="6"/>
      <c r="E647" s="6"/>
      <c r="F647" s="6"/>
      <c r="G647" s="6"/>
      <c r="H647" s="6"/>
      <c r="I647" s="6"/>
      <c r="J647" s="11"/>
      <c r="K647" s="591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ht="11.25" customHeight="1">
      <c r="A648" s="7"/>
      <c r="B648" s="5"/>
      <c r="C648" s="6"/>
      <c r="D648" s="6"/>
      <c r="E648" s="6"/>
      <c r="F648" s="6"/>
      <c r="G648" s="6"/>
      <c r="H648" s="6"/>
      <c r="I648" s="6"/>
      <c r="J648" s="11"/>
      <c r="K648" s="591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ht="11.25" customHeight="1">
      <c r="A649" s="7"/>
      <c r="B649" s="5"/>
      <c r="C649" s="6"/>
      <c r="D649" s="6"/>
      <c r="E649" s="6"/>
      <c r="F649" s="6"/>
      <c r="G649" s="6"/>
      <c r="H649" s="6"/>
      <c r="I649" s="6"/>
      <c r="J649" s="11"/>
      <c r="K649" s="591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ht="11.25" customHeight="1">
      <c r="A650" s="7"/>
      <c r="B650" s="5"/>
      <c r="C650" s="6"/>
      <c r="D650" s="6"/>
      <c r="E650" s="6"/>
      <c r="F650" s="6"/>
      <c r="G650" s="6"/>
      <c r="H650" s="6"/>
      <c r="I650" s="6"/>
      <c r="J650" s="11"/>
      <c r="K650" s="591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ht="11.25" customHeight="1">
      <c r="A651" s="7"/>
      <c r="B651" s="5"/>
      <c r="C651" s="6"/>
      <c r="D651" s="6"/>
      <c r="E651" s="6"/>
      <c r="F651" s="6"/>
      <c r="G651" s="6"/>
      <c r="H651" s="6"/>
      <c r="I651" s="6"/>
      <c r="J651" s="11"/>
      <c r="K651" s="591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ht="11.25" customHeight="1">
      <c r="A652" s="7"/>
      <c r="B652" s="5"/>
      <c r="C652" s="6"/>
      <c r="D652" s="6"/>
      <c r="E652" s="6"/>
      <c r="F652" s="6"/>
      <c r="G652" s="6"/>
      <c r="H652" s="6"/>
      <c r="I652" s="6"/>
      <c r="J652" s="11"/>
      <c r="K652" s="591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ht="11.25" customHeight="1">
      <c r="A653" s="7"/>
      <c r="B653" s="5"/>
      <c r="C653" s="6"/>
      <c r="D653" s="6"/>
      <c r="E653" s="6"/>
      <c r="F653" s="6"/>
      <c r="G653" s="6"/>
      <c r="H653" s="6"/>
      <c r="I653" s="6"/>
      <c r="J653" s="11"/>
      <c r="K653" s="591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ht="11.25" customHeight="1">
      <c r="A654" s="7"/>
      <c r="B654" s="5"/>
      <c r="C654" s="6"/>
      <c r="D654" s="6"/>
      <c r="E654" s="6"/>
      <c r="F654" s="6"/>
      <c r="G654" s="6"/>
      <c r="H654" s="6"/>
      <c r="I654" s="6"/>
      <c r="J654" s="11"/>
      <c r="K654" s="591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ht="11.25" customHeight="1">
      <c r="A655" s="7"/>
      <c r="B655" s="5"/>
      <c r="C655" s="6"/>
      <c r="D655" s="6"/>
      <c r="E655" s="6"/>
      <c r="F655" s="6"/>
      <c r="G655" s="6"/>
      <c r="H655" s="6"/>
      <c r="I655" s="6"/>
      <c r="J655" s="11"/>
      <c r="K655" s="591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ht="11.25" customHeight="1">
      <c r="A656" s="7"/>
      <c r="B656" s="5"/>
      <c r="C656" s="6"/>
      <c r="D656" s="6"/>
      <c r="E656" s="6"/>
      <c r="F656" s="6"/>
      <c r="G656" s="6"/>
      <c r="H656" s="6"/>
      <c r="I656" s="6"/>
      <c r="J656" s="11"/>
      <c r="K656" s="591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ht="11.25" customHeight="1">
      <c r="A657" s="7"/>
      <c r="B657" s="5"/>
      <c r="C657" s="6"/>
      <c r="D657" s="6"/>
      <c r="E657" s="6"/>
      <c r="F657" s="6"/>
      <c r="G657" s="6"/>
      <c r="H657" s="6"/>
      <c r="I657" s="6"/>
      <c r="J657" s="11"/>
      <c r="K657" s="591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ht="11.25" customHeight="1">
      <c r="A658" s="7"/>
      <c r="B658" s="5"/>
      <c r="C658" s="6"/>
      <c r="D658" s="6"/>
      <c r="E658" s="6"/>
      <c r="F658" s="6"/>
      <c r="G658" s="6"/>
      <c r="H658" s="6"/>
      <c r="I658" s="6"/>
      <c r="J658" s="11"/>
      <c r="K658" s="591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ht="11.25" customHeight="1">
      <c r="A659" s="7"/>
      <c r="B659" s="5"/>
      <c r="C659" s="6"/>
      <c r="D659" s="6"/>
      <c r="E659" s="6"/>
      <c r="F659" s="6"/>
      <c r="G659" s="6"/>
      <c r="H659" s="6"/>
      <c r="I659" s="6"/>
      <c r="J659" s="11"/>
      <c r="K659" s="591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ht="11.25" customHeight="1">
      <c r="A660" s="7"/>
      <c r="B660" s="5"/>
      <c r="C660" s="6"/>
      <c r="D660" s="6"/>
      <c r="E660" s="6"/>
      <c r="F660" s="6"/>
      <c r="G660" s="6"/>
      <c r="H660" s="6"/>
      <c r="I660" s="6"/>
      <c r="J660" s="11"/>
      <c r="K660" s="591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ht="11.25" customHeight="1">
      <c r="A661" s="7"/>
      <c r="B661" s="5"/>
      <c r="C661" s="6"/>
      <c r="D661" s="6"/>
      <c r="E661" s="6"/>
      <c r="F661" s="6"/>
      <c r="G661" s="6"/>
      <c r="H661" s="6"/>
      <c r="I661" s="6"/>
      <c r="J661" s="11"/>
      <c r="K661" s="591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ht="11.25" customHeight="1">
      <c r="A662" s="7"/>
      <c r="B662" s="5"/>
      <c r="C662" s="6"/>
      <c r="D662" s="6"/>
      <c r="E662" s="6"/>
      <c r="F662" s="6"/>
      <c r="G662" s="6"/>
      <c r="H662" s="6"/>
      <c r="I662" s="6"/>
      <c r="J662" s="11"/>
      <c r="K662" s="591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ht="11.25" customHeight="1">
      <c r="A663" s="7"/>
      <c r="B663" s="5"/>
      <c r="C663" s="6"/>
      <c r="D663" s="6"/>
      <c r="E663" s="6"/>
      <c r="F663" s="6"/>
      <c r="G663" s="6"/>
      <c r="H663" s="6"/>
      <c r="I663" s="6"/>
      <c r="J663" s="11"/>
      <c r="K663" s="591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ht="11.25" customHeight="1">
      <c r="A664" s="7"/>
      <c r="B664" s="5"/>
      <c r="C664" s="6"/>
      <c r="D664" s="6"/>
      <c r="E664" s="6"/>
      <c r="F664" s="6"/>
      <c r="G664" s="6"/>
      <c r="H664" s="6"/>
      <c r="I664" s="6"/>
      <c r="J664" s="11"/>
      <c r="K664" s="591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ht="11.25" customHeight="1">
      <c r="A665" s="7"/>
      <c r="B665" s="5"/>
      <c r="C665" s="6"/>
      <c r="D665" s="6"/>
      <c r="E665" s="6"/>
      <c r="F665" s="6"/>
      <c r="G665" s="6"/>
      <c r="H665" s="6"/>
      <c r="I665" s="6"/>
      <c r="J665" s="11"/>
      <c r="K665" s="591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ht="11.25" customHeight="1">
      <c r="A666" s="7"/>
      <c r="B666" s="5"/>
      <c r="C666" s="6"/>
      <c r="D666" s="6"/>
      <c r="E666" s="6"/>
      <c r="F666" s="6"/>
      <c r="G666" s="6"/>
      <c r="H666" s="6"/>
      <c r="I666" s="6"/>
      <c r="J666" s="11"/>
      <c r="K666" s="591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ht="11.25" customHeight="1">
      <c r="A667" s="7"/>
      <c r="B667" s="5"/>
      <c r="C667" s="6"/>
      <c r="D667" s="6"/>
      <c r="E667" s="6"/>
      <c r="F667" s="6"/>
      <c r="G667" s="6"/>
      <c r="H667" s="6"/>
      <c r="I667" s="6"/>
      <c r="J667" s="11"/>
      <c r="K667" s="591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ht="11.25" customHeight="1">
      <c r="A668" s="7"/>
      <c r="B668" s="5"/>
      <c r="C668" s="6"/>
      <c r="D668" s="6"/>
      <c r="E668" s="6"/>
      <c r="F668" s="6"/>
      <c r="G668" s="6"/>
      <c r="H668" s="6"/>
      <c r="I668" s="6"/>
      <c r="J668" s="11"/>
      <c r="K668" s="591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ht="11.25" customHeight="1">
      <c r="A669" s="7"/>
      <c r="B669" s="5"/>
      <c r="C669" s="6"/>
      <c r="D669" s="6"/>
      <c r="E669" s="6"/>
      <c r="F669" s="6"/>
      <c r="G669" s="6"/>
      <c r="H669" s="6"/>
      <c r="I669" s="6"/>
      <c r="J669" s="11"/>
      <c r="K669" s="591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ht="11.25" customHeight="1">
      <c r="A670" s="7"/>
      <c r="B670" s="5"/>
      <c r="C670" s="6"/>
      <c r="D670" s="6"/>
      <c r="E670" s="6"/>
      <c r="F670" s="6"/>
      <c r="G670" s="6"/>
      <c r="H670" s="6"/>
      <c r="I670" s="6"/>
      <c r="J670" s="11"/>
      <c r="K670" s="591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ht="11.25" customHeight="1">
      <c r="A671" s="7"/>
      <c r="B671" s="5"/>
      <c r="C671" s="6"/>
      <c r="D671" s="6"/>
      <c r="E671" s="6"/>
      <c r="F671" s="6"/>
      <c r="G671" s="6"/>
      <c r="H671" s="6"/>
      <c r="I671" s="6"/>
      <c r="J671" s="11"/>
      <c r="K671" s="591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ht="11.25" customHeight="1">
      <c r="A672" s="7"/>
      <c r="B672" s="5"/>
      <c r="C672" s="6"/>
      <c r="D672" s="6"/>
      <c r="E672" s="6"/>
      <c r="F672" s="6"/>
      <c r="G672" s="6"/>
      <c r="H672" s="6"/>
      <c r="I672" s="6"/>
      <c r="J672" s="11"/>
      <c r="K672" s="591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ht="11.25" customHeight="1">
      <c r="A673" s="7"/>
      <c r="B673" s="5"/>
      <c r="C673" s="6"/>
      <c r="D673" s="6"/>
      <c r="E673" s="6"/>
      <c r="F673" s="6"/>
      <c r="G673" s="6"/>
      <c r="H673" s="6"/>
      <c r="I673" s="6"/>
      <c r="J673" s="11"/>
      <c r="K673" s="591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ht="11.25" customHeight="1">
      <c r="A674" s="7"/>
      <c r="B674" s="5"/>
      <c r="C674" s="6"/>
      <c r="D674" s="6"/>
      <c r="E674" s="6"/>
      <c r="F674" s="6"/>
      <c r="G674" s="6"/>
      <c r="H674" s="6"/>
      <c r="I674" s="6"/>
      <c r="J674" s="11"/>
      <c r="K674" s="591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ht="11.25" customHeight="1">
      <c r="A675" s="7"/>
      <c r="B675" s="5"/>
      <c r="C675" s="6"/>
      <c r="D675" s="6"/>
      <c r="E675" s="6"/>
      <c r="F675" s="6"/>
      <c r="G675" s="6"/>
      <c r="H675" s="6"/>
      <c r="I675" s="6"/>
      <c r="J675" s="11"/>
      <c r="K675" s="591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ht="11.25" customHeight="1">
      <c r="A676" s="7"/>
      <c r="B676" s="5"/>
      <c r="C676" s="6"/>
      <c r="D676" s="6"/>
      <c r="E676" s="6"/>
      <c r="F676" s="6"/>
      <c r="G676" s="6"/>
      <c r="H676" s="6"/>
      <c r="I676" s="6"/>
      <c r="J676" s="11"/>
      <c r="K676" s="591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ht="11.25" customHeight="1">
      <c r="A677" s="7"/>
      <c r="B677" s="5"/>
      <c r="C677" s="6"/>
      <c r="D677" s="6"/>
      <c r="E677" s="6"/>
      <c r="F677" s="6"/>
      <c r="G677" s="6"/>
      <c r="H677" s="6"/>
      <c r="I677" s="6"/>
      <c r="J677" s="11"/>
      <c r="K677" s="591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ht="11.25" customHeight="1">
      <c r="A678" s="7"/>
      <c r="B678" s="5"/>
      <c r="C678" s="6"/>
      <c r="D678" s="6"/>
      <c r="E678" s="6"/>
      <c r="F678" s="6"/>
      <c r="G678" s="6"/>
      <c r="H678" s="6"/>
      <c r="I678" s="6"/>
      <c r="J678" s="11"/>
      <c r="K678" s="591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ht="11.25" customHeight="1">
      <c r="A679" s="7"/>
      <c r="B679" s="5"/>
      <c r="C679" s="6"/>
      <c r="D679" s="6"/>
      <c r="E679" s="6"/>
      <c r="F679" s="6"/>
      <c r="G679" s="6"/>
      <c r="H679" s="6"/>
      <c r="I679" s="6"/>
      <c r="J679" s="11"/>
      <c r="K679" s="591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ht="11.25" customHeight="1">
      <c r="A680" s="7"/>
      <c r="B680" s="5"/>
      <c r="C680" s="6"/>
      <c r="D680" s="6"/>
      <c r="E680" s="6"/>
      <c r="F680" s="6"/>
      <c r="G680" s="6"/>
      <c r="H680" s="6"/>
      <c r="I680" s="6"/>
      <c r="J680" s="11"/>
      <c r="K680" s="591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ht="11.25" customHeight="1">
      <c r="A681" s="7"/>
      <c r="B681" s="5"/>
      <c r="C681" s="6"/>
      <c r="D681" s="6"/>
      <c r="E681" s="6"/>
      <c r="F681" s="6"/>
      <c r="G681" s="6"/>
      <c r="H681" s="6"/>
      <c r="I681" s="6"/>
      <c r="J681" s="11"/>
      <c r="K681" s="591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ht="11.25" customHeight="1">
      <c r="A682" s="7"/>
      <c r="B682" s="5"/>
      <c r="C682" s="6"/>
      <c r="D682" s="6"/>
      <c r="E682" s="6"/>
      <c r="F682" s="6"/>
      <c r="G682" s="6"/>
      <c r="H682" s="6"/>
      <c r="I682" s="6"/>
      <c r="J682" s="11"/>
      <c r="K682" s="591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ht="11.25" customHeight="1">
      <c r="A683" s="7"/>
      <c r="B683" s="5"/>
      <c r="C683" s="6"/>
      <c r="D683" s="6"/>
      <c r="E683" s="6"/>
      <c r="F683" s="6"/>
      <c r="G683" s="6"/>
      <c r="H683" s="6"/>
      <c r="I683" s="6"/>
      <c r="J683" s="11"/>
      <c r="K683" s="591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ht="11.25" customHeight="1">
      <c r="A684" s="7"/>
      <c r="B684" s="5"/>
      <c r="C684" s="6"/>
      <c r="D684" s="6"/>
      <c r="E684" s="6"/>
      <c r="F684" s="6"/>
      <c r="G684" s="6"/>
      <c r="H684" s="6"/>
      <c r="I684" s="6"/>
      <c r="J684" s="11"/>
      <c r="K684" s="591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ht="11.25" customHeight="1">
      <c r="A685" s="7"/>
      <c r="B685" s="5"/>
      <c r="C685" s="6"/>
      <c r="D685" s="6"/>
      <c r="E685" s="6"/>
      <c r="F685" s="6"/>
      <c r="G685" s="6"/>
      <c r="H685" s="6"/>
      <c r="I685" s="6"/>
      <c r="J685" s="11"/>
      <c r="K685" s="591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ht="11.25" customHeight="1">
      <c r="A686" s="7"/>
      <c r="B686" s="5"/>
      <c r="C686" s="6"/>
      <c r="D686" s="6"/>
      <c r="E686" s="6"/>
      <c r="F686" s="6"/>
      <c r="G686" s="6"/>
      <c r="H686" s="6"/>
      <c r="I686" s="6"/>
      <c r="J686" s="11"/>
      <c r="K686" s="591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ht="11.25" customHeight="1">
      <c r="A687" s="7"/>
      <c r="B687" s="5"/>
      <c r="C687" s="6"/>
      <c r="D687" s="6"/>
      <c r="E687" s="6"/>
      <c r="F687" s="6"/>
      <c r="G687" s="6"/>
      <c r="H687" s="6"/>
      <c r="I687" s="6"/>
      <c r="J687" s="11"/>
      <c r="K687" s="591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ht="11.25" customHeight="1">
      <c r="A688" s="7"/>
      <c r="B688" s="5"/>
      <c r="C688" s="6"/>
      <c r="D688" s="6"/>
      <c r="E688" s="6"/>
      <c r="F688" s="6"/>
      <c r="G688" s="6"/>
      <c r="H688" s="6"/>
      <c r="I688" s="6"/>
      <c r="J688" s="11"/>
      <c r="K688" s="591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ht="11.25" customHeight="1">
      <c r="A689" s="7"/>
      <c r="B689" s="5"/>
      <c r="C689" s="6"/>
      <c r="D689" s="6"/>
      <c r="E689" s="6"/>
      <c r="F689" s="6"/>
      <c r="G689" s="6"/>
      <c r="H689" s="6"/>
      <c r="I689" s="6"/>
      <c r="J689" s="11"/>
      <c r="K689" s="591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ht="11.25" customHeight="1">
      <c r="A690" s="7"/>
      <c r="B690" s="5"/>
      <c r="C690" s="6"/>
      <c r="D690" s="6"/>
      <c r="E690" s="6"/>
      <c r="F690" s="6"/>
      <c r="G690" s="6"/>
      <c r="H690" s="6"/>
      <c r="I690" s="6"/>
      <c r="J690" s="11"/>
      <c r="K690" s="591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ht="11.25" customHeight="1">
      <c r="A691" s="7"/>
      <c r="B691" s="5"/>
      <c r="C691" s="6"/>
      <c r="D691" s="6"/>
      <c r="E691" s="6"/>
      <c r="F691" s="6"/>
      <c r="G691" s="6"/>
      <c r="H691" s="6"/>
      <c r="I691" s="6"/>
      <c r="J691" s="11"/>
      <c r="K691" s="591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ht="11.25" customHeight="1">
      <c r="A692" s="7"/>
      <c r="B692" s="5"/>
      <c r="C692" s="6"/>
      <c r="D692" s="6"/>
      <c r="E692" s="6"/>
      <c r="F692" s="6"/>
      <c r="G692" s="6"/>
      <c r="H692" s="6"/>
      <c r="I692" s="6"/>
      <c r="J692" s="11"/>
      <c r="K692" s="591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ht="11.25" customHeight="1">
      <c r="A693" s="7"/>
      <c r="B693" s="5"/>
      <c r="C693" s="6"/>
      <c r="D693" s="6"/>
      <c r="E693" s="6"/>
      <c r="F693" s="6"/>
      <c r="G693" s="6"/>
      <c r="H693" s="6"/>
      <c r="I693" s="6"/>
      <c r="J693" s="11"/>
      <c r="K693" s="591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ht="11.25" customHeight="1">
      <c r="A694" s="7"/>
      <c r="B694" s="5"/>
      <c r="C694" s="6"/>
      <c r="D694" s="6"/>
      <c r="E694" s="6"/>
      <c r="F694" s="6"/>
      <c r="G694" s="6"/>
      <c r="H694" s="6"/>
      <c r="I694" s="6"/>
      <c r="J694" s="11"/>
      <c r="K694" s="591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ht="11.25" customHeight="1">
      <c r="A695" s="7"/>
      <c r="B695" s="5"/>
      <c r="C695" s="6"/>
      <c r="D695" s="6"/>
      <c r="E695" s="6"/>
      <c r="F695" s="6"/>
      <c r="G695" s="6"/>
      <c r="H695" s="6"/>
      <c r="I695" s="6"/>
      <c r="J695" s="11"/>
      <c r="K695" s="591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ht="11.25" customHeight="1">
      <c r="A696" s="7"/>
      <c r="B696" s="5"/>
      <c r="C696" s="6"/>
      <c r="D696" s="6"/>
      <c r="E696" s="6"/>
      <c r="F696" s="6"/>
      <c r="G696" s="6"/>
      <c r="H696" s="6"/>
      <c r="I696" s="6"/>
      <c r="J696" s="11"/>
      <c r="K696" s="591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ht="11.25" customHeight="1">
      <c r="A697" s="7"/>
      <c r="B697" s="5"/>
      <c r="C697" s="6"/>
      <c r="D697" s="6"/>
      <c r="E697" s="6"/>
      <c r="F697" s="6"/>
      <c r="G697" s="6"/>
      <c r="H697" s="6"/>
      <c r="I697" s="6"/>
      <c r="J697" s="11"/>
      <c r="K697" s="591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ht="11.25" customHeight="1">
      <c r="A698" s="7"/>
      <c r="B698" s="5"/>
      <c r="C698" s="6"/>
      <c r="D698" s="6"/>
      <c r="E698" s="6"/>
      <c r="F698" s="6"/>
      <c r="G698" s="6"/>
      <c r="H698" s="6"/>
      <c r="I698" s="6"/>
      <c r="J698" s="11"/>
      <c r="K698" s="591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ht="11.25" customHeight="1">
      <c r="A699" s="7"/>
      <c r="B699" s="5"/>
      <c r="C699" s="6"/>
      <c r="D699" s="6"/>
      <c r="E699" s="6"/>
      <c r="F699" s="6"/>
      <c r="G699" s="6"/>
      <c r="H699" s="6"/>
      <c r="I699" s="6"/>
      <c r="J699" s="11"/>
      <c r="K699" s="591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ht="11.25" customHeight="1">
      <c r="A700" s="7"/>
      <c r="B700" s="5"/>
      <c r="C700" s="6"/>
      <c r="D700" s="6"/>
      <c r="E700" s="6"/>
      <c r="F700" s="6"/>
      <c r="G700" s="6"/>
      <c r="H700" s="6"/>
      <c r="I700" s="6"/>
      <c r="J700" s="11"/>
      <c r="K700" s="591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ht="11.25" customHeight="1">
      <c r="A701" s="7"/>
      <c r="B701" s="5"/>
      <c r="C701" s="6"/>
      <c r="D701" s="6"/>
      <c r="E701" s="6"/>
      <c r="F701" s="6"/>
      <c r="G701" s="6"/>
      <c r="H701" s="6"/>
      <c r="I701" s="6"/>
      <c r="J701" s="11"/>
      <c r="K701" s="591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ht="11.25" customHeight="1">
      <c r="A702" s="7"/>
      <c r="B702" s="5"/>
      <c r="C702" s="6"/>
      <c r="D702" s="6"/>
      <c r="E702" s="6"/>
      <c r="F702" s="6"/>
      <c r="G702" s="6"/>
      <c r="H702" s="6"/>
      <c r="I702" s="6"/>
      <c r="J702" s="11"/>
      <c r="K702" s="591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ht="11.25" customHeight="1">
      <c r="A703" s="7"/>
      <c r="B703" s="5"/>
      <c r="C703" s="6"/>
      <c r="D703" s="6"/>
      <c r="E703" s="6"/>
      <c r="F703" s="6"/>
      <c r="G703" s="6"/>
      <c r="H703" s="6"/>
      <c r="I703" s="6"/>
      <c r="J703" s="11"/>
      <c r="K703" s="591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ht="11.25" customHeight="1">
      <c r="A704" s="7"/>
      <c r="B704" s="5"/>
      <c r="C704" s="6"/>
      <c r="D704" s="6"/>
      <c r="E704" s="6"/>
      <c r="F704" s="6"/>
      <c r="G704" s="6"/>
      <c r="H704" s="6"/>
      <c r="I704" s="6"/>
      <c r="J704" s="11"/>
      <c r="K704" s="591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ht="11.25" customHeight="1">
      <c r="A705" s="7"/>
      <c r="B705" s="5"/>
      <c r="C705" s="6"/>
      <c r="D705" s="6"/>
      <c r="E705" s="6"/>
      <c r="F705" s="6"/>
      <c r="G705" s="6"/>
      <c r="H705" s="6"/>
      <c r="I705" s="6"/>
      <c r="J705" s="11"/>
      <c r="K705" s="591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ht="11.25" customHeight="1">
      <c r="A706" s="7"/>
      <c r="B706" s="5"/>
      <c r="C706" s="6"/>
      <c r="D706" s="6"/>
      <c r="E706" s="6"/>
      <c r="F706" s="6"/>
      <c r="G706" s="6"/>
      <c r="H706" s="6"/>
      <c r="I706" s="6"/>
      <c r="J706" s="11"/>
      <c r="K706" s="591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ht="11.25" customHeight="1">
      <c r="A707" s="7"/>
      <c r="B707" s="5"/>
      <c r="C707" s="6"/>
      <c r="D707" s="6"/>
      <c r="E707" s="6"/>
      <c r="F707" s="6"/>
      <c r="G707" s="6"/>
      <c r="H707" s="6"/>
      <c r="I707" s="6"/>
      <c r="J707" s="11"/>
      <c r="K707" s="591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ht="11.25" customHeight="1">
      <c r="A708" s="7"/>
      <c r="B708" s="5"/>
      <c r="C708" s="6"/>
      <c r="D708" s="6"/>
      <c r="E708" s="6"/>
      <c r="F708" s="6"/>
      <c r="G708" s="6"/>
      <c r="H708" s="6"/>
      <c r="I708" s="6"/>
      <c r="J708" s="11"/>
      <c r="K708" s="591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ht="11.25" customHeight="1">
      <c r="A709" s="7"/>
      <c r="B709" s="5"/>
      <c r="C709" s="6"/>
      <c r="D709" s="6"/>
      <c r="E709" s="6"/>
      <c r="F709" s="6"/>
      <c r="G709" s="6"/>
      <c r="H709" s="6"/>
      <c r="I709" s="6"/>
      <c r="J709" s="11"/>
      <c r="K709" s="591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ht="11.25" customHeight="1">
      <c r="A710" s="7"/>
      <c r="B710" s="5"/>
      <c r="C710" s="6"/>
      <c r="D710" s="6"/>
      <c r="E710" s="6"/>
      <c r="F710" s="6"/>
      <c r="G710" s="6"/>
      <c r="H710" s="6"/>
      <c r="I710" s="6"/>
      <c r="J710" s="11"/>
      <c r="K710" s="591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ht="11.25" customHeight="1">
      <c r="A711" s="7"/>
      <c r="B711" s="5"/>
      <c r="C711" s="6"/>
      <c r="D711" s="6"/>
      <c r="E711" s="6"/>
      <c r="F711" s="6"/>
      <c r="G711" s="6"/>
      <c r="H711" s="6"/>
      <c r="I711" s="6"/>
      <c r="J711" s="11"/>
      <c r="K711" s="591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ht="11.25" customHeight="1">
      <c r="A712" s="7"/>
      <c r="B712" s="5"/>
      <c r="C712" s="6"/>
      <c r="D712" s="6"/>
      <c r="E712" s="6"/>
      <c r="F712" s="6"/>
      <c r="G712" s="6"/>
      <c r="H712" s="6"/>
      <c r="I712" s="6"/>
      <c r="J712" s="11"/>
      <c r="K712" s="591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ht="11.25" customHeight="1">
      <c r="A713" s="7"/>
      <c r="B713" s="5"/>
      <c r="C713" s="6"/>
      <c r="D713" s="6"/>
      <c r="E713" s="6"/>
      <c r="F713" s="6"/>
      <c r="G713" s="6"/>
      <c r="H713" s="6"/>
      <c r="I713" s="6"/>
      <c r="J713" s="11"/>
      <c r="K713" s="591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ht="11.25" customHeight="1">
      <c r="A714" s="7"/>
      <c r="B714" s="5"/>
      <c r="C714" s="6"/>
      <c r="D714" s="6"/>
      <c r="E714" s="6"/>
      <c r="F714" s="6"/>
      <c r="G714" s="6"/>
      <c r="H714" s="6"/>
      <c r="I714" s="6"/>
      <c r="J714" s="11"/>
      <c r="K714" s="591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ht="11.25" customHeight="1">
      <c r="A715" s="7"/>
      <c r="B715" s="5"/>
      <c r="C715" s="6"/>
      <c r="D715" s="6"/>
      <c r="E715" s="6"/>
      <c r="F715" s="6"/>
      <c r="G715" s="6"/>
      <c r="H715" s="6"/>
      <c r="I715" s="6"/>
      <c r="J715" s="11"/>
      <c r="K715" s="591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ht="11.25" customHeight="1">
      <c r="A716" s="7"/>
      <c r="B716" s="5"/>
      <c r="C716" s="6"/>
      <c r="D716" s="6"/>
      <c r="E716" s="6"/>
      <c r="F716" s="6"/>
      <c r="G716" s="6"/>
      <c r="H716" s="6"/>
      <c r="I716" s="6"/>
      <c r="J716" s="11"/>
      <c r="K716" s="591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ht="11.25" customHeight="1">
      <c r="A717" s="7"/>
      <c r="B717" s="5"/>
      <c r="C717" s="6"/>
      <c r="D717" s="6"/>
      <c r="E717" s="6"/>
      <c r="F717" s="6"/>
      <c r="G717" s="6"/>
      <c r="H717" s="6"/>
      <c r="I717" s="6"/>
      <c r="J717" s="11"/>
      <c r="K717" s="591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ht="11.25" customHeight="1">
      <c r="A718" s="7"/>
      <c r="B718" s="5"/>
      <c r="C718" s="6"/>
      <c r="D718" s="6"/>
      <c r="E718" s="6"/>
      <c r="F718" s="6"/>
      <c r="G718" s="6"/>
      <c r="H718" s="6"/>
      <c r="I718" s="6"/>
      <c r="J718" s="11"/>
      <c r="K718" s="591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ht="11.25" customHeight="1">
      <c r="A719" s="7"/>
      <c r="B719" s="5"/>
      <c r="C719" s="6"/>
      <c r="D719" s="6"/>
      <c r="E719" s="6"/>
      <c r="F719" s="6"/>
      <c r="G719" s="6"/>
      <c r="H719" s="6"/>
      <c r="I719" s="6"/>
      <c r="J719" s="11"/>
      <c r="K719" s="591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ht="11.25" customHeight="1">
      <c r="A720" s="7"/>
      <c r="B720" s="5"/>
      <c r="C720" s="6"/>
      <c r="D720" s="6"/>
      <c r="E720" s="6"/>
      <c r="F720" s="6"/>
      <c r="G720" s="6"/>
      <c r="H720" s="6"/>
      <c r="I720" s="6"/>
      <c r="J720" s="11"/>
      <c r="K720" s="591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ht="11.25" customHeight="1">
      <c r="A721" s="7"/>
      <c r="B721" s="5"/>
      <c r="C721" s="6"/>
      <c r="D721" s="6"/>
      <c r="E721" s="6"/>
      <c r="F721" s="6"/>
      <c r="G721" s="6"/>
      <c r="H721" s="6"/>
      <c r="I721" s="6"/>
      <c r="J721" s="11"/>
      <c r="K721" s="591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ht="11.25" customHeight="1">
      <c r="A722" s="7"/>
      <c r="B722" s="5"/>
      <c r="C722" s="6"/>
      <c r="D722" s="6"/>
      <c r="E722" s="6"/>
      <c r="F722" s="6"/>
      <c r="G722" s="6"/>
      <c r="H722" s="6"/>
      <c r="I722" s="6"/>
      <c r="J722" s="11"/>
      <c r="K722" s="591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ht="11.25" customHeight="1">
      <c r="A723" s="7"/>
      <c r="B723" s="5"/>
      <c r="C723" s="6"/>
      <c r="D723" s="6"/>
      <c r="E723" s="6"/>
      <c r="F723" s="6"/>
      <c r="G723" s="6"/>
      <c r="H723" s="6"/>
      <c r="I723" s="6"/>
      <c r="J723" s="11"/>
      <c r="K723" s="591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ht="11.25" customHeight="1">
      <c r="A724" s="7"/>
      <c r="B724" s="5"/>
      <c r="C724" s="6"/>
      <c r="D724" s="6"/>
      <c r="E724" s="6"/>
      <c r="F724" s="6"/>
      <c r="G724" s="6"/>
      <c r="H724" s="6"/>
      <c r="I724" s="6"/>
      <c r="J724" s="11"/>
      <c r="K724" s="591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ht="11.25" customHeight="1">
      <c r="A725" s="7"/>
      <c r="B725" s="5"/>
      <c r="C725" s="6"/>
      <c r="D725" s="6"/>
      <c r="E725" s="6"/>
      <c r="F725" s="6"/>
      <c r="G725" s="6"/>
      <c r="H725" s="6"/>
      <c r="I725" s="6"/>
      <c r="J725" s="11"/>
      <c r="K725" s="591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ht="11.25" customHeight="1">
      <c r="A726" s="7"/>
      <c r="B726" s="5"/>
      <c r="C726" s="6"/>
      <c r="D726" s="6"/>
      <c r="E726" s="6"/>
      <c r="F726" s="6"/>
      <c r="G726" s="6"/>
      <c r="H726" s="6"/>
      <c r="I726" s="6"/>
      <c r="J726" s="11"/>
      <c r="K726" s="591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ht="11.25" customHeight="1">
      <c r="A727" s="7"/>
      <c r="B727" s="5"/>
      <c r="C727" s="6"/>
      <c r="D727" s="6"/>
      <c r="E727" s="6"/>
      <c r="F727" s="6"/>
      <c r="G727" s="6"/>
      <c r="H727" s="6"/>
      <c r="I727" s="6"/>
      <c r="J727" s="11"/>
      <c r="K727" s="591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ht="11.25" customHeight="1">
      <c r="A728" s="7"/>
      <c r="B728" s="5"/>
      <c r="C728" s="6"/>
      <c r="D728" s="6"/>
      <c r="E728" s="6"/>
      <c r="F728" s="6"/>
      <c r="G728" s="6"/>
      <c r="H728" s="6"/>
      <c r="I728" s="6"/>
      <c r="J728" s="11"/>
      <c r="K728" s="591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ht="11.25" customHeight="1">
      <c r="A729" s="7"/>
      <c r="B729" s="5"/>
      <c r="C729" s="6"/>
      <c r="D729" s="6"/>
      <c r="E729" s="6"/>
      <c r="F729" s="6"/>
      <c r="G729" s="6"/>
      <c r="H729" s="6"/>
      <c r="I729" s="6"/>
      <c r="J729" s="11"/>
      <c r="K729" s="591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ht="11.25" customHeight="1">
      <c r="A730" s="7"/>
      <c r="B730" s="5"/>
      <c r="C730" s="6"/>
      <c r="D730" s="6"/>
      <c r="E730" s="6"/>
      <c r="F730" s="6"/>
      <c r="G730" s="6"/>
      <c r="H730" s="6"/>
      <c r="I730" s="6"/>
      <c r="J730" s="11"/>
      <c r="K730" s="591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ht="11.25" customHeight="1">
      <c r="A731" s="7"/>
      <c r="B731" s="5"/>
      <c r="C731" s="6"/>
      <c r="D731" s="6"/>
      <c r="E731" s="6"/>
      <c r="F731" s="6"/>
      <c r="G731" s="6"/>
      <c r="H731" s="6"/>
      <c r="I731" s="6"/>
      <c r="J731" s="11"/>
      <c r="K731" s="591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ht="11.25" customHeight="1">
      <c r="A732" s="7"/>
      <c r="B732" s="5"/>
      <c r="C732" s="6"/>
      <c r="D732" s="6"/>
      <c r="E732" s="6"/>
      <c r="F732" s="6"/>
      <c r="G732" s="6"/>
      <c r="H732" s="6"/>
      <c r="I732" s="6"/>
      <c r="J732" s="11"/>
      <c r="K732" s="591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ht="11.25" customHeight="1">
      <c r="A733" s="7"/>
      <c r="B733" s="5"/>
      <c r="C733" s="6"/>
      <c r="D733" s="6"/>
      <c r="E733" s="6"/>
      <c r="F733" s="6"/>
      <c r="G733" s="6"/>
      <c r="H733" s="6"/>
      <c r="I733" s="6"/>
      <c r="J733" s="11"/>
      <c r="K733" s="591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ht="11.25" customHeight="1">
      <c r="A734" s="7"/>
      <c r="B734" s="5"/>
      <c r="C734" s="6"/>
      <c r="D734" s="6"/>
      <c r="E734" s="6"/>
      <c r="F734" s="6"/>
      <c r="G734" s="6"/>
      <c r="H734" s="6"/>
      <c r="I734" s="6"/>
      <c r="J734" s="11"/>
      <c r="K734" s="591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ht="11.25" customHeight="1">
      <c r="A735" s="7"/>
      <c r="B735" s="5"/>
      <c r="C735" s="6"/>
      <c r="D735" s="6"/>
      <c r="E735" s="6"/>
      <c r="F735" s="6"/>
      <c r="G735" s="6"/>
      <c r="H735" s="6"/>
      <c r="I735" s="6"/>
      <c r="J735" s="11"/>
      <c r="K735" s="591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ht="11.25" customHeight="1">
      <c r="A736" s="7"/>
      <c r="B736" s="5"/>
      <c r="C736" s="6"/>
      <c r="D736" s="6"/>
      <c r="E736" s="6"/>
      <c r="F736" s="6"/>
      <c r="G736" s="6"/>
      <c r="H736" s="6"/>
      <c r="I736" s="6"/>
      <c r="J736" s="11"/>
      <c r="K736" s="591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ht="11.25" customHeight="1">
      <c r="A737" s="7"/>
      <c r="B737" s="5"/>
      <c r="C737" s="6"/>
      <c r="D737" s="6"/>
      <c r="E737" s="6"/>
      <c r="F737" s="6"/>
      <c r="G737" s="6"/>
      <c r="H737" s="6"/>
      <c r="I737" s="6"/>
      <c r="J737" s="11"/>
      <c r="K737" s="591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ht="11.25" customHeight="1">
      <c r="A738" s="7"/>
      <c r="B738" s="5"/>
      <c r="C738" s="6"/>
      <c r="D738" s="6"/>
      <c r="E738" s="6"/>
      <c r="F738" s="6"/>
      <c r="G738" s="6"/>
      <c r="H738" s="6"/>
      <c r="I738" s="6"/>
      <c r="J738" s="11"/>
      <c r="K738" s="591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ht="11.25" customHeight="1">
      <c r="A739" s="7"/>
      <c r="B739" s="5"/>
      <c r="C739" s="6"/>
      <c r="D739" s="6"/>
      <c r="E739" s="6"/>
      <c r="F739" s="6"/>
      <c r="G739" s="6"/>
      <c r="H739" s="6"/>
      <c r="I739" s="6"/>
      <c r="J739" s="11"/>
      <c r="K739" s="591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ht="11.25" customHeight="1">
      <c r="A740" s="7"/>
      <c r="B740" s="5"/>
      <c r="C740" s="6"/>
      <c r="D740" s="6"/>
      <c r="E740" s="6"/>
      <c r="F740" s="6"/>
      <c r="G740" s="6"/>
      <c r="H740" s="6"/>
      <c r="I740" s="6"/>
      <c r="J740" s="11"/>
      <c r="K740" s="591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ht="11.25" customHeight="1">
      <c r="A741" s="7"/>
      <c r="B741" s="5"/>
      <c r="C741" s="6"/>
      <c r="D741" s="6"/>
      <c r="E741" s="6"/>
      <c r="F741" s="6"/>
      <c r="G741" s="6"/>
      <c r="H741" s="6"/>
      <c r="I741" s="6"/>
      <c r="J741" s="11"/>
      <c r="K741" s="591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ht="11.25" customHeight="1">
      <c r="A742" s="7"/>
      <c r="B742" s="5"/>
      <c r="C742" s="6"/>
      <c r="D742" s="6"/>
      <c r="E742" s="6"/>
      <c r="F742" s="6"/>
      <c r="G742" s="6"/>
      <c r="H742" s="6"/>
      <c r="I742" s="6"/>
      <c r="J742" s="11"/>
      <c r="K742" s="591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ht="11.25" customHeight="1">
      <c r="A743" s="7"/>
      <c r="B743" s="5"/>
      <c r="C743" s="6"/>
      <c r="D743" s="6"/>
      <c r="E743" s="6"/>
      <c r="F743" s="6"/>
      <c r="G743" s="6"/>
      <c r="H743" s="6"/>
      <c r="I743" s="6"/>
      <c r="J743" s="11"/>
      <c r="K743" s="591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ht="11.25" customHeight="1">
      <c r="A744" s="7"/>
      <c r="B744" s="5"/>
      <c r="C744" s="6"/>
      <c r="D744" s="6"/>
      <c r="E744" s="6"/>
      <c r="F744" s="6"/>
      <c r="G744" s="6"/>
      <c r="H744" s="6"/>
      <c r="I744" s="6"/>
      <c r="J744" s="11"/>
      <c r="K744" s="591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ht="11.25" customHeight="1">
      <c r="A745" s="7"/>
      <c r="B745" s="5"/>
      <c r="C745" s="6"/>
      <c r="D745" s="6"/>
      <c r="E745" s="6"/>
      <c r="F745" s="6"/>
      <c r="G745" s="6"/>
      <c r="H745" s="6"/>
      <c r="I745" s="6"/>
      <c r="J745" s="11"/>
      <c r="K745" s="591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ht="11.25" customHeight="1">
      <c r="A746" s="7"/>
      <c r="B746" s="5"/>
      <c r="C746" s="6"/>
      <c r="D746" s="6"/>
      <c r="E746" s="6"/>
      <c r="F746" s="6"/>
      <c r="G746" s="6"/>
      <c r="H746" s="6"/>
      <c r="I746" s="6"/>
      <c r="J746" s="11"/>
      <c r="K746" s="591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ht="11.25" customHeight="1">
      <c r="A747" s="7"/>
      <c r="B747" s="5"/>
      <c r="C747" s="6"/>
      <c r="D747" s="6"/>
      <c r="E747" s="6"/>
      <c r="F747" s="6"/>
      <c r="G747" s="6"/>
      <c r="H747" s="6"/>
      <c r="I747" s="6"/>
      <c r="J747" s="11"/>
      <c r="K747" s="591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ht="11.25" customHeight="1">
      <c r="A748" s="7"/>
      <c r="B748" s="5"/>
      <c r="C748" s="6"/>
      <c r="D748" s="6"/>
      <c r="E748" s="6"/>
      <c r="F748" s="6"/>
      <c r="G748" s="6"/>
      <c r="H748" s="6"/>
      <c r="I748" s="6"/>
      <c r="J748" s="11"/>
      <c r="K748" s="591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ht="11.25" customHeight="1">
      <c r="A749" s="7"/>
      <c r="B749" s="5"/>
      <c r="C749" s="6"/>
      <c r="D749" s="6"/>
      <c r="E749" s="6"/>
      <c r="F749" s="6"/>
      <c r="G749" s="6"/>
      <c r="H749" s="6"/>
      <c r="I749" s="6"/>
      <c r="J749" s="11"/>
      <c r="K749" s="591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ht="11.25" customHeight="1">
      <c r="A750" s="7"/>
      <c r="B750" s="5"/>
      <c r="C750" s="6"/>
      <c r="D750" s="6"/>
      <c r="E750" s="6"/>
      <c r="F750" s="6"/>
      <c r="G750" s="6"/>
      <c r="H750" s="6"/>
      <c r="I750" s="6"/>
      <c r="J750" s="11"/>
      <c r="K750" s="591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ht="11.25" customHeight="1">
      <c r="A751" s="7"/>
      <c r="B751" s="5"/>
      <c r="C751" s="6"/>
      <c r="D751" s="6"/>
      <c r="E751" s="6"/>
      <c r="F751" s="6"/>
      <c r="G751" s="6"/>
      <c r="H751" s="6"/>
      <c r="I751" s="6"/>
      <c r="J751" s="11"/>
      <c r="K751" s="591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ht="11.25" customHeight="1">
      <c r="A752" s="7"/>
      <c r="B752" s="5"/>
      <c r="C752" s="6"/>
      <c r="D752" s="6"/>
      <c r="E752" s="6"/>
      <c r="F752" s="6"/>
      <c r="G752" s="6"/>
      <c r="H752" s="6"/>
      <c r="I752" s="6"/>
      <c r="J752" s="11"/>
      <c r="K752" s="591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ht="11.25" customHeight="1">
      <c r="A753" s="7"/>
      <c r="B753" s="5"/>
      <c r="C753" s="6"/>
      <c r="D753" s="6"/>
      <c r="E753" s="6"/>
      <c r="F753" s="6"/>
      <c r="G753" s="6"/>
      <c r="H753" s="6"/>
      <c r="I753" s="6"/>
      <c r="J753" s="11"/>
      <c r="K753" s="591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ht="11.25" customHeight="1">
      <c r="A754" s="7"/>
      <c r="B754" s="5"/>
      <c r="C754" s="6"/>
      <c r="D754" s="6"/>
      <c r="E754" s="6"/>
      <c r="F754" s="6"/>
      <c r="G754" s="6"/>
      <c r="H754" s="6"/>
      <c r="I754" s="6"/>
      <c r="J754" s="11"/>
      <c r="K754" s="591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ht="11.25" customHeight="1">
      <c r="A755" s="7"/>
      <c r="B755" s="5"/>
      <c r="C755" s="6"/>
      <c r="D755" s="6"/>
      <c r="E755" s="6"/>
      <c r="F755" s="6"/>
      <c r="G755" s="6"/>
      <c r="H755" s="6"/>
      <c r="I755" s="6"/>
      <c r="J755" s="11"/>
      <c r="K755" s="591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ht="11.25" customHeight="1">
      <c r="A756" s="7"/>
      <c r="B756" s="5"/>
      <c r="C756" s="6"/>
      <c r="D756" s="6"/>
      <c r="E756" s="6"/>
      <c r="F756" s="6"/>
      <c r="G756" s="6"/>
      <c r="H756" s="6"/>
      <c r="I756" s="6"/>
      <c r="J756" s="11"/>
      <c r="K756" s="591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ht="11.25" customHeight="1">
      <c r="A757" s="7"/>
      <c r="B757" s="5"/>
      <c r="C757" s="6"/>
      <c r="D757" s="6"/>
      <c r="E757" s="6"/>
      <c r="F757" s="6"/>
      <c r="G757" s="6"/>
      <c r="H757" s="6"/>
      <c r="I757" s="6"/>
      <c r="J757" s="11"/>
      <c r="K757" s="591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ht="11.25" customHeight="1">
      <c r="A758" s="7"/>
      <c r="B758" s="5"/>
      <c r="C758" s="6"/>
      <c r="D758" s="6"/>
      <c r="E758" s="6"/>
      <c r="F758" s="6"/>
      <c r="G758" s="6"/>
      <c r="H758" s="6"/>
      <c r="I758" s="6"/>
      <c r="J758" s="11"/>
      <c r="K758" s="591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ht="11.25" customHeight="1">
      <c r="A759" s="7"/>
      <c r="B759" s="5"/>
      <c r="C759" s="6"/>
      <c r="D759" s="6"/>
      <c r="E759" s="6"/>
      <c r="F759" s="6"/>
      <c r="G759" s="6"/>
      <c r="H759" s="6"/>
      <c r="I759" s="6"/>
      <c r="J759" s="11"/>
      <c r="K759" s="591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ht="11.25" customHeight="1">
      <c r="A760" s="7"/>
      <c r="B760" s="5"/>
      <c r="C760" s="6"/>
      <c r="D760" s="6"/>
      <c r="E760" s="6"/>
      <c r="F760" s="6"/>
      <c r="G760" s="6"/>
      <c r="H760" s="6"/>
      <c r="I760" s="6"/>
      <c r="J760" s="11"/>
      <c r="K760" s="591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ht="11.25" customHeight="1">
      <c r="A761" s="7"/>
      <c r="B761" s="5"/>
      <c r="C761" s="6"/>
      <c r="D761" s="6"/>
      <c r="E761" s="6"/>
      <c r="F761" s="6"/>
      <c r="G761" s="6"/>
      <c r="H761" s="6"/>
      <c r="I761" s="6"/>
      <c r="J761" s="11"/>
      <c r="K761" s="591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ht="11.25" customHeight="1">
      <c r="A762" s="7"/>
      <c r="B762" s="5"/>
      <c r="C762" s="6"/>
      <c r="D762" s="6"/>
      <c r="E762" s="6"/>
      <c r="F762" s="6"/>
      <c r="G762" s="6"/>
      <c r="H762" s="6"/>
      <c r="I762" s="6"/>
      <c r="J762" s="11"/>
      <c r="K762" s="591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ht="11.25" customHeight="1">
      <c r="A763" s="7"/>
      <c r="B763" s="5"/>
      <c r="C763" s="6"/>
      <c r="D763" s="6"/>
      <c r="E763" s="6"/>
      <c r="F763" s="6"/>
      <c r="G763" s="6"/>
      <c r="H763" s="6"/>
      <c r="I763" s="6"/>
      <c r="J763" s="11"/>
      <c r="K763" s="591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ht="11.25" customHeight="1">
      <c r="A764" s="7"/>
      <c r="B764" s="5"/>
      <c r="C764" s="6"/>
      <c r="D764" s="6"/>
      <c r="E764" s="6"/>
      <c r="F764" s="6"/>
      <c r="G764" s="6"/>
      <c r="H764" s="6"/>
      <c r="I764" s="6"/>
      <c r="J764" s="11"/>
      <c r="K764" s="591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ht="11.25" customHeight="1">
      <c r="A765" s="7"/>
      <c r="B765" s="5"/>
      <c r="C765" s="6"/>
      <c r="D765" s="6"/>
      <c r="E765" s="6"/>
      <c r="F765" s="6"/>
      <c r="G765" s="6"/>
      <c r="H765" s="6"/>
      <c r="I765" s="6"/>
      <c r="J765" s="11"/>
      <c r="K765" s="591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ht="11.25" customHeight="1">
      <c r="A766" s="7"/>
      <c r="B766" s="5"/>
      <c r="C766" s="6"/>
      <c r="D766" s="6"/>
      <c r="E766" s="6"/>
      <c r="F766" s="6"/>
      <c r="G766" s="6"/>
      <c r="H766" s="6"/>
      <c r="I766" s="6"/>
      <c r="J766" s="11"/>
      <c r="K766" s="591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ht="11.25" customHeight="1">
      <c r="A767" s="7"/>
      <c r="B767" s="5"/>
      <c r="C767" s="6"/>
      <c r="D767" s="6"/>
      <c r="E767" s="6"/>
      <c r="F767" s="6"/>
      <c r="G767" s="6"/>
      <c r="H767" s="6"/>
      <c r="I767" s="6"/>
      <c r="J767" s="11"/>
      <c r="K767" s="591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ht="11.25" customHeight="1">
      <c r="A768" s="7"/>
      <c r="B768" s="5"/>
      <c r="C768" s="6"/>
      <c r="D768" s="6"/>
      <c r="E768" s="6"/>
      <c r="F768" s="6"/>
      <c r="G768" s="6"/>
      <c r="H768" s="6"/>
      <c r="I768" s="6"/>
      <c r="J768" s="11"/>
      <c r="K768" s="591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ht="11.25" customHeight="1">
      <c r="A769" s="7"/>
      <c r="B769" s="5"/>
      <c r="C769" s="6"/>
      <c r="D769" s="6"/>
      <c r="E769" s="6"/>
      <c r="F769" s="6"/>
      <c r="G769" s="6"/>
      <c r="H769" s="6"/>
      <c r="I769" s="6"/>
      <c r="J769" s="11"/>
      <c r="K769" s="591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ht="11.25" customHeight="1">
      <c r="A770" s="7"/>
      <c r="B770" s="5"/>
      <c r="C770" s="6"/>
      <c r="D770" s="6"/>
      <c r="E770" s="6"/>
      <c r="F770" s="6"/>
      <c r="G770" s="6"/>
      <c r="H770" s="6"/>
      <c r="I770" s="6"/>
      <c r="J770" s="11"/>
      <c r="K770" s="591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ht="11.25" customHeight="1">
      <c r="A771" s="7"/>
      <c r="B771" s="5"/>
      <c r="C771" s="6"/>
      <c r="D771" s="6"/>
      <c r="E771" s="6"/>
      <c r="F771" s="6"/>
      <c r="G771" s="6"/>
      <c r="H771" s="6"/>
      <c r="I771" s="6"/>
      <c r="J771" s="11"/>
      <c r="K771" s="591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ht="11.25" customHeight="1">
      <c r="A772" s="7"/>
      <c r="B772" s="5"/>
      <c r="C772" s="6"/>
      <c r="D772" s="6"/>
      <c r="E772" s="6"/>
      <c r="F772" s="6"/>
      <c r="G772" s="6"/>
      <c r="H772" s="6"/>
      <c r="I772" s="6"/>
      <c r="J772" s="11"/>
      <c r="K772" s="591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ht="11.25" customHeight="1">
      <c r="A773" s="7"/>
      <c r="B773" s="5"/>
      <c r="C773" s="6"/>
      <c r="D773" s="6"/>
      <c r="E773" s="6"/>
      <c r="F773" s="6"/>
      <c r="G773" s="6"/>
      <c r="H773" s="6"/>
      <c r="I773" s="6"/>
      <c r="J773" s="11"/>
      <c r="K773" s="591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ht="11.25" customHeight="1">
      <c r="A774" s="7"/>
      <c r="B774" s="5"/>
      <c r="C774" s="6"/>
      <c r="D774" s="6"/>
      <c r="E774" s="6"/>
      <c r="F774" s="6"/>
      <c r="G774" s="6"/>
      <c r="H774" s="6"/>
      <c r="I774" s="6"/>
      <c r="J774" s="11"/>
      <c r="K774" s="591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ht="11.25" customHeight="1">
      <c r="A775" s="7"/>
      <c r="B775" s="5"/>
      <c r="C775" s="6"/>
      <c r="D775" s="6"/>
      <c r="E775" s="6"/>
      <c r="F775" s="6"/>
      <c r="G775" s="6"/>
      <c r="H775" s="6"/>
      <c r="I775" s="6"/>
      <c r="J775" s="11"/>
      <c r="K775" s="591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ht="11.25" customHeight="1">
      <c r="A776" s="7"/>
      <c r="B776" s="5"/>
      <c r="C776" s="6"/>
      <c r="D776" s="6"/>
      <c r="E776" s="6"/>
      <c r="F776" s="6"/>
      <c r="G776" s="6"/>
      <c r="H776" s="6"/>
      <c r="I776" s="6"/>
      <c r="J776" s="11"/>
      <c r="K776" s="591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ht="11.25" customHeight="1">
      <c r="A777" s="7"/>
      <c r="B777" s="5"/>
      <c r="C777" s="6"/>
      <c r="D777" s="6"/>
      <c r="E777" s="6"/>
      <c r="F777" s="6"/>
      <c r="G777" s="6"/>
      <c r="H777" s="6"/>
      <c r="I777" s="6"/>
      <c r="J777" s="11"/>
      <c r="K777" s="591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ht="11.25" customHeight="1">
      <c r="A778" s="7"/>
      <c r="B778" s="5"/>
      <c r="C778" s="6"/>
      <c r="D778" s="6"/>
      <c r="E778" s="6"/>
      <c r="F778" s="6"/>
      <c r="G778" s="6"/>
      <c r="H778" s="6"/>
      <c r="I778" s="6"/>
      <c r="J778" s="11"/>
      <c r="K778" s="591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ht="11.25" customHeight="1">
      <c r="A779" s="7"/>
      <c r="B779" s="5"/>
      <c r="C779" s="6"/>
      <c r="D779" s="6"/>
      <c r="E779" s="6"/>
      <c r="F779" s="6"/>
      <c r="G779" s="6"/>
      <c r="H779" s="6"/>
      <c r="I779" s="6"/>
      <c r="J779" s="11"/>
      <c r="K779" s="591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ht="11.25" customHeight="1">
      <c r="A780" s="7"/>
      <c r="B780" s="5"/>
      <c r="C780" s="6"/>
      <c r="D780" s="6"/>
      <c r="E780" s="6"/>
      <c r="F780" s="6"/>
      <c r="G780" s="6"/>
      <c r="H780" s="6"/>
      <c r="I780" s="6"/>
      <c r="J780" s="11"/>
      <c r="K780" s="591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ht="11.25" customHeight="1">
      <c r="A781" s="7"/>
      <c r="B781" s="5"/>
      <c r="C781" s="6"/>
      <c r="D781" s="6"/>
      <c r="E781" s="6"/>
      <c r="F781" s="6"/>
      <c r="G781" s="6"/>
      <c r="H781" s="6"/>
      <c r="I781" s="6"/>
      <c r="J781" s="11"/>
      <c r="K781" s="591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ht="11.25" customHeight="1">
      <c r="A782" s="7"/>
      <c r="B782" s="5"/>
      <c r="C782" s="6"/>
      <c r="D782" s="6"/>
      <c r="E782" s="6"/>
      <c r="F782" s="6"/>
      <c r="G782" s="6"/>
      <c r="H782" s="6"/>
      <c r="I782" s="6"/>
      <c r="J782" s="11"/>
      <c r="K782" s="591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ht="11.25" customHeight="1">
      <c r="A783" s="7"/>
      <c r="B783" s="5"/>
      <c r="C783" s="6"/>
      <c r="D783" s="6"/>
      <c r="E783" s="6"/>
      <c r="F783" s="6"/>
      <c r="G783" s="6"/>
      <c r="H783" s="6"/>
      <c r="I783" s="6"/>
      <c r="J783" s="11"/>
      <c r="K783" s="591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ht="11.25" customHeight="1">
      <c r="A784" s="7"/>
      <c r="B784" s="5"/>
      <c r="C784" s="6"/>
      <c r="D784" s="6"/>
      <c r="E784" s="6"/>
      <c r="F784" s="6"/>
      <c r="G784" s="6"/>
      <c r="H784" s="6"/>
      <c r="I784" s="6"/>
      <c r="J784" s="11"/>
      <c r="K784" s="591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ht="11.25" customHeight="1">
      <c r="A785" s="7"/>
      <c r="B785" s="5"/>
      <c r="C785" s="6"/>
      <c r="D785" s="6"/>
      <c r="E785" s="6"/>
      <c r="F785" s="6"/>
      <c r="G785" s="6"/>
      <c r="H785" s="6"/>
      <c r="I785" s="6"/>
      <c r="J785" s="11"/>
      <c r="K785" s="591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ht="11.25" customHeight="1">
      <c r="A786" s="7"/>
      <c r="B786" s="5"/>
      <c r="C786" s="6"/>
      <c r="D786" s="6"/>
      <c r="E786" s="6"/>
      <c r="F786" s="6"/>
      <c r="G786" s="6"/>
      <c r="H786" s="6"/>
      <c r="I786" s="6"/>
      <c r="J786" s="11"/>
      <c r="K786" s="591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ht="11.25" customHeight="1">
      <c r="A787" s="7"/>
      <c r="B787" s="5"/>
      <c r="C787" s="6"/>
      <c r="D787" s="6"/>
      <c r="E787" s="6"/>
      <c r="F787" s="6"/>
      <c r="G787" s="6"/>
      <c r="H787" s="6"/>
      <c r="I787" s="6"/>
      <c r="J787" s="11"/>
      <c r="K787" s="591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ht="11.25" customHeight="1">
      <c r="A788" s="7"/>
      <c r="B788" s="5"/>
      <c r="C788" s="6"/>
      <c r="D788" s="6"/>
      <c r="E788" s="6"/>
      <c r="F788" s="6"/>
      <c r="G788" s="6"/>
      <c r="H788" s="6"/>
      <c r="I788" s="6"/>
      <c r="J788" s="11"/>
      <c r="K788" s="591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ht="11.25" customHeight="1">
      <c r="A789" s="7"/>
      <c r="B789" s="5"/>
      <c r="C789" s="6"/>
      <c r="D789" s="6"/>
      <c r="E789" s="6"/>
      <c r="F789" s="6"/>
      <c r="G789" s="6"/>
      <c r="H789" s="6"/>
      <c r="I789" s="6"/>
      <c r="J789" s="11"/>
      <c r="K789" s="591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ht="11.25" customHeight="1">
      <c r="A790" s="7"/>
      <c r="B790" s="5"/>
      <c r="C790" s="6"/>
      <c r="D790" s="6"/>
      <c r="E790" s="6"/>
      <c r="F790" s="6"/>
      <c r="G790" s="6"/>
      <c r="H790" s="6"/>
      <c r="I790" s="6"/>
      <c r="J790" s="11"/>
      <c r="K790" s="591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ht="11.25" customHeight="1">
      <c r="A791" s="7"/>
      <c r="B791" s="5"/>
      <c r="C791" s="6"/>
      <c r="D791" s="6"/>
      <c r="E791" s="6"/>
      <c r="F791" s="6"/>
      <c r="G791" s="6"/>
      <c r="H791" s="6"/>
      <c r="I791" s="6"/>
      <c r="J791" s="11"/>
      <c r="K791" s="591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ht="11.25" customHeight="1">
      <c r="A792" s="7"/>
      <c r="B792" s="5"/>
      <c r="C792" s="6"/>
      <c r="D792" s="6"/>
      <c r="E792" s="6"/>
      <c r="F792" s="6"/>
      <c r="G792" s="6"/>
      <c r="H792" s="6"/>
      <c r="I792" s="6"/>
      <c r="J792" s="11"/>
      <c r="K792" s="591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ht="11.25" customHeight="1">
      <c r="A793" s="7"/>
      <c r="B793" s="5"/>
      <c r="C793" s="6"/>
      <c r="D793" s="6"/>
      <c r="E793" s="6"/>
      <c r="F793" s="6"/>
      <c r="G793" s="6"/>
      <c r="H793" s="6"/>
      <c r="I793" s="6"/>
      <c r="J793" s="11"/>
      <c r="K793" s="591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ht="11.25" customHeight="1">
      <c r="A794" s="7"/>
      <c r="B794" s="5"/>
      <c r="C794" s="6"/>
      <c r="D794" s="6"/>
      <c r="E794" s="6"/>
      <c r="F794" s="6"/>
      <c r="G794" s="6"/>
      <c r="H794" s="6"/>
      <c r="I794" s="6"/>
      <c r="J794" s="11"/>
      <c r="K794" s="591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ht="11.25" customHeight="1">
      <c r="A795" s="7"/>
      <c r="B795" s="5"/>
      <c r="C795" s="6"/>
      <c r="D795" s="6"/>
      <c r="E795" s="6"/>
      <c r="F795" s="6"/>
      <c r="G795" s="6"/>
      <c r="H795" s="6"/>
      <c r="I795" s="6"/>
      <c r="J795" s="11"/>
      <c r="K795" s="591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ht="11.25" customHeight="1">
      <c r="A796" s="7"/>
      <c r="B796" s="5"/>
      <c r="C796" s="6"/>
      <c r="D796" s="6"/>
      <c r="E796" s="6"/>
      <c r="F796" s="6"/>
      <c r="G796" s="6"/>
      <c r="H796" s="6"/>
      <c r="I796" s="6"/>
      <c r="J796" s="11"/>
      <c r="K796" s="591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ht="11.25" customHeight="1">
      <c r="A797" s="7"/>
      <c r="B797" s="5"/>
      <c r="C797" s="6"/>
      <c r="D797" s="6"/>
      <c r="E797" s="6"/>
      <c r="F797" s="6"/>
      <c r="G797" s="6"/>
      <c r="H797" s="6"/>
      <c r="I797" s="6"/>
      <c r="J797" s="11"/>
      <c r="K797" s="591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ht="11.25" customHeight="1">
      <c r="A798" s="7"/>
      <c r="B798" s="5"/>
      <c r="C798" s="6"/>
      <c r="D798" s="6"/>
      <c r="E798" s="6"/>
      <c r="F798" s="6"/>
      <c r="G798" s="6"/>
      <c r="H798" s="6"/>
      <c r="I798" s="6"/>
      <c r="J798" s="11"/>
      <c r="K798" s="591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ht="11.25" customHeight="1">
      <c r="A799" s="7"/>
      <c r="B799" s="5"/>
      <c r="C799" s="6"/>
      <c r="D799" s="6"/>
      <c r="E799" s="6"/>
      <c r="F799" s="6"/>
      <c r="G799" s="6"/>
      <c r="H799" s="6"/>
      <c r="I799" s="6"/>
      <c r="J799" s="11"/>
      <c r="K799" s="591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ht="11.25" customHeight="1">
      <c r="A800" s="7"/>
      <c r="B800" s="5"/>
      <c r="C800" s="6"/>
      <c r="D800" s="6"/>
      <c r="E800" s="6"/>
      <c r="F800" s="6"/>
      <c r="G800" s="6"/>
      <c r="H800" s="6"/>
      <c r="I800" s="6"/>
      <c r="J800" s="11"/>
      <c r="K800" s="591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ht="11.25" customHeight="1">
      <c r="A801" s="7"/>
      <c r="B801" s="5"/>
      <c r="C801" s="6"/>
      <c r="D801" s="6"/>
      <c r="E801" s="6"/>
      <c r="F801" s="6"/>
      <c r="G801" s="6"/>
      <c r="H801" s="6"/>
      <c r="I801" s="6"/>
      <c r="J801" s="11"/>
      <c r="K801" s="591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ht="11.25" customHeight="1">
      <c r="A802" s="7"/>
      <c r="B802" s="5"/>
      <c r="C802" s="6"/>
      <c r="D802" s="6"/>
      <c r="E802" s="6"/>
      <c r="F802" s="6"/>
      <c r="G802" s="6"/>
      <c r="H802" s="6"/>
      <c r="I802" s="6"/>
      <c r="J802" s="11"/>
      <c r="K802" s="591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ht="11.25" customHeight="1">
      <c r="A803" s="7"/>
      <c r="B803" s="5"/>
      <c r="C803" s="6"/>
      <c r="D803" s="6"/>
      <c r="E803" s="6"/>
      <c r="F803" s="6"/>
      <c r="G803" s="6"/>
      <c r="H803" s="6"/>
      <c r="I803" s="6"/>
      <c r="J803" s="11"/>
      <c r="K803" s="591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ht="11.25" customHeight="1">
      <c r="A804" s="7"/>
      <c r="B804" s="5"/>
      <c r="C804" s="6"/>
      <c r="D804" s="6"/>
      <c r="E804" s="6"/>
      <c r="F804" s="6"/>
      <c r="G804" s="6"/>
      <c r="H804" s="6"/>
      <c r="I804" s="6"/>
      <c r="J804" s="11"/>
      <c r="K804" s="591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ht="11.25" customHeight="1">
      <c r="A805" s="7"/>
      <c r="B805" s="5"/>
      <c r="C805" s="6"/>
      <c r="D805" s="6"/>
      <c r="E805" s="6"/>
      <c r="F805" s="6"/>
      <c r="G805" s="6"/>
      <c r="H805" s="6"/>
      <c r="I805" s="6"/>
      <c r="J805" s="11"/>
      <c r="K805" s="591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ht="11.25" customHeight="1">
      <c r="A806" s="7"/>
      <c r="B806" s="5"/>
      <c r="C806" s="6"/>
      <c r="D806" s="6"/>
      <c r="E806" s="6"/>
      <c r="F806" s="6"/>
      <c r="G806" s="6"/>
      <c r="H806" s="6"/>
      <c r="I806" s="6"/>
      <c r="J806" s="11"/>
      <c r="K806" s="591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ht="11.25" customHeight="1">
      <c r="A807" s="7"/>
      <c r="B807" s="5"/>
      <c r="C807" s="6"/>
      <c r="D807" s="6"/>
      <c r="E807" s="6"/>
      <c r="F807" s="6"/>
      <c r="G807" s="6"/>
      <c r="H807" s="6"/>
      <c r="I807" s="6"/>
      <c r="J807" s="11"/>
      <c r="K807" s="591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ht="11.25" customHeight="1">
      <c r="A808" s="7"/>
      <c r="B808" s="5"/>
      <c r="C808" s="6"/>
      <c r="D808" s="6"/>
      <c r="E808" s="6"/>
      <c r="F808" s="6"/>
      <c r="G808" s="6"/>
      <c r="H808" s="6"/>
      <c r="I808" s="6"/>
      <c r="J808" s="11"/>
      <c r="K808" s="591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ht="11.25" customHeight="1">
      <c r="A809" s="7"/>
      <c r="B809" s="5"/>
      <c r="C809" s="6"/>
      <c r="D809" s="6"/>
      <c r="E809" s="6"/>
      <c r="F809" s="6"/>
      <c r="G809" s="6"/>
      <c r="H809" s="6"/>
      <c r="I809" s="6"/>
      <c r="J809" s="11"/>
      <c r="K809" s="591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ht="11.25" customHeight="1">
      <c r="A810" s="7"/>
      <c r="B810" s="5"/>
      <c r="C810" s="6"/>
      <c r="D810" s="6"/>
      <c r="E810" s="6"/>
      <c r="F810" s="6"/>
      <c r="G810" s="6"/>
      <c r="H810" s="6"/>
      <c r="I810" s="6"/>
      <c r="J810" s="11"/>
      <c r="K810" s="591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ht="11.25" customHeight="1">
      <c r="A811" s="7"/>
      <c r="B811" s="5"/>
      <c r="C811" s="6"/>
      <c r="D811" s="6"/>
      <c r="E811" s="6"/>
      <c r="F811" s="6"/>
      <c r="G811" s="6"/>
      <c r="H811" s="6"/>
      <c r="I811" s="6"/>
      <c r="J811" s="11"/>
      <c r="K811" s="591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ht="11.25" customHeight="1">
      <c r="A812" s="7"/>
      <c r="B812" s="5"/>
      <c r="C812" s="6"/>
      <c r="D812" s="6"/>
      <c r="E812" s="6"/>
      <c r="F812" s="6"/>
      <c r="G812" s="6"/>
      <c r="H812" s="6"/>
      <c r="I812" s="6"/>
      <c r="J812" s="11"/>
      <c r="K812" s="591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ht="11.25" customHeight="1">
      <c r="A813" s="7"/>
      <c r="B813" s="5"/>
      <c r="C813" s="6"/>
      <c r="D813" s="6"/>
      <c r="E813" s="6"/>
      <c r="F813" s="6"/>
      <c r="G813" s="6"/>
      <c r="H813" s="6"/>
      <c r="I813" s="6"/>
      <c r="J813" s="11"/>
      <c r="K813" s="591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ht="11.25" customHeight="1">
      <c r="A814" s="7"/>
      <c r="B814" s="5"/>
      <c r="C814" s="6"/>
      <c r="D814" s="6"/>
      <c r="E814" s="6"/>
      <c r="F814" s="6"/>
      <c r="G814" s="6"/>
      <c r="H814" s="6"/>
      <c r="I814" s="6"/>
      <c r="J814" s="11"/>
      <c r="K814" s="591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ht="11.25" customHeight="1">
      <c r="A815" s="7"/>
      <c r="B815" s="5"/>
      <c r="C815" s="6"/>
      <c r="D815" s="6"/>
      <c r="E815" s="6"/>
      <c r="F815" s="6"/>
      <c r="G815" s="6"/>
      <c r="H815" s="6"/>
      <c r="I815" s="6"/>
      <c r="J815" s="11"/>
      <c r="K815" s="591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ht="11.25" customHeight="1">
      <c r="A816" s="7"/>
      <c r="B816" s="5"/>
      <c r="C816" s="6"/>
      <c r="D816" s="6"/>
      <c r="E816" s="6"/>
      <c r="F816" s="6"/>
      <c r="G816" s="6"/>
      <c r="H816" s="6"/>
      <c r="I816" s="6"/>
      <c r="J816" s="11"/>
      <c r="K816" s="591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ht="11.25" customHeight="1">
      <c r="A817" s="7"/>
      <c r="B817" s="5"/>
      <c r="C817" s="6"/>
      <c r="D817" s="6"/>
      <c r="E817" s="6"/>
      <c r="F817" s="6"/>
      <c r="G817" s="6"/>
      <c r="H817" s="6"/>
      <c r="I817" s="6"/>
      <c r="J817" s="11"/>
      <c r="K817" s="591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ht="11.25" customHeight="1">
      <c r="A818" s="7"/>
      <c r="B818" s="5"/>
      <c r="C818" s="6"/>
      <c r="D818" s="6"/>
      <c r="E818" s="6"/>
      <c r="F818" s="6"/>
      <c r="G818" s="6"/>
      <c r="H818" s="6"/>
      <c r="I818" s="6"/>
      <c r="J818" s="11"/>
      <c r="K818" s="591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ht="11.25" customHeight="1">
      <c r="A819" s="7"/>
      <c r="B819" s="5"/>
      <c r="C819" s="6"/>
      <c r="D819" s="6"/>
      <c r="E819" s="6"/>
      <c r="F819" s="6"/>
      <c r="G819" s="6"/>
      <c r="H819" s="6"/>
      <c r="I819" s="6"/>
      <c r="J819" s="11"/>
      <c r="K819" s="591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ht="11.25" customHeight="1">
      <c r="A820" s="7"/>
      <c r="B820" s="5"/>
      <c r="C820" s="6"/>
      <c r="D820" s="6"/>
      <c r="E820" s="6"/>
      <c r="F820" s="6"/>
      <c r="G820" s="6"/>
      <c r="H820" s="6"/>
      <c r="I820" s="6"/>
      <c r="J820" s="11"/>
      <c r="K820" s="591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ht="11.25" customHeight="1">
      <c r="A821" s="7"/>
      <c r="B821" s="5"/>
      <c r="C821" s="6"/>
      <c r="D821" s="6"/>
      <c r="E821" s="6"/>
      <c r="F821" s="6"/>
      <c r="G821" s="6"/>
      <c r="H821" s="6"/>
      <c r="I821" s="6"/>
      <c r="J821" s="11"/>
      <c r="K821" s="591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ht="11.25" customHeight="1">
      <c r="A822" s="7"/>
      <c r="B822" s="5"/>
      <c r="C822" s="6"/>
      <c r="D822" s="6"/>
      <c r="E822" s="6"/>
      <c r="F822" s="6"/>
      <c r="G822" s="6"/>
      <c r="H822" s="6"/>
      <c r="I822" s="6"/>
      <c r="J822" s="11"/>
      <c r="K822" s="591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ht="11.25" customHeight="1">
      <c r="A823" s="7"/>
      <c r="B823" s="5"/>
      <c r="C823" s="6"/>
      <c r="D823" s="6"/>
      <c r="E823" s="6"/>
      <c r="F823" s="6"/>
      <c r="G823" s="6"/>
      <c r="H823" s="6"/>
      <c r="I823" s="6"/>
      <c r="J823" s="11"/>
      <c r="K823" s="591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ht="11.25" customHeight="1">
      <c r="A824" s="7"/>
      <c r="B824" s="5"/>
      <c r="C824" s="6"/>
      <c r="D824" s="6"/>
      <c r="E824" s="6"/>
      <c r="F824" s="6"/>
      <c r="G824" s="6"/>
      <c r="H824" s="6"/>
      <c r="I824" s="6"/>
      <c r="J824" s="11"/>
      <c r="K824" s="591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ht="11.25" customHeight="1">
      <c r="A825" s="7"/>
      <c r="B825" s="5"/>
      <c r="C825" s="6"/>
      <c r="D825" s="6"/>
      <c r="E825" s="6"/>
      <c r="F825" s="6"/>
      <c r="G825" s="6"/>
      <c r="H825" s="6"/>
      <c r="I825" s="6"/>
      <c r="J825" s="11"/>
      <c r="K825" s="591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ht="11.25" customHeight="1">
      <c r="A826" s="7"/>
      <c r="B826" s="5"/>
      <c r="C826" s="6"/>
      <c r="D826" s="6"/>
      <c r="E826" s="6"/>
      <c r="F826" s="6"/>
      <c r="G826" s="6"/>
      <c r="H826" s="6"/>
      <c r="I826" s="6"/>
      <c r="J826" s="11"/>
      <c r="K826" s="591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ht="11.25" customHeight="1">
      <c r="A827" s="7"/>
      <c r="B827" s="5"/>
      <c r="C827" s="6"/>
      <c r="D827" s="6"/>
      <c r="E827" s="6"/>
      <c r="F827" s="6"/>
      <c r="G827" s="6"/>
      <c r="H827" s="6"/>
      <c r="I827" s="6"/>
      <c r="J827" s="11"/>
      <c r="K827" s="591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ht="11.25" customHeight="1">
      <c r="A828" s="7"/>
      <c r="B828" s="5"/>
      <c r="C828" s="6"/>
      <c r="D828" s="6"/>
      <c r="E828" s="6"/>
      <c r="F828" s="6"/>
      <c r="G828" s="6"/>
      <c r="H828" s="6"/>
      <c r="I828" s="6"/>
      <c r="J828" s="11"/>
      <c r="K828" s="591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ht="11.25" customHeight="1">
      <c r="A829" s="7"/>
      <c r="B829" s="5"/>
      <c r="C829" s="6"/>
      <c r="D829" s="6"/>
      <c r="E829" s="6"/>
      <c r="F829" s="6"/>
      <c r="G829" s="6"/>
      <c r="H829" s="6"/>
      <c r="I829" s="6"/>
      <c r="J829" s="11"/>
      <c r="K829" s="591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ht="11.25" customHeight="1">
      <c r="A830" s="7"/>
      <c r="B830" s="5"/>
      <c r="C830" s="6"/>
      <c r="D830" s="6"/>
      <c r="E830" s="6"/>
      <c r="F830" s="6"/>
      <c r="G830" s="6"/>
      <c r="H830" s="6"/>
      <c r="I830" s="6"/>
      <c r="J830" s="11"/>
      <c r="K830" s="591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ht="11.25" customHeight="1">
      <c r="A831" s="7"/>
      <c r="B831" s="5"/>
      <c r="C831" s="6"/>
      <c r="D831" s="6"/>
      <c r="E831" s="6"/>
      <c r="F831" s="6"/>
      <c r="G831" s="6"/>
      <c r="H831" s="6"/>
      <c r="I831" s="6"/>
      <c r="J831" s="11"/>
      <c r="K831" s="591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ht="11.25" customHeight="1">
      <c r="A832" s="7"/>
      <c r="B832" s="5"/>
      <c r="C832" s="6"/>
      <c r="D832" s="6"/>
      <c r="E832" s="6"/>
      <c r="F832" s="6"/>
      <c r="G832" s="6"/>
      <c r="H832" s="6"/>
      <c r="I832" s="6"/>
      <c r="J832" s="11"/>
      <c r="K832" s="591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ht="11.25" customHeight="1">
      <c r="A833" s="7"/>
      <c r="B833" s="5"/>
      <c r="C833" s="6"/>
      <c r="D833" s="6"/>
      <c r="E833" s="6"/>
      <c r="F833" s="6"/>
      <c r="G833" s="6"/>
      <c r="H833" s="6"/>
      <c r="I833" s="6"/>
      <c r="J833" s="11"/>
      <c r="K833" s="591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ht="11.25" customHeight="1">
      <c r="A834" s="7"/>
      <c r="B834" s="5"/>
      <c r="C834" s="6"/>
      <c r="D834" s="6"/>
      <c r="E834" s="6"/>
      <c r="F834" s="6"/>
      <c r="G834" s="6"/>
      <c r="H834" s="6"/>
      <c r="I834" s="6"/>
      <c r="J834" s="11"/>
      <c r="K834" s="591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ht="11.25" customHeight="1">
      <c r="A835" s="7"/>
      <c r="B835" s="5"/>
      <c r="C835" s="6"/>
      <c r="D835" s="6"/>
      <c r="E835" s="6"/>
      <c r="F835" s="6"/>
      <c r="G835" s="6"/>
      <c r="H835" s="6"/>
      <c r="I835" s="6"/>
      <c r="J835" s="11"/>
      <c r="K835" s="591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ht="11.25" customHeight="1">
      <c r="A836" s="7"/>
      <c r="B836" s="5"/>
      <c r="C836" s="6"/>
      <c r="D836" s="6"/>
      <c r="E836" s="6"/>
      <c r="F836" s="6"/>
      <c r="G836" s="6"/>
      <c r="H836" s="6"/>
      <c r="I836" s="6"/>
      <c r="J836" s="11"/>
      <c r="K836" s="591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ht="11.25" customHeight="1">
      <c r="A837" s="7"/>
      <c r="B837" s="5"/>
      <c r="C837" s="6"/>
      <c r="D837" s="6"/>
      <c r="E837" s="6"/>
      <c r="F837" s="6"/>
      <c r="G837" s="6"/>
      <c r="H837" s="6"/>
      <c r="I837" s="6"/>
      <c r="J837" s="11"/>
      <c r="K837" s="591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ht="11.25" customHeight="1">
      <c r="A838" s="7"/>
      <c r="B838" s="5"/>
      <c r="C838" s="6"/>
      <c r="D838" s="6"/>
      <c r="E838" s="6"/>
      <c r="F838" s="6"/>
      <c r="G838" s="6"/>
      <c r="H838" s="6"/>
      <c r="I838" s="6"/>
      <c r="J838" s="11"/>
      <c r="K838" s="591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ht="11.25" customHeight="1">
      <c r="A839" s="7"/>
      <c r="B839" s="5"/>
      <c r="C839" s="6"/>
      <c r="D839" s="6"/>
      <c r="E839" s="6"/>
      <c r="F839" s="6"/>
      <c r="G839" s="6"/>
      <c r="H839" s="6"/>
      <c r="I839" s="6"/>
      <c r="J839" s="11"/>
      <c r="K839" s="591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ht="11.25" customHeight="1">
      <c r="A840" s="7"/>
      <c r="B840" s="5"/>
      <c r="C840" s="6"/>
      <c r="D840" s="6"/>
      <c r="E840" s="6"/>
      <c r="F840" s="6"/>
      <c r="G840" s="6"/>
      <c r="H840" s="6"/>
      <c r="I840" s="6"/>
      <c r="J840" s="11"/>
      <c r="K840" s="591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ht="11.25" customHeight="1">
      <c r="A841" s="7"/>
      <c r="B841" s="5"/>
      <c r="C841" s="6"/>
      <c r="D841" s="6"/>
      <c r="E841" s="6"/>
      <c r="F841" s="6"/>
      <c r="G841" s="6"/>
      <c r="H841" s="6"/>
      <c r="I841" s="6"/>
      <c r="J841" s="11"/>
      <c r="K841" s="591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ht="11.25" customHeight="1">
      <c r="A842" s="7"/>
      <c r="B842" s="5"/>
      <c r="C842" s="6"/>
      <c r="D842" s="6"/>
      <c r="E842" s="6"/>
      <c r="F842" s="6"/>
      <c r="G842" s="6"/>
      <c r="H842" s="6"/>
      <c r="I842" s="6"/>
      <c r="J842" s="11"/>
      <c r="K842" s="591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ht="11.25" customHeight="1">
      <c r="A843" s="7"/>
      <c r="B843" s="5"/>
      <c r="C843" s="6"/>
      <c r="D843" s="6"/>
      <c r="E843" s="6"/>
      <c r="F843" s="6"/>
      <c r="G843" s="6"/>
      <c r="H843" s="6"/>
      <c r="I843" s="6"/>
      <c r="J843" s="11"/>
      <c r="K843" s="591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ht="11.25" customHeight="1">
      <c r="A844" s="7"/>
      <c r="B844" s="5"/>
      <c r="C844" s="6"/>
      <c r="D844" s="6"/>
      <c r="E844" s="6"/>
      <c r="F844" s="6"/>
      <c r="G844" s="6"/>
      <c r="H844" s="6"/>
      <c r="I844" s="6"/>
      <c r="J844" s="11"/>
      <c r="K844" s="591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ht="11.25" customHeight="1">
      <c r="A845" s="7"/>
      <c r="B845" s="5"/>
      <c r="C845" s="6"/>
      <c r="D845" s="6"/>
      <c r="E845" s="6"/>
      <c r="F845" s="6"/>
      <c r="G845" s="6"/>
      <c r="H845" s="6"/>
      <c r="I845" s="6"/>
      <c r="J845" s="11"/>
      <c r="K845" s="591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ht="11.25" customHeight="1">
      <c r="A846" s="7"/>
      <c r="B846" s="5"/>
      <c r="C846" s="6"/>
      <c r="D846" s="6"/>
      <c r="E846" s="6"/>
      <c r="F846" s="6"/>
      <c r="G846" s="6"/>
      <c r="H846" s="6"/>
      <c r="I846" s="6"/>
      <c r="J846" s="11"/>
      <c r="K846" s="591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ht="11.25" customHeight="1">
      <c r="A847" s="7"/>
      <c r="B847" s="5"/>
      <c r="C847" s="6"/>
      <c r="D847" s="6"/>
      <c r="E847" s="6"/>
      <c r="F847" s="6"/>
      <c r="G847" s="6"/>
      <c r="H847" s="6"/>
      <c r="I847" s="6"/>
      <c r="J847" s="11"/>
      <c r="K847" s="591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ht="11.25" customHeight="1">
      <c r="A848" s="7"/>
      <c r="B848" s="5"/>
      <c r="C848" s="6"/>
      <c r="D848" s="6"/>
      <c r="E848" s="6"/>
      <c r="F848" s="6"/>
      <c r="G848" s="6"/>
      <c r="H848" s="6"/>
      <c r="I848" s="6"/>
      <c r="J848" s="11"/>
      <c r="K848" s="591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ht="11.25" customHeight="1">
      <c r="A849" s="7"/>
      <c r="B849" s="5"/>
      <c r="C849" s="6"/>
      <c r="D849" s="6"/>
      <c r="E849" s="6"/>
      <c r="F849" s="6"/>
      <c r="G849" s="6"/>
      <c r="H849" s="6"/>
      <c r="I849" s="6"/>
      <c r="J849" s="11"/>
      <c r="K849" s="591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ht="11.25" customHeight="1">
      <c r="A850" s="7"/>
      <c r="B850" s="5"/>
      <c r="C850" s="6"/>
      <c r="D850" s="6"/>
      <c r="E850" s="6"/>
      <c r="F850" s="6"/>
      <c r="G850" s="6"/>
      <c r="H850" s="6"/>
      <c r="I850" s="6"/>
      <c r="J850" s="11"/>
      <c r="K850" s="591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ht="11.25" customHeight="1">
      <c r="A851" s="7"/>
      <c r="B851" s="5"/>
      <c r="C851" s="6"/>
      <c r="D851" s="6"/>
      <c r="E851" s="6"/>
      <c r="F851" s="6"/>
      <c r="G851" s="6"/>
      <c r="H851" s="6"/>
      <c r="I851" s="6"/>
      <c r="J851" s="11"/>
      <c r="K851" s="591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ht="11.25" customHeight="1">
      <c r="A852" s="7"/>
      <c r="B852" s="5"/>
      <c r="C852" s="6"/>
      <c r="D852" s="6"/>
      <c r="E852" s="6"/>
      <c r="F852" s="6"/>
      <c r="G852" s="6"/>
      <c r="H852" s="6"/>
      <c r="I852" s="6"/>
      <c r="J852" s="11"/>
      <c r="K852" s="591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ht="11.25" customHeight="1">
      <c r="A853" s="7"/>
      <c r="B853" s="5"/>
      <c r="C853" s="6"/>
      <c r="D853" s="6"/>
      <c r="E853" s="6"/>
      <c r="F853" s="6"/>
      <c r="G853" s="6"/>
      <c r="H853" s="6"/>
      <c r="I853" s="6"/>
      <c r="J853" s="11"/>
      <c r="K853" s="591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ht="11.25" customHeight="1">
      <c r="A854" s="7"/>
      <c r="B854" s="5"/>
      <c r="C854" s="6"/>
      <c r="D854" s="6"/>
      <c r="E854" s="6"/>
      <c r="F854" s="6"/>
      <c r="G854" s="6"/>
      <c r="H854" s="6"/>
      <c r="I854" s="6"/>
      <c r="J854" s="11"/>
      <c r="K854" s="591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ht="11.25" customHeight="1">
      <c r="A855" s="7"/>
      <c r="B855" s="5"/>
      <c r="C855" s="6"/>
      <c r="D855" s="6"/>
      <c r="E855" s="6"/>
      <c r="F855" s="6"/>
      <c r="G855" s="6"/>
      <c r="H855" s="6"/>
      <c r="I855" s="6"/>
      <c r="J855" s="11"/>
      <c r="K855" s="591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ht="11.25" customHeight="1">
      <c r="A856" s="7"/>
      <c r="B856" s="5"/>
      <c r="C856" s="6"/>
      <c r="D856" s="6"/>
      <c r="E856" s="6"/>
      <c r="F856" s="6"/>
      <c r="G856" s="6"/>
      <c r="H856" s="6"/>
      <c r="I856" s="6"/>
      <c r="J856" s="11"/>
      <c r="K856" s="591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ht="11.25" customHeight="1">
      <c r="A857" s="7"/>
      <c r="B857" s="5"/>
      <c r="C857" s="6"/>
      <c r="D857" s="6"/>
      <c r="E857" s="6"/>
      <c r="F857" s="6"/>
      <c r="G857" s="6"/>
      <c r="H857" s="6"/>
      <c r="I857" s="6"/>
      <c r="J857" s="11"/>
      <c r="K857" s="591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ht="11.25" customHeight="1">
      <c r="A858" s="7"/>
      <c r="B858" s="5"/>
      <c r="C858" s="6"/>
      <c r="D858" s="6"/>
      <c r="E858" s="6"/>
      <c r="F858" s="6"/>
      <c r="G858" s="6"/>
      <c r="H858" s="6"/>
      <c r="I858" s="6"/>
      <c r="J858" s="11"/>
      <c r="K858" s="591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ht="11.25" customHeight="1">
      <c r="A859" s="7"/>
      <c r="B859" s="5"/>
      <c r="C859" s="6"/>
      <c r="D859" s="6"/>
      <c r="E859" s="6"/>
      <c r="F859" s="6"/>
      <c r="G859" s="6"/>
      <c r="H859" s="6"/>
      <c r="I859" s="6"/>
      <c r="J859" s="11"/>
      <c r="K859" s="591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ht="11.25" customHeight="1">
      <c r="A860" s="7"/>
      <c r="B860" s="5"/>
      <c r="C860" s="6"/>
      <c r="D860" s="6"/>
      <c r="E860" s="6"/>
      <c r="F860" s="6"/>
      <c r="G860" s="6"/>
      <c r="H860" s="6"/>
      <c r="I860" s="6"/>
      <c r="J860" s="11"/>
      <c r="K860" s="591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ht="11.25" customHeight="1">
      <c r="A861" s="7"/>
      <c r="B861" s="5"/>
      <c r="C861" s="6"/>
      <c r="D861" s="6"/>
      <c r="E861" s="6"/>
      <c r="F861" s="6"/>
      <c r="G861" s="6"/>
      <c r="H861" s="6"/>
      <c r="I861" s="6"/>
      <c r="J861" s="11"/>
      <c r="K861" s="591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ht="11.25" customHeight="1">
      <c r="A862" s="7"/>
      <c r="B862" s="5"/>
      <c r="C862" s="6"/>
      <c r="D862" s="6"/>
      <c r="E862" s="6"/>
      <c r="F862" s="6"/>
      <c r="G862" s="6"/>
      <c r="H862" s="6"/>
      <c r="I862" s="6"/>
      <c r="J862" s="11"/>
      <c r="K862" s="591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ht="11.25" customHeight="1">
      <c r="A863" s="7"/>
      <c r="B863" s="5"/>
      <c r="C863" s="6"/>
      <c r="D863" s="6"/>
      <c r="E863" s="6"/>
      <c r="F863" s="6"/>
      <c r="G863" s="6"/>
      <c r="H863" s="6"/>
      <c r="I863" s="6"/>
      <c r="J863" s="11"/>
      <c r="K863" s="591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ht="11.25" customHeight="1">
      <c r="A864" s="7"/>
      <c r="B864" s="5"/>
      <c r="C864" s="6"/>
      <c r="D864" s="6"/>
      <c r="E864" s="6"/>
      <c r="F864" s="6"/>
      <c r="G864" s="6"/>
      <c r="H864" s="6"/>
      <c r="I864" s="6"/>
      <c r="J864" s="11"/>
      <c r="K864" s="591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ht="11.25" customHeight="1">
      <c r="A865" s="7"/>
      <c r="B865" s="5"/>
      <c r="C865" s="6"/>
      <c r="D865" s="6"/>
      <c r="E865" s="6"/>
      <c r="F865" s="6"/>
      <c r="G865" s="6"/>
      <c r="H865" s="6"/>
      <c r="I865" s="6"/>
      <c r="J865" s="11"/>
      <c r="K865" s="591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ht="11.25" customHeight="1">
      <c r="A866" s="7"/>
      <c r="B866" s="5"/>
      <c r="C866" s="6"/>
      <c r="D866" s="6"/>
      <c r="E866" s="6"/>
      <c r="F866" s="6"/>
      <c r="G866" s="6"/>
      <c r="H866" s="6"/>
      <c r="I866" s="6"/>
      <c r="J866" s="11"/>
      <c r="K866" s="591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ht="11.25" customHeight="1">
      <c r="A867" s="7"/>
      <c r="B867" s="5"/>
      <c r="C867" s="6"/>
      <c r="D867" s="6"/>
      <c r="E867" s="6"/>
      <c r="F867" s="6"/>
      <c r="G867" s="6"/>
      <c r="H867" s="6"/>
      <c r="I867" s="6"/>
      <c r="J867" s="11"/>
      <c r="K867" s="591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ht="11.25" customHeight="1">
      <c r="A868" s="7"/>
      <c r="B868" s="5"/>
      <c r="C868" s="6"/>
      <c r="D868" s="6"/>
      <c r="E868" s="6"/>
      <c r="F868" s="6"/>
      <c r="G868" s="6"/>
      <c r="H868" s="6"/>
      <c r="I868" s="6"/>
      <c r="J868" s="11"/>
      <c r="K868" s="591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ht="11.25" customHeight="1">
      <c r="A869" s="7"/>
      <c r="B869" s="5"/>
      <c r="C869" s="6"/>
      <c r="D869" s="6"/>
      <c r="E869" s="6"/>
      <c r="F869" s="6"/>
      <c r="G869" s="6"/>
      <c r="H869" s="6"/>
      <c r="I869" s="6"/>
      <c r="J869" s="11"/>
      <c r="K869" s="591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ht="11.25" customHeight="1">
      <c r="A870" s="7"/>
      <c r="B870" s="5"/>
      <c r="C870" s="6"/>
      <c r="D870" s="6"/>
      <c r="E870" s="6"/>
      <c r="F870" s="6"/>
      <c r="G870" s="6"/>
      <c r="H870" s="6"/>
      <c r="I870" s="6"/>
      <c r="J870" s="11"/>
      <c r="K870" s="591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ht="11.25" customHeight="1">
      <c r="A871" s="7"/>
      <c r="B871" s="5"/>
      <c r="C871" s="6"/>
      <c r="D871" s="6"/>
      <c r="E871" s="6"/>
      <c r="F871" s="6"/>
      <c r="G871" s="6"/>
      <c r="H871" s="6"/>
      <c r="I871" s="6"/>
      <c r="J871" s="11"/>
      <c r="K871" s="591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ht="11.25" customHeight="1">
      <c r="A872" s="7"/>
      <c r="B872" s="5"/>
      <c r="C872" s="6"/>
      <c r="D872" s="6"/>
      <c r="E872" s="6"/>
      <c r="F872" s="6"/>
      <c r="G872" s="6"/>
      <c r="H872" s="6"/>
      <c r="I872" s="6"/>
      <c r="J872" s="11"/>
      <c r="K872" s="591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ht="11.25" customHeight="1">
      <c r="A873" s="7"/>
      <c r="B873" s="5"/>
      <c r="C873" s="6"/>
      <c r="D873" s="6"/>
      <c r="E873" s="6"/>
      <c r="F873" s="6"/>
      <c r="G873" s="6"/>
      <c r="H873" s="6"/>
      <c r="I873" s="6"/>
      <c r="J873" s="11"/>
      <c r="K873" s="591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ht="11.25" customHeight="1">
      <c r="A874" s="7"/>
      <c r="B874" s="5"/>
      <c r="C874" s="6"/>
      <c r="D874" s="6"/>
      <c r="E874" s="6"/>
      <c r="F874" s="6"/>
      <c r="G874" s="6"/>
      <c r="H874" s="6"/>
      <c r="I874" s="6"/>
      <c r="J874" s="11"/>
      <c r="K874" s="591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ht="11.25" customHeight="1">
      <c r="A875" s="7"/>
      <c r="B875" s="5"/>
      <c r="C875" s="6"/>
      <c r="D875" s="6"/>
      <c r="E875" s="6"/>
      <c r="F875" s="6"/>
      <c r="G875" s="6"/>
      <c r="H875" s="6"/>
      <c r="I875" s="6"/>
      <c r="J875" s="11"/>
      <c r="K875" s="591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ht="11.25" customHeight="1">
      <c r="A876" s="7"/>
      <c r="B876" s="5"/>
      <c r="C876" s="6"/>
      <c r="D876" s="6"/>
      <c r="E876" s="6"/>
      <c r="F876" s="6"/>
      <c r="G876" s="6"/>
      <c r="H876" s="6"/>
      <c r="I876" s="6"/>
      <c r="J876" s="11"/>
      <c r="K876" s="591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ht="11.25" customHeight="1">
      <c r="A877" s="7"/>
      <c r="B877" s="5"/>
      <c r="C877" s="6"/>
      <c r="D877" s="6"/>
      <c r="E877" s="6"/>
      <c r="F877" s="6"/>
      <c r="G877" s="6"/>
      <c r="H877" s="6"/>
      <c r="I877" s="6"/>
      <c r="J877" s="11"/>
      <c r="K877" s="591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ht="11.25" customHeight="1">
      <c r="A878" s="7"/>
      <c r="B878" s="5"/>
      <c r="C878" s="6"/>
      <c r="D878" s="6"/>
      <c r="E878" s="6"/>
      <c r="F878" s="6"/>
      <c r="G878" s="6"/>
      <c r="H878" s="6"/>
      <c r="I878" s="6"/>
      <c r="J878" s="11"/>
      <c r="K878" s="591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ht="11.25" customHeight="1">
      <c r="A879" s="7"/>
      <c r="B879" s="5"/>
      <c r="C879" s="6"/>
      <c r="D879" s="6"/>
      <c r="E879" s="6"/>
      <c r="F879" s="6"/>
      <c r="G879" s="6"/>
      <c r="H879" s="6"/>
      <c r="I879" s="6"/>
      <c r="J879" s="11"/>
      <c r="K879" s="591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ht="11.25" customHeight="1">
      <c r="A880" s="7"/>
      <c r="B880" s="5"/>
      <c r="C880" s="6"/>
      <c r="D880" s="6"/>
      <c r="E880" s="6"/>
      <c r="F880" s="6"/>
      <c r="G880" s="6"/>
      <c r="H880" s="6"/>
      <c r="I880" s="6"/>
      <c r="J880" s="11"/>
      <c r="K880" s="591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ht="11.25" customHeight="1">
      <c r="A881" s="7"/>
      <c r="B881" s="5"/>
      <c r="C881" s="6"/>
      <c r="D881" s="6"/>
      <c r="E881" s="6"/>
      <c r="F881" s="6"/>
      <c r="G881" s="6"/>
      <c r="H881" s="6"/>
      <c r="I881" s="6"/>
      <c r="J881" s="11"/>
      <c r="K881" s="591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ht="11.25" customHeight="1">
      <c r="A882" s="7"/>
      <c r="B882" s="5"/>
      <c r="C882" s="6"/>
      <c r="D882" s="6"/>
      <c r="E882" s="6"/>
      <c r="F882" s="6"/>
      <c r="G882" s="6"/>
      <c r="H882" s="6"/>
      <c r="I882" s="6"/>
      <c r="J882" s="11"/>
      <c r="K882" s="591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ht="11.25" customHeight="1">
      <c r="A883" s="7"/>
      <c r="B883" s="5"/>
      <c r="C883" s="6"/>
      <c r="D883" s="6"/>
      <c r="E883" s="6"/>
      <c r="F883" s="6"/>
      <c r="G883" s="6"/>
      <c r="H883" s="6"/>
      <c r="I883" s="6"/>
      <c r="J883" s="11"/>
      <c r="K883" s="591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ht="11.25" customHeight="1">
      <c r="A884" s="7"/>
      <c r="B884" s="5"/>
      <c r="C884" s="6"/>
      <c r="D884" s="6"/>
      <c r="E884" s="6"/>
      <c r="F884" s="6"/>
      <c r="G884" s="6"/>
      <c r="H884" s="6"/>
      <c r="I884" s="6"/>
      <c r="J884" s="11"/>
      <c r="K884" s="591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ht="11.25" customHeight="1">
      <c r="A885" s="7"/>
      <c r="B885" s="5"/>
      <c r="C885" s="6"/>
      <c r="D885" s="6"/>
      <c r="E885" s="6"/>
      <c r="F885" s="6"/>
      <c r="G885" s="6"/>
      <c r="H885" s="6"/>
      <c r="I885" s="6"/>
      <c r="J885" s="11"/>
      <c r="K885" s="591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ht="11.25" customHeight="1">
      <c r="A886" s="7"/>
      <c r="B886" s="5"/>
      <c r="C886" s="6"/>
      <c r="D886" s="6"/>
      <c r="E886" s="6"/>
      <c r="F886" s="6"/>
      <c r="G886" s="6"/>
      <c r="H886" s="6"/>
      <c r="I886" s="6"/>
      <c r="J886" s="11"/>
      <c r="K886" s="591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ht="11.25" customHeight="1">
      <c r="A887" s="7"/>
      <c r="B887" s="5"/>
      <c r="C887" s="6"/>
      <c r="D887" s="6"/>
      <c r="E887" s="6"/>
      <c r="F887" s="6"/>
      <c r="G887" s="6"/>
      <c r="H887" s="6"/>
      <c r="I887" s="6"/>
      <c r="J887" s="11"/>
      <c r="K887" s="591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ht="11.25" customHeight="1">
      <c r="A888" s="7"/>
      <c r="B888" s="5"/>
      <c r="C888" s="6"/>
      <c r="D888" s="6"/>
      <c r="E888" s="6"/>
      <c r="F888" s="6"/>
      <c r="G888" s="6"/>
      <c r="H888" s="6"/>
      <c r="I888" s="6"/>
      <c r="J888" s="11"/>
      <c r="K888" s="591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ht="11.25" customHeight="1">
      <c r="A889" s="7"/>
      <c r="B889" s="5"/>
      <c r="C889" s="6"/>
      <c r="D889" s="6"/>
      <c r="E889" s="6"/>
      <c r="F889" s="6"/>
      <c r="G889" s="6"/>
      <c r="H889" s="6"/>
      <c r="I889" s="6"/>
      <c r="J889" s="11"/>
      <c r="K889" s="591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ht="11.25" customHeight="1">
      <c r="A890" s="7"/>
      <c r="B890" s="5"/>
      <c r="C890" s="6"/>
      <c r="D890" s="6"/>
      <c r="E890" s="6"/>
      <c r="F890" s="6"/>
      <c r="G890" s="6"/>
      <c r="H890" s="6"/>
      <c r="I890" s="6"/>
      <c r="J890" s="11"/>
      <c r="K890" s="591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ht="11.25" customHeight="1">
      <c r="A891" s="7"/>
      <c r="B891" s="5"/>
      <c r="C891" s="6"/>
      <c r="D891" s="6"/>
      <c r="E891" s="6"/>
      <c r="F891" s="6"/>
      <c r="G891" s="6"/>
      <c r="H891" s="6"/>
      <c r="I891" s="6"/>
      <c r="J891" s="11"/>
      <c r="K891" s="591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ht="11.25" customHeight="1">
      <c r="A892" s="7"/>
      <c r="B892" s="5"/>
      <c r="C892" s="6"/>
      <c r="D892" s="6"/>
      <c r="E892" s="6"/>
      <c r="F892" s="6"/>
      <c r="G892" s="6"/>
      <c r="H892" s="6"/>
      <c r="I892" s="6"/>
      <c r="J892" s="11"/>
      <c r="K892" s="591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ht="11.25" customHeight="1">
      <c r="A893" s="7"/>
      <c r="B893" s="5"/>
      <c r="C893" s="6"/>
      <c r="D893" s="6"/>
      <c r="E893" s="6"/>
      <c r="F893" s="6"/>
      <c r="G893" s="6"/>
      <c r="H893" s="6"/>
      <c r="I893" s="6"/>
      <c r="J893" s="11"/>
      <c r="K893" s="591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ht="11.25" customHeight="1">
      <c r="A894" s="7"/>
      <c r="B894" s="5"/>
      <c r="C894" s="6"/>
      <c r="D894" s="6"/>
      <c r="E894" s="6"/>
      <c r="F894" s="6"/>
      <c r="G894" s="6"/>
      <c r="H894" s="6"/>
      <c r="I894" s="6"/>
      <c r="J894" s="11"/>
      <c r="K894" s="591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ht="11.25" customHeight="1">
      <c r="A895" s="7"/>
      <c r="B895" s="5"/>
      <c r="C895" s="6"/>
      <c r="D895" s="6"/>
      <c r="E895" s="6"/>
      <c r="F895" s="6"/>
      <c r="G895" s="6"/>
      <c r="H895" s="6"/>
      <c r="I895" s="6"/>
      <c r="J895" s="11"/>
      <c r="K895" s="591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ht="11.25" customHeight="1">
      <c r="A896" s="7"/>
      <c r="B896" s="5"/>
      <c r="C896" s="6"/>
      <c r="D896" s="6"/>
      <c r="E896" s="6"/>
      <c r="F896" s="6"/>
      <c r="G896" s="6"/>
      <c r="H896" s="6"/>
      <c r="I896" s="6"/>
      <c r="J896" s="11"/>
      <c r="K896" s="591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ht="11.25" customHeight="1">
      <c r="A897" s="7"/>
      <c r="B897" s="5"/>
      <c r="C897" s="6"/>
      <c r="D897" s="6"/>
      <c r="E897" s="6"/>
      <c r="F897" s="6"/>
      <c r="G897" s="6"/>
      <c r="H897" s="6"/>
      <c r="I897" s="6"/>
      <c r="J897" s="11"/>
      <c r="K897" s="591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ht="11.25" customHeight="1">
      <c r="A898" s="7"/>
      <c r="B898" s="5"/>
      <c r="C898" s="6"/>
      <c r="D898" s="6"/>
      <c r="E898" s="6"/>
      <c r="F898" s="6"/>
      <c r="G898" s="6"/>
      <c r="H898" s="6"/>
      <c r="I898" s="6"/>
      <c r="J898" s="11"/>
      <c r="K898" s="591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ht="11.25" customHeight="1">
      <c r="A899" s="7"/>
      <c r="B899" s="5"/>
      <c r="C899" s="6"/>
      <c r="D899" s="6"/>
      <c r="E899" s="6"/>
      <c r="F899" s="6"/>
      <c r="G899" s="6"/>
      <c r="H899" s="6"/>
      <c r="I899" s="6"/>
      <c r="J899" s="11"/>
      <c r="K899" s="591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ht="11.25" customHeight="1">
      <c r="A900" s="7"/>
      <c r="B900" s="5"/>
      <c r="C900" s="6"/>
      <c r="D900" s="6"/>
      <c r="E900" s="6"/>
      <c r="F900" s="6"/>
      <c r="G900" s="6"/>
      <c r="H900" s="6"/>
      <c r="I900" s="6"/>
      <c r="J900" s="11"/>
      <c r="K900" s="591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ht="11.25" customHeight="1">
      <c r="A901" s="7"/>
      <c r="B901" s="5"/>
      <c r="C901" s="6"/>
      <c r="D901" s="6"/>
      <c r="E901" s="6"/>
      <c r="F901" s="6"/>
      <c r="G901" s="6"/>
      <c r="H901" s="6"/>
      <c r="I901" s="6"/>
      <c r="J901" s="11"/>
      <c r="K901" s="591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ht="11.25" customHeight="1">
      <c r="A902" s="7"/>
      <c r="B902" s="5"/>
      <c r="C902" s="6"/>
      <c r="D902" s="6"/>
      <c r="E902" s="6"/>
      <c r="F902" s="6"/>
      <c r="G902" s="6"/>
      <c r="H902" s="6"/>
      <c r="I902" s="6"/>
      <c r="J902" s="11"/>
      <c r="K902" s="591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ht="11.25" customHeight="1">
      <c r="A903" s="7"/>
      <c r="B903" s="5"/>
      <c r="C903" s="6"/>
      <c r="D903" s="6"/>
      <c r="E903" s="6"/>
      <c r="F903" s="6"/>
      <c r="G903" s="6"/>
      <c r="H903" s="6"/>
      <c r="I903" s="6"/>
      <c r="J903" s="11"/>
      <c r="K903" s="591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ht="11.25" customHeight="1">
      <c r="A904" s="7"/>
      <c r="B904" s="5"/>
      <c r="C904" s="6"/>
      <c r="D904" s="6"/>
      <c r="E904" s="6"/>
      <c r="F904" s="6"/>
      <c r="G904" s="6"/>
      <c r="H904" s="6"/>
      <c r="I904" s="6"/>
      <c r="J904" s="11"/>
      <c r="K904" s="591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ht="11.25" customHeight="1">
      <c r="A905" s="7"/>
      <c r="B905" s="5"/>
      <c r="C905" s="6"/>
      <c r="D905" s="6"/>
      <c r="E905" s="6"/>
      <c r="F905" s="6"/>
      <c r="G905" s="6"/>
      <c r="H905" s="6"/>
      <c r="I905" s="6"/>
      <c r="J905" s="11"/>
      <c r="K905" s="591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ht="11.25" customHeight="1">
      <c r="A906" s="7"/>
      <c r="B906" s="5"/>
      <c r="C906" s="6"/>
      <c r="D906" s="6"/>
      <c r="E906" s="6"/>
      <c r="F906" s="6"/>
      <c r="G906" s="6"/>
      <c r="H906" s="6"/>
      <c r="I906" s="6"/>
      <c r="J906" s="11"/>
      <c r="K906" s="591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ht="11.25" customHeight="1">
      <c r="A907" s="7"/>
      <c r="B907" s="5"/>
      <c r="C907" s="6"/>
      <c r="D907" s="6"/>
      <c r="E907" s="6"/>
      <c r="F907" s="6"/>
      <c r="G907" s="6"/>
      <c r="H907" s="6"/>
      <c r="I907" s="6"/>
      <c r="J907" s="11"/>
      <c r="K907" s="591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ht="11.25" customHeight="1">
      <c r="A908" s="7"/>
      <c r="B908" s="5"/>
      <c r="C908" s="6"/>
      <c r="D908" s="6"/>
      <c r="E908" s="6"/>
      <c r="F908" s="6"/>
      <c r="G908" s="6"/>
      <c r="H908" s="6"/>
      <c r="I908" s="6"/>
      <c r="J908" s="11"/>
      <c r="K908" s="591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ht="11.25" customHeight="1">
      <c r="A909" s="7"/>
      <c r="B909" s="5"/>
      <c r="C909" s="6"/>
      <c r="D909" s="6"/>
      <c r="E909" s="6"/>
      <c r="F909" s="6"/>
      <c r="G909" s="6"/>
      <c r="H909" s="6"/>
      <c r="I909" s="6"/>
      <c r="J909" s="11"/>
      <c r="K909" s="591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ht="11.25" customHeight="1">
      <c r="A910" s="7"/>
      <c r="B910" s="5"/>
      <c r="C910" s="6"/>
      <c r="D910" s="6"/>
      <c r="E910" s="6"/>
      <c r="F910" s="6"/>
      <c r="G910" s="6"/>
      <c r="H910" s="6"/>
      <c r="I910" s="6"/>
      <c r="J910" s="11"/>
      <c r="K910" s="591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ht="11.25" customHeight="1">
      <c r="A911" s="7"/>
      <c r="B911" s="5"/>
      <c r="C911" s="6"/>
      <c r="D911" s="6"/>
      <c r="E911" s="6"/>
      <c r="F911" s="6"/>
      <c r="G911" s="6"/>
      <c r="H911" s="6"/>
      <c r="I911" s="6"/>
      <c r="J911" s="11"/>
      <c r="K911" s="591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ht="11.25" customHeight="1">
      <c r="A912" s="7"/>
      <c r="B912" s="5"/>
      <c r="C912" s="6"/>
      <c r="D912" s="6"/>
      <c r="E912" s="6"/>
      <c r="F912" s="6"/>
      <c r="G912" s="6"/>
      <c r="H912" s="6"/>
      <c r="I912" s="6"/>
      <c r="J912" s="11"/>
      <c r="K912" s="591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ht="11.25" customHeight="1">
      <c r="A913" s="7"/>
      <c r="B913" s="5"/>
      <c r="C913" s="6"/>
      <c r="D913" s="6"/>
      <c r="E913" s="6"/>
      <c r="F913" s="6"/>
      <c r="G913" s="6"/>
      <c r="H913" s="6"/>
      <c r="I913" s="6"/>
      <c r="J913" s="11"/>
      <c r="K913" s="591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ht="11.25" customHeight="1">
      <c r="A914" s="7"/>
      <c r="B914" s="5"/>
      <c r="C914" s="6"/>
      <c r="D914" s="6"/>
      <c r="E914" s="6"/>
      <c r="F914" s="6"/>
      <c r="G914" s="6"/>
      <c r="H914" s="6"/>
      <c r="I914" s="6"/>
      <c r="J914" s="11"/>
      <c r="K914" s="591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ht="11.25" customHeight="1">
      <c r="A915" s="7"/>
      <c r="B915" s="5"/>
      <c r="C915" s="6"/>
      <c r="D915" s="6"/>
      <c r="E915" s="6"/>
      <c r="F915" s="6"/>
      <c r="G915" s="6"/>
      <c r="H915" s="6"/>
      <c r="I915" s="6"/>
      <c r="J915" s="11"/>
      <c r="K915" s="591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ht="11.25" customHeight="1">
      <c r="A916" s="7"/>
      <c r="B916" s="5"/>
      <c r="C916" s="6"/>
      <c r="D916" s="6"/>
      <c r="E916" s="6"/>
      <c r="F916" s="6"/>
      <c r="G916" s="6"/>
      <c r="H916" s="6"/>
      <c r="I916" s="6"/>
      <c r="J916" s="11"/>
      <c r="K916" s="591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ht="11.25" customHeight="1">
      <c r="A917" s="7"/>
      <c r="B917" s="5"/>
      <c r="C917" s="6"/>
      <c r="D917" s="6"/>
      <c r="E917" s="6"/>
      <c r="F917" s="6"/>
      <c r="G917" s="6"/>
      <c r="H917" s="6"/>
      <c r="I917" s="6"/>
      <c r="J917" s="11"/>
      <c r="K917" s="591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ht="11.25" customHeight="1">
      <c r="A918" s="7"/>
      <c r="B918" s="5"/>
      <c r="C918" s="6"/>
      <c r="D918" s="6"/>
      <c r="E918" s="6"/>
      <c r="F918" s="6"/>
      <c r="G918" s="6"/>
      <c r="H918" s="6"/>
      <c r="I918" s="6"/>
      <c r="J918" s="11"/>
      <c r="K918" s="591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ht="11.25" customHeight="1">
      <c r="A919" s="7"/>
      <c r="B919" s="5"/>
      <c r="C919" s="6"/>
      <c r="D919" s="6"/>
      <c r="E919" s="6"/>
      <c r="F919" s="6"/>
      <c r="G919" s="6"/>
      <c r="H919" s="6"/>
      <c r="I919" s="6"/>
      <c r="J919" s="11"/>
      <c r="K919" s="591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ht="11.25" customHeight="1">
      <c r="A920" s="7"/>
      <c r="B920" s="5"/>
      <c r="C920" s="6"/>
      <c r="D920" s="6"/>
      <c r="E920" s="6"/>
      <c r="F920" s="6"/>
      <c r="G920" s="6"/>
      <c r="H920" s="6"/>
      <c r="I920" s="6"/>
      <c r="J920" s="11"/>
      <c r="K920" s="591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ht="11.25" customHeight="1">
      <c r="A921" s="7"/>
      <c r="B921" s="5"/>
      <c r="C921" s="6"/>
      <c r="D921" s="6"/>
      <c r="E921" s="6"/>
      <c r="F921" s="6"/>
      <c r="G921" s="6"/>
      <c r="H921" s="6"/>
      <c r="I921" s="6"/>
      <c r="J921" s="11"/>
      <c r="K921" s="591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ht="11.25" customHeight="1">
      <c r="A922" s="7"/>
      <c r="B922" s="5"/>
      <c r="C922" s="6"/>
      <c r="D922" s="6"/>
      <c r="E922" s="6"/>
      <c r="F922" s="6"/>
      <c r="G922" s="6"/>
      <c r="H922" s="6"/>
      <c r="I922" s="6"/>
      <c r="J922" s="11"/>
      <c r="K922" s="591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ht="11.25" customHeight="1">
      <c r="A923" s="7"/>
      <c r="B923" s="5"/>
      <c r="C923" s="6"/>
      <c r="D923" s="6"/>
      <c r="E923" s="6"/>
      <c r="F923" s="6"/>
      <c r="G923" s="6"/>
      <c r="H923" s="6"/>
      <c r="I923" s="6"/>
      <c r="J923" s="11"/>
      <c r="K923" s="591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ht="11.25" customHeight="1">
      <c r="A924" s="7"/>
      <c r="B924" s="5"/>
      <c r="C924" s="6"/>
      <c r="D924" s="6"/>
      <c r="E924" s="6"/>
      <c r="F924" s="6"/>
      <c r="G924" s="6"/>
      <c r="H924" s="6"/>
      <c r="I924" s="6"/>
      <c r="J924" s="11"/>
      <c r="K924" s="591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ht="11.25" customHeight="1">
      <c r="A925" s="7"/>
      <c r="B925" s="5"/>
      <c r="C925" s="6"/>
      <c r="D925" s="6"/>
      <c r="E925" s="6"/>
      <c r="F925" s="6"/>
      <c r="G925" s="6"/>
      <c r="H925" s="6"/>
      <c r="I925" s="6"/>
      <c r="J925" s="11"/>
      <c r="K925" s="591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ht="11.25" customHeight="1">
      <c r="A926" s="7"/>
      <c r="B926" s="5"/>
      <c r="C926" s="6"/>
      <c r="D926" s="6"/>
      <c r="E926" s="6"/>
      <c r="F926" s="6"/>
      <c r="G926" s="6"/>
      <c r="H926" s="6"/>
      <c r="I926" s="6"/>
      <c r="J926" s="11"/>
      <c r="K926" s="591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ht="11.25" customHeight="1">
      <c r="A927" s="7"/>
      <c r="B927" s="5"/>
      <c r="C927" s="6"/>
      <c r="D927" s="6"/>
      <c r="E927" s="6"/>
      <c r="F927" s="6"/>
      <c r="G927" s="6"/>
      <c r="H927" s="6"/>
      <c r="I927" s="6"/>
      <c r="J927" s="11"/>
      <c r="K927" s="591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ht="11.25" customHeight="1">
      <c r="A928" s="7"/>
      <c r="B928" s="5"/>
      <c r="C928" s="6"/>
      <c r="D928" s="6"/>
      <c r="E928" s="6"/>
      <c r="F928" s="6"/>
      <c r="G928" s="6"/>
      <c r="H928" s="6"/>
      <c r="I928" s="6"/>
      <c r="J928" s="11"/>
      <c r="K928" s="591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ht="11.25" customHeight="1">
      <c r="A929" s="7"/>
      <c r="B929" s="5"/>
      <c r="C929" s="6"/>
      <c r="D929" s="6"/>
      <c r="E929" s="6"/>
      <c r="F929" s="6"/>
      <c r="G929" s="6"/>
      <c r="H929" s="6"/>
      <c r="I929" s="6"/>
      <c r="J929" s="11"/>
      <c r="K929" s="591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ht="11.25" customHeight="1">
      <c r="A930" s="7"/>
      <c r="B930" s="5"/>
      <c r="C930" s="6"/>
      <c r="D930" s="6"/>
      <c r="E930" s="6"/>
      <c r="F930" s="6"/>
      <c r="G930" s="6"/>
      <c r="H930" s="6"/>
      <c r="I930" s="6"/>
      <c r="J930" s="11"/>
      <c r="K930" s="591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ht="11.25" customHeight="1">
      <c r="A931" s="7"/>
      <c r="B931" s="5"/>
      <c r="C931" s="6"/>
      <c r="D931" s="6"/>
      <c r="E931" s="6"/>
      <c r="F931" s="6"/>
      <c r="G931" s="6"/>
      <c r="H931" s="6"/>
      <c r="I931" s="6"/>
      <c r="J931" s="11"/>
      <c r="K931" s="591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ht="11.25" customHeight="1">
      <c r="A932" s="7"/>
      <c r="B932" s="5"/>
      <c r="C932" s="6"/>
      <c r="D932" s="6"/>
      <c r="E932" s="6"/>
      <c r="F932" s="6"/>
      <c r="G932" s="6"/>
      <c r="H932" s="6"/>
      <c r="I932" s="6"/>
      <c r="J932" s="11"/>
      <c r="K932" s="591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ht="11.25" customHeight="1">
      <c r="A933" s="7"/>
      <c r="B933" s="5"/>
      <c r="C933" s="6"/>
      <c r="D933" s="6"/>
      <c r="E933" s="6"/>
      <c r="F933" s="6"/>
      <c r="G933" s="6"/>
      <c r="H933" s="6"/>
      <c r="I933" s="6"/>
      <c r="J933" s="11"/>
      <c r="K933" s="591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ht="11.25" customHeight="1">
      <c r="A934" s="7"/>
      <c r="B934" s="5"/>
      <c r="C934" s="6"/>
      <c r="D934" s="6"/>
      <c r="E934" s="6"/>
      <c r="F934" s="6"/>
      <c r="G934" s="6"/>
      <c r="H934" s="6"/>
      <c r="I934" s="6"/>
      <c r="J934" s="11"/>
      <c r="K934" s="591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ht="11.25" customHeight="1">
      <c r="A935" s="7"/>
      <c r="B935" s="5"/>
      <c r="C935" s="6"/>
      <c r="D935" s="6"/>
      <c r="E935" s="6"/>
      <c r="F935" s="6"/>
      <c r="G935" s="6"/>
      <c r="H935" s="6"/>
      <c r="I935" s="6"/>
      <c r="J935" s="11"/>
      <c r="K935" s="591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ht="11.25" customHeight="1">
      <c r="A936" s="7"/>
      <c r="B936" s="5"/>
      <c r="C936" s="6"/>
      <c r="D936" s="6"/>
      <c r="E936" s="6"/>
      <c r="F936" s="6"/>
      <c r="G936" s="6"/>
      <c r="H936" s="6"/>
      <c r="I936" s="6"/>
      <c r="J936" s="11"/>
      <c r="K936" s="591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ht="11.25" customHeight="1">
      <c r="A937" s="7"/>
      <c r="B937" s="5"/>
      <c r="C937" s="6"/>
      <c r="D937" s="6"/>
      <c r="E937" s="6"/>
      <c r="F937" s="6"/>
      <c r="G937" s="6"/>
      <c r="H937" s="6"/>
      <c r="I937" s="6"/>
      <c r="J937" s="11"/>
      <c r="K937" s="591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ht="11.25" customHeight="1">
      <c r="A938" s="7"/>
      <c r="B938" s="5"/>
      <c r="C938" s="6"/>
      <c r="D938" s="6"/>
      <c r="E938" s="6"/>
      <c r="F938" s="6"/>
      <c r="G938" s="6"/>
      <c r="H938" s="6"/>
      <c r="I938" s="6"/>
      <c r="J938" s="11"/>
      <c r="K938" s="591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ht="11.25" customHeight="1">
      <c r="A939" s="7"/>
      <c r="B939" s="5"/>
      <c r="C939" s="6"/>
      <c r="D939" s="6"/>
      <c r="E939" s="6"/>
      <c r="F939" s="6"/>
      <c r="G939" s="6"/>
      <c r="H939" s="6"/>
      <c r="I939" s="6"/>
      <c r="J939" s="11"/>
      <c r="K939" s="591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ht="11.25" customHeight="1">
      <c r="A940" s="7"/>
      <c r="B940" s="5"/>
      <c r="C940" s="6"/>
      <c r="D940" s="6"/>
      <c r="E940" s="6"/>
      <c r="F940" s="6"/>
      <c r="G940" s="6"/>
      <c r="H940" s="6"/>
      <c r="I940" s="6"/>
      <c r="J940" s="11"/>
      <c r="K940" s="591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ht="11.25" customHeight="1">
      <c r="A941" s="7"/>
      <c r="B941" s="5"/>
      <c r="C941" s="6"/>
      <c r="D941" s="6"/>
      <c r="E941" s="6"/>
      <c r="F941" s="6"/>
      <c r="G941" s="6"/>
      <c r="H941" s="6"/>
      <c r="I941" s="6"/>
      <c r="J941" s="11"/>
      <c r="K941" s="591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ht="11.25" customHeight="1">
      <c r="A942" s="7"/>
      <c r="B942" s="5"/>
      <c r="C942" s="6"/>
      <c r="D942" s="6"/>
      <c r="E942" s="6"/>
      <c r="F942" s="6"/>
      <c r="G942" s="6"/>
      <c r="H942" s="6"/>
      <c r="I942" s="6"/>
      <c r="J942" s="11"/>
      <c r="K942" s="591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ht="11.25" customHeight="1">
      <c r="A943" s="7"/>
      <c r="B943" s="5"/>
      <c r="C943" s="6"/>
      <c r="D943" s="6"/>
      <c r="E943" s="6"/>
      <c r="F943" s="6"/>
      <c r="G943" s="6"/>
      <c r="H943" s="6"/>
      <c r="I943" s="6"/>
      <c r="J943" s="11"/>
      <c r="K943" s="591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ht="11.25" customHeight="1">
      <c r="A944" s="7"/>
      <c r="B944" s="5"/>
      <c r="C944" s="6"/>
      <c r="D944" s="6"/>
      <c r="E944" s="6"/>
      <c r="F944" s="6"/>
      <c r="G944" s="6"/>
      <c r="H944" s="6"/>
      <c r="I944" s="6"/>
      <c r="J944" s="11"/>
      <c r="K944" s="591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ht="11.25" customHeight="1">
      <c r="A945" s="7"/>
      <c r="B945" s="5"/>
      <c r="C945" s="6"/>
      <c r="D945" s="6"/>
      <c r="E945" s="6"/>
      <c r="F945" s="6"/>
      <c r="G945" s="6"/>
      <c r="H945" s="6"/>
      <c r="I945" s="6"/>
      <c r="J945" s="11"/>
      <c r="K945" s="591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ht="11.25" customHeight="1">
      <c r="A946" s="7"/>
      <c r="B946" s="5"/>
      <c r="C946" s="6"/>
      <c r="D946" s="6"/>
      <c r="E946" s="6"/>
      <c r="F946" s="6"/>
      <c r="G946" s="6"/>
      <c r="H946" s="6"/>
      <c r="I946" s="6"/>
      <c r="J946" s="11"/>
      <c r="K946" s="591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ht="11.25" customHeight="1">
      <c r="A947" s="7"/>
      <c r="B947" s="5"/>
      <c r="C947" s="6"/>
      <c r="D947" s="6"/>
      <c r="E947" s="6"/>
      <c r="F947" s="6"/>
      <c r="G947" s="6"/>
      <c r="H947" s="6"/>
      <c r="I947" s="6"/>
      <c r="J947" s="11"/>
      <c r="K947" s="591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ht="11.25" customHeight="1">
      <c r="A948" s="7"/>
      <c r="B948" s="5"/>
      <c r="C948" s="6"/>
      <c r="D948" s="6"/>
      <c r="E948" s="6"/>
      <c r="F948" s="6"/>
      <c r="G948" s="6"/>
      <c r="H948" s="6"/>
      <c r="I948" s="6"/>
      <c r="J948" s="11"/>
      <c r="K948" s="591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ht="11.25" customHeight="1">
      <c r="A949" s="7"/>
      <c r="B949" s="5"/>
      <c r="C949" s="6"/>
      <c r="D949" s="6"/>
      <c r="E949" s="6"/>
      <c r="F949" s="6"/>
      <c r="G949" s="6"/>
      <c r="H949" s="6"/>
      <c r="I949" s="6"/>
      <c r="J949" s="11"/>
      <c r="K949" s="591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ht="11.25" customHeight="1">
      <c r="A950" s="7"/>
      <c r="B950" s="5"/>
      <c r="C950" s="6"/>
      <c r="D950" s="6"/>
      <c r="E950" s="6"/>
      <c r="F950" s="6"/>
      <c r="G950" s="6"/>
      <c r="H950" s="6"/>
      <c r="I950" s="6"/>
      <c r="J950" s="11"/>
      <c r="K950" s="591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ht="11.25" customHeight="1">
      <c r="A951" s="7"/>
      <c r="B951" s="5"/>
      <c r="C951" s="6"/>
      <c r="D951" s="6"/>
      <c r="E951" s="6"/>
      <c r="F951" s="6"/>
      <c r="G951" s="6"/>
      <c r="H951" s="6"/>
      <c r="I951" s="6"/>
      <c r="J951" s="11"/>
      <c r="K951" s="591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ht="11.25" customHeight="1">
      <c r="A952" s="7"/>
      <c r="B952" s="5"/>
      <c r="C952" s="6"/>
      <c r="D952" s="6"/>
      <c r="E952" s="6"/>
      <c r="F952" s="6"/>
      <c r="G952" s="6"/>
      <c r="H952" s="6"/>
      <c r="I952" s="6"/>
      <c r="J952" s="11"/>
      <c r="K952" s="591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ht="11.25" customHeight="1">
      <c r="A953" s="7"/>
      <c r="B953" s="5"/>
      <c r="C953" s="6"/>
      <c r="D953" s="6"/>
      <c r="E953" s="6"/>
      <c r="F953" s="6"/>
      <c r="G953" s="6"/>
      <c r="H953" s="6"/>
      <c r="I953" s="6"/>
      <c r="J953" s="11"/>
      <c r="K953" s="591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ht="11.25" customHeight="1">
      <c r="A954" s="7"/>
      <c r="B954" s="5"/>
      <c r="C954" s="6"/>
      <c r="D954" s="6"/>
      <c r="E954" s="6"/>
      <c r="F954" s="6"/>
      <c r="G954" s="6"/>
      <c r="H954" s="6"/>
      <c r="I954" s="6"/>
      <c r="J954" s="11"/>
      <c r="K954" s="591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ht="11.25" customHeight="1">
      <c r="A955" s="7"/>
      <c r="B955" s="5"/>
      <c r="C955" s="6"/>
      <c r="D955" s="6"/>
      <c r="E955" s="6"/>
      <c r="F955" s="6"/>
      <c r="G955" s="6"/>
      <c r="H955" s="6"/>
      <c r="I955" s="6"/>
      <c r="J955" s="11"/>
      <c r="K955" s="591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ht="11.25" customHeight="1">
      <c r="A956" s="7"/>
      <c r="B956" s="5"/>
      <c r="C956" s="6"/>
      <c r="D956" s="6"/>
      <c r="E956" s="6"/>
      <c r="F956" s="6"/>
      <c r="G956" s="6"/>
      <c r="H956" s="6"/>
      <c r="I956" s="6"/>
      <c r="J956" s="11"/>
      <c r="K956" s="591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ht="11.25" customHeight="1">
      <c r="A957" s="7"/>
      <c r="B957" s="5"/>
      <c r="C957" s="6"/>
      <c r="D957" s="6"/>
      <c r="E957" s="6"/>
      <c r="F957" s="6"/>
      <c r="G957" s="6"/>
      <c r="H957" s="6"/>
      <c r="I957" s="6"/>
      <c r="J957" s="11"/>
      <c r="K957" s="591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ht="11.25" customHeight="1">
      <c r="A958" s="7"/>
      <c r="B958" s="5"/>
      <c r="C958" s="6"/>
      <c r="D958" s="6"/>
      <c r="E958" s="6"/>
      <c r="F958" s="6"/>
      <c r="G958" s="6"/>
      <c r="H958" s="6"/>
      <c r="I958" s="6"/>
      <c r="J958" s="11"/>
      <c r="K958" s="591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ht="11.25" customHeight="1">
      <c r="A959" s="7"/>
      <c r="B959" s="5"/>
      <c r="C959" s="6"/>
      <c r="D959" s="6"/>
      <c r="E959" s="6"/>
      <c r="F959" s="6"/>
      <c r="G959" s="6"/>
      <c r="H959" s="6"/>
      <c r="I959" s="6"/>
      <c r="J959" s="11"/>
      <c r="K959" s="591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ht="11.25" customHeight="1">
      <c r="A960" s="7"/>
      <c r="B960" s="5"/>
      <c r="C960" s="6"/>
      <c r="D960" s="6"/>
      <c r="E960" s="6"/>
      <c r="F960" s="6"/>
      <c r="G960" s="6"/>
      <c r="H960" s="6"/>
      <c r="I960" s="6"/>
      <c r="J960" s="11"/>
      <c r="K960" s="591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ht="11.25" customHeight="1">
      <c r="A961" s="7"/>
      <c r="B961" s="5"/>
      <c r="C961" s="6"/>
      <c r="D961" s="6"/>
      <c r="E961" s="6"/>
      <c r="F961" s="6"/>
      <c r="G961" s="6"/>
      <c r="H961" s="6"/>
      <c r="I961" s="6"/>
      <c r="J961" s="11"/>
      <c r="K961" s="591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ht="11.25" customHeight="1">
      <c r="A962" s="7"/>
      <c r="B962" s="5"/>
      <c r="C962" s="6"/>
      <c r="D962" s="6"/>
      <c r="E962" s="6"/>
      <c r="F962" s="6"/>
      <c r="G962" s="6"/>
      <c r="H962" s="6"/>
      <c r="I962" s="6"/>
      <c r="J962" s="11"/>
      <c r="K962" s="591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ht="11.25" customHeight="1">
      <c r="A963" s="7"/>
      <c r="B963" s="5"/>
      <c r="C963" s="6"/>
      <c r="D963" s="6"/>
      <c r="E963" s="6"/>
      <c r="F963" s="6"/>
      <c r="G963" s="6"/>
      <c r="H963" s="6"/>
      <c r="I963" s="6"/>
      <c r="J963" s="11"/>
      <c r="K963" s="591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ht="11.25" customHeight="1">
      <c r="A964" s="7"/>
      <c r="B964" s="5"/>
      <c r="C964" s="6"/>
      <c r="D964" s="6"/>
      <c r="E964" s="6"/>
      <c r="F964" s="6"/>
      <c r="G964" s="6"/>
      <c r="H964" s="6"/>
      <c r="I964" s="6"/>
      <c r="J964" s="11"/>
      <c r="K964" s="591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ht="11.25" customHeight="1">
      <c r="A965" s="7"/>
      <c r="B965" s="5"/>
      <c r="C965" s="6"/>
      <c r="D965" s="6"/>
      <c r="E965" s="6"/>
      <c r="F965" s="6"/>
      <c r="G965" s="6"/>
      <c r="H965" s="6"/>
      <c r="I965" s="6"/>
      <c r="J965" s="11"/>
      <c r="K965" s="591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ht="11.25" customHeight="1">
      <c r="A966" s="7"/>
      <c r="B966" s="5"/>
      <c r="C966" s="6"/>
      <c r="D966" s="6"/>
      <c r="E966" s="6"/>
      <c r="F966" s="6"/>
      <c r="G966" s="6"/>
      <c r="H966" s="6"/>
      <c r="I966" s="6"/>
      <c r="J966" s="11"/>
      <c r="K966" s="591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ht="11.25" customHeight="1">
      <c r="A967" s="7"/>
      <c r="B967" s="5"/>
      <c r="C967" s="6"/>
      <c r="D967" s="6"/>
      <c r="E967" s="6"/>
      <c r="F967" s="6"/>
      <c r="G967" s="6"/>
      <c r="H967" s="6"/>
      <c r="I967" s="6"/>
      <c r="J967" s="11"/>
      <c r="K967" s="591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ht="11.25" customHeight="1">
      <c r="A968" s="7"/>
      <c r="B968" s="5"/>
      <c r="C968" s="6"/>
      <c r="D968" s="6"/>
      <c r="E968" s="6"/>
      <c r="F968" s="6"/>
      <c r="G968" s="6"/>
      <c r="H968" s="6"/>
      <c r="I968" s="6"/>
      <c r="J968" s="11"/>
      <c r="K968" s="591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ht="11.25" customHeight="1">
      <c r="A969" s="7"/>
      <c r="B969" s="5"/>
      <c r="C969" s="6"/>
      <c r="D969" s="6"/>
      <c r="E969" s="6"/>
      <c r="F969" s="6"/>
      <c r="G969" s="6"/>
      <c r="H969" s="6"/>
      <c r="I969" s="6"/>
      <c r="J969" s="11"/>
      <c r="K969" s="591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ht="11.25" customHeight="1">
      <c r="A970" s="7"/>
      <c r="B970" s="5"/>
      <c r="C970" s="6"/>
      <c r="D970" s="6"/>
      <c r="E970" s="6"/>
      <c r="F970" s="6"/>
      <c r="G970" s="6"/>
      <c r="H970" s="6"/>
      <c r="I970" s="6"/>
      <c r="J970" s="11"/>
      <c r="K970" s="591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ht="11.25" customHeight="1">
      <c r="A971" s="7"/>
      <c r="B971" s="5"/>
      <c r="C971" s="6"/>
      <c r="D971" s="6"/>
      <c r="E971" s="6"/>
      <c r="F971" s="6"/>
      <c r="G971" s="6"/>
      <c r="H971" s="6"/>
      <c r="I971" s="6"/>
      <c r="J971" s="11"/>
      <c r="K971" s="591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ht="11.25" customHeight="1">
      <c r="A972" s="7"/>
      <c r="B972" s="5"/>
      <c r="C972" s="6"/>
      <c r="D972" s="6"/>
      <c r="E972" s="6"/>
      <c r="F972" s="6"/>
      <c r="G972" s="6"/>
      <c r="H972" s="6"/>
      <c r="I972" s="6"/>
      <c r="J972" s="11"/>
      <c r="K972" s="591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ht="11.25" customHeight="1">
      <c r="A973" s="7"/>
      <c r="B973" s="5"/>
      <c r="C973" s="6"/>
      <c r="D973" s="6"/>
      <c r="E973" s="6"/>
      <c r="F973" s="6"/>
      <c r="G973" s="6"/>
      <c r="H973" s="6"/>
      <c r="I973" s="6"/>
      <c r="J973" s="11"/>
      <c r="K973" s="591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ht="11.25" customHeight="1">
      <c r="A974" s="7"/>
      <c r="B974" s="5"/>
      <c r="C974" s="6"/>
      <c r="D974" s="6"/>
      <c r="E974" s="6"/>
      <c r="F974" s="6"/>
      <c r="G974" s="6"/>
      <c r="H974" s="6"/>
      <c r="I974" s="6"/>
      <c r="J974" s="11"/>
      <c r="K974" s="591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ht="11.25" customHeight="1">
      <c r="A975" s="7"/>
      <c r="B975" s="5"/>
      <c r="C975" s="6"/>
      <c r="D975" s="6"/>
      <c r="E975" s="6"/>
      <c r="F975" s="6"/>
      <c r="G975" s="6"/>
      <c r="H975" s="6"/>
      <c r="I975" s="6"/>
      <c r="J975" s="11"/>
      <c r="K975" s="591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ht="11.25" customHeight="1">
      <c r="A976" s="7"/>
      <c r="B976" s="5"/>
      <c r="C976" s="6"/>
      <c r="D976" s="6"/>
      <c r="E976" s="6"/>
      <c r="F976" s="6"/>
      <c r="G976" s="6"/>
      <c r="H976" s="6"/>
      <c r="I976" s="6"/>
      <c r="J976" s="11"/>
      <c r="K976" s="591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ht="11.25" customHeight="1">
      <c r="A977" s="7"/>
      <c r="B977" s="5"/>
      <c r="C977" s="6"/>
      <c r="D977" s="6"/>
      <c r="E977" s="6"/>
      <c r="F977" s="6"/>
      <c r="G977" s="6"/>
      <c r="H977" s="6"/>
      <c r="I977" s="6"/>
      <c r="J977" s="11"/>
      <c r="K977" s="591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ht="11.25" customHeight="1">
      <c r="A978" s="7"/>
      <c r="B978" s="5"/>
      <c r="C978" s="6"/>
      <c r="D978" s="6"/>
      <c r="E978" s="6"/>
      <c r="F978" s="6"/>
      <c r="G978" s="6"/>
      <c r="H978" s="6"/>
      <c r="I978" s="6"/>
      <c r="J978" s="11"/>
      <c r="K978" s="591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ht="11.25" customHeight="1">
      <c r="A979" s="7"/>
      <c r="B979" s="5"/>
      <c r="C979" s="6"/>
      <c r="D979" s="6"/>
      <c r="E979" s="6"/>
      <c r="F979" s="6"/>
      <c r="G979" s="6"/>
      <c r="H979" s="6"/>
      <c r="I979" s="6"/>
      <c r="J979" s="11"/>
      <c r="K979" s="591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ht="11.25" customHeight="1">
      <c r="A980" s="7"/>
      <c r="B980" s="5"/>
      <c r="C980" s="6"/>
      <c r="D980" s="6"/>
      <c r="E980" s="6"/>
      <c r="F980" s="6"/>
      <c r="G980" s="6"/>
      <c r="H980" s="6"/>
      <c r="I980" s="6"/>
      <c r="J980" s="11"/>
      <c r="K980" s="591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ht="11.25" customHeight="1">
      <c r="A981" s="7"/>
      <c r="B981" s="5"/>
      <c r="C981" s="6"/>
      <c r="D981" s="6"/>
      <c r="E981" s="6"/>
      <c r="F981" s="6"/>
      <c r="G981" s="6"/>
      <c r="H981" s="6"/>
      <c r="I981" s="6"/>
      <c r="J981" s="11"/>
      <c r="K981" s="591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ht="11.25" customHeight="1">
      <c r="A982" s="7"/>
      <c r="B982" s="5"/>
      <c r="C982" s="6"/>
      <c r="D982" s="6"/>
      <c r="E982" s="6"/>
      <c r="F982" s="6"/>
      <c r="G982" s="6"/>
      <c r="H982" s="6"/>
      <c r="I982" s="6"/>
      <c r="J982" s="11"/>
      <c r="K982" s="591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ht="11.25" customHeight="1">
      <c r="A983" s="7"/>
      <c r="B983" s="5"/>
      <c r="C983" s="6"/>
      <c r="D983" s="6"/>
      <c r="E983" s="6"/>
      <c r="F983" s="6"/>
      <c r="G983" s="6"/>
      <c r="H983" s="6"/>
      <c r="I983" s="6"/>
      <c r="J983" s="11"/>
      <c r="K983" s="591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ht="11.25" customHeight="1">
      <c r="A984" s="7"/>
      <c r="B984" s="5"/>
      <c r="C984" s="6"/>
      <c r="D984" s="6"/>
      <c r="E984" s="6"/>
      <c r="F984" s="6"/>
      <c r="G984" s="6"/>
      <c r="H984" s="6"/>
      <c r="I984" s="6"/>
      <c r="J984" s="11"/>
      <c r="K984" s="591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ht="11.25" customHeight="1">
      <c r="A985" s="7"/>
      <c r="B985" s="5"/>
      <c r="C985" s="6"/>
      <c r="D985" s="6"/>
      <c r="E985" s="6"/>
      <c r="F985" s="6"/>
      <c r="G985" s="6"/>
      <c r="H985" s="6"/>
      <c r="I985" s="6"/>
      <c r="J985" s="11"/>
      <c r="K985" s="591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ht="11.25" customHeight="1">
      <c r="A986" s="7"/>
      <c r="B986" s="5"/>
      <c r="C986" s="6"/>
      <c r="D986" s="6"/>
      <c r="E986" s="6"/>
      <c r="F986" s="6"/>
      <c r="G986" s="6"/>
      <c r="H986" s="6"/>
      <c r="I986" s="6"/>
      <c r="J986" s="11"/>
      <c r="K986" s="591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ht="11.25" customHeight="1">
      <c r="A987" s="7"/>
      <c r="B987" s="5"/>
      <c r="C987" s="6"/>
      <c r="D987" s="6"/>
      <c r="E987" s="6"/>
      <c r="F987" s="6"/>
      <c r="G987" s="6"/>
      <c r="H987" s="6"/>
      <c r="I987" s="6"/>
      <c r="J987" s="11"/>
      <c r="K987" s="591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ht="11.25" customHeight="1">
      <c r="A988" s="7"/>
      <c r="B988" s="5"/>
      <c r="C988" s="6"/>
      <c r="D988" s="6"/>
      <c r="E988" s="6"/>
      <c r="F988" s="6"/>
      <c r="G988" s="6"/>
      <c r="H988" s="6"/>
      <c r="I988" s="6"/>
      <c r="J988" s="11"/>
      <c r="K988" s="591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ht="11.25" customHeight="1">
      <c r="A989" s="7"/>
      <c r="B989" s="5"/>
      <c r="C989" s="6"/>
      <c r="D989" s="6"/>
      <c r="E989" s="6"/>
      <c r="F989" s="6"/>
      <c r="G989" s="6"/>
      <c r="H989" s="6"/>
      <c r="I989" s="6"/>
      <c r="J989" s="11"/>
      <c r="K989" s="591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ht="11.25" customHeight="1">
      <c r="A990" s="7"/>
      <c r="B990" s="5"/>
      <c r="C990" s="6"/>
      <c r="D990" s="6"/>
      <c r="E990" s="6"/>
      <c r="F990" s="6"/>
      <c r="G990" s="6"/>
      <c r="H990" s="6"/>
      <c r="I990" s="6"/>
      <c r="J990" s="11"/>
      <c r="K990" s="591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ht="11.25" customHeight="1">
      <c r="A991" s="7"/>
      <c r="B991" s="5"/>
      <c r="C991" s="6"/>
      <c r="D991" s="6"/>
      <c r="E991" s="6"/>
      <c r="F991" s="6"/>
      <c r="G991" s="6"/>
      <c r="H991" s="6"/>
      <c r="I991" s="6"/>
      <c r="J991" s="11"/>
      <c r="K991" s="591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ht="11.25" customHeight="1">
      <c r="A992" s="7"/>
      <c r="B992" s="5"/>
      <c r="C992" s="6"/>
      <c r="D992" s="6"/>
      <c r="E992" s="6"/>
      <c r="F992" s="6"/>
      <c r="G992" s="6"/>
      <c r="H992" s="6"/>
      <c r="I992" s="6"/>
      <c r="J992" s="11"/>
      <c r="K992" s="591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ht="11.25" customHeight="1">
      <c r="A993" s="7"/>
      <c r="B993" s="5"/>
      <c r="C993" s="6"/>
      <c r="D993" s="6"/>
      <c r="E993" s="6"/>
      <c r="F993" s="6"/>
      <c r="G993" s="6"/>
      <c r="H993" s="6"/>
      <c r="I993" s="6"/>
      <c r="J993" s="11"/>
      <c r="K993" s="591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ht="11.25" customHeight="1">
      <c r="A994" s="7"/>
      <c r="B994" s="5"/>
      <c r="C994" s="6"/>
      <c r="D994" s="6"/>
      <c r="E994" s="6"/>
      <c r="F994" s="6"/>
      <c r="G994" s="6"/>
      <c r="H994" s="6"/>
      <c r="I994" s="6"/>
      <c r="J994" s="11"/>
      <c r="K994" s="591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 ht="11.25" customHeight="1">
      <c r="A995" s="7"/>
      <c r="B995" s="5"/>
      <c r="C995" s="6"/>
      <c r="D995" s="6"/>
      <c r="E995" s="6"/>
      <c r="F995" s="6"/>
      <c r="G995" s="6"/>
      <c r="H995" s="6"/>
      <c r="I995" s="6"/>
      <c r="J995" s="11"/>
      <c r="K995" s="591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 ht="11.25" customHeight="1">
      <c r="A996" s="7"/>
      <c r="B996" s="5"/>
      <c r="C996" s="6"/>
      <c r="D996" s="6"/>
      <c r="E996" s="6"/>
      <c r="F996" s="6"/>
      <c r="G996" s="6"/>
      <c r="H996" s="6"/>
      <c r="I996" s="6"/>
      <c r="J996" s="11"/>
      <c r="K996" s="591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 ht="11.25" customHeight="1">
      <c r="A997" s="7"/>
      <c r="B997" s="5"/>
      <c r="C997" s="6"/>
      <c r="D997" s="6"/>
      <c r="E997" s="6"/>
      <c r="F997" s="6"/>
      <c r="G997" s="6"/>
      <c r="H997" s="6"/>
      <c r="I997" s="6"/>
      <c r="J997" s="11"/>
      <c r="K997" s="591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 ht="11.25" customHeight="1">
      <c r="A998" s="7"/>
      <c r="B998" s="5"/>
      <c r="C998" s="6"/>
      <c r="D998" s="6"/>
      <c r="E998" s="6"/>
      <c r="F998" s="6"/>
      <c r="G998" s="6"/>
      <c r="H998" s="6"/>
      <c r="I998" s="6"/>
      <c r="J998" s="11"/>
      <c r="K998" s="591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 ht="11.25" customHeight="1">
      <c r="A999" s="7"/>
      <c r="B999" s="5"/>
      <c r="C999" s="6"/>
      <c r="D999" s="6"/>
      <c r="E999" s="6"/>
      <c r="F999" s="6"/>
      <c r="G999" s="6"/>
      <c r="H999" s="6"/>
      <c r="I999" s="6"/>
      <c r="J999" s="11"/>
      <c r="K999" s="591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 ht="11.25" customHeight="1">
      <c r="A1000" s="7"/>
      <c r="B1000" s="5"/>
      <c r="C1000" s="6"/>
      <c r="D1000" s="6"/>
      <c r="E1000" s="6"/>
      <c r="F1000" s="6"/>
      <c r="G1000" s="6"/>
      <c r="H1000" s="6"/>
      <c r="I1000" s="6"/>
      <c r="J1000" s="11"/>
      <c r="K1000" s="591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conditionalFormatting sqref="I1:I1000 T6:T365">
    <cfRule type="cellIs" dxfId="0" priority="1" operator="lessThan">
      <formula>0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2.75"/>
  <cols>
    <col customWidth="1" min="1" max="1" width="22.0"/>
    <col customWidth="1" min="2" max="2" width="4.88"/>
    <col customWidth="1" min="3" max="4" width="11.38"/>
    <col customWidth="1" min="5" max="5" width="10.75"/>
    <col customWidth="1" min="6" max="6" width="13.13"/>
    <col customWidth="1" min="7" max="7" width="12.75"/>
    <col customWidth="1" min="8" max="8" width="12.5"/>
    <col customWidth="1" min="9" max="9" width="13.38"/>
    <col customWidth="1" min="10" max="10" width="10.25"/>
    <col customWidth="1" min="11" max="11" width="8.0"/>
    <col customWidth="1" min="12" max="12" width="3.13"/>
    <col customWidth="1" min="13" max="15" width="12.63"/>
    <col customWidth="1" min="16" max="19" width="8.0"/>
    <col customWidth="1" min="20" max="20" width="7.0"/>
    <col customWidth="1" min="21" max="21" width="27.88"/>
    <col customWidth="1" min="22" max="25" width="7.0"/>
  </cols>
  <sheetData>
    <row r="1" ht="13.5" customHeight="1">
      <c r="A1" s="7"/>
      <c r="B1" s="5"/>
      <c r="C1" s="6"/>
      <c r="D1" s="6"/>
      <c r="E1" s="589" t="s">
        <v>2175</v>
      </c>
      <c r="F1" s="590"/>
      <c r="G1" s="6"/>
      <c r="H1" s="6"/>
      <c r="I1" s="6"/>
      <c r="J1" s="11"/>
      <c r="K1" s="591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12.0" customHeight="1">
      <c r="A2" s="7"/>
      <c r="B2" s="5"/>
      <c r="C2" s="6"/>
      <c r="D2" s="6"/>
      <c r="E2" s="6"/>
      <c r="F2" s="6"/>
      <c r="G2" s="6"/>
      <c r="H2" s="6"/>
      <c r="I2" s="6"/>
      <c r="J2" s="11"/>
      <c r="K2" s="591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t="12.0" customHeight="1">
      <c r="A3" s="7"/>
      <c r="B3" s="5"/>
      <c r="C3" s="6"/>
      <c r="D3" s="592" t="s">
        <v>2176</v>
      </c>
      <c r="E3" s="593">
        <v>3160000.0</v>
      </c>
      <c r="F3" s="594" t="s">
        <v>2190</v>
      </c>
      <c r="G3" s="595" t="s">
        <v>2177</v>
      </c>
      <c r="H3" s="596">
        <f>-PMT(6.875%/12,12*J3,E3)</f>
        <v>20758.95051</v>
      </c>
      <c r="I3" s="597" t="s">
        <v>2178</v>
      </c>
      <c r="J3" s="598">
        <v>30.0</v>
      </c>
      <c r="K3" s="591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12.0" customHeight="1">
      <c r="A4" s="7"/>
      <c r="B4" s="5"/>
      <c r="C4" s="6"/>
      <c r="D4" s="6"/>
      <c r="E4" s="6"/>
      <c r="F4" s="6"/>
      <c r="G4" s="6"/>
      <c r="H4" s="6"/>
      <c r="I4" s="6"/>
      <c r="J4" s="11"/>
      <c r="K4" s="591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ht="12.0" customHeight="1">
      <c r="A5" s="12" t="s">
        <v>16</v>
      </c>
      <c r="B5" s="599" t="s">
        <v>17</v>
      </c>
      <c r="C5" s="600" t="s">
        <v>2179</v>
      </c>
      <c r="D5" s="601" t="s">
        <v>2180</v>
      </c>
      <c r="E5" s="602" t="s">
        <v>2181</v>
      </c>
      <c r="F5" s="602" t="s">
        <v>21</v>
      </c>
      <c r="G5" s="602" t="s">
        <v>2182</v>
      </c>
      <c r="H5" s="602" t="s">
        <v>2183</v>
      </c>
      <c r="I5" s="603" t="s">
        <v>2184</v>
      </c>
      <c r="J5" s="604" t="s">
        <v>2185</v>
      </c>
      <c r="K5" s="591"/>
      <c r="L5" s="6"/>
      <c r="M5" s="605" t="s">
        <v>2186</v>
      </c>
      <c r="N5" s="605" t="s">
        <v>2187</v>
      </c>
      <c r="O5" s="605" t="s">
        <v>2003</v>
      </c>
      <c r="P5" s="6"/>
      <c r="Q5" s="9" t="s">
        <v>31</v>
      </c>
      <c r="R5" s="9" t="s">
        <v>32</v>
      </c>
      <c r="S5" s="19" t="s">
        <v>33</v>
      </c>
      <c r="T5" s="6"/>
      <c r="U5" s="6"/>
      <c r="V5" s="6"/>
      <c r="W5" s="6"/>
      <c r="X5" s="6"/>
      <c r="Y5" s="6"/>
    </row>
    <row r="6" ht="11.25" customHeight="1">
      <c r="A6" s="623">
        <v>1.0</v>
      </c>
      <c r="B6" s="24">
        <v>1.0</v>
      </c>
      <c r="C6" s="40">
        <v>17300.0</v>
      </c>
      <c r="D6" s="608">
        <f>(E3*J6%)/12</f>
        <v>10533.33333</v>
      </c>
      <c r="E6" s="608">
        <f>C6-D6</f>
        <v>6766.666667</v>
      </c>
      <c r="F6" s="608">
        <f>E6</f>
        <v>6766.666667</v>
      </c>
      <c r="G6" s="608">
        <f>D6</f>
        <v>10533.33333</v>
      </c>
      <c r="H6" s="608">
        <f>C6</f>
        <v>17300</v>
      </c>
      <c r="I6" s="609">
        <f>E3-E6</f>
        <v>3153233.333</v>
      </c>
      <c r="J6" s="610">
        <v>4.0</v>
      </c>
      <c r="K6" s="591"/>
      <c r="L6" s="6"/>
      <c r="M6" s="9">
        <v>14000.0</v>
      </c>
      <c r="N6" s="608">
        <f>M6</f>
        <v>14000</v>
      </c>
      <c r="O6" s="6">
        <f t="shared" ref="O6:O365" si="1">N6-G6-(1512*B6)-(1512*B6)</f>
        <v>442.6666667</v>
      </c>
      <c r="P6" s="6"/>
      <c r="Q6" s="6">
        <f>O6</f>
        <v>442.6666667</v>
      </c>
      <c r="R6" s="6">
        <f>Q6</f>
        <v>442.6666667</v>
      </c>
      <c r="S6" s="81">
        <f t="shared" ref="S6:S365" si="2">R6/(G6/100)</f>
        <v>4.202531646</v>
      </c>
      <c r="T6" s="6"/>
      <c r="U6" s="6"/>
      <c r="V6" s="6"/>
      <c r="W6" s="6"/>
      <c r="X6" s="6"/>
      <c r="Y6" s="6"/>
    </row>
    <row r="7" ht="11.25" customHeight="1">
      <c r="A7" s="38"/>
      <c r="B7" s="39">
        <f t="shared" ref="B7:B53" si="3">B6+1</f>
        <v>2</v>
      </c>
      <c r="C7" s="40">
        <v>17300.0</v>
      </c>
      <c r="D7" s="79">
        <f t="shared" ref="D7:D53" si="4">(I6*J7%)/12</f>
        <v>10510.77778</v>
      </c>
      <c r="E7" s="79">
        <f>C8-D7</f>
        <v>6789.222222</v>
      </c>
      <c r="F7" s="79">
        <f t="shared" ref="F7:F365" si="5">F6+E7</f>
        <v>13555.88889</v>
      </c>
      <c r="G7" s="79">
        <f t="shared" ref="G7:G365" si="6">G6+D7</f>
        <v>21044.11111</v>
      </c>
      <c r="H7" s="79">
        <f>H6+C8</f>
        <v>34600</v>
      </c>
      <c r="I7" s="611">
        <f t="shared" ref="I7:I103" si="7">I6-E7</f>
        <v>3146444.111</v>
      </c>
      <c r="J7" s="610">
        <v>4.0</v>
      </c>
      <c r="K7" s="591"/>
      <c r="L7" s="6"/>
      <c r="M7" s="9">
        <v>14000.0</v>
      </c>
      <c r="N7" s="79">
        <f t="shared" ref="N7:N365" si="8">N6+M7</f>
        <v>28000</v>
      </c>
      <c r="O7" s="6">
        <f t="shared" si="1"/>
        <v>907.8888889</v>
      </c>
      <c r="P7" s="6"/>
      <c r="Q7" s="6">
        <f t="shared" ref="Q7:Q365" si="9">SUM(O7-O6)</f>
        <v>465.2222222</v>
      </c>
      <c r="R7" s="6">
        <f t="shared" ref="R7:R365" si="10">R6+Q7</f>
        <v>907.8888889</v>
      </c>
      <c r="S7" s="81">
        <f t="shared" si="2"/>
        <v>4.314218282</v>
      </c>
      <c r="T7" s="6"/>
      <c r="U7" s="6"/>
      <c r="V7" s="6"/>
      <c r="W7" s="6"/>
      <c r="X7" s="6"/>
      <c r="Y7" s="6"/>
    </row>
    <row r="8" ht="11.25" customHeight="1">
      <c r="A8" s="38"/>
      <c r="B8" s="39">
        <f t="shared" si="3"/>
        <v>3</v>
      </c>
      <c r="C8" s="40">
        <v>17300.0</v>
      </c>
      <c r="D8" s="79">
        <f t="shared" si="4"/>
        <v>10488.14704</v>
      </c>
      <c r="E8" s="79">
        <f t="shared" ref="E8:E123" si="11">C8:C9-D8</f>
        <v>6811.852963</v>
      </c>
      <c r="F8" s="79">
        <f t="shared" si="5"/>
        <v>20367.74185</v>
      </c>
      <c r="G8" s="79">
        <f t="shared" si="6"/>
        <v>31532.25815</v>
      </c>
      <c r="H8" s="79">
        <f t="shared" ref="H8:H123" si="12">H7+C8:C9</f>
        <v>51900</v>
      </c>
      <c r="I8" s="611">
        <f t="shared" si="7"/>
        <v>3139632.258</v>
      </c>
      <c r="J8" s="610">
        <v>4.0</v>
      </c>
      <c r="K8" s="591"/>
      <c r="L8" s="6"/>
      <c r="M8" s="9">
        <v>14000.0</v>
      </c>
      <c r="N8" s="79">
        <f t="shared" si="8"/>
        <v>42000</v>
      </c>
      <c r="O8" s="6">
        <f t="shared" si="1"/>
        <v>1395.741852</v>
      </c>
      <c r="P8" s="6"/>
      <c r="Q8" s="6">
        <f t="shared" si="9"/>
        <v>487.852963</v>
      </c>
      <c r="R8" s="6">
        <f t="shared" si="10"/>
        <v>1395.741852</v>
      </c>
      <c r="S8" s="81">
        <f t="shared" si="2"/>
        <v>4.426393585</v>
      </c>
      <c r="T8" s="6"/>
      <c r="U8" s="6"/>
      <c r="V8" s="6"/>
      <c r="W8" s="6"/>
      <c r="X8" s="6"/>
      <c r="Y8" s="6"/>
    </row>
    <row r="9" ht="11.25" customHeight="1">
      <c r="A9" s="54">
        <v>43101.0</v>
      </c>
      <c r="B9" s="39">
        <f t="shared" si="3"/>
        <v>4</v>
      </c>
      <c r="C9" s="40">
        <v>17300.0</v>
      </c>
      <c r="D9" s="79">
        <f t="shared" si="4"/>
        <v>10465.44086</v>
      </c>
      <c r="E9" s="79">
        <f t="shared" si="11"/>
        <v>6834.55914</v>
      </c>
      <c r="F9" s="79">
        <f t="shared" si="5"/>
        <v>27202.30099</v>
      </c>
      <c r="G9" s="79">
        <f t="shared" si="6"/>
        <v>41997.69901</v>
      </c>
      <c r="H9" s="79">
        <f t="shared" si="12"/>
        <v>69200</v>
      </c>
      <c r="I9" s="611">
        <f t="shared" si="7"/>
        <v>3132797.699</v>
      </c>
      <c r="J9" s="610">
        <v>4.0</v>
      </c>
      <c r="K9" s="591"/>
      <c r="L9" s="6"/>
      <c r="M9" s="9">
        <v>14000.0</v>
      </c>
      <c r="N9" s="79">
        <f t="shared" si="8"/>
        <v>56000</v>
      </c>
      <c r="O9" s="6">
        <f t="shared" si="1"/>
        <v>1906.300991</v>
      </c>
      <c r="P9" s="6"/>
      <c r="Q9" s="6">
        <f t="shared" si="9"/>
        <v>510.5591395</v>
      </c>
      <c r="R9" s="6">
        <f t="shared" si="10"/>
        <v>1906.300991</v>
      </c>
      <c r="S9" s="81">
        <f t="shared" si="2"/>
        <v>4.539060559</v>
      </c>
      <c r="T9" s="6"/>
      <c r="U9" s="6"/>
      <c r="V9" s="6"/>
      <c r="W9" s="6"/>
      <c r="X9" s="6"/>
      <c r="Y9" s="6"/>
    </row>
    <row r="10" ht="11.25" customHeight="1">
      <c r="A10" s="38"/>
      <c r="B10" s="39">
        <f t="shared" si="3"/>
        <v>5</v>
      </c>
      <c r="C10" s="40">
        <v>17300.0</v>
      </c>
      <c r="D10" s="79">
        <f t="shared" si="4"/>
        <v>10442.659</v>
      </c>
      <c r="E10" s="79">
        <f t="shared" si="11"/>
        <v>6857.341003</v>
      </c>
      <c r="F10" s="79">
        <f t="shared" si="5"/>
        <v>34059.64199</v>
      </c>
      <c r="G10" s="79">
        <f t="shared" si="6"/>
        <v>52440.35801</v>
      </c>
      <c r="H10" s="79">
        <f t="shared" si="12"/>
        <v>86500</v>
      </c>
      <c r="I10" s="611">
        <f t="shared" si="7"/>
        <v>3125940.358</v>
      </c>
      <c r="J10" s="610">
        <v>4.0</v>
      </c>
      <c r="K10" s="591"/>
      <c r="L10" s="6"/>
      <c r="M10" s="9">
        <v>14000.0</v>
      </c>
      <c r="N10" s="79">
        <f t="shared" si="8"/>
        <v>70000</v>
      </c>
      <c r="O10" s="6">
        <f t="shared" si="1"/>
        <v>2439.641995</v>
      </c>
      <c r="P10" s="6"/>
      <c r="Q10" s="6">
        <f t="shared" si="9"/>
        <v>533.3410033</v>
      </c>
      <c r="R10" s="6">
        <f t="shared" si="10"/>
        <v>2439.641995</v>
      </c>
      <c r="S10" s="81">
        <f t="shared" si="2"/>
        <v>4.652222234</v>
      </c>
      <c r="T10" s="6"/>
      <c r="U10" s="6"/>
      <c r="V10" s="6"/>
      <c r="W10" s="6"/>
      <c r="X10" s="6"/>
      <c r="Y10" s="6"/>
    </row>
    <row r="11" ht="11.25" customHeight="1">
      <c r="A11" s="38"/>
      <c r="B11" s="39">
        <f t="shared" si="3"/>
        <v>6</v>
      </c>
      <c r="C11" s="40">
        <v>17300.0</v>
      </c>
      <c r="D11" s="79">
        <f t="shared" si="4"/>
        <v>10419.80119</v>
      </c>
      <c r="E11" s="79">
        <f t="shared" si="11"/>
        <v>6880.198807</v>
      </c>
      <c r="F11" s="79">
        <f t="shared" si="5"/>
        <v>40939.8408</v>
      </c>
      <c r="G11" s="79">
        <f t="shared" si="6"/>
        <v>62860.1592</v>
      </c>
      <c r="H11" s="79">
        <f t="shared" si="12"/>
        <v>103800</v>
      </c>
      <c r="I11" s="611">
        <f t="shared" si="7"/>
        <v>3119060.159</v>
      </c>
      <c r="J11" s="610">
        <v>4.0</v>
      </c>
      <c r="K11" s="591"/>
      <c r="L11" s="6"/>
      <c r="M11" s="9">
        <v>14000.0</v>
      </c>
      <c r="N11" s="79">
        <f t="shared" si="8"/>
        <v>84000</v>
      </c>
      <c r="O11" s="6">
        <f t="shared" si="1"/>
        <v>2995.840801</v>
      </c>
      <c r="P11" s="6"/>
      <c r="Q11" s="6">
        <f t="shared" si="9"/>
        <v>556.1988066</v>
      </c>
      <c r="R11" s="6">
        <f t="shared" si="10"/>
        <v>2995.840801</v>
      </c>
      <c r="S11" s="81">
        <f t="shared" si="2"/>
        <v>4.765881664</v>
      </c>
      <c r="T11" s="6"/>
      <c r="U11" s="6"/>
      <c r="V11" s="6"/>
      <c r="W11" s="6"/>
      <c r="X11" s="6"/>
      <c r="Y11" s="6"/>
    </row>
    <row r="12" ht="11.25" customHeight="1">
      <c r="A12" s="38"/>
      <c r="B12" s="39">
        <f t="shared" si="3"/>
        <v>7</v>
      </c>
      <c r="C12" s="40">
        <v>17300.0</v>
      </c>
      <c r="D12" s="79">
        <f t="shared" si="4"/>
        <v>10396.8672</v>
      </c>
      <c r="E12" s="79">
        <f t="shared" si="11"/>
        <v>6903.132803</v>
      </c>
      <c r="F12" s="79">
        <f t="shared" si="5"/>
        <v>47842.9736</v>
      </c>
      <c r="G12" s="79">
        <f t="shared" si="6"/>
        <v>73257.0264</v>
      </c>
      <c r="H12" s="79">
        <f t="shared" si="12"/>
        <v>121100</v>
      </c>
      <c r="I12" s="611">
        <f t="shared" si="7"/>
        <v>3112157.026</v>
      </c>
      <c r="J12" s="610">
        <v>4.0</v>
      </c>
      <c r="K12" s="591"/>
      <c r="L12" s="6"/>
      <c r="M12" s="9">
        <v>14000.0</v>
      </c>
      <c r="N12" s="79">
        <f t="shared" si="8"/>
        <v>98000</v>
      </c>
      <c r="O12" s="6">
        <f t="shared" si="1"/>
        <v>3574.973604</v>
      </c>
      <c r="P12" s="6"/>
      <c r="Q12" s="6">
        <f t="shared" si="9"/>
        <v>579.1328027</v>
      </c>
      <c r="R12" s="6">
        <f t="shared" si="10"/>
        <v>3574.973604</v>
      </c>
      <c r="S12" s="81">
        <f t="shared" si="2"/>
        <v>4.880041929</v>
      </c>
      <c r="T12" s="6"/>
      <c r="U12" s="6"/>
      <c r="V12" s="6"/>
      <c r="W12" s="6"/>
      <c r="X12" s="6"/>
      <c r="Y12" s="6"/>
    </row>
    <row r="13" ht="11.25" customHeight="1">
      <c r="A13" s="38"/>
      <c r="B13" s="39">
        <f t="shared" si="3"/>
        <v>8</v>
      </c>
      <c r="C13" s="40">
        <v>17300.0</v>
      </c>
      <c r="D13" s="79">
        <f t="shared" si="4"/>
        <v>10373.85675</v>
      </c>
      <c r="E13" s="79">
        <f t="shared" si="11"/>
        <v>6926.143245</v>
      </c>
      <c r="F13" s="79">
        <f t="shared" si="5"/>
        <v>54769.11685</v>
      </c>
      <c r="G13" s="79">
        <f t="shared" si="6"/>
        <v>83630.88315</v>
      </c>
      <c r="H13" s="79">
        <f t="shared" si="12"/>
        <v>138400</v>
      </c>
      <c r="I13" s="611">
        <f t="shared" si="7"/>
        <v>3105230.883</v>
      </c>
      <c r="J13" s="610">
        <v>4.0</v>
      </c>
      <c r="K13" s="591"/>
      <c r="L13" s="6"/>
      <c r="M13" s="9">
        <v>14000.0</v>
      </c>
      <c r="N13" s="79">
        <f t="shared" si="8"/>
        <v>112000</v>
      </c>
      <c r="O13" s="6">
        <f t="shared" si="1"/>
        <v>4177.116849</v>
      </c>
      <c r="P13" s="6"/>
      <c r="Q13" s="6">
        <f t="shared" si="9"/>
        <v>602.1432453</v>
      </c>
      <c r="R13" s="6">
        <f t="shared" si="10"/>
        <v>4177.116849</v>
      </c>
      <c r="S13" s="81">
        <f t="shared" si="2"/>
        <v>4.994706132</v>
      </c>
      <c r="T13" s="6"/>
      <c r="U13" s="6"/>
      <c r="V13" s="6"/>
      <c r="W13" s="6"/>
      <c r="X13" s="6"/>
      <c r="Y13" s="6"/>
    </row>
    <row r="14" ht="11.25" customHeight="1">
      <c r="A14" s="38"/>
      <c r="B14" s="39">
        <f t="shared" si="3"/>
        <v>9</v>
      </c>
      <c r="C14" s="40">
        <v>17300.0</v>
      </c>
      <c r="D14" s="79">
        <f t="shared" si="4"/>
        <v>10350.76961</v>
      </c>
      <c r="E14" s="79">
        <f t="shared" si="11"/>
        <v>6949.230389</v>
      </c>
      <c r="F14" s="79">
        <f t="shared" si="5"/>
        <v>61718.34724</v>
      </c>
      <c r="G14" s="79">
        <f t="shared" si="6"/>
        <v>93981.65276</v>
      </c>
      <c r="H14" s="79">
        <f t="shared" si="12"/>
        <v>155700</v>
      </c>
      <c r="I14" s="611">
        <f t="shared" si="7"/>
        <v>3098281.653</v>
      </c>
      <c r="J14" s="610">
        <v>4.0</v>
      </c>
      <c r="K14" s="591"/>
      <c r="L14" s="6"/>
      <c r="M14" s="9">
        <v>14000.0</v>
      </c>
      <c r="N14" s="79">
        <f t="shared" si="8"/>
        <v>126000</v>
      </c>
      <c r="O14" s="6">
        <f t="shared" si="1"/>
        <v>4802.347239</v>
      </c>
      <c r="P14" s="6"/>
      <c r="Q14" s="6">
        <f t="shared" si="9"/>
        <v>625.2303895</v>
      </c>
      <c r="R14" s="6">
        <f t="shared" si="10"/>
        <v>4802.347239</v>
      </c>
      <c r="S14" s="81">
        <f t="shared" si="2"/>
        <v>5.109877405</v>
      </c>
      <c r="T14" s="6"/>
      <c r="U14" s="6"/>
      <c r="V14" s="6"/>
      <c r="W14" s="6"/>
      <c r="X14" s="6"/>
      <c r="Y14" s="6"/>
    </row>
    <row r="15" ht="11.25" customHeight="1">
      <c r="A15" s="38"/>
      <c r="B15" s="39">
        <f t="shared" si="3"/>
        <v>10</v>
      </c>
      <c r="C15" s="40">
        <v>17300.0</v>
      </c>
      <c r="D15" s="79">
        <f t="shared" si="4"/>
        <v>10327.60551</v>
      </c>
      <c r="E15" s="79">
        <f t="shared" si="11"/>
        <v>6972.394491</v>
      </c>
      <c r="F15" s="79">
        <f t="shared" si="5"/>
        <v>68690.74173</v>
      </c>
      <c r="G15" s="79">
        <f t="shared" si="6"/>
        <v>104309.2583</v>
      </c>
      <c r="H15" s="79">
        <f t="shared" si="12"/>
        <v>173000</v>
      </c>
      <c r="I15" s="611">
        <f t="shared" si="7"/>
        <v>3091309.258</v>
      </c>
      <c r="J15" s="610">
        <v>4.0</v>
      </c>
      <c r="K15" s="591"/>
      <c r="L15" s="6"/>
      <c r="M15" s="9">
        <v>14000.0</v>
      </c>
      <c r="N15" s="79">
        <f t="shared" si="8"/>
        <v>140000</v>
      </c>
      <c r="O15" s="6">
        <f t="shared" si="1"/>
        <v>5450.74173</v>
      </c>
      <c r="P15" s="6"/>
      <c r="Q15" s="6">
        <f t="shared" si="9"/>
        <v>648.3944908</v>
      </c>
      <c r="R15" s="6">
        <f t="shared" si="10"/>
        <v>5450.74173</v>
      </c>
      <c r="S15" s="81">
        <f t="shared" si="2"/>
        <v>5.225558901</v>
      </c>
      <c r="T15" s="6"/>
      <c r="U15" s="6"/>
      <c r="V15" s="6"/>
      <c r="W15" s="6"/>
      <c r="X15" s="6"/>
      <c r="Y15" s="6"/>
    </row>
    <row r="16" ht="11.25" customHeight="1">
      <c r="A16" s="38"/>
      <c r="B16" s="39">
        <f t="shared" si="3"/>
        <v>11</v>
      </c>
      <c r="C16" s="40">
        <v>17300.0</v>
      </c>
      <c r="D16" s="79">
        <f t="shared" si="4"/>
        <v>10304.36419</v>
      </c>
      <c r="E16" s="79">
        <f t="shared" si="11"/>
        <v>6995.635806</v>
      </c>
      <c r="F16" s="79">
        <f t="shared" si="5"/>
        <v>75686.37754</v>
      </c>
      <c r="G16" s="79">
        <f t="shared" si="6"/>
        <v>114613.6225</v>
      </c>
      <c r="H16" s="79">
        <f t="shared" si="12"/>
        <v>190300</v>
      </c>
      <c r="I16" s="611">
        <f t="shared" si="7"/>
        <v>3084313.622</v>
      </c>
      <c r="J16" s="610">
        <v>4.0</v>
      </c>
      <c r="K16" s="591"/>
      <c r="L16" s="6"/>
      <c r="M16" s="9">
        <v>14000.0</v>
      </c>
      <c r="N16" s="79">
        <f t="shared" si="8"/>
        <v>154000</v>
      </c>
      <c r="O16" s="6">
        <f t="shared" si="1"/>
        <v>6122.377535</v>
      </c>
      <c r="P16" s="6"/>
      <c r="Q16" s="6">
        <f t="shared" si="9"/>
        <v>671.6358058</v>
      </c>
      <c r="R16" s="6">
        <f t="shared" si="10"/>
        <v>6122.377535</v>
      </c>
      <c r="S16" s="81">
        <f t="shared" si="2"/>
        <v>5.341753802</v>
      </c>
      <c r="T16" s="6"/>
      <c r="U16" s="6"/>
      <c r="V16" s="6"/>
      <c r="W16" s="6"/>
      <c r="X16" s="6"/>
      <c r="Y16" s="6"/>
    </row>
    <row r="17" ht="11.25" customHeight="1">
      <c r="A17" s="57"/>
      <c r="B17" s="48">
        <f t="shared" si="3"/>
        <v>12</v>
      </c>
      <c r="C17" s="40">
        <v>17300.0</v>
      </c>
      <c r="D17" s="90">
        <f t="shared" si="4"/>
        <v>10281.04541</v>
      </c>
      <c r="E17" s="90">
        <f t="shared" si="11"/>
        <v>7018.954592</v>
      </c>
      <c r="F17" s="90">
        <f t="shared" si="5"/>
        <v>82705.33213</v>
      </c>
      <c r="G17" s="90">
        <f t="shared" si="6"/>
        <v>124894.6679</v>
      </c>
      <c r="H17" s="90">
        <f t="shared" si="12"/>
        <v>207600</v>
      </c>
      <c r="I17" s="613">
        <f t="shared" si="7"/>
        <v>3077294.668</v>
      </c>
      <c r="J17" s="610">
        <v>4.0</v>
      </c>
      <c r="K17" s="591"/>
      <c r="L17" s="6"/>
      <c r="M17" s="9">
        <v>14000.0</v>
      </c>
      <c r="N17" s="79">
        <f t="shared" si="8"/>
        <v>168000</v>
      </c>
      <c r="O17" s="6">
        <f t="shared" si="1"/>
        <v>6817.332127</v>
      </c>
      <c r="P17" s="6"/>
      <c r="Q17" s="6">
        <f t="shared" si="9"/>
        <v>694.9545918</v>
      </c>
      <c r="R17" s="6">
        <f t="shared" si="10"/>
        <v>6817.332127</v>
      </c>
      <c r="S17" s="81">
        <f t="shared" si="2"/>
        <v>5.458465316</v>
      </c>
      <c r="T17" s="6"/>
      <c r="U17" s="6"/>
      <c r="V17" s="6"/>
      <c r="W17" s="6"/>
      <c r="X17" s="6"/>
      <c r="Y17" s="6"/>
    </row>
    <row r="18" ht="11.25" customHeight="1">
      <c r="A18" s="623">
        <v>2.0</v>
      </c>
      <c r="B18" s="39">
        <f t="shared" si="3"/>
        <v>13</v>
      </c>
      <c r="C18" s="40">
        <v>17300.0</v>
      </c>
      <c r="D18" s="79">
        <f t="shared" si="4"/>
        <v>10257.64889</v>
      </c>
      <c r="E18" s="79">
        <f t="shared" si="11"/>
        <v>7042.351107</v>
      </c>
      <c r="F18" s="79">
        <f t="shared" si="5"/>
        <v>89747.68323</v>
      </c>
      <c r="G18" s="79">
        <f t="shared" si="6"/>
        <v>135152.3168</v>
      </c>
      <c r="H18" s="79">
        <f t="shared" si="12"/>
        <v>224900</v>
      </c>
      <c r="I18" s="611">
        <f t="shared" si="7"/>
        <v>3070252.317</v>
      </c>
      <c r="J18" s="610">
        <v>4.0</v>
      </c>
      <c r="K18" s="591"/>
      <c r="L18" s="6"/>
      <c r="M18" s="9">
        <v>14000.0</v>
      </c>
      <c r="N18" s="79">
        <f t="shared" si="8"/>
        <v>182000</v>
      </c>
      <c r="O18" s="6">
        <f t="shared" si="1"/>
        <v>7535.683234</v>
      </c>
      <c r="P18" s="6"/>
      <c r="Q18" s="6">
        <f t="shared" si="9"/>
        <v>718.3511071</v>
      </c>
      <c r="R18" s="6">
        <f t="shared" si="10"/>
        <v>7535.683234</v>
      </c>
      <c r="S18" s="81">
        <f t="shared" si="2"/>
        <v>5.575696677</v>
      </c>
      <c r="T18" s="6"/>
      <c r="U18" s="6"/>
      <c r="V18" s="6"/>
      <c r="W18" s="6"/>
      <c r="X18" s="6"/>
      <c r="Y18" s="6"/>
    </row>
    <row r="19" ht="11.25" customHeight="1">
      <c r="A19" s="38"/>
      <c r="B19" s="39">
        <f t="shared" si="3"/>
        <v>14</v>
      </c>
      <c r="C19" s="40">
        <v>17300.0</v>
      </c>
      <c r="D19" s="79">
        <f t="shared" si="4"/>
        <v>10234.17439</v>
      </c>
      <c r="E19" s="79">
        <f t="shared" si="11"/>
        <v>7065.825611</v>
      </c>
      <c r="F19" s="79">
        <f t="shared" si="5"/>
        <v>96813.50885</v>
      </c>
      <c r="G19" s="79">
        <f t="shared" si="6"/>
        <v>145386.4912</v>
      </c>
      <c r="H19" s="79">
        <f t="shared" si="12"/>
        <v>242200</v>
      </c>
      <c r="I19" s="611">
        <f t="shared" si="7"/>
        <v>3063186.491</v>
      </c>
      <c r="J19" s="610">
        <v>4.0</v>
      </c>
      <c r="K19" s="591"/>
      <c r="L19" s="6"/>
      <c r="M19" s="9">
        <v>14000.0</v>
      </c>
      <c r="N19" s="79">
        <f t="shared" si="8"/>
        <v>196000</v>
      </c>
      <c r="O19" s="6">
        <f t="shared" si="1"/>
        <v>8277.508845</v>
      </c>
      <c r="P19" s="6"/>
      <c r="Q19" s="6">
        <f t="shared" si="9"/>
        <v>741.8256108</v>
      </c>
      <c r="R19" s="6">
        <f t="shared" si="10"/>
        <v>8277.508845</v>
      </c>
      <c r="S19" s="81">
        <f t="shared" si="2"/>
        <v>5.693451145</v>
      </c>
      <c r="T19" s="6"/>
      <c r="U19" s="6"/>
      <c r="V19" s="6"/>
      <c r="W19" s="6"/>
      <c r="X19" s="6"/>
      <c r="Y19" s="6"/>
    </row>
    <row r="20" ht="11.25" customHeight="1">
      <c r="A20" s="38"/>
      <c r="B20" s="39">
        <f t="shared" si="3"/>
        <v>15</v>
      </c>
      <c r="C20" s="40">
        <v>17300.0</v>
      </c>
      <c r="D20" s="79">
        <f t="shared" si="4"/>
        <v>10210.62164</v>
      </c>
      <c r="E20" s="79">
        <f t="shared" si="11"/>
        <v>7089.378363</v>
      </c>
      <c r="F20" s="79">
        <f t="shared" si="5"/>
        <v>103902.8872</v>
      </c>
      <c r="G20" s="79">
        <f t="shared" si="6"/>
        <v>155597.1128</v>
      </c>
      <c r="H20" s="79">
        <f t="shared" si="12"/>
        <v>259500</v>
      </c>
      <c r="I20" s="611">
        <f t="shared" si="7"/>
        <v>3056097.113</v>
      </c>
      <c r="J20" s="610">
        <v>4.0</v>
      </c>
      <c r="K20" s="591"/>
      <c r="L20" s="6"/>
      <c r="M20" s="9">
        <v>14000.0</v>
      </c>
      <c r="N20" s="79">
        <f t="shared" si="8"/>
        <v>210000</v>
      </c>
      <c r="O20" s="6">
        <f t="shared" si="1"/>
        <v>9042.887208</v>
      </c>
      <c r="P20" s="6"/>
      <c r="Q20" s="6">
        <f t="shared" si="9"/>
        <v>765.3783628</v>
      </c>
      <c r="R20" s="6">
        <f t="shared" si="10"/>
        <v>9042.887208</v>
      </c>
      <c r="S20" s="81">
        <f t="shared" si="2"/>
        <v>5.811732008</v>
      </c>
      <c r="T20" s="6"/>
      <c r="U20" s="6"/>
      <c r="V20" s="6"/>
      <c r="W20" s="6"/>
      <c r="X20" s="6"/>
      <c r="Y20" s="6"/>
    </row>
    <row r="21" ht="11.25" customHeight="1">
      <c r="A21" s="54">
        <v>43466.0</v>
      </c>
      <c r="B21" s="39">
        <f t="shared" si="3"/>
        <v>16</v>
      </c>
      <c r="C21" s="40">
        <v>17300.0</v>
      </c>
      <c r="D21" s="79">
        <f t="shared" si="4"/>
        <v>10186.99038</v>
      </c>
      <c r="E21" s="79">
        <f t="shared" si="11"/>
        <v>7113.009624</v>
      </c>
      <c r="F21" s="79">
        <f t="shared" si="5"/>
        <v>111015.8968</v>
      </c>
      <c r="G21" s="79">
        <f t="shared" si="6"/>
        <v>165784.1032</v>
      </c>
      <c r="H21" s="79">
        <f t="shared" si="12"/>
        <v>276800</v>
      </c>
      <c r="I21" s="611">
        <f t="shared" si="7"/>
        <v>3048984.103</v>
      </c>
      <c r="J21" s="610">
        <v>4.0</v>
      </c>
      <c r="K21" s="591"/>
      <c r="L21" s="6"/>
      <c r="M21" s="75">
        <v>15700.0</v>
      </c>
      <c r="N21" s="79">
        <f t="shared" si="8"/>
        <v>225700</v>
      </c>
      <c r="O21" s="6">
        <f t="shared" si="1"/>
        <v>11531.89683</v>
      </c>
      <c r="P21" s="6"/>
      <c r="Q21" s="6">
        <f t="shared" si="9"/>
        <v>2489.009624</v>
      </c>
      <c r="R21" s="6">
        <f t="shared" si="10"/>
        <v>11531.89683</v>
      </c>
      <c r="S21" s="81">
        <f t="shared" si="2"/>
        <v>6.955972624</v>
      </c>
      <c r="T21" s="6"/>
      <c r="U21" s="6"/>
      <c r="V21" s="6"/>
      <c r="W21" s="6"/>
      <c r="X21" s="6"/>
      <c r="Y21" s="6"/>
    </row>
    <row r="22" ht="11.25" customHeight="1">
      <c r="A22" s="38"/>
      <c r="B22" s="39">
        <f t="shared" si="3"/>
        <v>17</v>
      </c>
      <c r="C22" s="40">
        <v>17300.0</v>
      </c>
      <c r="D22" s="79">
        <f t="shared" si="4"/>
        <v>10163.28034</v>
      </c>
      <c r="E22" s="79">
        <f t="shared" si="11"/>
        <v>7136.719656</v>
      </c>
      <c r="F22" s="79">
        <f t="shared" si="5"/>
        <v>118152.6165</v>
      </c>
      <c r="G22" s="79">
        <f t="shared" si="6"/>
        <v>175947.3835</v>
      </c>
      <c r="H22" s="79">
        <f t="shared" si="12"/>
        <v>294100</v>
      </c>
      <c r="I22" s="611">
        <f t="shared" si="7"/>
        <v>3041847.384</v>
      </c>
      <c r="J22" s="610">
        <v>4.0</v>
      </c>
      <c r="K22" s="591"/>
      <c r="L22" s="6"/>
      <c r="M22" s="75">
        <v>15700.0</v>
      </c>
      <c r="N22" s="79">
        <f t="shared" si="8"/>
        <v>241400</v>
      </c>
      <c r="O22" s="6">
        <f t="shared" si="1"/>
        <v>14044.61649</v>
      </c>
      <c r="P22" s="6"/>
      <c r="Q22" s="6">
        <f t="shared" si="9"/>
        <v>2512.719656</v>
      </c>
      <c r="R22" s="6">
        <f t="shared" si="10"/>
        <v>14044.61649</v>
      </c>
      <c r="S22" s="81">
        <f t="shared" si="2"/>
        <v>7.982282093</v>
      </c>
      <c r="T22" s="6"/>
      <c r="U22" s="6"/>
      <c r="V22" s="6"/>
      <c r="W22" s="6"/>
      <c r="X22" s="6"/>
      <c r="Y22" s="6"/>
    </row>
    <row r="23" ht="11.25" customHeight="1">
      <c r="A23" s="38"/>
      <c r="B23" s="39">
        <f t="shared" si="3"/>
        <v>18</v>
      </c>
      <c r="C23" s="40">
        <v>17300.0</v>
      </c>
      <c r="D23" s="79">
        <f t="shared" si="4"/>
        <v>10139.49128</v>
      </c>
      <c r="E23" s="79">
        <f t="shared" si="11"/>
        <v>7160.508722</v>
      </c>
      <c r="F23" s="79">
        <f t="shared" si="5"/>
        <v>125313.1252</v>
      </c>
      <c r="G23" s="79">
        <f t="shared" si="6"/>
        <v>186086.8748</v>
      </c>
      <c r="H23" s="79">
        <f t="shared" si="12"/>
        <v>311400</v>
      </c>
      <c r="I23" s="611">
        <f t="shared" si="7"/>
        <v>3034686.875</v>
      </c>
      <c r="J23" s="610">
        <v>4.0</v>
      </c>
      <c r="K23" s="591"/>
      <c r="L23" s="6"/>
      <c r="M23" s="75">
        <v>15700.0</v>
      </c>
      <c r="N23" s="79">
        <f t="shared" si="8"/>
        <v>257100</v>
      </c>
      <c r="O23" s="6">
        <f t="shared" si="1"/>
        <v>16581.12521</v>
      </c>
      <c r="P23" s="6"/>
      <c r="Q23" s="6">
        <f t="shared" si="9"/>
        <v>2536.508722</v>
      </c>
      <c r="R23" s="6">
        <f t="shared" si="10"/>
        <v>16581.12521</v>
      </c>
      <c r="S23" s="81">
        <f t="shared" si="2"/>
        <v>8.910421666</v>
      </c>
      <c r="T23" s="6"/>
      <c r="U23" s="6"/>
      <c r="V23" s="6"/>
      <c r="W23" s="6"/>
      <c r="X23" s="6"/>
      <c r="Y23" s="6"/>
    </row>
    <row r="24" ht="11.25" customHeight="1">
      <c r="A24" s="38"/>
      <c r="B24" s="39">
        <f t="shared" si="3"/>
        <v>19</v>
      </c>
      <c r="C24" s="40">
        <v>17300.0</v>
      </c>
      <c r="D24" s="79">
        <f t="shared" si="4"/>
        <v>10115.62292</v>
      </c>
      <c r="E24" s="79">
        <f t="shared" si="11"/>
        <v>7184.377084</v>
      </c>
      <c r="F24" s="79">
        <f t="shared" si="5"/>
        <v>132497.5023</v>
      </c>
      <c r="G24" s="79">
        <f t="shared" si="6"/>
        <v>196202.4977</v>
      </c>
      <c r="H24" s="79">
        <f t="shared" si="12"/>
        <v>328700</v>
      </c>
      <c r="I24" s="611">
        <f t="shared" si="7"/>
        <v>3027502.498</v>
      </c>
      <c r="J24" s="610">
        <v>4.0</v>
      </c>
      <c r="K24" s="591"/>
      <c r="L24" s="6"/>
      <c r="M24" s="75">
        <v>15700.0</v>
      </c>
      <c r="N24" s="79">
        <f t="shared" si="8"/>
        <v>272800</v>
      </c>
      <c r="O24" s="6">
        <f t="shared" si="1"/>
        <v>19141.50229</v>
      </c>
      <c r="P24" s="6"/>
      <c r="Q24" s="6">
        <f t="shared" si="9"/>
        <v>2560.377084</v>
      </c>
      <c r="R24" s="6">
        <f t="shared" si="10"/>
        <v>19141.50229</v>
      </c>
      <c r="S24" s="81">
        <f t="shared" si="2"/>
        <v>9.755993179</v>
      </c>
      <c r="T24" s="6"/>
      <c r="U24" s="6"/>
      <c r="V24" s="6"/>
      <c r="W24" s="6"/>
      <c r="X24" s="6"/>
      <c r="Y24" s="6"/>
    </row>
    <row r="25" ht="11.25" customHeight="1">
      <c r="A25" s="38"/>
      <c r="B25" s="39">
        <f t="shared" si="3"/>
        <v>20</v>
      </c>
      <c r="C25" s="40">
        <v>17300.0</v>
      </c>
      <c r="D25" s="79">
        <f t="shared" si="4"/>
        <v>10091.67499</v>
      </c>
      <c r="E25" s="79">
        <f t="shared" si="11"/>
        <v>7208.325008</v>
      </c>
      <c r="F25" s="79">
        <f t="shared" si="5"/>
        <v>139705.8273</v>
      </c>
      <c r="G25" s="79">
        <f t="shared" si="6"/>
        <v>206294.1727</v>
      </c>
      <c r="H25" s="79">
        <f t="shared" si="12"/>
        <v>346000</v>
      </c>
      <c r="I25" s="611">
        <f t="shared" si="7"/>
        <v>3020294.173</v>
      </c>
      <c r="J25" s="610">
        <v>4.0</v>
      </c>
      <c r="K25" s="591"/>
      <c r="L25" s="6"/>
      <c r="M25" s="75">
        <v>15700.0</v>
      </c>
      <c r="N25" s="79">
        <f t="shared" si="8"/>
        <v>288500</v>
      </c>
      <c r="O25" s="6">
        <f t="shared" si="1"/>
        <v>21725.8273</v>
      </c>
      <c r="P25" s="6"/>
      <c r="Q25" s="6">
        <f t="shared" si="9"/>
        <v>2584.325008</v>
      </c>
      <c r="R25" s="6">
        <f t="shared" si="10"/>
        <v>21725.8273</v>
      </c>
      <c r="S25" s="81">
        <f t="shared" si="2"/>
        <v>10.53147892</v>
      </c>
      <c r="T25" s="6"/>
      <c r="U25" s="6"/>
      <c r="V25" s="6"/>
      <c r="W25" s="6"/>
      <c r="X25" s="6"/>
      <c r="Y25" s="6"/>
    </row>
    <row r="26" ht="11.25" customHeight="1">
      <c r="A26" s="38"/>
      <c r="B26" s="39">
        <f t="shared" si="3"/>
        <v>21</v>
      </c>
      <c r="C26" s="40">
        <v>17300.0</v>
      </c>
      <c r="D26" s="79">
        <f t="shared" si="4"/>
        <v>10067.64724</v>
      </c>
      <c r="E26" s="79">
        <f t="shared" si="11"/>
        <v>7232.352758</v>
      </c>
      <c r="F26" s="79">
        <f t="shared" si="5"/>
        <v>146938.1801</v>
      </c>
      <c r="G26" s="79">
        <f t="shared" si="6"/>
        <v>216361.8199</v>
      </c>
      <c r="H26" s="79">
        <f t="shared" si="12"/>
        <v>363300</v>
      </c>
      <c r="I26" s="611">
        <f t="shared" si="7"/>
        <v>3013061.82</v>
      </c>
      <c r="J26" s="610">
        <v>4.0</v>
      </c>
      <c r="K26" s="591"/>
      <c r="L26" s="6"/>
      <c r="M26" s="75">
        <v>15700.0</v>
      </c>
      <c r="N26" s="79">
        <f t="shared" si="8"/>
        <v>304200</v>
      </c>
      <c r="O26" s="6">
        <f t="shared" si="1"/>
        <v>24334.18006</v>
      </c>
      <c r="P26" s="6"/>
      <c r="Q26" s="6">
        <f t="shared" si="9"/>
        <v>2608.352758</v>
      </c>
      <c r="R26" s="6">
        <f t="shared" si="10"/>
        <v>24334.18006</v>
      </c>
      <c r="S26" s="81">
        <f t="shared" si="2"/>
        <v>11.24698436</v>
      </c>
      <c r="T26" s="6"/>
      <c r="U26" s="6"/>
      <c r="V26" s="6"/>
      <c r="W26" s="6"/>
      <c r="X26" s="6"/>
      <c r="Y26" s="6"/>
    </row>
    <row r="27" ht="11.25" customHeight="1">
      <c r="A27" s="38"/>
      <c r="B27" s="39">
        <f t="shared" si="3"/>
        <v>22</v>
      </c>
      <c r="C27" s="40">
        <v>17300.0</v>
      </c>
      <c r="D27" s="79">
        <f t="shared" si="4"/>
        <v>10043.5394</v>
      </c>
      <c r="E27" s="79">
        <f t="shared" si="11"/>
        <v>7256.4606</v>
      </c>
      <c r="F27" s="79">
        <f t="shared" si="5"/>
        <v>154194.6407</v>
      </c>
      <c r="G27" s="79">
        <f t="shared" si="6"/>
        <v>226405.3593</v>
      </c>
      <c r="H27" s="79">
        <f t="shared" si="12"/>
        <v>380600</v>
      </c>
      <c r="I27" s="611">
        <f t="shared" si="7"/>
        <v>3005805.359</v>
      </c>
      <c r="J27" s="610">
        <v>4.0</v>
      </c>
      <c r="K27" s="591"/>
      <c r="L27" s="6"/>
      <c r="M27" s="75">
        <v>15700.0</v>
      </c>
      <c r="N27" s="79">
        <f t="shared" si="8"/>
        <v>319900</v>
      </c>
      <c r="O27" s="6">
        <f t="shared" si="1"/>
        <v>26966.64066</v>
      </c>
      <c r="P27" s="6"/>
      <c r="Q27" s="6">
        <f t="shared" si="9"/>
        <v>2632.4606</v>
      </c>
      <c r="R27" s="6">
        <f t="shared" si="10"/>
        <v>26966.64066</v>
      </c>
      <c r="S27" s="81">
        <f t="shared" si="2"/>
        <v>11.91077841</v>
      </c>
      <c r="T27" s="6"/>
      <c r="U27" s="6"/>
      <c r="V27" s="6"/>
      <c r="W27" s="6"/>
      <c r="X27" s="6"/>
      <c r="Y27" s="6"/>
    </row>
    <row r="28" ht="11.25" customHeight="1">
      <c r="A28" s="38"/>
      <c r="B28" s="39">
        <f t="shared" si="3"/>
        <v>23</v>
      </c>
      <c r="C28" s="40">
        <v>17300.0</v>
      </c>
      <c r="D28" s="79">
        <f t="shared" si="4"/>
        <v>10019.3512</v>
      </c>
      <c r="E28" s="79">
        <f t="shared" si="11"/>
        <v>7280.648802</v>
      </c>
      <c r="F28" s="79">
        <f t="shared" si="5"/>
        <v>161475.2895</v>
      </c>
      <c r="G28" s="79">
        <f t="shared" si="6"/>
        <v>236424.7105</v>
      </c>
      <c r="H28" s="79">
        <f t="shared" si="12"/>
        <v>397900</v>
      </c>
      <c r="I28" s="611">
        <f t="shared" si="7"/>
        <v>2998524.711</v>
      </c>
      <c r="J28" s="610">
        <v>4.0</v>
      </c>
      <c r="K28" s="591"/>
      <c r="L28" s="6"/>
      <c r="M28" s="75">
        <v>15700.0</v>
      </c>
      <c r="N28" s="79">
        <f t="shared" si="8"/>
        <v>335600</v>
      </c>
      <c r="O28" s="6">
        <f t="shared" si="1"/>
        <v>29623.28946</v>
      </c>
      <c r="P28" s="6"/>
      <c r="Q28" s="6">
        <f t="shared" si="9"/>
        <v>2656.648802</v>
      </c>
      <c r="R28" s="6">
        <f t="shared" si="10"/>
        <v>29623.28946</v>
      </c>
      <c r="S28" s="81">
        <f t="shared" si="2"/>
        <v>12.5296926</v>
      </c>
      <c r="T28" s="6"/>
      <c r="U28" s="6"/>
      <c r="V28" s="6"/>
      <c r="W28" s="6"/>
      <c r="X28" s="6"/>
      <c r="Y28" s="6"/>
    </row>
    <row r="29" ht="11.25" customHeight="1">
      <c r="A29" s="57"/>
      <c r="B29" s="48">
        <f t="shared" si="3"/>
        <v>24</v>
      </c>
      <c r="C29" s="40">
        <v>17300.0</v>
      </c>
      <c r="D29" s="90">
        <f t="shared" si="4"/>
        <v>9370.38972</v>
      </c>
      <c r="E29" s="90">
        <f t="shared" si="11"/>
        <v>7929.61028</v>
      </c>
      <c r="F29" s="90">
        <f t="shared" si="5"/>
        <v>169404.8997</v>
      </c>
      <c r="G29" s="90">
        <f t="shared" si="6"/>
        <v>245795.1003</v>
      </c>
      <c r="H29" s="90">
        <f t="shared" si="12"/>
        <v>415200</v>
      </c>
      <c r="I29" s="613">
        <f t="shared" si="7"/>
        <v>2990595.1</v>
      </c>
      <c r="J29" s="610">
        <v>3.75</v>
      </c>
      <c r="K29" s="591"/>
      <c r="L29" s="6"/>
      <c r="M29" s="75">
        <v>15700.0</v>
      </c>
      <c r="N29" s="79">
        <f t="shared" si="8"/>
        <v>351300</v>
      </c>
      <c r="O29" s="6">
        <f t="shared" si="1"/>
        <v>32928.89974</v>
      </c>
      <c r="P29" s="6"/>
      <c r="Q29" s="6">
        <f t="shared" si="9"/>
        <v>3305.61028</v>
      </c>
      <c r="R29" s="6">
        <f t="shared" si="10"/>
        <v>32928.89974</v>
      </c>
      <c r="S29" s="81">
        <f t="shared" si="2"/>
        <v>13.39689022</v>
      </c>
      <c r="T29" s="6"/>
      <c r="U29" s="6"/>
      <c r="V29" s="6"/>
      <c r="W29" s="6"/>
      <c r="X29" s="6"/>
      <c r="Y29" s="6"/>
    </row>
    <row r="30" ht="11.25" customHeight="1">
      <c r="A30" s="623">
        <v>3.0</v>
      </c>
      <c r="B30" s="39">
        <f t="shared" si="3"/>
        <v>25</v>
      </c>
      <c r="C30" s="40">
        <v>17300.0</v>
      </c>
      <c r="D30" s="79">
        <f t="shared" si="4"/>
        <v>9345.609688</v>
      </c>
      <c r="E30" s="79">
        <f t="shared" si="11"/>
        <v>7954.390312</v>
      </c>
      <c r="F30" s="79">
        <f t="shared" si="5"/>
        <v>177359.2901</v>
      </c>
      <c r="G30" s="79">
        <f t="shared" si="6"/>
        <v>255140.7099</v>
      </c>
      <c r="H30" s="79">
        <f t="shared" si="12"/>
        <v>432500</v>
      </c>
      <c r="I30" s="611">
        <f t="shared" si="7"/>
        <v>2982640.71</v>
      </c>
      <c r="J30" s="610">
        <v>3.75</v>
      </c>
      <c r="K30" s="591"/>
      <c r="L30" s="6"/>
      <c r="M30" s="75">
        <v>15700.0</v>
      </c>
      <c r="N30" s="79">
        <f t="shared" si="8"/>
        <v>367000</v>
      </c>
      <c r="O30" s="6">
        <f t="shared" si="1"/>
        <v>36259.29005</v>
      </c>
      <c r="P30" s="6"/>
      <c r="Q30" s="6">
        <f t="shared" si="9"/>
        <v>3330.390312</v>
      </c>
      <c r="R30" s="6">
        <f t="shared" si="10"/>
        <v>36259.29005</v>
      </c>
      <c r="S30" s="81">
        <f t="shared" si="2"/>
        <v>14.21148748</v>
      </c>
      <c r="T30" s="6"/>
      <c r="U30" s="6"/>
      <c r="V30" s="6"/>
      <c r="W30" s="6"/>
      <c r="X30" s="6"/>
      <c r="Y30" s="6"/>
    </row>
    <row r="31" ht="11.25" customHeight="1">
      <c r="A31" s="38"/>
      <c r="B31" s="39">
        <f t="shared" si="3"/>
        <v>26</v>
      </c>
      <c r="C31" s="40">
        <v>17300.0</v>
      </c>
      <c r="D31" s="79">
        <f t="shared" si="4"/>
        <v>9320.752219</v>
      </c>
      <c r="E31" s="79">
        <f t="shared" si="11"/>
        <v>7979.247781</v>
      </c>
      <c r="F31" s="79">
        <f t="shared" si="5"/>
        <v>185338.5378</v>
      </c>
      <c r="G31" s="79">
        <f t="shared" si="6"/>
        <v>264461.4622</v>
      </c>
      <c r="H31" s="79">
        <f t="shared" si="12"/>
        <v>449800</v>
      </c>
      <c r="I31" s="611">
        <f t="shared" si="7"/>
        <v>2974661.462</v>
      </c>
      <c r="J31" s="610">
        <v>3.75</v>
      </c>
      <c r="K31" s="591"/>
      <c r="L31" s="6"/>
      <c r="M31" s="75">
        <v>15700.0</v>
      </c>
      <c r="N31" s="79">
        <f t="shared" si="8"/>
        <v>382700</v>
      </c>
      <c r="O31" s="6">
        <f t="shared" si="1"/>
        <v>39614.53783</v>
      </c>
      <c r="P31" s="6"/>
      <c r="Q31" s="6">
        <f t="shared" si="9"/>
        <v>3355.247781</v>
      </c>
      <c r="R31" s="6">
        <f t="shared" si="10"/>
        <v>39614.53783</v>
      </c>
      <c r="S31" s="81">
        <f t="shared" si="2"/>
        <v>14.97932346</v>
      </c>
      <c r="T31" s="6"/>
      <c r="U31" s="6"/>
      <c r="V31" s="6"/>
      <c r="W31" s="6"/>
      <c r="X31" s="6"/>
      <c r="Y31" s="6"/>
    </row>
    <row r="32" ht="11.25" customHeight="1">
      <c r="A32" s="54"/>
      <c r="B32" s="39">
        <f t="shared" si="3"/>
        <v>27</v>
      </c>
      <c r="C32" s="40">
        <v>17300.0</v>
      </c>
      <c r="D32" s="79">
        <f t="shared" si="4"/>
        <v>9295.817069</v>
      </c>
      <c r="E32" s="79">
        <f t="shared" si="11"/>
        <v>8004.182931</v>
      </c>
      <c r="F32" s="79">
        <f t="shared" si="5"/>
        <v>193342.7208</v>
      </c>
      <c r="G32" s="79">
        <f t="shared" si="6"/>
        <v>273757.2792</v>
      </c>
      <c r="H32" s="79">
        <f t="shared" si="12"/>
        <v>467100</v>
      </c>
      <c r="I32" s="611">
        <f t="shared" si="7"/>
        <v>2966657.279</v>
      </c>
      <c r="J32" s="610">
        <v>3.75</v>
      </c>
      <c r="K32" s="591"/>
      <c r="L32" s="6"/>
      <c r="M32" s="75">
        <v>15700.0</v>
      </c>
      <c r="N32" s="79">
        <f t="shared" si="8"/>
        <v>398400</v>
      </c>
      <c r="O32" s="6">
        <f t="shared" si="1"/>
        <v>42994.72076</v>
      </c>
      <c r="P32" s="6"/>
      <c r="Q32" s="6">
        <f t="shared" si="9"/>
        <v>3380.182931</v>
      </c>
      <c r="R32" s="6">
        <f t="shared" si="10"/>
        <v>42994.72076</v>
      </c>
      <c r="S32" s="81">
        <f t="shared" si="2"/>
        <v>15.70541645</v>
      </c>
      <c r="T32" s="6"/>
      <c r="U32" s="6"/>
      <c r="V32" s="6"/>
      <c r="W32" s="6"/>
      <c r="X32" s="6"/>
      <c r="Y32" s="6"/>
    </row>
    <row r="33" ht="11.25" customHeight="1">
      <c r="A33" s="54">
        <v>43831.0</v>
      </c>
      <c r="B33" s="39">
        <f t="shared" si="3"/>
        <v>28</v>
      </c>
      <c r="C33" s="40">
        <v>17300.0</v>
      </c>
      <c r="D33" s="79">
        <f t="shared" si="4"/>
        <v>9270.803998</v>
      </c>
      <c r="E33" s="79">
        <f t="shared" si="11"/>
        <v>8029.196002</v>
      </c>
      <c r="F33" s="79">
        <f t="shared" si="5"/>
        <v>201371.9168</v>
      </c>
      <c r="G33" s="79">
        <f t="shared" si="6"/>
        <v>283028.0832</v>
      </c>
      <c r="H33" s="79">
        <f t="shared" si="12"/>
        <v>484400</v>
      </c>
      <c r="I33" s="611">
        <f t="shared" si="7"/>
        <v>2958628.083</v>
      </c>
      <c r="J33" s="610">
        <v>3.75</v>
      </c>
      <c r="K33" s="591"/>
      <c r="L33" s="6"/>
      <c r="M33" s="75">
        <v>15700.0</v>
      </c>
      <c r="N33" s="79">
        <f t="shared" si="8"/>
        <v>414100</v>
      </c>
      <c r="O33" s="6">
        <f t="shared" si="1"/>
        <v>46399.91677</v>
      </c>
      <c r="P33" s="6"/>
      <c r="Q33" s="6">
        <f t="shared" si="9"/>
        <v>3405.196002</v>
      </c>
      <c r="R33" s="6">
        <f t="shared" si="10"/>
        <v>46399.91677</v>
      </c>
      <c r="S33" s="81">
        <f t="shared" si="2"/>
        <v>16.39410345</v>
      </c>
      <c r="T33" s="6"/>
      <c r="U33" s="6"/>
      <c r="V33" s="6"/>
      <c r="W33" s="6"/>
      <c r="X33" s="6"/>
      <c r="Y33" s="6"/>
    </row>
    <row r="34" ht="11.25" customHeight="1">
      <c r="A34" s="38"/>
      <c r="B34" s="39">
        <f t="shared" si="3"/>
        <v>29</v>
      </c>
      <c r="C34" s="40">
        <v>17300.0</v>
      </c>
      <c r="D34" s="79">
        <f t="shared" si="4"/>
        <v>8629.331909</v>
      </c>
      <c r="E34" s="79">
        <f t="shared" si="11"/>
        <v>8670.668091</v>
      </c>
      <c r="F34" s="79">
        <f t="shared" si="5"/>
        <v>210042.5849</v>
      </c>
      <c r="G34" s="79">
        <f t="shared" si="6"/>
        <v>291657.4151</v>
      </c>
      <c r="H34" s="79">
        <f t="shared" si="12"/>
        <v>501700</v>
      </c>
      <c r="I34" s="611">
        <f t="shared" si="7"/>
        <v>2949957.415</v>
      </c>
      <c r="J34" s="610">
        <v>3.5</v>
      </c>
      <c r="K34" s="591"/>
      <c r="L34" s="6"/>
      <c r="M34" s="75">
        <v>15700.0</v>
      </c>
      <c r="N34" s="79">
        <f t="shared" si="8"/>
        <v>429800</v>
      </c>
      <c r="O34" s="6">
        <f t="shared" si="1"/>
        <v>50446.58486</v>
      </c>
      <c r="P34" s="6"/>
      <c r="Q34" s="6">
        <f t="shared" si="9"/>
        <v>4046.668091</v>
      </c>
      <c r="R34" s="6">
        <f t="shared" si="10"/>
        <v>50446.58486</v>
      </c>
      <c r="S34" s="81">
        <f t="shared" si="2"/>
        <v>17.29652059</v>
      </c>
      <c r="T34" s="6"/>
      <c r="U34" s="6"/>
      <c r="V34" s="6"/>
      <c r="W34" s="6"/>
      <c r="X34" s="6"/>
      <c r="Y34" s="6"/>
    </row>
    <row r="35" ht="11.25" customHeight="1">
      <c r="A35" s="38"/>
      <c r="B35" s="39">
        <f t="shared" si="3"/>
        <v>30</v>
      </c>
      <c r="C35" s="40">
        <v>17300.0</v>
      </c>
      <c r="D35" s="79">
        <f t="shared" si="4"/>
        <v>8604.042461</v>
      </c>
      <c r="E35" s="79">
        <f t="shared" si="11"/>
        <v>8695.957539</v>
      </c>
      <c r="F35" s="79">
        <f t="shared" si="5"/>
        <v>218738.5424</v>
      </c>
      <c r="G35" s="79">
        <f t="shared" si="6"/>
        <v>300261.4576</v>
      </c>
      <c r="H35" s="79">
        <f t="shared" si="12"/>
        <v>519000</v>
      </c>
      <c r="I35" s="611">
        <f t="shared" si="7"/>
        <v>2941261.458</v>
      </c>
      <c r="J35" s="610">
        <v>3.5</v>
      </c>
      <c r="K35" s="591"/>
      <c r="L35" s="6"/>
      <c r="M35" s="75">
        <v>15700.0</v>
      </c>
      <c r="N35" s="79">
        <f t="shared" si="8"/>
        <v>445500</v>
      </c>
      <c r="O35" s="6">
        <f t="shared" si="1"/>
        <v>54518.5424</v>
      </c>
      <c r="P35" s="6"/>
      <c r="Q35" s="6">
        <f t="shared" si="9"/>
        <v>4071.957539</v>
      </c>
      <c r="R35" s="6">
        <f t="shared" si="10"/>
        <v>54518.5424</v>
      </c>
      <c r="S35" s="81">
        <f t="shared" si="2"/>
        <v>18.15702316</v>
      </c>
      <c r="T35" s="6"/>
      <c r="U35" s="6"/>
      <c r="V35" s="6"/>
      <c r="W35" s="6"/>
      <c r="X35" s="6"/>
      <c r="Y35" s="6"/>
    </row>
    <row r="36" ht="11.25" customHeight="1">
      <c r="A36" s="38"/>
      <c r="B36" s="39">
        <f t="shared" si="3"/>
        <v>31</v>
      </c>
      <c r="C36" s="40">
        <v>17300.0</v>
      </c>
      <c r="D36" s="79">
        <f t="shared" si="4"/>
        <v>7598.258765</v>
      </c>
      <c r="E36" s="79">
        <f t="shared" si="11"/>
        <v>9701.741235</v>
      </c>
      <c r="F36" s="79">
        <f t="shared" si="5"/>
        <v>228440.2836</v>
      </c>
      <c r="G36" s="79">
        <f t="shared" si="6"/>
        <v>307859.7164</v>
      </c>
      <c r="H36" s="79">
        <f t="shared" si="12"/>
        <v>536300</v>
      </c>
      <c r="I36" s="611">
        <f t="shared" si="7"/>
        <v>2931559.716</v>
      </c>
      <c r="J36" s="610">
        <v>3.1</v>
      </c>
      <c r="K36" s="591"/>
      <c r="L36" s="6"/>
      <c r="M36" s="75">
        <v>15700.0</v>
      </c>
      <c r="N36" s="79">
        <f t="shared" si="8"/>
        <v>461200</v>
      </c>
      <c r="O36" s="6">
        <f t="shared" si="1"/>
        <v>59596.28363</v>
      </c>
      <c r="P36" s="6"/>
      <c r="Q36" s="6">
        <f t="shared" si="9"/>
        <v>5077.741235</v>
      </c>
      <c r="R36" s="6">
        <f t="shared" si="10"/>
        <v>59596.28363</v>
      </c>
      <c r="S36" s="81">
        <f t="shared" si="2"/>
        <v>19.35825977</v>
      </c>
      <c r="T36" s="6"/>
      <c r="U36" s="6"/>
      <c r="V36" s="6"/>
      <c r="W36" s="6"/>
      <c r="X36" s="6"/>
      <c r="Y36" s="6"/>
    </row>
    <row r="37" ht="11.25" customHeight="1">
      <c r="A37" s="38"/>
      <c r="B37" s="39">
        <f t="shared" si="3"/>
        <v>32</v>
      </c>
      <c r="C37" s="40">
        <v>17300.0</v>
      </c>
      <c r="D37" s="79">
        <f t="shared" si="4"/>
        <v>6962.454326</v>
      </c>
      <c r="E37" s="79">
        <f t="shared" si="11"/>
        <v>10337.54567</v>
      </c>
      <c r="F37" s="79">
        <f t="shared" si="5"/>
        <v>238777.8293</v>
      </c>
      <c r="G37" s="79">
        <f t="shared" si="6"/>
        <v>314822.1707</v>
      </c>
      <c r="H37" s="79">
        <f t="shared" si="12"/>
        <v>553600</v>
      </c>
      <c r="I37" s="611">
        <f t="shared" si="7"/>
        <v>2921222.171</v>
      </c>
      <c r="J37" s="610">
        <v>2.85</v>
      </c>
      <c r="K37" s="591"/>
      <c r="L37" s="6"/>
      <c r="M37" s="75">
        <v>15700.0</v>
      </c>
      <c r="N37" s="79">
        <f t="shared" si="8"/>
        <v>476900</v>
      </c>
      <c r="O37" s="6">
        <f t="shared" si="1"/>
        <v>65309.82931</v>
      </c>
      <c r="P37" s="6"/>
      <c r="Q37" s="6">
        <f t="shared" si="9"/>
        <v>5713.545674</v>
      </c>
      <c r="R37" s="6">
        <f t="shared" si="10"/>
        <v>65309.82931</v>
      </c>
      <c r="S37" s="81">
        <f t="shared" si="2"/>
        <v>20.74499047</v>
      </c>
      <c r="T37" s="6"/>
      <c r="U37" s="6"/>
      <c r="V37" s="6"/>
      <c r="W37" s="6"/>
      <c r="X37" s="6"/>
      <c r="Y37" s="6"/>
    </row>
    <row r="38" ht="11.25" customHeight="1">
      <c r="A38" s="38"/>
      <c r="B38" s="39">
        <f t="shared" si="3"/>
        <v>33</v>
      </c>
      <c r="C38" s="40">
        <v>17300.0</v>
      </c>
      <c r="D38" s="79">
        <f t="shared" si="4"/>
        <v>6937.902655</v>
      </c>
      <c r="E38" s="79">
        <f t="shared" si="11"/>
        <v>10362.09734</v>
      </c>
      <c r="F38" s="79">
        <f t="shared" si="5"/>
        <v>249139.9266</v>
      </c>
      <c r="G38" s="79">
        <f t="shared" si="6"/>
        <v>321760.0734</v>
      </c>
      <c r="H38" s="79">
        <f t="shared" si="12"/>
        <v>570900</v>
      </c>
      <c r="I38" s="611">
        <f t="shared" si="7"/>
        <v>2910860.073</v>
      </c>
      <c r="J38" s="610">
        <v>2.85</v>
      </c>
      <c r="K38" s="591"/>
      <c r="L38" s="6"/>
      <c r="M38" s="9">
        <v>12500.0</v>
      </c>
      <c r="N38" s="79">
        <f t="shared" si="8"/>
        <v>489400</v>
      </c>
      <c r="O38" s="6">
        <f t="shared" si="1"/>
        <v>67847.92665</v>
      </c>
      <c r="P38" s="6"/>
      <c r="Q38" s="6">
        <f t="shared" si="9"/>
        <v>2538.097345</v>
      </c>
      <c r="R38" s="6">
        <f t="shared" si="10"/>
        <v>67847.92665</v>
      </c>
      <c r="S38" s="81">
        <f t="shared" si="2"/>
        <v>21.08649651</v>
      </c>
      <c r="T38" s="6"/>
      <c r="U38" s="6"/>
      <c r="V38" s="6"/>
      <c r="W38" s="6"/>
      <c r="X38" s="6"/>
      <c r="Y38" s="6"/>
    </row>
    <row r="39" ht="11.25" customHeight="1">
      <c r="A39" s="38"/>
      <c r="B39" s="39">
        <f t="shared" si="3"/>
        <v>34</v>
      </c>
      <c r="C39" s="40">
        <v>17300.0</v>
      </c>
      <c r="D39" s="79">
        <f t="shared" si="4"/>
        <v>6913.292674</v>
      </c>
      <c r="E39" s="79">
        <f t="shared" si="11"/>
        <v>10386.70733</v>
      </c>
      <c r="F39" s="79">
        <f t="shared" si="5"/>
        <v>259526.634</v>
      </c>
      <c r="G39" s="79">
        <f t="shared" si="6"/>
        <v>328673.366</v>
      </c>
      <c r="H39" s="79">
        <f t="shared" si="12"/>
        <v>588200</v>
      </c>
      <c r="I39" s="611">
        <f t="shared" si="7"/>
        <v>2900473.366</v>
      </c>
      <c r="J39" s="610">
        <v>2.85</v>
      </c>
      <c r="K39" s="591"/>
      <c r="L39" s="6"/>
      <c r="M39" s="9">
        <v>12500.0</v>
      </c>
      <c r="N39" s="79">
        <f t="shared" si="8"/>
        <v>501900</v>
      </c>
      <c r="O39" s="6">
        <f t="shared" si="1"/>
        <v>70410.63398</v>
      </c>
      <c r="P39" s="6"/>
      <c r="Q39" s="6">
        <f t="shared" si="9"/>
        <v>2562.707326</v>
      </c>
      <c r="R39" s="6">
        <f t="shared" si="10"/>
        <v>70410.63398</v>
      </c>
      <c r="S39" s="81">
        <f t="shared" si="2"/>
        <v>21.42267712</v>
      </c>
      <c r="T39" s="6"/>
      <c r="U39" s="6"/>
      <c r="V39" s="6"/>
      <c r="W39" s="6"/>
      <c r="X39" s="6"/>
      <c r="Y39" s="6"/>
    </row>
    <row r="40" ht="11.25" customHeight="1">
      <c r="A40" s="38"/>
      <c r="B40" s="39">
        <f t="shared" si="3"/>
        <v>35</v>
      </c>
      <c r="C40" s="40">
        <v>17300.0</v>
      </c>
      <c r="D40" s="79">
        <f t="shared" si="4"/>
        <v>6888.624244</v>
      </c>
      <c r="E40" s="79">
        <f t="shared" si="11"/>
        <v>10411.37576</v>
      </c>
      <c r="F40" s="79">
        <f t="shared" si="5"/>
        <v>269938.0097</v>
      </c>
      <c r="G40" s="79">
        <f t="shared" si="6"/>
        <v>335561.9903</v>
      </c>
      <c r="H40" s="79">
        <f t="shared" si="12"/>
        <v>605500</v>
      </c>
      <c r="I40" s="611">
        <f t="shared" si="7"/>
        <v>2890061.99</v>
      </c>
      <c r="J40" s="610">
        <v>2.85</v>
      </c>
      <c r="K40" s="591"/>
      <c r="L40" s="6"/>
      <c r="M40" s="9">
        <v>12500.0</v>
      </c>
      <c r="N40" s="79">
        <f t="shared" si="8"/>
        <v>514400</v>
      </c>
      <c r="O40" s="6">
        <f t="shared" si="1"/>
        <v>72998.00973</v>
      </c>
      <c r="P40" s="6"/>
      <c r="Q40" s="6">
        <f t="shared" si="9"/>
        <v>2587.375756</v>
      </c>
      <c r="R40" s="6">
        <f t="shared" si="10"/>
        <v>72998.00973</v>
      </c>
      <c r="S40" s="81">
        <f t="shared" si="2"/>
        <v>21.7539566</v>
      </c>
      <c r="T40" s="6"/>
      <c r="U40" s="6"/>
      <c r="V40" s="6"/>
      <c r="W40" s="6"/>
      <c r="X40" s="6"/>
      <c r="Y40" s="6"/>
    </row>
    <row r="41" ht="11.25" customHeight="1">
      <c r="A41" s="57"/>
      <c r="B41" s="48">
        <f t="shared" si="3"/>
        <v>36</v>
      </c>
      <c r="C41" s="40">
        <v>17300.0</v>
      </c>
      <c r="D41" s="90">
        <f t="shared" si="4"/>
        <v>6863.897227</v>
      </c>
      <c r="E41" s="90">
        <f t="shared" si="11"/>
        <v>10436.10277</v>
      </c>
      <c r="F41" s="90">
        <f t="shared" si="5"/>
        <v>280374.1125</v>
      </c>
      <c r="G41" s="90">
        <f t="shared" si="6"/>
        <v>342425.8875</v>
      </c>
      <c r="H41" s="90">
        <f t="shared" si="12"/>
        <v>622800</v>
      </c>
      <c r="I41" s="613">
        <f t="shared" si="7"/>
        <v>2879625.887</v>
      </c>
      <c r="J41" s="610">
        <v>2.85</v>
      </c>
      <c r="K41" s="591"/>
      <c r="L41" s="6"/>
      <c r="M41" s="9">
        <v>12500.0</v>
      </c>
      <c r="N41" s="79">
        <f t="shared" si="8"/>
        <v>526900</v>
      </c>
      <c r="O41" s="6">
        <f t="shared" si="1"/>
        <v>75610.1125</v>
      </c>
      <c r="P41" s="6"/>
      <c r="Q41" s="6">
        <f t="shared" si="9"/>
        <v>2612.102773</v>
      </c>
      <c r="R41" s="6">
        <f t="shared" si="10"/>
        <v>75610.1125</v>
      </c>
      <c r="S41" s="81">
        <f t="shared" si="2"/>
        <v>22.08072324</v>
      </c>
      <c r="T41" s="6"/>
      <c r="U41" s="6"/>
      <c r="V41" s="6"/>
      <c r="W41" s="6"/>
      <c r="X41" s="6"/>
      <c r="Y41" s="6"/>
    </row>
    <row r="42" ht="11.25" customHeight="1">
      <c r="A42" s="623">
        <v>4.0</v>
      </c>
      <c r="B42" s="39">
        <f t="shared" si="3"/>
        <v>37</v>
      </c>
      <c r="C42" s="40">
        <v>17300.0</v>
      </c>
      <c r="D42" s="79">
        <f t="shared" si="4"/>
        <v>6839.111483</v>
      </c>
      <c r="E42" s="79">
        <f t="shared" si="11"/>
        <v>10460.88852</v>
      </c>
      <c r="F42" s="79">
        <f t="shared" si="5"/>
        <v>290835.001</v>
      </c>
      <c r="G42" s="79">
        <f t="shared" si="6"/>
        <v>349264.999</v>
      </c>
      <c r="H42" s="79">
        <f t="shared" si="12"/>
        <v>640100</v>
      </c>
      <c r="I42" s="611">
        <f t="shared" si="7"/>
        <v>2869164.999</v>
      </c>
      <c r="J42" s="610">
        <v>2.85</v>
      </c>
      <c r="K42" s="591"/>
      <c r="L42" s="6"/>
      <c r="M42" s="9">
        <v>12500.0</v>
      </c>
      <c r="N42" s="79">
        <f t="shared" si="8"/>
        <v>539400</v>
      </c>
      <c r="O42" s="6">
        <f t="shared" si="1"/>
        <v>78247.00102</v>
      </c>
      <c r="P42" s="6"/>
      <c r="Q42" s="6">
        <f t="shared" si="9"/>
        <v>2636.888517</v>
      </c>
      <c r="R42" s="6">
        <f t="shared" si="10"/>
        <v>78247.00102</v>
      </c>
      <c r="S42" s="81">
        <f t="shared" si="2"/>
        <v>22.40333307</v>
      </c>
      <c r="T42" s="6"/>
      <c r="U42" s="6"/>
      <c r="V42" s="6"/>
      <c r="W42" s="6"/>
      <c r="X42" s="6"/>
      <c r="Y42" s="6"/>
    </row>
    <row r="43" ht="11.25" customHeight="1">
      <c r="A43" s="38"/>
      <c r="B43" s="39">
        <f t="shared" si="3"/>
        <v>38</v>
      </c>
      <c r="C43" s="40">
        <v>17300.0</v>
      </c>
      <c r="D43" s="79">
        <f t="shared" si="4"/>
        <v>6814.266873</v>
      </c>
      <c r="E43" s="79">
        <f t="shared" si="11"/>
        <v>10485.73313</v>
      </c>
      <c r="F43" s="79">
        <f t="shared" si="5"/>
        <v>301320.7341</v>
      </c>
      <c r="G43" s="79">
        <f t="shared" si="6"/>
        <v>356079.2659</v>
      </c>
      <c r="H43" s="79">
        <f t="shared" si="12"/>
        <v>657400</v>
      </c>
      <c r="I43" s="611">
        <f t="shared" si="7"/>
        <v>2858679.266</v>
      </c>
      <c r="J43" s="610">
        <v>2.85</v>
      </c>
      <c r="K43" s="591"/>
      <c r="L43" s="6"/>
      <c r="M43" s="9">
        <v>12500.0</v>
      </c>
      <c r="N43" s="79">
        <f t="shared" si="8"/>
        <v>551900</v>
      </c>
      <c r="O43" s="6">
        <f t="shared" si="1"/>
        <v>80908.73415</v>
      </c>
      <c r="P43" s="6"/>
      <c r="Q43" s="6">
        <f t="shared" si="9"/>
        <v>2661.733127</v>
      </c>
      <c r="R43" s="6">
        <f t="shared" si="10"/>
        <v>80908.73415</v>
      </c>
      <c r="S43" s="81">
        <f t="shared" si="2"/>
        <v>22.72211328</v>
      </c>
      <c r="T43" s="6"/>
      <c r="U43" s="6"/>
      <c r="V43" s="6"/>
      <c r="W43" s="6"/>
      <c r="X43" s="6"/>
      <c r="Y43" s="6"/>
    </row>
    <row r="44" ht="11.25" customHeight="1">
      <c r="A44" s="54"/>
      <c r="B44" s="39">
        <f t="shared" si="3"/>
        <v>39</v>
      </c>
      <c r="C44" s="40">
        <v>17300.0</v>
      </c>
      <c r="D44" s="79">
        <f t="shared" si="4"/>
        <v>7265.809801</v>
      </c>
      <c r="E44" s="79">
        <f t="shared" si="11"/>
        <v>10034.1902</v>
      </c>
      <c r="F44" s="79">
        <f t="shared" si="5"/>
        <v>311354.9243</v>
      </c>
      <c r="G44" s="79">
        <f t="shared" si="6"/>
        <v>363345.0757</v>
      </c>
      <c r="H44" s="79">
        <f t="shared" si="12"/>
        <v>674700</v>
      </c>
      <c r="I44" s="611">
        <f t="shared" si="7"/>
        <v>2848645.076</v>
      </c>
      <c r="J44" s="610">
        <v>3.05</v>
      </c>
      <c r="K44" s="591"/>
      <c r="L44" s="6"/>
      <c r="M44" s="9">
        <v>12500.0</v>
      </c>
      <c r="N44" s="79">
        <f t="shared" si="8"/>
        <v>564400</v>
      </c>
      <c r="O44" s="6">
        <f t="shared" si="1"/>
        <v>83118.92435</v>
      </c>
      <c r="P44" s="6"/>
      <c r="Q44" s="6">
        <f t="shared" si="9"/>
        <v>2210.190199</v>
      </c>
      <c r="R44" s="6">
        <f t="shared" si="10"/>
        <v>83118.92435</v>
      </c>
      <c r="S44" s="81">
        <f t="shared" si="2"/>
        <v>22.87602885</v>
      </c>
      <c r="T44" s="6"/>
      <c r="U44" s="6"/>
      <c r="V44" s="6"/>
      <c r="W44" s="6"/>
      <c r="X44" s="6"/>
      <c r="Y44" s="6"/>
    </row>
    <row r="45" ht="11.25" customHeight="1">
      <c r="A45" s="54">
        <v>44197.0</v>
      </c>
      <c r="B45" s="39">
        <f t="shared" si="3"/>
        <v>40</v>
      </c>
      <c r="C45" s="40">
        <v>17300.0</v>
      </c>
      <c r="D45" s="79">
        <f t="shared" si="4"/>
        <v>8189.854592</v>
      </c>
      <c r="E45" s="79">
        <f t="shared" si="11"/>
        <v>9110.145408</v>
      </c>
      <c r="F45" s="79">
        <f t="shared" si="5"/>
        <v>320465.0698</v>
      </c>
      <c r="G45" s="79">
        <f t="shared" si="6"/>
        <v>371534.9302</v>
      </c>
      <c r="H45" s="79">
        <f t="shared" si="12"/>
        <v>692000</v>
      </c>
      <c r="I45" s="611">
        <f t="shared" si="7"/>
        <v>2839534.93</v>
      </c>
      <c r="J45" s="610">
        <v>3.45</v>
      </c>
      <c r="K45" s="591"/>
      <c r="L45" s="6"/>
      <c r="M45" s="75">
        <v>12500.0</v>
      </c>
      <c r="N45" s="79">
        <f t="shared" si="8"/>
        <v>576900</v>
      </c>
      <c r="O45" s="6">
        <f t="shared" si="1"/>
        <v>84405.06976</v>
      </c>
      <c r="P45" s="6"/>
      <c r="Q45" s="6">
        <f t="shared" si="9"/>
        <v>1286.145408</v>
      </c>
      <c r="R45" s="6">
        <f t="shared" si="10"/>
        <v>84405.06976</v>
      </c>
      <c r="S45" s="81">
        <f t="shared" si="2"/>
        <v>22.71793656</v>
      </c>
      <c r="T45" s="6"/>
      <c r="U45" s="6"/>
      <c r="V45" s="6"/>
      <c r="W45" s="6"/>
      <c r="X45" s="6"/>
      <c r="Y45" s="6"/>
    </row>
    <row r="46" ht="11.25" customHeight="1">
      <c r="A46" s="38"/>
      <c r="B46" s="39">
        <f t="shared" si="3"/>
        <v>41</v>
      </c>
      <c r="C46" s="40">
        <v>17300.0</v>
      </c>
      <c r="D46" s="79">
        <f t="shared" si="4"/>
        <v>8518.604791</v>
      </c>
      <c r="E46" s="79">
        <f t="shared" si="11"/>
        <v>8781.395209</v>
      </c>
      <c r="F46" s="79">
        <f t="shared" si="5"/>
        <v>329246.465</v>
      </c>
      <c r="G46" s="79">
        <f t="shared" si="6"/>
        <v>380053.535</v>
      </c>
      <c r="H46" s="79">
        <f t="shared" si="12"/>
        <v>709300</v>
      </c>
      <c r="I46" s="611">
        <f t="shared" si="7"/>
        <v>2830753.535</v>
      </c>
      <c r="J46" s="610">
        <v>3.6</v>
      </c>
      <c r="K46" s="591"/>
      <c r="L46" s="6"/>
      <c r="M46" s="75">
        <v>12500.0</v>
      </c>
      <c r="N46" s="79">
        <f t="shared" si="8"/>
        <v>589400</v>
      </c>
      <c r="O46" s="6">
        <f t="shared" si="1"/>
        <v>85362.46496</v>
      </c>
      <c r="P46" s="6"/>
      <c r="Q46" s="6">
        <f t="shared" si="9"/>
        <v>957.3952093</v>
      </c>
      <c r="R46" s="6">
        <f t="shared" si="10"/>
        <v>85362.46496</v>
      </c>
      <c r="S46" s="81">
        <f t="shared" si="2"/>
        <v>22.46064228</v>
      </c>
      <c r="T46" s="6"/>
      <c r="U46" s="6"/>
      <c r="V46" s="6"/>
      <c r="W46" s="6"/>
      <c r="X46" s="6"/>
      <c r="Y46" s="6"/>
    </row>
    <row r="47" ht="11.25" customHeight="1">
      <c r="A47" s="38"/>
      <c r="B47" s="39">
        <f t="shared" si="3"/>
        <v>42</v>
      </c>
      <c r="C47" s="40">
        <v>17300.0</v>
      </c>
      <c r="D47" s="79">
        <f t="shared" si="4"/>
        <v>8492.260605</v>
      </c>
      <c r="E47" s="79">
        <f t="shared" si="11"/>
        <v>8807.739395</v>
      </c>
      <c r="F47" s="79">
        <f t="shared" si="5"/>
        <v>338054.2044</v>
      </c>
      <c r="G47" s="79">
        <f t="shared" si="6"/>
        <v>388545.7956</v>
      </c>
      <c r="H47" s="79">
        <f t="shared" si="12"/>
        <v>726600</v>
      </c>
      <c r="I47" s="611">
        <f t="shared" si="7"/>
        <v>2821945.796</v>
      </c>
      <c r="J47" s="610">
        <v>3.6</v>
      </c>
      <c r="K47" s="591"/>
      <c r="L47" s="6"/>
      <c r="M47" s="75">
        <v>12500.0</v>
      </c>
      <c r="N47" s="79">
        <f t="shared" si="8"/>
        <v>601900</v>
      </c>
      <c r="O47" s="6">
        <f t="shared" si="1"/>
        <v>86346.20436</v>
      </c>
      <c r="P47" s="6"/>
      <c r="Q47" s="6">
        <f t="shared" si="9"/>
        <v>983.7393949</v>
      </c>
      <c r="R47" s="6">
        <f t="shared" si="10"/>
        <v>86346.20436</v>
      </c>
      <c r="S47" s="81">
        <f t="shared" si="2"/>
        <v>22.22291563</v>
      </c>
      <c r="T47" s="6"/>
      <c r="U47" s="6"/>
      <c r="V47" s="6"/>
      <c r="W47" s="6"/>
      <c r="X47" s="6"/>
      <c r="Y47" s="6"/>
    </row>
    <row r="48" ht="11.25" customHeight="1">
      <c r="A48" s="38"/>
      <c r="B48" s="39">
        <f t="shared" si="3"/>
        <v>43</v>
      </c>
      <c r="C48" s="40">
        <v>17300.0</v>
      </c>
      <c r="D48" s="79">
        <f t="shared" si="4"/>
        <v>8700.999537</v>
      </c>
      <c r="E48" s="79">
        <f t="shared" si="11"/>
        <v>8599.000463</v>
      </c>
      <c r="F48" s="79">
        <f t="shared" si="5"/>
        <v>346653.2048</v>
      </c>
      <c r="G48" s="79">
        <f t="shared" si="6"/>
        <v>397246.7952</v>
      </c>
      <c r="H48" s="79">
        <f t="shared" si="12"/>
        <v>743900</v>
      </c>
      <c r="I48" s="611">
        <f t="shared" si="7"/>
        <v>2813346.795</v>
      </c>
      <c r="J48" s="610">
        <v>3.7</v>
      </c>
      <c r="K48" s="591"/>
      <c r="L48" s="6"/>
      <c r="M48" s="75">
        <v>12500.0</v>
      </c>
      <c r="N48" s="79">
        <f t="shared" si="8"/>
        <v>614400</v>
      </c>
      <c r="O48" s="6">
        <f t="shared" si="1"/>
        <v>87121.20482</v>
      </c>
      <c r="P48" s="6"/>
      <c r="Q48" s="6">
        <f t="shared" si="9"/>
        <v>775.0004634</v>
      </c>
      <c r="R48" s="6">
        <f t="shared" si="10"/>
        <v>87121.20482</v>
      </c>
      <c r="S48" s="81">
        <f t="shared" si="2"/>
        <v>21.93125429</v>
      </c>
      <c r="T48" s="6"/>
      <c r="U48" s="6"/>
      <c r="V48" s="6"/>
      <c r="W48" s="6"/>
      <c r="X48" s="6"/>
      <c r="Y48" s="6"/>
    </row>
    <row r="49" ht="11.25" customHeight="1">
      <c r="A49" s="38"/>
      <c r="B49" s="39">
        <f t="shared" si="3"/>
        <v>44</v>
      </c>
      <c r="C49" s="40">
        <v>17300.0</v>
      </c>
      <c r="D49" s="79">
        <f t="shared" si="4"/>
        <v>8674.485952</v>
      </c>
      <c r="E49" s="79">
        <f t="shared" si="11"/>
        <v>8625.514048</v>
      </c>
      <c r="F49" s="79">
        <f t="shared" si="5"/>
        <v>355278.7189</v>
      </c>
      <c r="G49" s="79">
        <f t="shared" si="6"/>
        <v>405921.2811</v>
      </c>
      <c r="H49" s="79">
        <f t="shared" si="12"/>
        <v>761200</v>
      </c>
      <c r="I49" s="611">
        <f t="shared" si="7"/>
        <v>2804721.281</v>
      </c>
      <c r="J49" s="610">
        <v>3.7</v>
      </c>
      <c r="K49" s="591"/>
      <c r="L49" s="6"/>
      <c r="M49" s="75">
        <v>12500.0</v>
      </c>
      <c r="N49" s="79">
        <f t="shared" si="8"/>
        <v>626900</v>
      </c>
      <c r="O49" s="6">
        <f t="shared" si="1"/>
        <v>87922.71887</v>
      </c>
      <c r="P49" s="6"/>
      <c r="Q49" s="6">
        <f t="shared" si="9"/>
        <v>801.5140482</v>
      </c>
      <c r="R49" s="6">
        <f t="shared" si="10"/>
        <v>87922.71887</v>
      </c>
      <c r="S49" s="81">
        <f t="shared" si="2"/>
        <v>21.66004173</v>
      </c>
      <c r="T49" s="6"/>
      <c r="U49" s="6"/>
      <c r="V49" s="6"/>
      <c r="W49" s="6"/>
      <c r="X49" s="6"/>
      <c r="Y49" s="6"/>
    </row>
    <row r="50" ht="11.25" customHeight="1">
      <c r="A50" s="38"/>
      <c r="B50" s="39">
        <f t="shared" si="3"/>
        <v>45</v>
      </c>
      <c r="C50" s="40">
        <v>17300.0</v>
      </c>
      <c r="D50" s="79">
        <f t="shared" si="4"/>
        <v>9232.20755</v>
      </c>
      <c r="E50" s="79">
        <f t="shared" si="11"/>
        <v>8067.79245</v>
      </c>
      <c r="F50" s="79">
        <f t="shared" si="5"/>
        <v>363346.5113</v>
      </c>
      <c r="G50" s="79">
        <f t="shared" si="6"/>
        <v>415153.4887</v>
      </c>
      <c r="H50" s="79">
        <f t="shared" si="12"/>
        <v>778500</v>
      </c>
      <c r="I50" s="611">
        <f t="shared" si="7"/>
        <v>2796653.489</v>
      </c>
      <c r="J50" s="610">
        <v>3.95</v>
      </c>
      <c r="K50" s="591"/>
      <c r="L50" s="6"/>
      <c r="M50" s="75">
        <v>12500.0</v>
      </c>
      <c r="N50" s="79">
        <f t="shared" si="8"/>
        <v>639400</v>
      </c>
      <c r="O50" s="6">
        <f t="shared" si="1"/>
        <v>88166.51132</v>
      </c>
      <c r="P50" s="6"/>
      <c r="Q50" s="6">
        <f t="shared" si="9"/>
        <v>243.7924496</v>
      </c>
      <c r="R50" s="6">
        <f t="shared" si="10"/>
        <v>88166.51132</v>
      </c>
      <c r="S50" s="81">
        <f t="shared" si="2"/>
        <v>21.2370879</v>
      </c>
      <c r="T50" s="6"/>
      <c r="U50" s="6"/>
      <c r="V50" s="6"/>
      <c r="W50" s="6"/>
      <c r="X50" s="6"/>
      <c r="Y50" s="6"/>
    </row>
    <row r="51" ht="11.25" customHeight="1">
      <c r="A51" s="38"/>
      <c r="B51" s="39">
        <f t="shared" si="3"/>
        <v>46</v>
      </c>
      <c r="C51" s="40">
        <v>17300.0</v>
      </c>
      <c r="D51" s="79">
        <f t="shared" si="4"/>
        <v>9205.651067</v>
      </c>
      <c r="E51" s="79">
        <f t="shared" si="11"/>
        <v>8094.348933</v>
      </c>
      <c r="F51" s="79">
        <f t="shared" si="5"/>
        <v>371440.8603</v>
      </c>
      <c r="G51" s="79">
        <f t="shared" si="6"/>
        <v>424359.1397</v>
      </c>
      <c r="H51" s="79">
        <f t="shared" si="12"/>
        <v>795800</v>
      </c>
      <c r="I51" s="614">
        <f t="shared" si="7"/>
        <v>2788559.14</v>
      </c>
      <c r="J51" s="610">
        <v>3.95</v>
      </c>
      <c r="K51" s="591"/>
      <c r="L51" s="6"/>
      <c r="M51" s="9">
        <v>12500.0</v>
      </c>
      <c r="N51" s="79">
        <f t="shared" si="8"/>
        <v>651900</v>
      </c>
      <c r="O51" s="6">
        <f t="shared" si="1"/>
        <v>88436.86025</v>
      </c>
      <c r="P51" s="6"/>
      <c r="Q51" s="6">
        <f t="shared" si="9"/>
        <v>270.3489331</v>
      </c>
      <c r="R51" s="6">
        <f t="shared" si="10"/>
        <v>88436.86025</v>
      </c>
      <c r="S51" s="81">
        <f t="shared" si="2"/>
        <v>20.84009792</v>
      </c>
      <c r="T51" s="6"/>
      <c r="U51" s="6"/>
      <c r="V51" s="6"/>
      <c r="W51" s="6"/>
      <c r="X51" s="6"/>
      <c r="Y51" s="6"/>
    </row>
    <row r="52" ht="11.25" customHeight="1">
      <c r="A52" s="38"/>
      <c r="B52" s="39">
        <f t="shared" si="3"/>
        <v>47</v>
      </c>
      <c r="C52" s="40">
        <v>17300.0</v>
      </c>
      <c r="D52" s="79">
        <f t="shared" si="4"/>
        <v>9179.007168</v>
      </c>
      <c r="E52" s="79">
        <f t="shared" si="11"/>
        <v>8120.992832</v>
      </c>
      <c r="F52" s="79">
        <f t="shared" si="5"/>
        <v>379561.8531</v>
      </c>
      <c r="G52" s="79">
        <f t="shared" si="6"/>
        <v>433538.1469</v>
      </c>
      <c r="H52" s="615">
        <f t="shared" si="12"/>
        <v>813100</v>
      </c>
      <c r="I52" s="614">
        <f t="shared" si="7"/>
        <v>2780438.147</v>
      </c>
      <c r="J52" s="610">
        <v>3.95</v>
      </c>
      <c r="K52" s="591"/>
      <c r="L52" s="6"/>
      <c r="M52" s="9">
        <v>12500.0</v>
      </c>
      <c r="N52" s="79">
        <f t="shared" si="8"/>
        <v>664400</v>
      </c>
      <c r="O52" s="6">
        <f t="shared" si="1"/>
        <v>88733.85309</v>
      </c>
      <c r="P52" s="6"/>
      <c r="Q52" s="6">
        <f t="shared" si="9"/>
        <v>296.9928317</v>
      </c>
      <c r="R52" s="6">
        <f t="shared" si="10"/>
        <v>88733.85309</v>
      </c>
      <c r="S52" s="81">
        <f t="shared" si="2"/>
        <v>20.46736918</v>
      </c>
      <c r="T52" s="6"/>
      <c r="U52" s="6"/>
      <c r="V52" s="6"/>
      <c r="W52" s="6"/>
      <c r="X52" s="6"/>
      <c r="Y52" s="6"/>
    </row>
    <row r="53" ht="11.25" customHeight="1">
      <c r="A53" s="57"/>
      <c r="B53" s="48">
        <f t="shared" si="3"/>
        <v>48</v>
      </c>
      <c r="C53" s="40">
        <v>17300.0</v>
      </c>
      <c r="D53" s="90">
        <f t="shared" si="4"/>
        <v>9152.275567</v>
      </c>
      <c r="E53" s="90">
        <f t="shared" si="11"/>
        <v>8147.724433</v>
      </c>
      <c r="F53" s="90">
        <f t="shared" si="5"/>
        <v>387709.5775</v>
      </c>
      <c r="G53" s="90">
        <f t="shared" si="6"/>
        <v>442690.4225</v>
      </c>
      <c r="H53" s="616">
        <f t="shared" si="12"/>
        <v>830400</v>
      </c>
      <c r="I53" s="614">
        <f t="shared" si="7"/>
        <v>2772290.422</v>
      </c>
      <c r="J53" s="610">
        <v>3.95</v>
      </c>
      <c r="K53" s="591"/>
      <c r="L53" s="6"/>
      <c r="M53" s="9">
        <v>12500.0</v>
      </c>
      <c r="N53" s="79">
        <f t="shared" si="8"/>
        <v>676900</v>
      </c>
      <c r="O53" s="6">
        <f t="shared" si="1"/>
        <v>89057.57752</v>
      </c>
      <c r="P53" s="6"/>
      <c r="Q53" s="6">
        <f t="shared" si="9"/>
        <v>323.7244331</v>
      </c>
      <c r="R53" s="6">
        <f t="shared" si="10"/>
        <v>89057.57752</v>
      </c>
      <c r="S53" s="81">
        <f t="shared" si="2"/>
        <v>20.11734905</v>
      </c>
      <c r="T53" s="6"/>
      <c r="U53" s="6"/>
      <c r="V53" s="6"/>
      <c r="W53" s="6"/>
      <c r="X53" s="6"/>
      <c r="Y53" s="6"/>
    </row>
    <row r="54" ht="11.25" customHeight="1">
      <c r="A54" s="100">
        <v>5.0</v>
      </c>
      <c r="B54" s="66">
        <f t="shared" ref="B54:B365" si="13">B53+1</f>
        <v>49</v>
      </c>
      <c r="C54" s="40">
        <v>17300.0</v>
      </c>
      <c r="D54" s="617">
        <f t="shared" ref="D54:D365" si="14">(I53*J54%)/12</f>
        <v>9703.016479</v>
      </c>
      <c r="E54" s="617">
        <f t="shared" si="11"/>
        <v>7596.983521</v>
      </c>
      <c r="F54" s="617">
        <f t="shared" si="5"/>
        <v>395306.561</v>
      </c>
      <c r="G54" s="617">
        <f t="shared" si="6"/>
        <v>452393.439</v>
      </c>
      <c r="H54" s="617">
        <f t="shared" si="12"/>
        <v>847700</v>
      </c>
      <c r="I54" s="617">
        <f t="shared" si="7"/>
        <v>2764693.439</v>
      </c>
      <c r="J54" s="610">
        <v>4.2</v>
      </c>
      <c r="K54" s="591"/>
      <c r="L54" s="6"/>
      <c r="M54" s="9">
        <v>12500.0</v>
      </c>
      <c r="N54" s="79">
        <f t="shared" si="8"/>
        <v>689400</v>
      </c>
      <c r="O54" s="6">
        <f t="shared" si="1"/>
        <v>88830.56104</v>
      </c>
      <c r="P54" s="6"/>
      <c r="Q54" s="6">
        <f t="shared" si="9"/>
        <v>-227.0164787</v>
      </c>
      <c r="R54" s="6">
        <f t="shared" si="10"/>
        <v>88830.56104</v>
      </c>
      <c r="S54" s="81">
        <f t="shared" si="2"/>
        <v>19.6356873</v>
      </c>
      <c r="T54" s="6"/>
      <c r="U54" s="6"/>
      <c r="V54" s="6"/>
      <c r="W54" s="6"/>
      <c r="X54" s="6"/>
      <c r="Y54" s="6"/>
    </row>
    <row r="55" ht="11.25" customHeight="1">
      <c r="A55" s="7"/>
      <c r="B55" s="68">
        <f t="shared" si="13"/>
        <v>50</v>
      </c>
      <c r="C55" s="40">
        <v>17300.0</v>
      </c>
      <c r="D55" s="6">
        <f t="shared" si="14"/>
        <v>9676.427036</v>
      </c>
      <c r="E55" s="6">
        <f t="shared" si="11"/>
        <v>7623.572964</v>
      </c>
      <c r="F55" s="6">
        <f t="shared" si="5"/>
        <v>402930.134</v>
      </c>
      <c r="G55" s="6">
        <f t="shared" si="6"/>
        <v>462069.866</v>
      </c>
      <c r="H55" s="6">
        <f t="shared" si="12"/>
        <v>865000</v>
      </c>
      <c r="I55" s="6">
        <f t="shared" si="7"/>
        <v>2757069.866</v>
      </c>
      <c r="J55" s="610">
        <v>4.2</v>
      </c>
      <c r="K55" s="591"/>
      <c r="L55" s="6"/>
      <c r="M55" s="9">
        <v>12500.0</v>
      </c>
      <c r="N55" s="79">
        <f t="shared" si="8"/>
        <v>701900</v>
      </c>
      <c r="O55" s="6">
        <f t="shared" si="1"/>
        <v>88630.134</v>
      </c>
      <c r="P55" s="6"/>
      <c r="Q55" s="6">
        <f t="shared" si="9"/>
        <v>-200.4270364</v>
      </c>
      <c r="R55" s="6">
        <f t="shared" si="10"/>
        <v>88630.134</v>
      </c>
      <c r="S55" s="81">
        <f t="shared" si="2"/>
        <v>19.18111102</v>
      </c>
      <c r="T55" s="6"/>
      <c r="U55" s="6"/>
      <c r="V55" s="6"/>
      <c r="W55" s="6"/>
      <c r="X55" s="6"/>
      <c r="Y55" s="6"/>
    </row>
    <row r="56" ht="11.25" customHeight="1">
      <c r="A56" s="54"/>
      <c r="B56" s="68">
        <f t="shared" si="13"/>
        <v>51</v>
      </c>
      <c r="C56" s="40">
        <v>17300.0</v>
      </c>
      <c r="D56" s="6">
        <f t="shared" si="14"/>
        <v>9649.744531</v>
      </c>
      <c r="E56" s="6">
        <f t="shared" si="11"/>
        <v>7650.255469</v>
      </c>
      <c r="F56" s="6">
        <f t="shared" si="5"/>
        <v>410580.3895</v>
      </c>
      <c r="G56" s="6">
        <f t="shared" si="6"/>
        <v>471719.6105</v>
      </c>
      <c r="H56" s="6">
        <f t="shared" si="12"/>
        <v>882300</v>
      </c>
      <c r="I56" s="6">
        <f t="shared" si="7"/>
        <v>2749419.611</v>
      </c>
      <c r="J56" s="610">
        <v>4.2</v>
      </c>
      <c r="K56" s="591"/>
      <c r="L56" s="6"/>
      <c r="M56" s="9">
        <v>12500.0</v>
      </c>
      <c r="N56" s="79">
        <f t="shared" si="8"/>
        <v>714400</v>
      </c>
      <c r="O56" s="6">
        <f t="shared" si="1"/>
        <v>88456.38947</v>
      </c>
      <c r="P56" s="6"/>
      <c r="Q56" s="6">
        <f t="shared" si="9"/>
        <v>-173.744531</v>
      </c>
      <c r="R56" s="6">
        <f t="shared" si="10"/>
        <v>88456.38947</v>
      </c>
      <c r="S56" s="81">
        <f t="shared" si="2"/>
        <v>18.75189996</v>
      </c>
      <c r="T56" s="6"/>
      <c r="U56" s="6"/>
      <c r="V56" s="6"/>
      <c r="W56" s="6"/>
      <c r="X56" s="6"/>
      <c r="Y56" s="6"/>
    </row>
    <row r="57" ht="11.25" customHeight="1">
      <c r="A57" s="54">
        <v>44562.0</v>
      </c>
      <c r="B57" s="68">
        <f t="shared" si="13"/>
        <v>52</v>
      </c>
      <c r="C57" s="40">
        <v>17300.0</v>
      </c>
      <c r="D57" s="6">
        <f t="shared" si="14"/>
        <v>9622.968637</v>
      </c>
      <c r="E57" s="6">
        <f t="shared" si="11"/>
        <v>7677.031363</v>
      </c>
      <c r="F57" s="6">
        <f t="shared" si="5"/>
        <v>418257.4208</v>
      </c>
      <c r="G57" s="6">
        <f t="shared" si="6"/>
        <v>481342.5792</v>
      </c>
      <c r="H57" s="6">
        <f t="shared" si="12"/>
        <v>899600</v>
      </c>
      <c r="I57" s="6">
        <f t="shared" si="7"/>
        <v>2741742.579</v>
      </c>
      <c r="J57" s="610">
        <v>4.2</v>
      </c>
      <c r="K57" s="591"/>
      <c r="L57" s="6"/>
      <c r="M57" s="9">
        <v>12500.0</v>
      </c>
      <c r="N57" s="79">
        <f t="shared" si="8"/>
        <v>726900</v>
      </c>
      <c r="O57" s="6">
        <f t="shared" si="1"/>
        <v>88309.42084</v>
      </c>
      <c r="P57" s="6"/>
      <c r="Q57" s="6">
        <f t="shared" si="9"/>
        <v>-146.9686368</v>
      </c>
      <c r="R57" s="6">
        <f t="shared" si="10"/>
        <v>88309.42084</v>
      </c>
      <c r="S57" s="81">
        <f t="shared" si="2"/>
        <v>18.34648017</v>
      </c>
      <c r="T57" s="6"/>
      <c r="U57" s="6"/>
      <c r="V57" s="6"/>
      <c r="W57" s="6"/>
      <c r="X57" s="6"/>
      <c r="Y57" s="6"/>
    </row>
    <row r="58" ht="11.25" customHeight="1">
      <c r="A58" s="7"/>
      <c r="B58" s="68">
        <f t="shared" si="13"/>
        <v>53</v>
      </c>
      <c r="C58" s="40">
        <v>17300.0</v>
      </c>
      <c r="D58" s="6">
        <f t="shared" si="14"/>
        <v>9596.099027</v>
      </c>
      <c r="E58" s="6">
        <f t="shared" si="11"/>
        <v>7703.900973</v>
      </c>
      <c r="F58" s="6">
        <f t="shared" si="5"/>
        <v>425961.3218</v>
      </c>
      <c r="G58" s="6">
        <f t="shared" si="6"/>
        <v>490938.6782</v>
      </c>
      <c r="H58" s="6">
        <f t="shared" si="12"/>
        <v>916900</v>
      </c>
      <c r="I58" s="6">
        <f t="shared" si="7"/>
        <v>2734038.678</v>
      </c>
      <c r="J58" s="610">
        <v>4.2</v>
      </c>
      <c r="K58" s="591"/>
      <c r="L58" s="6"/>
      <c r="M58" s="9">
        <v>12500.0</v>
      </c>
      <c r="N58" s="79">
        <f t="shared" si="8"/>
        <v>739400</v>
      </c>
      <c r="O58" s="6">
        <f t="shared" si="1"/>
        <v>88189.32181</v>
      </c>
      <c r="P58" s="6"/>
      <c r="Q58" s="6">
        <f t="shared" si="9"/>
        <v>-120.0990271</v>
      </c>
      <c r="R58" s="6">
        <f t="shared" si="10"/>
        <v>88189.32181</v>
      </c>
      <c r="S58" s="81">
        <f t="shared" si="2"/>
        <v>17.96340882</v>
      </c>
      <c r="T58" s="6"/>
      <c r="U58" s="6"/>
      <c r="V58" s="6"/>
      <c r="W58" s="6"/>
      <c r="X58" s="6"/>
      <c r="Y58" s="6"/>
    </row>
    <row r="59" ht="11.25" customHeight="1">
      <c r="A59" s="7"/>
      <c r="B59" s="68">
        <f t="shared" si="13"/>
        <v>54</v>
      </c>
      <c r="C59" s="40">
        <v>17300.0</v>
      </c>
      <c r="D59" s="6">
        <f t="shared" si="14"/>
        <v>9569.135374</v>
      </c>
      <c r="E59" s="6">
        <f t="shared" si="11"/>
        <v>7730.864626</v>
      </c>
      <c r="F59" s="6">
        <f t="shared" si="5"/>
        <v>433692.1864</v>
      </c>
      <c r="G59" s="6">
        <f t="shared" si="6"/>
        <v>500507.8136</v>
      </c>
      <c r="H59" s="6">
        <f t="shared" si="12"/>
        <v>934200</v>
      </c>
      <c r="I59" s="6">
        <f t="shared" si="7"/>
        <v>2726307.814</v>
      </c>
      <c r="J59" s="610">
        <v>4.2</v>
      </c>
      <c r="K59" s="591"/>
      <c r="L59" s="6"/>
      <c r="M59" s="9">
        <v>12500.0</v>
      </c>
      <c r="N59" s="79">
        <f t="shared" si="8"/>
        <v>751900</v>
      </c>
      <c r="O59" s="6">
        <f t="shared" si="1"/>
        <v>88096.18644</v>
      </c>
      <c r="P59" s="6"/>
      <c r="Q59" s="6">
        <f t="shared" si="9"/>
        <v>-93.13537367</v>
      </c>
      <c r="R59" s="6">
        <f t="shared" si="10"/>
        <v>88096.18644</v>
      </c>
      <c r="S59" s="81">
        <f t="shared" si="2"/>
        <v>17.60136087</v>
      </c>
      <c r="T59" s="6"/>
      <c r="U59" s="6"/>
      <c r="V59" s="6"/>
      <c r="W59" s="6"/>
      <c r="X59" s="6"/>
      <c r="Y59" s="6"/>
    </row>
    <row r="60" ht="11.25" customHeight="1">
      <c r="A60" s="7"/>
      <c r="B60" s="68">
        <f t="shared" si="13"/>
        <v>55</v>
      </c>
      <c r="C60" s="40">
        <v>17300.0</v>
      </c>
      <c r="D60" s="6">
        <f t="shared" si="14"/>
        <v>9542.077347</v>
      </c>
      <c r="E60" s="6">
        <f t="shared" si="11"/>
        <v>7757.922653</v>
      </c>
      <c r="F60" s="6">
        <f t="shared" si="5"/>
        <v>441450.1091</v>
      </c>
      <c r="G60" s="6">
        <f t="shared" si="6"/>
        <v>510049.8909</v>
      </c>
      <c r="H60" s="6">
        <f t="shared" si="12"/>
        <v>951500</v>
      </c>
      <c r="I60" s="6">
        <f t="shared" si="7"/>
        <v>2718549.891</v>
      </c>
      <c r="J60" s="610">
        <v>4.2</v>
      </c>
      <c r="K60" s="591"/>
      <c r="L60" s="6"/>
      <c r="M60" s="9">
        <v>12500.0</v>
      </c>
      <c r="N60" s="79">
        <f t="shared" si="8"/>
        <v>764400</v>
      </c>
      <c r="O60" s="6">
        <f t="shared" si="1"/>
        <v>88030.10909</v>
      </c>
      <c r="P60" s="6"/>
      <c r="Q60" s="6">
        <f t="shared" si="9"/>
        <v>-66.07734748</v>
      </c>
      <c r="R60" s="6">
        <f t="shared" si="10"/>
        <v>88030.10909</v>
      </c>
      <c r="S60" s="81">
        <f t="shared" si="2"/>
        <v>17.25911732</v>
      </c>
      <c r="T60" s="6"/>
      <c r="U60" s="6"/>
      <c r="V60" s="6"/>
      <c r="W60" s="6"/>
      <c r="X60" s="6"/>
      <c r="Y60" s="6"/>
    </row>
    <row r="61" ht="11.25" customHeight="1">
      <c r="A61" s="7"/>
      <c r="B61" s="68">
        <f t="shared" si="13"/>
        <v>56</v>
      </c>
      <c r="C61" s="40">
        <v>17300.0</v>
      </c>
      <c r="D61" s="6">
        <f t="shared" si="14"/>
        <v>9514.924618</v>
      </c>
      <c r="E61" s="6">
        <f t="shared" si="11"/>
        <v>7785.075382</v>
      </c>
      <c r="F61" s="6">
        <f t="shared" si="5"/>
        <v>449235.1845</v>
      </c>
      <c r="G61" s="6">
        <f t="shared" si="6"/>
        <v>519564.8155</v>
      </c>
      <c r="H61" s="6">
        <f t="shared" si="12"/>
        <v>968800</v>
      </c>
      <c r="I61" s="6">
        <f t="shared" si="7"/>
        <v>2710764.816</v>
      </c>
      <c r="J61" s="610">
        <v>4.2</v>
      </c>
      <c r="K61" s="591"/>
      <c r="L61" s="6"/>
      <c r="M61" s="9">
        <v>12500.0</v>
      </c>
      <c r="N61" s="79">
        <f t="shared" si="8"/>
        <v>776900</v>
      </c>
      <c r="O61" s="6">
        <f t="shared" si="1"/>
        <v>87991.18447</v>
      </c>
      <c r="P61" s="6"/>
      <c r="Q61" s="6">
        <f t="shared" si="9"/>
        <v>-38.92461819</v>
      </c>
      <c r="R61" s="6">
        <f t="shared" si="10"/>
        <v>87991.18447</v>
      </c>
      <c r="S61" s="81">
        <f t="shared" si="2"/>
        <v>16.93555488</v>
      </c>
      <c r="T61" s="6"/>
      <c r="U61" s="6"/>
      <c r="V61" s="6"/>
      <c r="W61" s="6"/>
      <c r="X61" s="6"/>
      <c r="Y61" s="6"/>
    </row>
    <row r="62" ht="11.25" customHeight="1">
      <c r="A62" s="7"/>
      <c r="B62" s="68">
        <f t="shared" si="13"/>
        <v>57</v>
      </c>
      <c r="C62" s="40">
        <v>17300.0</v>
      </c>
      <c r="D62" s="6">
        <f t="shared" si="14"/>
        <v>9487.676854</v>
      </c>
      <c r="E62" s="6">
        <f t="shared" si="11"/>
        <v>7812.323146</v>
      </c>
      <c r="F62" s="6">
        <f t="shared" si="5"/>
        <v>457047.5076</v>
      </c>
      <c r="G62" s="6">
        <f t="shared" si="6"/>
        <v>529052.4924</v>
      </c>
      <c r="H62" s="6">
        <f t="shared" si="12"/>
        <v>986100</v>
      </c>
      <c r="I62" s="6">
        <f t="shared" si="7"/>
        <v>2702952.492</v>
      </c>
      <c r="J62" s="610">
        <v>4.2</v>
      </c>
      <c r="K62" s="591"/>
      <c r="L62" s="6"/>
      <c r="M62" s="9">
        <v>12500.0</v>
      </c>
      <c r="N62" s="79">
        <f t="shared" si="8"/>
        <v>789400</v>
      </c>
      <c r="O62" s="6">
        <f t="shared" si="1"/>
        <v>87979.50762</v>
      </c>
      <c r="P62" s="6"/>
      <c r="Q62" s="6">
        <f t="shared" si="9"/>
        <v>-11.67685436</v>
      </c>
      <c r="R62" s="6">
        <f t="shared" si="10"/>
        <v>87979.50762</v>
      </c>
      <c r="S62" s="81">
        <f t="shared" si="2"/>
        <v>16.62963673</v>
      </c>
      <c r="T62" s="6"/>
      <c r="U62" s="6"/>
      <c r="V62" s="6"/>
      <c r="W62" s="6"/>
      <c r="X62" s="6"/>
      <c r="Y62" s="6"/>
    </row>
    <row r="63" ht="11.25" customHeight="1">
      <c r="A63" s="7"/>
      <c r="B63" s="68">
        <f t="shared" si="13"/>
        <v>58</v>
      </c>
      <c r="C63" s="40">
        <v>17300.0</v>
      </c>
      <c r="D63" s="6">
        <f t="shared" si="14"/>
        <v>9460.333723</v>
      </c>
      <c r="E63" s="6">
        <f t="shared" si="11"/>
        <v>7839.666277</v>
      </c>
      <c r="F63" s="6">
        <f t="shared" si="5"/>
        <v>464887.1739</v>
      </c>
      <c r="G63" s="6">
        <f t="shared" si="6"/>
        <v>538512.8261</v>
      </c>
      <c r="H63" s="6">
        <f t="shared" si="12"/>
        <v>1003400</v>
      </c>
      <c r="I63" s="6">
        <f t="shared" si="7"/>
        <v>2695112.826</v>
      </c>
      <c r="J63" s="610">
        <v>4.2</v>
      </c>
      <c r="K63" s="591"/>
      <c r="L63" s="6"/>
      <c r="M63" s="9">
        <v>12500.0</v>
      </c>
      <c r="N63" s="79">
        <f t="shared" si="8"/>
        <v>801900</v>
      </c>
      <c r="O63" s="6">
        <f t="shared" si="1"/>
        <v>87995.17389</v>
      </c>
      <c r="P63" s="6"/>
      <c r="Q63" s="6">
        <f t="shared" si="9"/>
        <v>15.66627665</v>
      </c>
      <c r="R63" s="6">
        <f t="shared" si="10"/>
        <v>87995.17389</v>
      </c>
      <c r="S63" s="81">
        <f t="shared" si="2"/>
        <v>16.34040447</v>
      </c>
      <c r="T63" s="6"/>
      <c r="U63" s="6"/>
      <c r="V63" s="6"/>
      <c r="W63" s="6"/>
      <c r="X63" s="6"/>
      <c r="Y63" s="6"/>
    </row>
    <row r="64" ht="11.25" customHeight="1">
      <c r="A64" s="7"/>
      <c r="B64" s="68">
        <f t="shared" si="13"/>
        <v>59</v>
      </c>
      <c r="C64" s="40">
        <v>17300.0</v>
      </c>
      <c r="D64" s="6">
        <f t="shared" si="14"/>
        <v>9432.894891</v>
      </c>
      <c r="E64" s="6">
        <f t="shared" si="11"/>
        <v>7867.105109</v>
      </c>
      <c r="F64" s="6">
        <f t="shared" si="5"/>
        <v>472754.279</v>
      </c>
      <c r="G64" s="6">
        <f t="shared" si="6"/>
        <v>547945.721</v>
      </c>
      <c r="H64" s="6">
        <f t="shared" si="12"/>
        <v>1020700</v>
      </c>
      <c r="I64" s="6">
        <f t="shared" si="7"/>
        <v>2687245.721</v>
      </c>
      <c r="J64" s="610">
        <v>4.2</v>
      </c>
      <c r="K64" s="591"/>
      <c r="L64" s="6"/>
      <c r="M64" s="9">
        <v>12500.0</v>
      </c>
      <c r="N64" s="79">
        <f t="shared" si="8"/>
        <v>814400</v>
      </c>
      <c r="O64" s="6">
        <f t="shared" si="1"/>
        <v>88038.279</v>
      </c>
      <c r="P64" s="6"/>
      <c r="Q64" s="6">
        <f t="shared" si="9"/>
        <v>43.10510862</v>
      </c>
      <c r="R64" s="6">
        <f t="shared" si="10"/>
        <v>88038.279</v>
      </c>
      <c r="S64" s="81">
        <f t="shared" si="2"/>
        <v>16.0669708</v>
      </c>
      <c r="T64" s="6"/>
      <c r="U64" s="6"/>
      <c r="V64" s="6"/>
      <c r="W64" s="6"/>
      <c r="X64" s="6"/>
      <c r="Y64" s="6"/>
    </row>
    <row r="65" ht="11.25" customHeight="1">
      <c r="A65" s="71"/>
      <c r="B65" s="72">
        <f t="shared" si="13"/>
        <v>60</v>
      </c>
      <c r="C65" s="40">
        <v>17300.0</v>
      </c>
      <c r="D65" s="10">
        <f t="shared" si="14"/>
        <v>9405.360023</v>
      </c>
      <c r="E65" s="10">
        <f t="shared" si="11"/>
        <v>7894.639977</v>
      </c>
      <c r="F65" s="10">
        <f t="shared" si="5"/>
        <v>480648.919</v>
      </c>
      <c r="G65" s="10">
        <f t="shared" si="6"/>
        <v>557351.081</v>
      </c>
      <c r="H65" s="10">
        <f t="shared" si="12"/>
        <v>1038000</v>
      </c>
      <c r="I65" s="10">
        <f t="shared" si="7"/>
        <v>2679351.081</v>
      </c>
      <c r="J65" s="610">
        <v>4.2</v>
      </c>
      <c r="K65" s="591"/>
      <c r="L65" s="6"/>
      <c r="M65" s="9">
        <v>12500.0</v>
      </c>
      <c r="N65" s="79">
        <f t="shared" si="8"/>
        <v>826900</v>
      </c>
      <c r="O65" s="6">
        <f t="shared" si="1"/>
        <v>88108.91898</v>
      </c>
      <c r="P65" s="6"/>
      <c r="Q65" s="6">
        <f t="shared" si="9"/>
        <v>70.6399765</v>
      </c>
      <c r="R65" s="6">
        <f t="shared" si="10"/>
        <v>88108.91898</v>
      </c>
      <c r="S65" s="81">
        <f t="shared" si="2"/>
        <v>15.80851316</v>
      </c>
      <c r="T65" s="6"/>
      <c r="U65" s="6"/>
      <c r="V65" s="6"/>
      <c r="W65" s="6"/>
      <c r="X65" s="6"/>
      <c r="Y65" s="6"/>
    </row>
    <row r="66" ht="11.25" customHeight="1">
      <c r="A66" s="100">
        <v>6.0</v>
      </c>
      <c r="B66" s="66">
        <f t="shared" si="13"/>
        <v>61</v>
      </c>
      <c r="C66" s="40">
        <v>17300.0</v>
      </c>
      <c r="D66" s="617">
        <f t="shared" si="14"/>
        <v>9377.728784</v>
      </c>
      <c r="E66" s="617">
        <f t="shared" si="11"/>
        <v>7922.271216</v>
      </c>
      <c r="F66" s="617">
        <f t="shared" si="5"/>
        <v>488571.1902</v>
      </c>
      <c r="G66" s="617">
        <f t="shared" si="6"/>
        <v>566728.8098</v>
      </c>
      <c r="H66" s="617">
        <f t="shared" si="12"/>
        <v>1055300</v>
      </c>
      <c r="I66" s="617">
        <f t="shared" si="7"/>
        <v>2671428.81</v>
      </c>
      <c r="J66" s="610">
        <v>4.2</v>
      </c>
      <c r="K66" s="591"/>
      <c r="L66" s="6"/>
      <c r="M66" s="9">
        <v>12500.0</v>
      </c>
      <c r="N66" s="79">
        <f t="shared" si="8"/>
        <v>839400</v>
      </c>
      <c r="O66" s="6">
        <f t="shared" si="1"/>
        <v>88207.19019</v>
      </c>
      <c r="P66" s="6"/>
      <c r="Q66" s="6">
        <f t="shared" si="9"/>
        <v>98.27121642</v>
      </c>
      <c r="R66" s="6">
        <f t="shared" si="10"/>
        <v>88207.19019</v>
      </c>
      <c r="S66" s="81">
        <f t="shared" si="2"/>
        <v>15.56426789</v>
      </c>
      <c r="T66" s="6"/>
      <c r="U66" s="6"/>
      <c r="V66" s="6"/>
      <c r="W66" s="6"/>
      <c r="X66" s="6"/>
      <c r="Y66" s="6"/>
    </row>
    <row r="67" ht="11.25" customHeight="1">
      <c r="A67" s="7"/>
      <c r="B67" s="68">
        <f t="shared" si="13"/>
        <v>62</v>
      </c>
      <c r="C67" s="40">
        <v>17300.0</v>
      </c>
      <c r="D67" s="6">
        <f t="shared" si="14"/>
        <v>9350.000834</v>
      </c>
      <c r="E67" s="6">
        <f t="shared" si="11"/>
        <v>7949.999166</v>
      </c>
      <c r="F67" s="6">
        <f t="shared" si="5"/>
        <v>496521.1894</v>
      </c>
      <c r="G67" s="6">
        <f t="shared" si="6"/>
        <v>576078.8106</v>
      </c>
      <c r="H67" s="6">
        <f t="shared" si="12"/>
        <v>1072600</v>
      </c>
      <c r="I67" s="6">
        <f t="shared" si="7"/>
        <v>2663478.811</v>
      </c>
      <c r="J67" s="610">
        <v>4.2</v>
      </c>
      <c r="K67" s="591"/>
      <c r="L67" s="6"/>
      <c r="M67" s="9">
        <v>12500.0</v>
      </c>
      <c r="N67" s="79">
        <f t="shared" si="8"/>
        <v>851900</v>
      </c>
      <c r="O67" s="6">
        <f t="shared" si="1"/>
        <v>88333.18936</v>
      </c>
      <c r="P67" s="6"/>
      <c r="Q67" s="6">
        <f t="shared" si="9"/>
        <v>125.9991657</v>
      </c>
      <c r="R67" s="6">
        <f t="shared" si="10"/>
        <v>88333.18936</v>
      </c>
      <c r="S67" s="81">
        <f t="shared" si="2"/>
        <v>15.33352516</v>
      </c>
      <c r="T67" s="6"/>
      <c r="U67" s="6"/>
      <c r="V67" s="6"/>
      <c r="W67" s="6"/>
      <c r="X67" s="6"/>
      <c r="Y67" s="6"/>
    </row>
    <row r="68" ht="11.25" customHeight="1">
      <c r="A68" s="54"/>
      <c r="B68" s="68">
        <f t="shared" si="13"/>
        <v>63</v>
      </c>
      <c r="C68" s="40">
        <v>17300.0</v>
      </c>
      <c r="D68" s="6">
        <f t="shared" si="14"/>
        <v>9322.175837</v>
      </c>
      <c r="E68" s="6">
        <f t="shared" si="11"/>
        <v>7977.824163</v>
      </c>
      <c r="F68" s="6">
        <f t="shared" si="5"/>
        <v>504499.0135</v>
      </c>
      <c r="G68" s="6">
        <f t="shared" si="6"/>
        <v>585400.9865</v>
      </c>
      <c r="H68" s="6">
        <f t="shared" si="12"/>
        <v>1089900</v>
      </c>
      <c r="I68" s="6">
        <f t="shared" si="7"/>
        <v>2655500.986</v>
      </c>
      <c r="J68" s="610">
        <v>4.2</v>
      </c>
      <c r="K68" s="591"/>
      <c r="L68" s="6"/>
      <c r="M68" s="9">
        <v>12500.0</v>
      </c>
      <c r="N68" s="79">
        <f t="shared" si="8"/>
        <v>864400</v>
      </c>
      <c r="O68" s="6">
        <f t="shared" si="1"/>
        <v>88487.01352</v>
      </c>
      <c r="P68" s="6"/>
      <c r="Q68" s="6">
        <f t="shared" si="9"/>
        <v>153.8241628</v>
      </c>
      <c r="R68" s="6">
        <f t="shared" si="10"/>
        <v>88487.01352</v>
      </c>
      <c r="S68" s="81">
        <f t="shared" si="2"/>
        <v>15.11562426</v>
      </c>
      <c r="T68" s="6"/>
      <c r="U68" s="6"/>
      <c r="V68" s="6"/>
      <c r="W68" s="6"/>
      <c r="X68" s="6"/>
      <c r="Y68" s="6"/>
    </row>
    <row r="69" ht="11.25" customHeight="1">
      <c r="A69" s="54">
        <v>44927.0</v>
      </c>
      <c r="B69" s="68">
        <f t="shared" si="13"/>
        <v>64</v>
      </c>
      <c r="C69" s="40">
        <v>17300.0</v>
      </c>
      <c r="D69" s="6">
        <f t="shared" si="14"/>
        <v>9294.253453</v>
      </c>
      <c r="E69" s="6">
        <f t="shared" si="11"/>
        <v>8005.746547</v>
      </c>
      <c r="F69" s="6">
        <f t="shared" si="5"/>
        <v>512504.7601</v>
      </c>
      <c r="G69" s="6">
        <f t="shared" si="6"/>
        <v>594695.2399</v>
      </c>
      <c r="H69" s="6">
        <f t="shared" si="12"/>
        <v>1107200</v>
      </c>
      <c r="I69" s="6">
        <f t="shared" si="7"/>
        <v>2647495.24</v>
      </c>
      <c r="J69" s="610">
        <v>4.2</v>
      </c>
      <c r="K69" s="591"/>
      <c r="L69" s="6"/>
      <c r="M69" s="9">
        <v>12500.0</v>
      </c>
      <c r="N69" s="79">
        <f t="shared" si="8"/>
        <v>876900</v>
      </c>
      <c r="O69" s="6">
        <f t="shared" si="1"/>
        <v>88668.76007</v>
      </c>
      <c r="P69" s="6"/>
      <c r="Q69" s="6">
        <f t="shared" si="9"/>
        <v>181.7465473</v>
      </c>
      <c r="R69" s="6">
        <f t="shared" si="10"/>
        <v>88668.76007</v>
      </c>
      <c r="S69" s="81">
        <f t="shared" si="2"/>
        <v>14.90994952</v>
      </c>
      <c r="T69" s="6"/>
      <c r="U69" s="6"/>
      <c r="V69" s="6"/>
      <c r="W69" s="6"/>
      <c r="X69" s="6"/>
      <c r="Y69" s="6"/>
    </row>
    <row r="70" ht="11.25" customHeight="1">
      <c r="A70" s="7"/>
      <c r="B70" s="68">
        <f t="shared" si="13"/>
        <v>65</v>
      </c>
      <c r="C70" s="40">
        <v>17300.0</v>
      </c>
      <c r="D70" s="6">
        <f t="shared" si="14"/>
        <v>9266.23334</v>
      </c>
      <c r="E70" s="6">
        <f t="shared" si="11"/>
        <v>8033.76666</v>
      </c>
      <c r="F70" s="6">
        <f t="shared" si="5"/>
        <v>520538.5267</v>
      </c>
      <c r="G70" s="6">
        <f t="shared" si="6"/>
        <v>603961.4733</v>
      </c>
      <c r="H70" s="6">
        <f t="shared" si="12"/>
        <v>1124500</v>
      </c>
      <c r="I70" s="6">
        <f t="shared" si="7"/>
        <v>2639461.473</v>
      </c>
      <c r="J70" s="610">
        <v>4.2</v>
      </c>
      <c r="K70" s="591"/>
      <c r="L70" s="6"/>
      <c r="M70" s="9">
        <v>12500.0</v>
      </c>
      <c r="N70" s="79">
        <f t="shared" si="8"/>
        <v>889400</v>
      </c>
      <c r="O70" s="6">
        <f t="shared" si="1"/>
        <v>88878.52673</v>
      </c>
      <c r="P70" s="6"/>
      <c r="Q70" s="6">
        <f t="shared" si="9"/>
        <v>209.7666602</v>
      </c>
      <c r="R70" s="6">
        <f t="shared" si="10"/>
        <v>88878.52673</v>
      </c>
      <c r="S70" s="81">
        <f t="shared" si="2"/>
        <v>14.71592654</v>
      </c>
      <c r="T70" s="6"/>
      <c r="U70" s="6"/>
      <c r="V70" s="6"/>
      <c r="W70" s="6"/>
      <c r="X70" s="6"/>
      <c r="Y70" s="6"/>
    </row>
    <row r="71" ht="11.25" customHeight="1">
      <c r="A71" s="7"/>
      <c r="B71" s="68">
        <f t="shared" si="13"/>
        <v>66</v>
      </c>
      <c r="C71" s="40">
        <v>17300.0</v>
      </c>
      <c r="D71" s="6">
        <f t="shared" si="14"/>
        <v>9238.115156</v>
      </c>
      <c r="E71" s="6">
        <f t="shared" si="11"/>
        <v>8061.884844</v>
      </c>
      <c r="F71" s="6">
        <f t="shared" si="5"/>
        <v>528600.4116</v>
      </c>
      <c r="G71" s="6">
        <f t="shared" si="6"/>
        <v>613199.5884</v>
      </c>
      <c r="H71" s="6">
        <f t="shared" si="12"/>
        <v>1141800</v>
      </c>
      <c r="I71" s="6">
        <f t="shared" si="7"/>
        <v>2631399.588</v>
      </c>
      <c r="J71" s="610">
        <v>4.2</v>
      </c>
      <c r="K71" s="591"/>
      <c r="L71" s="6"/>
      <c r="M71" s="9">
        <v>12500.0</v>
      </c>
      <c r="N71" s="79">
        <f t="shared" si="8"/>
        <v>901900</v>
      </c>
      <c r="O71" s="6">
        <f t="shared" si="1"/>
        <v>89116.41157</v>
      </c>
      <c r="P71" s="6"/>
      <c r="Q71" s="6">
        <f t="shared" si="9"/>
        <v>237.8848436</v>
      </c>
      <c r="R71" s="6">
        <f t="shared" si="10"/>
        <v>89116.41157</v>
      </c>
      <c r="S71" s="81">
        <f t="shared" si="2"/>
        <v>14.53301882</v>
      </c>
      <c r="T71" s="6"/>
      <c r="U71" s="6"/>
      <c r="V71" s="6"/>
      <c r="W71" s="6"/>
      <c r="X71" s="6"/>
      <c r="Y71" s="6"/>
    </row>
    <row r="72" ht="11.25" customHeight="1">
      <c r="A72" s="7"/>
      <c r="B72" s="68">
        <f t="shared" si="13"/>
        <v>67</v>
      </c>
      <c r="C72" s="40">
        <v>17300.0</v>
      </c>
      <c r="D72" s="6">
        <f t="shared" si="14"/>
        <v>9209.898559</v>
      </c>
      <c r="E72" s="6">
        <f t="shared" si="11"/>
        <v>8090.101441</v>
      </c>
      <c r="F72" s="6">
        <f t="shared" si="5"/>
        <v>536690.513</v>
      </c>
      <c r="G72" s="6">
        <f t="shared" si="6"/>
        <v>622409.487</v>
      </c>
      <c r="H72" s="6">
        <f t="shared" si="12"/>
        <v>1159100</v>
      </c>
      <c r="I72" s="6">
        <f t="shared" si="7"/>
        <v>2623309.487</v>
      </c>
      <c r="J72" s="610">
        <v>4.2</v>
      </c>
      <c r="K72" s="591"/>
      <c r="L72" s="6"/>
      <c r="M72" s="9">
        <v>12500.0</v>
      </c>
      <c r="N72" s="79">
        <f t="shared" si="8"/>
        <v>914400</v>
      </c>
      <c r="O72" s="6">
        <f t="shared" si="1"/>
        <v>89382.51301</v>
      </c>
      <c r="P72" s="6"/>
      <c r="Q72" s="6">
        <f t="shared" si="9"/>
        <v>266.1014405</v>
      </c>
      <c r="R72" s="6">
        <f t="shared" si="10"/>
        <v>89382.51301</v>
      </c>
      <c r="S72" s="81">
        <f t="shared" si="2"/>
        <v>14.36072471</v>
      </c>
      <c r="T72" s="6"/>
      <c r="U72" s="6"/>
      <c r="V72" s="6"/>
      <c r="W72" s="6"/>
      <c r="X72" s="6"/>
      <c r="Y72" s="6"/>
    </row>
    <row r="73" ht="11.25" customHeight="1">
      <c r="A73" s="7"/>
      <c r="B73" s="68">
        <f t="shared" si="13"/>
        <v>68</v>
      </c>
      <c r="C73" s="40">
        <v>17300.0</v>
      </c>
      <c r="D73" s="6">
        <f t="shared" si="14"/>
        <v>9181.583204</v>
      </c>
      <c r="E73" s="6">
        <f t="shared" si="11"/>
        <v>8118.416796</v>
      </c>
      <c r="F73" s="6">
        <f t="shared" si="5"/>
        <v>544808.9298</v>
      </c>
      <c r="G73" s="6">
        <f t="shared" si="6"/>
        <v>631591.0702</v>
      </c>
      <c r="H73" s="6">
        <f t="shared" si="12"/>
        <v>1176400</v>
      </c>
      <c r="I73" s="6">
        <f t="shared" si="7"/>
        <v>2615191.07</v>
      </c>
      <c r="J73" s="610">
        <v>4.2</v>
      </c>
      <c r="K73" s="591"/>
      <c r="L73" s="6"/>
      <c r="M73" s="9">
        <v>12500.0</v>
      </c>
      <c r="N73" s="79">
        <f t="shared" si="8"/>
        <v>926900</v>
      </c>
      <c r="O73" s="6">
        <f t="shared" si="1"/>
        <v>89676.92981</v>
      </c>
      <c r="P73" s="6"/>
      <c r="Q73" s="6">
        <f t="shared" si="9"/>
        <v>294.4167955</v>
      </c>
      <c r="R73" s="6">
        <f t="shared" si="10"/>
        <v>89676.92981</v>
      </c>
      <c r="S73" s="81">
        <f t="shared" si="2"/>
        <v>14.19857469</v>
      </c>
      <c r="T73" s="6"/>
      <c r="U73" s="6"/>
      <c r="V73" s="6"/>
      <c r="W73" s="6"/>
      <c r="X73" s="6"/>
      <c r="Y73" s="6"/>
    </row>
    <row r="74" ht="11.25" customHeight="1">
      <c r="A74" s="7"/>
      <c r="B74" s="68">
        <f t="shared" si="13"/>
        <v>69</v>
      </c>
      <c r="C74" s="40">
        <v>17300.0</v>
      </c>
      <c r="D74" s="6">
        <f t="shared" si="14"/>
        <v>9153.168746</v>
      </c>
      <c r="E74" s="6">
        <f t="shared" si="11"/>
        <v>8146.831254</v>
      </c>
      <c r="F74" s="6">
        <f t="shared" si="5"/>
        <v>552955.7611</v>
      </c>
      <c r="G74" s="6">
        <f t="shared" si="6"/>
        <v>640744.2389</v>
      </c>
      <c r="H74" s="6">
        <f t="shared" si="12"/>
        <v>1193700</v>
      </c>
      <c r="I74" s="6">
        <f t="shared" si="7"/>
        <v>2607044.239</v>
      </c>
      <c r="J74" s="610">
        <v>4.2</v>
      </c>
      <c r="K74" s="591"/>
      <c r="L74" s="6"/>
      <c r="M74" s="9">
        <v>12500.0</v>
      </c>
      <c r="N74" s="79">
        <f t="shared" si="8"/>
        <v>939400</v>
      </c>
      <c r="O74" s="6">
        <f t="shared" si="1"/>
        <v>89999.76106</v>
      </c>
      <c r="P74" s="6"/>
      <c r="Q74" s="6">
        <f t="shared" si="9"/>
        <v>322.8312543</v>
      </c>
      <c r="R74" s="6">
        <f t="shared" si="10"/>
        <v>89999.76106</v>
      </c>
      <c r="S74" s="81">
        <f t="shared" si="2"/>
        <v>14.0461288</v>
      </c>
      <c r="T74" s="6"/>
      <c r="U74" s="6"/>
      <c r="V74" s="6"/>
      <c r="W74" s="6"/>
      <c r="X74" s="6"/>
      <c r="Y74" s="6"/>
    </row>
    <row r="75" ht="11.25" customHeight="1">
      <c r="A75" s="7"/>
      <c r="B75" s="68">
        <f t="shared" si="13"/>
        <v>70</v>
      </c>
      <c r="C75" s="40">
        <v>17300.0</v>
      </c>
      <c r="D75" s="6">
        <f t="shared" si="14"/>
        <v>9124.654836</v>
      </c>
      <c r="E75" s="6">
        <f t="shared" si="11"/>
        <v>8175.345164</v>
      </c>
      <c r="F75" s="6">
        <f t="shared" si="5"/>
        <v>561131.1062</v>
      </c>
      <c r="G75" s="6">
        <f t="shared" si="6"/>
        <v>649868.8938</v>
      </c>
      <c r="H75" s="6">
        <f t="shared" si="12"/>
        <v>1211000</v>
      </c>
      <c r="I75" s="6">
        <f t="shared" si="7"/>
        <v>2598868.894</v>
      </c>
      <c r="J75" s="610">
        <v>4.2</v>
      </c>
      <c r="K75" s="591"/>
      <c r="L75" s="6"/>
      <c r="M75" s="9">
        <v>12500.0</v>
      </c>
      <c r="N75" s="79">
        <f t="shared" si="8"/>
        <v>951900</v>
      </c>
      <c r="O75" s="6">
        <f t="shared" si="1"/>
        <v>90351.10623</v>
      </c>
      <c r="P75" s="6"/>
      <c r="Q75" s="6">
        <f t="shared" si="9"/>
        <v>351.3451637</v>
      </c>
      <c r="R75" s="6">
        <f t="shared" si="10"/>
        <v>90351.10623</v>
      </c>
      <c r="S75" s="81">
        <f t="shared" si="2"/>
        <v>13.90297444</v>
      </c>
      <c r="T75" s="6"/>
      <c r="U75" s="6"/>
      <c r="V75" s="6"/>
      <c r="W75" s="6"/>
      <c r="X75" s="6"/>
      <c r="Y75" s="6"/>
    </row>
    <row r="76" ht="11.25" customHeight="1">
      <c r="A76" s="7"/>
      <c r="B76" s="68">
        <f t="shared" si="13"/>
        <v>71</v>
      </c>
      <c r="C76" s="40">
        <v>17300.0</v>
      </c>
      <c r="D76" s="6">
        <f t="shared" si="14"/>
        <v>9096.041128</v>
      </c>
      <c r="E76" s="6">
        <f t="shared" si="11"/>
        <v>8203.958872</v>
      </c>
      <c r="F76" s="6">
        <f t="shared" si="5"/>
        <v>569335.0651</v>
      </c>
      <c r="G76" s="6">
        <f t="shared" si="6"/>
        <v>658964.9349</v>
      </c>
      <c r="H76" s="6">
        <f t="shared" si="12"/>
        <v>1228300</v>
      </c>
      <c r="I76" s="6">
        <f t="shared" si="7"/>
        <v>2590664.935</v>
      </c>
      <c r="J76" s="610">
        <v>4.2</v>
      </c>
      <c r="K76" s="591"/>
      <c r="L76" s="6"/>
      <c r="M76" s="9">
        <v>12500.0</v>
      </c>
      <c r="N76" s="79">
        <f t="shared" si="8"/>
        <v>964400</v>
      </c>
      <c r="O76" s="6">
        <f t="shared" si="1"/>
        <v>90731.0651</v>
      </c>
      <c r="P76" s="6"/>
      <c r="Q76" s="6">
        <f t="shared" si="9"/>
        <v>379.9588718</v>
      </c>
      <c r="R76" s="6">
        <f t="shared" si="10"/>
        <v>90731.0651</v>
      </c>
      <c r="S76" s="81">
        <f t="shared" si="2"/>
        <v>13.7687243</v>
      </c>
      <c r="T76" s="6"/>
      <c r="U76" s="6"/>
      <c r="V76" s="6"/>
      <c r="W76" s="6"/>
      <c r="X76" s="6"/>
      <c r="Y76" s="6"/>
    </row>
    <row r="77" ht="11.25" customHeight="1">
      <c r="A77" s="71"/>
      <c r="B77" s="72">
        <f t="shared" si="13"/>
        <v>72</v>
      </c>
      <c r="C77" s="40">
        <v>17300.0</v>
      </c>
      <c r="D77" s="10">
        <f t="shared" si="14"/>
        <v>9067.327272</v>
      </c>
      <c r="E77" s="10">
        <f t="shared" si="11"/>
        <v>8232.672728</v>
      </c>
      <c r="F77" s="10">
        <f t="shared" si="5"/>
        <v>577567.7378</v>
      </c>
      <c r="G77" s="10">
        <f t="shared" si="6"/>
        <v>668032.2622</v>
      </c>
      <c r="H77" s="10">
        <f t="shared" si="12"/>
        <v>1245600</v>
      </c>
      <c r="I77" s="10">
        <f t="shared" si="7"/>
        <v>2582432.262</v>
      </c>
      <c r="J77" s="610">
        <v>4.2</v>
      </c>
      <c r="K77" s="591"/>
      <c r="L77" s="6"/>
      <c r="M77" s="9">
        <v>12500.0</v>
      </c>
      <c r="N77" s="79">
        <f t="shared" si="8"/>
        <v>976900</v>
      </c>
      <c r="O77" s="6">
        <f t="shared" si="1"/>
        <v>91139.73783</v>
      </c>
      <c r="P77" s="6"/>
      <c r="Q77" s="6">
        <f t="shared" si="9"/>
        <v>408.6727278</v>
      </c>
      <c r="R77" s="6">
        <f t="shared" si="10"/>
        <v>91139.73783</v>
      </c>
      <c r="S77" s="81">
        <f t="shared" si="2"/>
        <v>13.64301442</v>
      </c>
      <c r="T77" s="6"/>
      <c r="U77" s="6"/>
      <c r="V77" s="6"/>
      <c r="W77" s="6"/>
      <c r="X77" s="6"/>
      <c r="Y77" s="6"/>
    </row>
    <row r="78" ht="11.25" customHeight="1">
      <c r="A78" s="100">
        <v>7.0</v>
      </c>
      <c r="B78" s="66">
        <f t="shared" si="13"/>
        <v>73</v>
      </c>
      <c r="C78" s="40">
        <v>17300.0</v>
      </c>
      <c r="D78" s="617">
        <f t="shared" si="14"/>
        <v>9038.512918</v>
      </c>
      <c r="E78" s="617">
        <f t="shared" si="11"/>
        <v>8261.487082</v>
      </c>
      <c r="F78" s="617">
        <f t="shared" si="5"/>
        <v>585829.2249</v>
      </c>
      <c r="G78" s="617">
        <f t="shared" si="6"/>
        <v>677070.7751</v>
      </c>
      <c r="H78" s="617">
        <f t="shared" si="12"/>
        <v>1262900</v>
      </c>
      <c r="I78" s="617">
        <f t="shared" si="7"/>
        <v>2574170.775</v>
      </c>
      <c r="J78" s="610">
        <v>4.2</v>
      </c>
      <c r="K78" s="591"/>
      <c r="L78" s="6"/>
      <c r="M78" s="9">
        <v>12500.0</v>
      </c>
      <c r="N78" s="79">
        <f t="shared" si="8"/>
        <v>989400</v>
      </c>
      <c r="O78" s="6">
        <f t="shared" si="1"/>
        <v>91577.22491</v>
      </c>
      <c r="P78" s="6"/>
      <c r="Q78" s="6">
        <f t="shared" si="9"/>
        <v>437.4870824</v>
      </c>
      <c r="R78" s="6">
        <f t="shared" si="10"/>
        <v>91577.22491</v>
      </c>
      <c r="S78" s="81">
        <f t="shared" si="2"/>
        <v>13.52550254</v>
      </c>
      <c r="T78" s="6"/>
      <c r="U78" s="6"/>
      <c r="V78" s="6"/>
      <c r="W78" s="6"/>
      <c r="X78" s="6"/>
      <c r="Y78" s="6"/>
    </row>
    <row r="79" ht="11.25" customHeight="1">
      <c r="A79" s="7"/>
      <c r="B79" s="68">
        <f t="shared" si="13"/>
        <v>74</v>
      </c>
      <c r="C79" s="40">
        <v>17300.0</v>
      </c>
      <c r="D79" s="6">
        <f t="shared" si="14"/>
        <v>9009.597713</v>
      </c>
      <c r="E79" s="6">
        <f t="shared" si="11"/>
        <v>8290.402287</v>
      </c>
      <c r="F79" s="6">
        <f t="shared" si="5"/>
        <v>594119.6272</v>
      </c>
      <c r="G79" s="6">
        <f t="shared" si="6"/>
        <v>686080.3728</v>
      </c>
      <c r="H79" s="6">
        <f t="shared" si="12"/>
        <v>1280200</v>
      </c>
      <c r="I79" s="6">
        <f t="shared" si="7"/>
        <v>2565880.373</v>
      </c>
      <c r="J79" s="610">
        <v>4.2</v>
      </c>
      <c r="K79" s="591"/>
      <c r="L79" s="6"/>
      <c r="M79" s="9">
        <v>12500.0</v>
      </c>
      <c r="N79" s="79">
        <f t="shared" si="8"/>
        <v>1001900</v>
      </c>
      <c r="O79" s="6">
        <f t="shared" si="1"/>
        <v>92043.6272</v>
      </c>
      <c r="P79" s="6"/>
      <c r="Q79" s="6">
        <f t="shared" si="9"/>
        <v>466.4022872</v>
      </c>
      <c r="R79" s="6">
        <f t="shared" si="10"/>
        <v>92043.6272</v>
      </c>
      <c r="S79" s="81">
        <f t="shared" si="2"/>
        <v>13.41586654</v>
      </c>
      <c r="T79" s="6"/>
      <c r="U79" s="6"/>
      <c r="V79" s="6"/>
      <c r="W79" s="6"/>
      <c r="X79" s="6"/>
      <c r="Y79" s="6"/>
    </row>
    <row r="80" ht="11.25" customHeight="1">
      <c r="A80" s="7"/>
      <c r="B80" s="68">
        <f t="shared" si="13"/>
        <v>75</v>
      </c>
      <c r="C80" s="40">
        <v>17300.0</v>
      </c>
      <c r="D80" s="6">
        <f t="shared" si="14"/>
        <v>8980.581305</v>
      </c>
      <c r="E80" s="6">
        <f t="shared" si="11"/>
        <v>8319.418695</v>
      </c>
      <c r="F80" s="6">
        <f t="shared" si="5"/>
        <v>602439.0459</v>
      </c>
      <c r="G80" s="6">
        <f t="shared" si="6"/>
        <v>695060.9541</v>
      </c>
      <c r="H80" s="6">
        <f t="shared" si="12"/>
        <v>1297500</v>
      </c>
      <c r="I80" s="6">
        <f t="shared" si="7"/>
        <v>2557560.954</v>
      </c>
      <c r="J80" s="610">
        <v>4.2</v>
      </c>
      <c r="K80" s="591"/>
      <c r="L80" s="6"/>
      <c r="M80" s="9">
        <v>12500.0</v>
      </c>
      <c r="N80" s="79">
        <f t="shared" si="8"/>
        <v>1014400</v>
      </c>
      <c r="O80" s="6">
        <f t="shared" si="1"/>
        <v>92539.04589</v>
      </c>
      <c r="P80" s="6"/>
      <c r="Q80" s="6">
        <f t="shared" si="9"/>
        <v>495.4186952</v>
      </c>
      <c r="R80" s="6">
        <f t="shared" si="10"/>
        <v>92539.04589</v>
      </c>
      <c r="S80" s="81">
        <f t="shared" si="2"/>
        <v>13.31380296</v>
      </c>
      <c r="T80" s="6"/>
      <c r="U80" s="6"/>
      <c r="V80" s="6"/>
      <c r="W80" s="6"/>
      <c r="X80" s="6"/>
      <c r="Y80" s="6"/>
    </row>
    <row r="81" ht="11.25" customHeight="1">
      <c r="A81" s="54">
        <v>45292.0</v>
      </c>
      <c r="B81" s="68">
        <f t="shared" si="13"/>
        <v>76</v>
      </c>
      <c r="C81" s="40">
        <v>17300.0</v>
      </c>
      <c r="D81" s="6">
        <f t="shared" si="14"/>
        <v>8951.463339</v>
      </c>
      <c r="E81" s="6">
        <f t="shared" si="11"/>
        <v>8348.536661</v>
      </c>
      <c r="F81" s="6">
        <f t="shared" si="5"/>
        <v>610787.5826</v>
      </c>
      <c r="G81" s="6">
        <f t="shared" si="6"/>
        <v>704012.4174</v>
      </c>
      <c r="H81" s="6">
        <f t="shared" si="12"/>
        <v>1314800</v>
      </c>
      <c r="I81" s="6">
        <f t="shared" si="7"/>
        <v>2549212.417</v>
      </c>
      <c r="J81" s="610">
        <v>4.2</v>
      </c>
      <c r="K81" s="591"/>
      <c r="L81" s="6"/>
      <c r="M81" s="9">
        <v>12500.0</v>
      </c>
      <c r="N81" s="79">
        <f t="shared" si="8"/>
        <v>1026900</v>
      </c>
      <c r="O81" s="6">
        <f t="shared" si="1"/>
        <v>93063.58255</v>
      </c>
      <c r="P81" s="6"/>
      <c r="Q81" s="6">
        <f t="shared" si="9"/>
        <v>524.5366606</v>
      </c>
      <c r="R81" s="6">
        <f t="shared" si="10"/>
        <v>93063.58255</v>
      </c>
      <c r="S81" s="81">
        <f t="shared" si="2"/>
        <v>13.21902572</v>
      </c>
      <c r="T81" s="6"/>
      <c r="U81" s="6"/>
      <c r="V81" s="6"/>
      <c r="W81" s="6"/>
      <c r="X81" s="6"/>
      <c r="Y81" s="6"/>
    </row>
    <row r="82" ht="11.25" customHeight="1">
      <c r="A82" s="7"/>
      <c r="B82" s="68">
        <f t="shared" si="13"/>
        <v>77</v>
      </c>
      <c r="C82" s="40">
        <v>17300.0</v>
      </c>
      <c r="D82" s="6">
        <f t="shared" si="14"/>
        <v>8922.243461</v>
      </c>
      <c r="E82" s="6">
        <f t="shared" si="11"/>
        <v>8377.756539</v>
      </c>
      <c r="F82" s="6">
        <f t="shared" si="5"/>
        <v>619165.3391</v>
      </c>
      <c r="G82" s="6">
        <f t="shared" si="6"/>
        <v>712934.6609</v>
      </c>
      <c r="H82" s="6">
        <f t="shared" si="12"/>
        <v>1332100</v>
      </c>
      <c r="I82" s="6">
        <f t="shared" si="7"/>
        <v>2540834.661</v>
      </c>
      <c r="J82" s="610">
        <v>4.2</v>
      </c>
      <c r="K82" s="591"/>
      <c r="L82" s="6"/>
      <c r="M82" s="9">
        <v>12500.0</v>
      </c>
      <c r="N82" s="79">
        <f t="shared" si="8"/>
        <v>1039400</v>
      </c>
      <c r="O82" s="6">
        <f t="shared" si="1"/>
        <v>93617.33909</v>
      </c>
      <c r="P82" s="6"/>
      <c r="Q82" s="6">
        <f t="shared" si="9"/>
        <v>553.7565389</v>
      </c>
      <c r="R82" s="6">
        <f t="shared" si="10"/>
        <v>93617.33909</v>
      </c>
      <c r="S82" s="81">
        <f t="shared" si="2"/>
        <v>13.13126493</v>
      </c>
      <c r="T82" s="6"/>
      <c r="U82" s="6"/>
      <c r="V82" s="6"/>
      <c r="W82" s="6"/>
      <c r="X82" s="6"/>
      <c r="Y82" s="6"/>
    </row>
    <row r="83" ht="11.25" customHeight="1">
      <c r="A83" s="7"/>
      <c r="B83" s="68">
        <f t="shared" si="13"/>
        <v>78</v>
      </c>
      <c r="C83" s="40">
        <v>17300.0</v>
      </c>
      <c r="D83" s="6">
        <f t="shared" si="14"/>
        <v>8892.921313</v>
      </c>
      <c r="E83" s="6">
        <f t="shared" si="11"/>
        <v>8407.078687</v>
      </c>
      <c r="F83" s="6">
        <f t="shared" si="5"/>
        <v>627572.4178</v>
      </c>
      <c r="G83" s="6">
        <f t="shared" si="6"/>
        <v>721827.5822</v>
      </c>
      <c r="H83" s="6">
        <f t="shared" si="12"/>
        <v>1349400</v>
      </c>
      <c r="I83" s="6">
        <f t="shared" si="7"/>
        <v>2532427.582</v>
      </c>
      <c r="J83" s="610">
        <v>4.2</v>
      </c>
      <c r="K83" s="591"/>
      <c r="L83" s="6"/>
      <c r="M83" s="9">
        <v>12500.0</v>
      </c>
      <c r="N83" s="79">
        <f t="shared" si="8"/>
        <v>1051900</v>
      </c>
      <c r="O83" s="6">
        <f t="shared" si="1"/>
        <v>94200.41778</v>
      </c>
      <c r="P83" s="6"/>
      <c r="Q83" s="6">
        <f t="shared" si="9"/>
        <v>583.0786868</v>
      </c>
      <c r="R83" s="6">
        <f t="shared" si="10"/>
        <v>94200.41778</v>
      </c>
      <c r="S83" s="81">
        <f t="shared" si="2"/>
        <v>13.05026576</v>
      </c>
      <c r="T83" s="6"/>
      <c r="U83" s="6"/>
      <c r="V83" s="6"/>
      <c r="W83" s="6"/>
      <c r="X83" s="6"/>
      <c r="Y83" s="6"/>
    </row>
    <row r="84" ht="11.25" customHeight="1">
      <c r="A84" s="7"/>
      <c r="B84" s="68">
        <f t="shared" si="13"/>
        <v>79</v>
      </c>
      <c r="C84" s="40">
        <v>17300.0</v>
      </c>
      <c r="D84" s="6">
        <f t="shared" si="14"/>
        <v>8863.496538</v>
      </c>
      <c r="E84" s="6">
        <f t="shared" si="11"/>
        <v>8436.503462</v>
      </c>
      <c r="F84" s="6">
        <f t="shared" si="5"/>
        <v>636008.9212</v>
      </c>
      <c r="G84" s="6">
        <f t="shared" si="6"/>
        <v>730691.0788</v>
      </c>
      <c r="H84" s="6">
        <f t="shared" si="12"/>
        <v>1366700</v>
      </c>
      <c r="I84" s="6">
        <f t="shared" si="7"/>
        <v>2523991.079</v>
      </c>
      <c r="J84" s="610">
        <v>4.2</v>
      </c>
      <c r="K84" s="591"/>
      <c r="L84" s="6"/>
      <c r="M84" s="9">
        <v>12500.0</v>
      </c>
      <c r="N84" s="79">
        <f t="shared" si="8"/>
        <v>1064400</v>
      </c>
      <c r="O84" s="6">
        <f t="shared" si="1"/>
        <v>94812.92124</v>
      </c>
      <c r="P84" s="6"/>
      <c r="Q84" s="6">
        <f t="shared" si="9"/>
        <v>612.5034622</v>
      </c>
      <c r="R84" s="6">
        <f t="shared" si="10"/>
        <v>94812.92124</v>
      </c>
      <c r="S84" s="81">
        <f t="shared" si="2"/>
        <v>12.97578744</v>
      </c>
      <c r="T84" s="6"/>
      <c r="U84" s="6"/>
      <c r="V84" s="6"/>
      <c r="W84" s="6"/>
      <c r="X84" s="6"/>
      <c r="Y84" s="6"/>
    </row>
    <row r="85" ht="11.25" customHeight="1">
      <c r="A85" s="7"/>
      <c r="B85" s="68">
        <f t="shared" si="13"/>
        <v>80</v>
      </c>
      <c r="C85" s="40">
        <v>17300.0</v>
      </c>
      <c r="D85" s="6">
        <f t="shared" si="14"/>
        <v>8833.968776</v>
      </c>
      <c r="E85" s="6">
        <f t="shared" si="11"/>
        <v>8466.031224</v>
      </c>
      <c r="F85" s="6">
        <f t="shared" si="5"/>
        <v>644474.9525</v>
      </c>
      <c r="G85" s="6">
        <f t="shared" si="6"/>
        <v>739525.0475</v>
      </c>
      <c r="H85" s="6">
        <f t="shared" si="12"/>
        <v>1384000</v>
      </c>
      <c r="I85" s="6">
        <f t="shared" si="7"/>
        <v>2515525.048</v>
      </c>
      <c r="J85" s="610">
        <v>4.2</v>
      </c>
      <c r="K85" s="591"/>
      <c r="L85" s="6"/>
      <c r="M85" s="9">
        <v>12500.0</v>
      </c>
      <c r="N85" s="79">
        <f t="shared" si="8"/>
        <v>1076900</v>
      </c>
      <c r="O85" s="6">
        <f t="shared" si="1"/>
        <v>95454.95246</v>
      </c>
      <c r="P85" s="6"/>
      <c r="Q85" s="6">
        <f t="shared" si="9"/>
        <v>642.0312243</v>
      </c>
      <c r="R85" s="6">
        <f t="shared" si="10"/>
        <v>95454.95246</v>
      </c>
      <c r="S85" s="81">
        <f t="shared" si="2"/>
        <v>12.90760236</v>
      </c>
      <c r="T85" s="6"/>
      <c r="U85" s="6"/>
      <c r="V85" s="6"/>
      <c r="W85" s="6"/>
      <c r="X85" s="6"/>
      <c r="Y85" s="6"/>
    </row>
    <row r="86" ht="11.25" customHeight="1">
      <c r="A86" s="7"/>
      <c r="B86" s="68">
        <f t="shared" si="13"/>
        <v>81</v>
      </c>
      <c r="C86" s="40">
        <v>17300.0</v>
      </c>
      <c r="D86" s="6">
        <f t="shared" si="14"/>
        <v>8804.337666</v>
      </c>
      <c r="E86" s="6">
        <f t="shared" si="11"/>
        <v>8495.662334</v>
      </c>
      <c r="F86" s="6">
        <f t="shared" si="5"/>
        <v>652970.6148</v>
      </c>
      <c r="G86" s="6">
        <f t="shared" si="6"/>
        <v>748329.3852</v>
      </c>
      <c r="H86" s="6">
        <f t="shared" si="12"/>
        <v>1401300</v>
      </c>
      <c r="I86" s="6">
        <f t="shared" si="7"/>
        <v>2507029.385</v>
      </c>
      <c r="J86" s="610">
        <v>4.2</v>
      </c>
      <c r="K86" s="591"/>
      <c r="L86" s="6"/>
      <c r="M86" s="9">
        <v>12500.0</v>
      </c>
      <c r="N86" s="79">
        <f t="shared" si="8"/>
        <v>1089400</v>
      </c>
      <c r="O86" s="6">
        <f t="shared" si="1"/>
        <v>96126.6148</v>
      </c>
      <c r="P86" s="6"/>
      <c r="Q86" s="6">
        <f t="shared" si="9"/>
        <v>671.6623336</v>
      </c>
      <c r="R86" s="6">
        <f t="shared" si="10"/>
        <v>96126.6148</v>
      </c>
      <c r="S86" s="81">
        <f t="shared" si="2"/>
        <v>12.84549514</v>
      </c>
      <c r="T86" s="6"/>
      <c r="U86" s="6"/>
      <c r="V86" s="6"/>
      <c r="W86" s="6"/>
      <c r="X86" s="6"/>
      <c r="Y86" s="6"/>
    </row>
    <row r="87" ht="11.25" customHeight="1">
      <c r="A87" s="7"/>
      <c r="B87" s="68">
        <f t="shared" si="13"/>
        <v>82</v>
      </c>
      <c r="C87" s="40">
        <v>17300.0</v>
      </c>
      <c r="D87" s="6">
        <f t="shared" si="14"/>
        <v>8774.602848</v>
      </c>
      <c r="E87" s="6">
        <f t="shared" si="11"/>
        <v>8525.397152</v>
      </c>
      <c r="F87" s="6">
        <f t="shared" si="5"/>
        <v>661496.0119</v>
      </c>
      <c r="G87" s="6">
        <f t="shared" si="6"/>
        <v>757103.9881</v>
      </c>
      <c r="H87" s="6">
        <f t="shared" si="12"/>
        <v>1418600</v>
      </c>
      <c r="I87" s="6">
        <f t="shared" si="7"/>
        <v>2498503.988</v>
      </c>
      <c r="J87" s="610">
        <v>4.2</v>
      </c>
      <c r="K87" s="591"/>
      <c r="L87" s="6"/>
      <c r="M87" s="9">
        <v>12500.0</v>
      </c>
      <c r="N87" s="79">
        <f t="shared" si="8"/>
        <v>1101900</v>
      </c>
      <c r="O87" s="6">
        <f t="shared" si="1"/>
        <v>96828.01195</v>
      </c>
      <c r="P87" s="6"/>
      <c r="Q87" s="6">
        <f t="shared" si="9"/>
        <v>701.3971518</v>
      </c>
      <c r="R87" s="6">
        <f t="shared" si="10"/>
        <v>96828.01195</v>
      </c>
      <c r="S87" s="81">
        <f t="shared" si="2"/>
        <v>12.78926191</v>
      </c>
      <c r="T87" s="6"/>
      <c r="U87" s="6"/>
      <c r="V87" s="6"/>
      <c r="W87" s="6"/>
      <c r="X87" s="6"/>
      <c r="Y87" s="6"/>
    </row>
    <row r="88" ht="11.25" customHeight="1">
      <c r="A88" s="7"/>
      <c r="B88" s="68">
        <f t="shared" si="13"/>
        <v>83</v>
      </c>
      <c r="C88" s="40">
        <v>17300.0</v>
      </c>
      <c r="D88" s="6">
        <f t="shared" si="14"/>
        <v>8744.763958</v>
      </c>
      <c r="E88" s="6">
        <f t="shared" si="11"/>
        <v>8555.236042</v>
      </c>
      <c r="F88" s="6">
        <f t="shared" si="5"/>
        <v>670051.248</v>
      </c>
      <c r="G88" s="6">
        <f t="shared" si="6"/>
        <v>765848.752</v>
      </c>
      <c r="H88" s="6">
        <f t="shared" si="12"/>
        <v>1435900</v>
      </c>
      <c r="I88" s="6">
        <f t="shared" si="7"/>
        <v>2489948.752</v>
      </c>
      <c r="J88" s="610">
        <v>4.2</v>
      </c>
      <c r="K88" s="591"/>
      <c r="L88" s="6"/>
      <c r="M88" s="9">
        <v>12500.0</v>
      </c>
      <c r="N88" s="79">
        <f t="shared" si="8"/>
        <v>1114400</v>
      </c>
      <c r="O88" s="6">
        <f t="shared" si="1"/>
        <v>97559.24799</v>
      </c>
      <c r="P88" s="6"/>
      <c r="Q88" s="6">
        <f t="shared" si="9"/>
        <v>731.2360418</v>
      </c>
      <c r="R88" s="6">
        <f t="shared" si="10"/>
        <v>97559.24799</v>
      </c>
      <c r="S88" s="81">
        <f t="shared" si="2"/>
        <v>12.73870953</v>
      </c>
      <c r="T88" s="6"/>
      <c r="U88" s="6"/>
      <c r="V88" s="6"/>
      <c r="W88" s="6"/>
      <c r="X88" s="6"/>
      <c r="Y88" s="6"/>
    </row>
    <row r="89" ht="11.25" customHeight="1">
      <c r="A89" s="71"/>
      <c r="B89" s="72">
        <f t="shared" si="13"/>
        <v>84</v>
      </c>
      <c r="C89" s="40">
        <v>17300.0</v>
      </c>
      <c r="D89" s="10">
        <f t="shared" si="14"/>
        <v>8714.820632</v>
      </c>
      <c r="E89" s="10">
        <f t="shared" si="11"/>
        <v>8585.179368</v>
      </c>
      <c r="F89" s="10">
        <f t="shared" si="5"/>
        <v>678636.4274</v>
      </c>
      <c r="G89" s="10">
        <f t="shared" si="6"/>
        <v>774563.5726</v>
      </c>
      <c r="H89" s="10">
        <f t="shared" si="12"/>
        <v>1453200</v>
      </c>
      <c r="I89" s="10">
        <f t="shared" si="7"/>
        <v>2481363.573</v>
      </c>
      <c r="J89" s="610">
        <v>4.2</v>
      </c>
      <c r="K89" s="591"/>
      <c r="L89" s="6"/>
      <c r="M89" s="9">
        <v>12500.0</v>
      </c>
      <c r="N89" s="79">
        <f t="shared" si="8"/>
        <v>1126900</v>
      </c>
      <c r="O89" s="6">
        <f t="shared" si="1"/>
        <v>98320.42736</v>
      </c>
      <c r="P89" s="6"/>
      <c r="Q89" s="6">
        <f t="shared" si="9"/>
        <v>761.179368</v>
      </c>
      <c r="R89" s="6">
        <f t="shared" si="10"/>
        <v>98320.42736</v>
      </c>
      <c r="S89" s="81">
        <f t="shared" si="2"/>
        <v>12.69365496</v>
      </c>
      <c r="T89" s="6"/>
      <c r="U89" s="6"/>
      <c r="V89" s="6"/>
      <c r="W89" s="6"/>
      <c r="X89" s="6"/>
      <c r="Y89" s="6"/>
    </row>
    <row r="90" ht="11.25" customHeight="1">
      <c r="A90" s="100">
        <v>8.0</v>
      </c>
      <c r="B90" s="66">
        <f t="shared" si="13"/>
        <v>85</v>
      </c>
      <c r="C90" s="40">
        <v>17300.0</v>
      </c>
      <c r="D90" s="617">
        <f t="shared" si="14"/>
        <v>8684.772504</v>
      </c>
      <c r="E90" s="617">
        <f t="shared" si="11"/>
        <v>8615.227496</v>
      </c>
      <c r="F90" s="617">
        <f t="shared" si="5"/>
        <v>687251.6549</v>
      </c>
      <c r="G90" s="617">
        <f t="shared" si="6"/>
        <v>783248.3451</v>
      </c>
      <c r="H90" s="617">
        <f t="shared" si="12"/>
        <v>1470500</v>
      </c>
      <c r="I90" s="617">
        <f t="shared" si="7"/>
        <v>2472748.345</v>
      </c>
      <c r="J90" s="610">
        <v>4.2</v>
      </c>
      <c r="K90" s="591"/>
      <c r="L90" s="6"/>
      <c r="M90" s="75">
        <v>13000.0</v>
      </c>
      <c r="N90" s="79">
        <f t="shared" si="8"/>
        <v>1139900</v>
      </c>
      <c r="O90" s="6">
        <f t="shared" si="1"/>
        <v>99611.65486</v>
      </c>
      <c r="P90" s="6"/>
      <c r="Q90" s="6">
        <f t="shared" si="9"/>
        <v>1291.227496</v>
      </c>
      <c r="R90" s="6">
        <f t="shared" si="10"/>
        <v>99611.65486</v>
      </c>
      <c r="S90" s="81">
        <f t="shared" si="2"/>
        <v>12.71776129</v>
      </c>
      <c r="T90" s="6"/>
      <c r="U90" s="6"/>
      <c r="V90" s="6"/>
      <c r="W90" s="6"/>
      <c r="X90" s="6"/>
      <c r="Y90" s="6"/>
    </row>
    <row r="91" ht="11.25" customHeight="1">
      <c r="A91" s="7"/>
      <c r="B91" s="68">
        <f t="shared" si="13"/>
        <v>86</v>
      </c>
      <c r="C91" s="40">
        <v>17300.0</v>
      </c>
      <c r="D91" s="6">
        <f t="shared" si="14"/>
        <v>8654.619208</v>
      </c>
      <c r="E91" s="6">
        <f t="shared" si="11"/>
        <v>8645.380792</v>
      </c>
      <c r="F91" s="6">
        <f t="shared" si="5"/>
        <v>695897.0356</v>
      </c>
      <c r="G91" s="6">
        <f t="shared" si="6"/>
        <v>791902.9644</v>
      </c>
      <c r="H91" s="6">
        <f t="shared" si="12"/>
        <v>1487800</v>
      </c>
      <c r="I91" s="6">
        <f t="shared" si="7"/>
        <v>2464102.964</v>
      </c>
      <c r="J91" s="610">
        <v>4.2</v>
      </c>
      <c r="K91" s="591"/>
      <c r="L91" s="6"/>
      <c r="M91" s="75">
        <v>13000.0</v>
      </c>
      <c r="N91" s="79">
        <f t="shared" si="8"/>
        <v>1152900</v>
      </c>
      <c r="O91" s="6">
        <f t="shared" si="1"/>
        <v>100933.0356</v>
      </c>
      <c r="P91" s="6"/>
      <c r="Q91" s="6">
        <f t="shared" si="9"/>
        <v>1321.380792</v>
      </c>
      <c r="R91" s="6">
        <f t="shared" si="10"/>
        <v>100933.0356</v>
      </c>
      <c r="S91" s="81">
        <f t="shared" si="2"/>
        <v>12.74563175</v>
      </c>
      <c r="T91" s="6"/>
      <c r="U91" s="6"/>
      <c r="V91" s="6"/>
      <c r="W91" s="6"/>
      <c r="X91" s="6"/>
      <c r="Y91" s="6"/>
    </row>
    <row r="92" ht="11.25" customHeight="1">
      <c r="B92" s="68">
        <f t="shared" si="13"/>
        <v>87</v>
      </c>
      <c r="C92" s="40">
        <v>17300.0</v>
      </c>
      <c r="D92" s="6">
        <f t="shared" si="14"/>
        <v>8624.360375</v>
      </c>
      <c r="E92" s="6">
        <f t="shared" si="11"/>
        <v>8675.639625</v>
      </c>
      <c r="F92" s="6">
        <f t="shared" si="5"/>
        <v>704572.6753</v>
      </c>
      <c r="G92" s="6">
        <f t="shared" si="6"/>
        <v>800527.3247</v>
      </c>
      <c r="H92" s="6">
        <f t="shared" si="12"/>
        <v>1505100</v>
      </c>
      <c r="I92" s="6">
        <f t="shared" si="7"/>
        <v>2455427.325</v>
      </c>
      <c r="J92" s="610">
        <v>4.2</v>
      </c>
      <c r="K92" s="591"/>
      <c r="L92" s="6"/>
      <c r="M92" s="75">
        <v>13000.0</v>
      </c>
      <c r="N92" s="79">
        <f t="shared" si="8"/>
        <v>1165900</v>
      </c>
      <c r="O92" s="6">
        <f t="shared" si="1"/>
        <v>102284.6753</v>
      </c>
      <c r="P92" s="6"/>
      <c r="Q92" s="6">
        <f t="shared" si="9"/>
        <v>1351.639625</v>
      </c>
      <c r="R92" s="6">
        <f t="shared" si="10"/>
        <v>102284.6753</v>
      </c>
      <c r="S92" s="81">
        <f t="shared" si="2"/>
        <v>12.77716227</v>
      </c>
      <c r="T92" s="6"/>
      <c r="U92" s="6"/>
      <c r="V92" s="6"/>
      <c r="W92" s="6"/>
      <c r="X92" s="6"/>
      <c r="Y92" s="6"/>
    </row>
    <row r="93" ht="11.25" customHeight="1">
      <c r="A93" s="618">
        <v>45658.0</v>
      </c>
      <c r="B93" s="68">
        <f t="shared" si="13"/>
        <v>88</v>
      </c>
      <c r="C93" s="40">
        <v>17300.0</v>
      </c>
      <c r="D93" s="6">
        <f t="shared" si="14"/>
        <v>8593.995637</v>
      </c>
      <c r="E93" s="6">
        <f t="shared" si="11"/>
        <v>8706.004363</v>
      </c>
      <c r="F93" s="6">
        <f t="shared" si="5"/>
        <v>713278.6796</v>
      </c>
      <c r="G93" s="6">
        <f t="shared" si="6"/>
        <v>809121.3204</v>
      </c>
      <c r="H93" s="6">
        <f t="shared" si="12"/>
        <v>1522400</v>
      </c>
      <c r="I93" s="6">
        <f t="shared" si="7"/>
        <v>2446721.32</v>
      </c>
      <c r="J93" s="610">
        <v>4.2</v>
      </c>
      <c r="K93" s="591"/>
      <c r="L93" s="6"/>
      <c r="M93" s="75">
        <v>13000.0</v>
      </c>
      <c r="N93" s="79">
        <f t="shared" si="8"/>
        <v>1178900</v>
      </c>
      <c r="O93" s="6">
        <f t="shared" si="1"/>
        <v>103666.6796</v>
      </c>
      <c r="P93" s="6"/>
      <c r="Q93" s="6">
        <f t="shared" si="9"/>
        <v>1382.004363</v>
      </c>
      <c r="R93" s="6">
        <f t="shared" si="10"/>
        <v>103666.6796</v>
      </c>
      <c r="S93" s="81">
        <f t="shared" si="2"/>
        <v>12.81225411</v>
      </c>
      <c r="T93" s="6"/>
      <c r="U93" s="199" t="s">
        <v>2191</v>
      </c>
      <c r="V93" s="6"/>
      <c r="W93" s="6"/>
      <c r="X93" s="6"/>
      <c r="Y93" s="6"/>
    </row>
    <row r="94" ht="11.25" customHeight="1">
      <c r="A94" s="7"/>
      <c r="B94" s="68">
        <f t="shared" si="13"/>
        <v>89</v>
      </c>
      <c r="C94" s="40">
        <v>17300.0</v>
      </c>
      <c r="D94" s="6">
        <f t="shared" si="14"/>
        <v>7544.057404</v>
      </c>
      <c r="E94" s="6">
        <f t="shared" si="11"/>
        <v>9755.942596</v>
      </c>
      <c r="F94" s="6">
        <f t="shared" si="5"/>
        <v>723034.6222</v>
      </c>
      <c r="G94" s="6">
        <f t="shared" si="6"/>
        <v>816665.3778</v>
      </c>
      <c r="H94" s="6">
        <f t="shared" si="12"/>
        <v>1539700</v>
      </c>
      <c r="I94" s="6">
        <f t="shared" si="7"/>
        <v>2436965.378</v>
      </c>
      <c r="J94" s="610">
        <v>3.7</v>
      </c>
      <c r="K94" s="591"/>
      <c r="L94" s="6"/>
      <c r="M94" s="75">
        <v>13000.0</v>
      </c>
      <c r="N94" s="79">
        <f t="shared" si="8"/>
        <v>1191900</v>
      </c>
      <c r="O94" s="6">
        <f t="shared" si="1"/>
        <v>106098.6222</v>
      </c>
      <c r="P94" s="6"/>
      <c r="Q94" s="6">
        <f t="shared" si="9"/>
        <v>2431.942596</v>
      </c>
      <c r="R94" s="6">
        <f t="shared" si="10"/>
        <v>106098.6222</v>
      </c>
      <c r="S94" s="81">
        <f t="shared" si="2"/>
        <v>12.99168853</v>
      </c>
      <c r="T94" s="6"/>
      <c r="U94" s="140" t="s">
        <v>2192</v>
      </c>
      <c r="V94" s="6"/>
      <c r="W94" s="6"/>
      <c r="X94" s="6"/>
      <c r="Y94" s="6"/>
    </row>
    <row r="95" ht="11.25" customHeight="1">
      <c r="A95" s="7"/>
      <c r="B95" s="68">
        <f t="shared" si="13"/>
        <v>90</v>
      </c>
      <c r="C95" s="40">
        <v>17300.0</v>
      </c>
      <c r="D95" s="6">
        <f t="shared" si="14"/>
        <v>7513.976581</v>
      </c>
      <c r="E95" s="6">
        <f t="shared" si="11"/>
        <v>9786.023419</v>
      </c>
      <c r="F95" s="6">
        <f t="shared" si="5"/>
        <v>732820.6456</v>
      </c>
      <c r="G95" s="6">
        <f t="shared" si="6"/>
        <v>824179.3544</v>
      </c>
      <c r="H95" s="6">
        <f t="shared" si="12"/>
        <v>1557000</v>
      </c>
      <c r="I95" s="6">
        <f t="shared" si="7"/>
        <v>2427179.354</v>
      </c>
      <c r="J95" s="610">
        <v>3.7</v>
      </c>
      <c r="K95" s="591"/>
      <c r="L95" s="6"/>
      <c r="M95" s="75">
        <v>13000.0</v>
      </c>
      <c r="N95" s="79">
        <f t="shared" si="8"/>
        <v>1204900</v>
      </c>
      <c r="O95" s="6">
        <f t="shared" si="1"/>
        <v>108560.6456</v>
      </c>
      <c r="P95" s="6"/>
      <c r="Q95" s="6">
        <f t="shared" si="9"/>
        <v>2462.023419</v>
      </c>
      <c r="R95" s="6">
        <f t="shared" si="10"/>
        <v>108560.6456</v>
      </c>
      <c r="S95" s="81">
        <f t="shared" si="2"/>
        <v>13.17196859</v>
      </c>
      <c r="T95" s="6"/>
      <c r="U95" s="140" t="s">
        <v>2193</v>
      </c>
      <c r="V95" s="6"/>
      <c r="W95" s="6"/>
      <c r="X95" s="6"/>
      <c r="Y95" s="6"/>
    </row>
    <row r="96" ht="11.25" customHeight="1">
      <c r="A96" s="7"/>
      <c r="B96" s="68">
        <f t="shared" si="13"/>
        <v>91</v>
      </c>
      <c r="C96" s="40">
        <v>17300.0</v>
      </c>
      <c r="D96" s="6">
        <f t="shared" si="14"/>
        <v>7483.803009</v>
      </c>
      <c r="E96" s="6">
        <f t="shared" si="11"/>
        <v>9816.196991</v>
      </c>
      <c r="F96" s="6">
        <f t="shared" si="5"/>
        <v>742636.8426</v>
      </c>
      <c r="G96" s="6">
        <f t="shared" si="6"/>
        <v>831663.1574</v>
      </c>
      <c r="H96" s="6">
        <f t="shared" si="12"/>
        <v>1574300</v>
      </c>
      <c r="I96" s="6">
        <f t="shared" si="7"/>
        <v>2417363.157</v>
      </c>
      <c r="J96" s="610">
        <v>3.7</v>
      </c>
      <c r="K96" s="591"/>
      <c r="L96" s="6"/>
      <c r="M96" s="75">
        <v>13000.0</v>
      </c>
      <c r="N96" s="79">
        <f t="shared" si="8"/>
        <v>1217900</v>
      </c>
      <c r="O96" s="6">
        <f t="shared" si="1"/>
        <v>111052.8426</v>
      </c>
      <c r="P96" s="6"/>
      <c r="Q96" s="6">
        <f t="shared" si="9"/>
        <v>2492.196991</v>
      </c>
      <c r="R96" s="6">
        <f t="shared" si="10"/>
        <v>111052.8426</v>
      </c>
      <c r="S96" s="81">
        <f t="shared" si="2"/>
        <v>13.35310356</v>
      </c>
      <c r="T96" s="6"/>
      <c r="U96" s="140" t="s">
        <v>2194</v>
      </c>
      <c r="V96" s="9">
        <v>3.575</v>
      </c>
      <c r="W96" s="6"/>
      <c r="X96" s="6"/>
      <c r="Y96" s="6"/>
    </row>
    <row r="97" ht="11.25" customHeight="1">
      <c r="A97" s="7"/>
      <c r="B97" s="68">
        <f t="shared" si="13"/>
        <v>92</v>
      </c>
      <c r="C97" s="40">
        <v>17300.0</v>
      </c>
      <c r="D97" s="6">
        <f t="shared" si="14"/>
        <v>7453.536402</v>
      </c>
      <c r="E97" s="6">
        <f t="shared" si="11"/>
        <v>9846.463598</v>
      </c>
      <c r="F97" s="6">
        <f t="shared" si="5"/>
        <v>752483.3062</v>
      </c>
      <c r="G97" s="6">
        <f t="shared" si="6"/>
        <v>839116.6938</v>
      </c>
      <c r="H97" s="6">
        <f t="shared" si="12"/>
        <v>1591600</v>
      </c>
      <c r="I97" s="6">
        <f t="shared" si="7"/>
        <v>2407516.694</v>
      </c>
      <c r="J97" s="610">
        <v>3.7</v>
      </c>
      <c r="K97" s="591"/>
      <c r="L97" s="6"/>
      <c r="M97" s="75">
        <v>13000.0</v>
      </c>
      <c r="N97" s="79">
        <f t="shared" si="8"/>
        <v>1230900</v>
      </c>
      <c r="O97" s="6">
        <f t="shared" si="1"/>
        <v>113575.3062</v>
      </c>
      <c r="P97" s="6"/>
      <c r="Q97" s="6">
        <f t="shared" si="9"/>
        <v>2522.463598</v>
      </c>
      <c r="R97" s="6">
        <f t="shared" si="10"/>
        <v>113575.3062</v>
      </c>
      <c r="S97" s="81">
        <f t="shared" si="2"/>
        <v>13.5351027</v>
      </c>
      <c r="T97" s="6"/>
      <c r="U97" s="140" t="s">
        <v>2195</v>
      </c>
      <c r="V97" s="9">
        <v>4.075</v>
      </c>
      <c r="W97" s="6"/>
      <c r="X97" s="6"/>
      <c r="Y97" s="6"/>
    </row>
    <row r="98" ht="11.25" customHeight="1">
      <c r="A98" s="7"/>
      <c r="B98" s="68">
        <f t="shared" si="13"/>
        <v>93</v>
      </c>
      <c r="C98" s="40">
        <v>17300.0</v>
      </c>
      <c r="D98" s="6">
        <f t="shared" si="14"/>
        <v>7423.176472</v>
      </c>
      <c r="E98" s="6">
        <f t="shared" si="11"/>
        <v>9876.823528</v>
      </c>
      <c r="F98" s="6">
        <f t="shared" si="5"/>
        <v>762360.1298</v>
      </c>
      <c r="G98" s="6">
        <f t="shared" si="6"/>
        <v>846539.8702</v>
      </c>
      <c r="H98" s="6">
        <f t="shared" si="12"/>
        <v>1608900</v>
      </c>
      <c r="I98" s="6">
        <f t="shared" si="7"/>
        <v>2397639.87</v>
      </c>
      <c r="J98" s="610">
        <v>3.7</v>
      </c>
      <c r="K98" s="591"/>
      <c r="L98" s="6"/>
      <c r="M98" s="75">
        <v>13000.0</v>
      </c>
      <c r="N98" s="79">
        <f t="shared" si="8"/>
        <v>1243900</v>
      </c>
      <c r="O98" s="6">
        <f t="shared" si="1"/>
        <v>116128.1298</v>
      </c>
      <c r="P98" s="6"/>
      <c r="Q98" s="6">
        <f t="shared" si="9"/>
        <v>2552.823528</v>
      </c>
      <c r="R98" s="6">
        <f t="shared" si="10"/>
        <v>116128.1298</v>
      </c>
      <c r="S98" s="81">
        <f t="shared" si="2"/>
        <v>13.71797524</v>
      </c>
      <c r="T98" s="6"/>
      <c r="U98" s="6"/>
      <c r="V98" s="6"/>
      <c r="W98" s="6"/>
      <c r="X98" s="6"/>
      <c r="Y98" s="6"/>
    </row>
    <row r="99" ht="11.25" customHeight="1">
      <c r="A99" s="7"/>
      <c r="B99" s="68">
        <f t="shared" si="13"/>
        <v>94</v>
      </c>
      <c r="C99" s="40">
        <v>17300.0</v>
      </c>
      <c r="D99" s="6">
        <f t="shared" si="14"/>
        <v>7392.722933</v>
      </c>
      <c r="E99" s="6">
        <f t="shared" si="11"/>
        <v>9907.277067</v>
      </c>
      <c r="F99" s="6">
        <f t="shared" si="5"/>
        <v>772267.4068</v>
      </c>
      <c r="G99" s="6">
        <f t="shared" si="6"/>
        <v>853932.5932</v>
      </c>
      <c r="H99" s="6">
        <f t="shared" si="12"/>
        <v>1626200</v>
      </c>
      <c r="I99" s="6">
        <f t="shared" si="7"/>
        <v>2387732.593</v>
      </c>
      <c r="J99" s="610">
        <v>3.7</v>
      </c>
      <c r="K99" s="591"/>
      <c r="L99" s="6"/>
      <c r="M99" s="75">
        <v>13000.0</v>
      </c>
      <c r="N99" s="79">
        <f t="shared" si="8"/>
        <v>1256900</v>
      </c>
      <c r="O99" s="6">
        <f t="shared" si="1"/>
        <v>118711.4068</v>
      </c>
      <c r="P99" s="6"/>
      <c r="Q99" s="6">
        <f t="shared" si="9"/>
        <v>2583.277067</v>
      </c>
      <c r="R99" s="6">
        <f t="shared" si="10"/>
        <v>118711.4068</v>
      </c>
      <c r="S99" s="81">
        <f t="shared" si="2"/>
        <v>13.90173039</v>
      </c>
      <c r="T99" s="6"/>
      <c r="U99" s="6"/>
      <c r="V99" s="6"/>
      <c r="W99" s="6"/>
      <c r="X99" s="6"/>
      <c r="Y99" s="6"/>
    </row>
    <row r="100" ht="11.25" customHeight="1">
      <c r="A100" s="7"/>
      <c r="B100" s="68">
        <f t="shared" si="13"/>
        <v>95</v>
      </c>
      <c r="C100" s="40">
        <v>17300.0</v>
      </c>
      <c r="D100" s="6">
        <f t="shared" si="14"/>
        <v>7362.175496</v>
      </c>
      <c r="E100" s="6">
        <f t="shared" si="11"/>
        <v>9937.824504</v>
      </c>
      <c r="F100" s="6">
        <f t="shared" si="5"/>
        <v>782205.2313</v>
      </c>
      <c r="G100" s="6">
        <f t="shared" si="6"/>
        <v>861294.7687</v>
      </c>
      <c r="H100" s="6">
        <f t="shared" si="12"/>
        <v>1643500</v>
      </c>
      <c r="I100" s="6">
        <f t="shared" si="7"/>
        <v>2377794.769</v>
      </c>
      <c r="J100" s="610">
        <v>3.7</v>
      </c>
      <c r="K100" s="591"/>
      <c r="L100" s="6"/>
      <c r="M100" s="75">
        <v>13000.0</v>
      </c>
      <c r="N100" s="79">
        <f t="shared" si="8"/>
        <v>1269900</v>
      </c>
      <c r="O100" s="6">
        <f t="shared" si="1"/>
        <v>121325.2313</v>
      </c>
      <c r="P100" s="6"/>
      <c r="Q100" s="6">
        <f t="shared" si="9"/>
        <v>2613.824504</v>
      </c>
      <c r="R100" s="6">
        <f t="shared" si="10"/>
        <v>121325.2313</v>
      </c>
      <c r="S100" s="81">
        <f t="shared" si="2"/>
        <v>14.08637736</v>
      </c>
      <c r="T100" s="6"/>
      <c r="U100" s="6"/>
      <c r="V100" s="6"/>
      <c r="W100" s="6"/>
      <c r="X100" s="6"/>
      <c r="Y100" s="6"/>
    </row>
    <row r="101" ht="11.25" customHeight="1">
      <c r="A101" s="71"/>
      <c r="B101" s="72">
        <f t="shared" si="13"/>
        <v>96</v>
      </c>
      <c r="C101" s="40">
        <v>17300.0</v>
      </c>
      <c r="D101" s="10">
        <f t="shared" si="14"/>
        <v>7331.53387</v>
      </c>
      <c r="E101" s="10">
        <f t="shared" si="11"/>
        <v>9968.46613</v>
      </c>
      <c r="F101" s="10">
        <f t="shared" si="5"/>
        <v>792173.6975</v>
      </c>
      <c r="G101" s="10">
        <f t="shared" si="6"/>
        <v>868626.3025</v>
      </c>
      <c r="H101" s="10">
        <f t="shared" si="12"/>
        <v>1660800</v>
      </c>
      <c r="I101" s="10">
        <f t="shared" si="7"/>
        <v>2367826.303</v>
      </c>
      <c r="J101" s="610">
        <v>3.7</v>
      </c>
      <c r="K101" s="591"/>
      <c r="L101" s="6"/>
      <c r="M101" s="9">
        <v>0.0</v>
      </c>
      <c r="N101" s="79">
        <f t="shared" si="8"/>
        <v>1269900</v>
      </c>
      <c r="O101" s="6">
        <f t="shared" si="1"/>
        <v>110969.6975</v>
      </c>
      <c r="P101" s="6"/>
      <c r="Q101" s="6">
        <f t="shared" si="9"/>
        <v>-10355.53387</v>
      </c>
      <c r="R101" s="6">
        <f t="shared" si="10"/>
        <v>110969.6975</v>
      </c>
      <c r="S101" s="81">
        <f t="shared" si="2"/>
        <v>12.77530938</v>
      </c>
      <c r="T101" s="6"/>
      <c r="U101" s="6"/>
      <c r="V101" s="6"/>
      <c r="W101" s="6"/>
      <c r="X101" s="6"/>
      <c r="Y101" s="6"/>
    </row>
    <row r="102" ht="11.25" customHeight="1">
      <c r="A102" s="100">
        <v>9.0</v>
      </c>
      <c r="B102" s="66">
        <f t="shared" si="13"/>
        <v>97</v>
      </c>
      <c r="C102" s="40">
        <v>17300.0</v>
      </c>
      <c r="D102" s="617">
        <f t="shared" si="14"/>
        <v>7300.797766</v>
      </c>
      <c r="E102" s="617">
        <f t="shared" si="11"/>
        <v>9999.202234</v>
      </c>
      <c r="F102" s="617">
        <f t="shared" si="5"/>
        <v>802172.8997</v>
      </c>
      <c r="G102" s="617">
        <f t="shared" si="6"/>
        <v>875927.1003</v>
      </c>
      <c r="H102" s="617">
        <f t="shared" si="12"/>
        <v>1678100</v>
      </c>
      <c r="I102" s="617">
        <f t="shared" si="7"/>
        <v>2357827.1</v>
      </c>
      <c r="J102" s="610">
        <v>3.7</v>
      </c>
      <c r="K102" s="591"/>
      <c r="L102" s="6"/>
      <c r="M102" s="9">
        <v>0.0</v>
      </c>
      <c r="N102" s="79">
        <f t="shared" si="8"/>
        <v>1269900</v>
      </c>
      <c r="O102" s="6">
        <f t="shared" si="1"/>
        <v>100644.8997</v>
      </c>
      <c r="P102" s="6"/>
      <c r="Q102" s="6">
        <f t="shared" si="9"/>
        <v>-10324.79777</v>
      </c>
      <c r="R102" s="6">
        <f t="shared" si="10"/>
        <v>100644.8997</v>
      </c>
      <c r="S102" s="81">
        <f t="shared" si="2"/>
        <v>11.49009999</v>
      </c>
      <c r="T102" s="6"/>
      <c r="U102" s="6"/>
      <c r="V102" s="6"/>
      <c r="W102" s="6"/>
      <c r="X102" s="6"/>
      <c r="Y102" s="6"/>
    </row>
    <row r="103" ht="11.25" customHeight="1">
      <c r="A103" s="7"/>
      <c r="B103" s="68">
        <f t="shared" si="13"/>
        <v>98</v>
      </c>
      <c r="C103" s="40">
        <v>17300.0</v>
      </c>
      <c r="D103" s="6">
        <f t="shared" si="14"/>
        <v>7269.966893</v>
      </c>
      <c r="E103" s="6">
        <f t="shared" si="11"/>
        <v>10030.03311</v>
      </c>
      <c r="F103" s="6">
        <f t="shared" si="5"/>
        <v>812202.9328</v>
      </c>
      <c r="G103" s="6">
        <f t="shared" si="6"/>
        <v>883197.0672</v>
      </c>
      <c r="H103" s="6">
        <f t="shared" si="12"/>
        <v>1695400</v>
      </c>
      <c r="I103" s="6">
        <f t="shared" si="7"/>
        <v>2347797.067</v>
      </c>
      <c r="J103" s="610">
        <v>3.7</v>
      </c>
      <c r="K103" s="591"/>
      <c r="L103" s="6"/>
      <c r="M103" s="9">
        <v>0.0</v>
      </c>
      <c r="N103" s="79">
        <f t="shared" si="8"/>
        <v>1269900</v>
      </c>
      <c r="O103" s="6">
        <f t="shared" si="1"/>
        <v>90350.93281</v>
      </c>
      <c r="P103" s="6"/>
      <c r="Q103" s="6">
        <f t="shared" si="9"/>
        <v>-10293.96689</v>
      </c>
      <c r="R103" s="6">
        <f t="shared" si="10"/>
        <v>90350.93281</v>
      </c>
      <c r="S103" s="81">
        <f t="shared" si="2"/>
        <v>10.2299856</v>
      </c>
      <c r="T103" s="6"/>
      <c r="U103" s="6"/>
      <c r="V103" s="6"/>
      <c r="W103" s="6"/>
      <c r="X103" s="6"/>
      <c r="Y103" s="6"/>
    </row>
    <row r="104" ht="11.25" customHeight="1">
      <c r="A104" s="7"/>
      <c r="B104" s="68">
        <f t="shared" si="13"/>
        <v>99</v>
      </c>
      <c r="C104" s="40">
        <v>17300.0</v>
      </c>
      <c r="D104" s="6">
        <f t="shared" si="14"/>
        <v>7239.040957</v>
      </c>
      <c r="E104" s="6">
        <f t="shared" si="11"/>
        <v>10060.95904</v>
      </c>
      <c r="F104" s="6">
        <f t="shared" si="5"/>
        <v>822263.8919</v>
      </c>
      <c r="G104" s="6">
        <f t="shared" si="6"/>
        <v>890436.1081</v>
      </c>
      <c r="H104" s="6">
        <f t="shared" si="12"/>
        <v>1712700</v>
      </c>
      <c r="I104" s="75">
        <v>2254413.4</v>
      </c>
      <c r="J104" s="610">
        <v>3.7</v>
      </c>
      <c r="K104" s="591"/>
      <c r="L104" s="6"/>
      <c r="M104" s="9">
        <v>0.0</v>
      </c>
      <c r="N104" s="79">
        <f t="shared" si="8"/>
        <v>1269900</v>
      </c>
      <c r="O104" s="6">
        <f t="shared" si="1"/>
        <v>80087.89185</v>
      </c>
      <c r="P104" s="6"/>
      <c r="Q104" s="6">
        <f t="shared" si="9"/>
        <v>-10263.04096</v>
      </c>
      <c r="R104" s="6">
        <f t="shared" si="10"/>
        <v>80087.89185</v>
      </c>
      <c r="S104" s="81">
        <f t="shared" si="2"/>
        <v>8.994232278</v>
      </c>
      <c r="T104" s="6"/>
      <c r="U104" s="6"/>
      <c r="V104" s="6"/>
      <c r="W104" s="6"/>
      <c r="X104" s="6"/>
      <c r="Y104" s="6"/>
    </row>
    <row r="105" ht="11.25" customHeight="1">
      <c r="A105" s="54">
        <v>46023.0</v>
      </c>
      <c r="B105" s="68">
        <f t="shared" si="13"/>
        <v>100</v>
      </c>
      <c r="C105" s="40">
        <v>17300.0</v>
      </c>
      <c r="D105" s="6">
        <f t="shared" si="14"/>
        <v>6951.107983</v>
      </c>
      <c r="E105" s="6">
        <f t="shared" si="11"/>
        <v>10348.89202</v>
      </c>
      <c r="F105" s="6">
        <f t="shared" si="5"/>
        <v>832612.7839</v>
      </c>
      <c r="G105" s="6">
        <f t="shared" si="6"/>
        <v>897387.2161</v>
      </c>
      <c r="H105" s="6">
        <f t="shared" si="12"/>
        <v>1730000</v>
      </c>
      <c r="I105" s="6">
        <f t="shared" ref="I105:I365" si="15">I104-E105</f>
        <v>2244064.508</v>
      </c>
      <c r="J105" s="610">
        <v>3.7</v>
      </c>
      <c r="K105" s="591"/>
      <c r="L105" s="6"/>
      <c r="M105" s="75">
        <v>13000.0</v>
      </c>
      <c r="N105" s="79">
        <f t="shared" si="8"/>
        <v>1282900</v>
      </c>
      <c r="O105" s="6">
        <f t="shared" si="1"/>
        <v>83112.78387</v>
      </c>
      <c r="P105" s="6"/>
      <c r="Q105" s="6">
        <f t="shared" si="9"/>
        <v>3024.892017</v>
      </c>
      <c r="R105" s="6">
        <f t="shared" si="10"/>
        <v>83112.78387</v>
      </c>
      <c r="S105" s="81">
        <f t="shared" si="2"/>
        <v>9.261641171</v>
      </c>
      <c r="T105" s="6"/>
      <c r="U105" s="6"/>
      <c r="V105" s="6"/>
      <c r="W105" s="6"/>
      <c r="X105" s="6"/>
      <c r="Y105" s="6"/>
    </row>
    <row r="106" ht="11.25" customHeight="1">
      <c r="A106" s="7"/>
      <c r="B106" s="68">
        <f t="shared" si="13"/>
        <v>101</v>
      </c>
      <c r="C106" s="40">
        <v>17300.0</v>
      </c>
      <c r="D106" s="6">
        <f t="shared" si="14"/>
        <v>6919.1989</v>
      </c>
      <c r="E106" s="6">
        <f t="shared" si="11"/>
        <v>10380.8011</v>
      </c>
      <c r="F106" s="6">
        <f t="shared" si="5"/>
        <v>842993.585</v>
      </c>
      <c r="G106" s="6">
        <f t="shared" si="6"/>
        <v>904306.415</v>
      </c>
      <c r="H106" s="6">
        <f t="shared" si="12"/>
        <v>1747300</v>
      </c>
      <c r="I106" s="6">
        <f t="shared" si="15"/>
        <v>2233683.707</v>
      </c>
      <c r="J106" s="610">
        <v>3.7</v>
      </c>
      <c r="K106" s="591"/>
      <c r="L106" s="6"/>
      <c r="M106" s="75">
        <v>13000.0</v>
      </c>
      <c r="N106" s="79">
        <f t="shared" si="8"/>
        <v>1295900</v>
      </c>
      <c r="O106" s="6">
        <f t="shared" si="1"/>
        <v>86169.58497</v>
      </c>
      <c r="P106" s="6"/>
      <c r="Q106" s="6">
        <f t="shared" si="9"/>
        <v>3056.8011</v>
      </c>
      <c r="R106" s="6">
        <f t="shared" si="10"/>
        <v>86169.58497</v>
      </c>
      <c r="S106" s="81">
        <f t="shared" si="2"/>
        <v>9.528803903</v>
      </c>
      <c r="T106" s="6"/>
      <c r="U106" s="6"/>
      <c r="V106" s="6"/>
      <c r="W106" s="6"/>
      <c r="X106" s="6"/>
      <c r="Y106" s="6"/>
    </row>
    <row r="107" ht="11.25" customHeight="1">
      <c r="A107" s="7"/>
      <c r="B107" s="68">
        <f t="shared" si="13"/>
        <v>102</v>
      </c>
      <c r="C107" s="40">
        <v>17300.0</v>
      </c>
      <c r="D107" s="6">
        <f t="shared" si="14"/>
        <v>6887.19143</v>
      </c>
      <c r="E107" s="6">
        <f t="shared" si="11"/>
        <v>10412.80857</v>
      </c>
      <c r="F107" s="6">
        <f t="shared" si="5"/>
        <v>853406.3935</v>
      </c>
      <c r="G107" s="6">
        <f t="shared" si="6"/>
        <v>911193.6065</v>
      </c>
      <c r="H107" s="6">
        <f t="shared" si="12"/>
        <v>1764600</v>
      </c>
      <c r="I107" s="6">
        <f t="shared" si="15"/>
        <v>2223270.898</v>
      </c>
      <c r="J107" s="610">
        <v>3.7</v>
      </c>
      <c r="K107" s="591"/>
      <c r="L107" s="6"/>
      <c r="M107" s="75">
        <v>13000.0</v>
      </c>
      <c r="N107" s="79">
        <f t="shared" si="8"/>
        <v>1308900</v>
      </c>
      <c r="O107" s="6">
        <f t="shared" si="1"/>
        <v>89258.39354</v>
      </c>
      <c r="P107" s="6"/>
      <c r="Q107" s="6">
        <f t="shared" si="9"/>
        <v>3088.80857</v>
      </c>
      <c r="R107" s="6">
        <f t="shared" si="10"/>
        <v>89258.39354</v>
      </c>
      <c r="S107" s="81">
        <f t="shared" si="2"/>
        <v>9.795766005</v>
      </c>
      <c r="T107" s="6"/>
      <c r="U107" s="6"/>
      <c r="V107" s="6"/>
      <c r="W107" s="6"/>
      <c r="X107" s="6"/>
      <c r="Y107" s="6"/>
    </row>
    <row r="108" ht="11.25" customHeight="1">
      <c r="A108" s="7"/>
      <c r="B108" s="68">
        <f t="shared" si="13"/>
        <v>103</v>
      </c>
      <c r="C108" s="40">
        <v>17300.0</v>
      </c>
      <c r="D108" s="6">
        <f t="shared" si="14"/>
        <v>6855.08527</v>
      </c>
      <c r="E108" s="6">
        <f t="shared" si="11"/>
        <v>10444.91473</v>
      </c>
      <c r="F108" s="6">
        <f t="shared" si="5"/>
        <v>863851.3083</v>
      </c>
      <c r="G108" s="6">
        <f t="shared" si="6"/>
        <v>918048.6917</v>
      </c>
      <c r="H108" s="6">
        <f t="shared" si="12"/>
        <v>1781900</v>
      </c>
      <c r="I108" s="6">
        <f t="shared" si="15"/>
        <v>2212825.984</v>
      </c>
      <c r="J108" s="610">
        <v>3.7</v>
      </c>
      <c r="K108" s="591"/>
      <c r="L108" s="6"/>
      <c r="M108" s="75">
        <v>13000.0</v>
      </c>
      <c r="N108" s="79">
        <f t="shared" si="8"/>
        <v>1321900</v>
      </c>
      <c r="O108" s="6">
        <f t="shared" si="1"/>
        <v>92379.30827</v>
      </c>
      <c r="P108" s="6"/>
      <c r="Q108" s="6">
        <f t="shared" si="9"/>
        <v>3120.91473</v>
      </c>
      <c r="R108" s="6">
        <f t="shared" si="10"/>
        <v>92379.30827</v>
      </c>
      <c r="S108" s="81">
        <f t="shared" si="2"/>
        <v>10.06257175</v>
      </c>
      <c r="T108" s="6"/>
      <c r="U108" s="6"/>
      <c r="V108" s="6"/>
      <c r="W108" s="6"/>
      <c r="X108" s="6"/>
      <c r="Y108" s="6"/>
    </row>
    <row r="109" ht="11.25" customHeight="1">
      <c r="A109" s="7"/>
      <c r="B109" s="68">
        <f t="shared" si="13"/>
        <v>104</v>
      </c>
      <c r="C109" s="40">
        <v>17300.0</v>
      </c>
      <c r="D109" s="6">
        <f t="shared" si="14"/>
        <v>6822.880116</v>
      </c>
      <c r="E109" s="6">
        <f t="shared" si="11"/>
        <v>10477.11988</v>
      </c>
      <c r="F109" s="6">
        <f t="shared" si="5"/>
        <v>874328.4282</v>
      </c>
      <c r="G109" s="6">
        <f t="shared" si="6"/>
        <v>924871.5718</v>
      </c>
      <c r="H109" s="6">
        <f t="shared" si="12"/>
        <v>1799200</v>
      </c>
      <c r="I109" s="6">
        <f t="shared" si="15"/>
        <v>2202348.864</v>
      </c>
      <c r="J109" s="610">
        <v>3.7</v>
      </c>
      <c r="K109" s="591"/>
      <c r="L109" s="6"/>
      <c r="M109" s="75">
        <v>13000.0</v>
      </c>
      <c r="N109" s="79">
        <f t="shared" si="8"/>
        <v>1334900</v>
      </c>
      <c r="O109" s="6">
        <f t="shared" si="1"/>
        <v>95532.42815</v>
      </c>
      <c r="P109" s="6"/>
      <c r="Q109" s="6">
        <f t="shared" si="9"/>
        <v>3153.119884</v>
      </c>
      <c r="R109" s="6">
        <f t="shared" si="10"/>
        <v>95532.42815</v>
      </c>
      <c r="S109" s="81">
        <f t="shared" si="2"/>
        <v>10.3292642</v>
      </c>
      <c r="T109" s="6"/>
      <c r="U109" s="6"/>
      <c r="V109" s="6"/>
      <c r="W109" s="6"/>
      <c r="X109" s="6"/>
      <c r="Y109" s="6"/>
    </row>
    <row r="110" ht="11.25" customHeight="1">
      <c r="A110" s="7"/>
      <c r="B110" s="68">
        <f t="shared" si="13"/>
        <v>105</v>
      </c>
      <c r="C110" s="607">
        <v>17300.0</v>
      </c>
      <c r="D110" s="6">
        <f t="shared" si="14"/>
        <v>6790.575663</v>
      </c>
      <c r="E110" s="6">
        <f t="shared" si="11"/>
        <v>10509.42434</v>
      </c>
      <c r="F110" s="6">
        <f t="shared" si="5"/>
        <v>884837.8525</v>
      </c>
      <c r="G110" s="6">
        <f t="shared" si="6"/>
        <v>931662.1475</v>
      </c>
      <c r="H110" s="6">
        <f t="shared" si="12"/>
        <v>1816500</v>
      </c>
      <c r="I110" s="6">
        <f t="shared" si="15"/>
        <v>2191839.439</v>
      </c>
      <c r="J110" s="610">
        <v>3.7</v>
      </c>
      <c r="K110" s="591"/>
      <c r="L110" s="6"/>
      <c r="M110" s="75">
        <v>13000.0</v>
      </c>
      <c r="N110" s="79">
        <f t="shared" si="8"/>
        <v>1347900</v>
      </c>
      <c r="O110" s="6">
        <f t="shared" si="1"/>
        <v>98717.85249</v>
      </c>
      <c r="P110" s="6"/>
      <c r="Q110" s="6">
        <f t="shared" si="9"/>
        <v>3185.424337</v>
      </c>
      <c r="R110" s="6">
        <f t="shared" si="10"/>
        <v>98717.85249</v>
      </c>
      <c r="S110" s="81">
        <f t="shared" si="2"/>
        <v>10.5958853</v>
      </c>
      <c r="T110" s="6"/>
      <c r="U110" s="6"/>
      <c r="V110" s="6"/>
      <c r="W110" s="6"/>
      <c r="X110" s="6"/>
      <c r="Y110" s="6"/>
    </row>
    <row r="111" ht="11.25" customHeight="1">
      <c r="A111" s="7"/>
      <c r="B111" s="68">
        <f t="shared" si="13"/>
        <v>106</v>
      </c>
      <c r="C111" s="607">
        <v>17300.0</v>
      </c>
      <c r="D111" s="6">
        <f t="shared" si="14"/>
        <v>6758.171605</v>
      </c>
      <c r="E111" s="6">
        <f t="shared" si="11"/>
        <v>10541.8284</v>
      </c>
      <c r="F111" s="6">
        <f t="shared" si="5"/>
        <v>895379.6809</v>
      </c>
      <c r="G111" s="6">
        <f t="shared" si="6"/>
        <v>938420.3191</v>
      </c>
      <c r="H111" s="6">
        <f t="shared" si="12"/>
        <v>1833800</v>
      </c>
      <c r="I111" s="6">
        <f t="shared" si="15"/>
        <v>2181297.611</v>
      </c>
      <c r="J111" s="610">
        <v>3.7</v>
      </c>
      <c r="K111" s="591"/>
      <c r="L111" s="6"/>
      <c r="M111" s="75">
        <v>13000.0</v>
      </c>
      <c r="N111" s="79">
        <f t="shared" si="8"/>
        <v>1360900</v>
      </c>
      <c r="O111" s="6">
        <f t="shared" si="1"/>
        <v>101935.6809</v>
      </c>
      <c r="P111" s="6"/>
      <c r="Q111" s="6">
        <f t="shared" si="9"/>
        <v>3217.828395</v>
      </c>
      <c r="R111" s="6">
        <f t="shared" si="10"/>
        <v>101935.6809</v>
      </c>
      <c r="S111" s="81">
        <f t="shared" si="2"/>
        <v>10.86247589</v>
      </c>
      <c r="T111" s="6"/>
      <c r="U111" s="6"/>
      <c r="V111" s="6"/>
      <c r="W111" s="6"/>
      <c r="X111" s="6"/>
      <c r="Y111" s="6"/>
    </row>
    <row r="112" ht="11.25" customHeight="1">
      <c r="A112" s="7"/>
      <c r="B112" s="68">
        <f t="shared" si="13"/>
        <v>107</v>
      </c>
      <c r="C112" s="607">
        <v>17300.0</v>
      </c>
      <c r="D112" s="6">
        <f t="shared" si="14"/>
        <v>6725.667634</v>
      </c>
      <c r="E112" s="6">
        <f t="shared" si="11"/>
        <v>10574.33237</v>
      </c>
      <c r="F112" s="6">
        <f t="shared" si="5"/>
        <v>905954.0133</v>
      </c>
      <c r="G112" s="6">
        <f t="shared" si="6"/>
        <v>945145.9867</v>
      </c>
      <c r="H112" s="6">
        <f t="shared" si="12"/>
        <v>1851100</v>
      </c>
      <c r="I112" s="6">
        <f t="shared" si="15"/>
        <v>2170723.279</v>
      </c>
      <c r="J112" s="610">
        <v>3.7</v>
      </c>
      <c r="K112" s="591"/>
      <c r="L112" s="6"/>
      <c r="M112" s="75">
        <v>13000.0</v>
      </c>
      <c r="N112" s="79">
        <f t="shared" si="8"/>
        <v>1373900</v>
      </c>
      <c r="O112" s="6">
        <f t="shared" si="1"/>
        <v>105186.0133</v>
      </c>
      <c r="P112" s="6"/>
      <c r="Q112" s="6">
        <f t="shared" si="9"/>
        <v>3250.332366</v>
      </c>
      <c r="R112" s="6">
        <f t="shared" si="10"/>
        <v>105186.0133</v>
      </c>
      <c r="S112" s="81">
        <f t="shared" si="2"/>
        <v>11.1290758</v>
      </c>
      <c r="T112" s="6"/>
      <c r="U112" s="6"/>
      <c r="V112" s="6"/>
      <c r="W112" s="6"/>
      <c r="X112" s="6"/>
      <c r="Y112" s="6"/>
    </row>
    <row r="113" ht="11.25" customHeight="1">
      <c r="A113" s="71"/>
      <c r="B113" s="72">
        <f t="shared" si="13"/>
        <v>108</v>
      </c>
      <c r="C113" s="607">
        <v>17300.0</v>
      </c>
      <c r="D113" s="10">
        <f t="shared" si="14"/>
        <v>6693.063442</v>
      </c>
      <c r="E113" s="10">
        <f t="shared" si="11"/>
        <v>10606.93656</v>
      </c>
      <c r="F113" s="10">
        <f t="shared" si="5"/>
        <v>916560.9498</v>
      </c>
      <c r="G113" s="10">
        <f t="shared" si="6"/>
        <v>951839.0502</v>
      </c>
      <c r="H113" s="10">
        <f t="shared" si="12"/>
        <v>1868400</v>
      </c>
      <c r="I113" s="10">
        <f t="shared" si="15"/>
        <v>2160116.342</v>
      </c>
      <c r="J113" s="610">
        <v>3.7</v>
      </c>
      <c r="K113" s="591"/>
      <c r="L113" s="6"/>
      <c r="M113" s="75">
        <v>13000.0</v>
      </c>
      <c r="N113" s="79">
        <f t="shared" si="8"/>
        <v>1386900</v>
      </c>
      <c r="O113" s="6">
        <f t="shared" si="1"/>
        <v>108468.9498</v>
      </c>
      <c r="P113" s="6"/>
      <c r="Q113" s="6">
        <f t="shared" si="9"/>
        <v>3282.936558</v>
      </c>
      <c r="R113" s="6">
        <f t="shared" si="10"/>
        <v>108468.9498</v>
      </c>
      <c r="S113" s="81">
        <f t="shared" si="2"/>
        <v>11.39572387</v>
      </c>
      <c r="T113" s="6"/>
      <c r="U113" s="6"/>
      <c r="V113" s="6"/>
      <c r="W113" s="6"/>
      <c r="X113" s="6"/>
      <c r="Y113" s="6"/>
    </row>
    <row r="114" ht="11.25" customHeight="1">
      <c r="A114" s="100">
        <v>10.0</v>
      </c>
      <c r="B114" s="66">
        <f t="shared" si="13"/>
        <v>109</v>
      </c>
      <c r="C114" s="607">
        <v>17300.0</v>
      </c>
      <c r="D114" s="617">
        <f t="shared" si="14"/>
        <v>6660.358721</v>
      </c>
      <c r="E114" s="617">
        <f t="shared" si="11"/>
        <v>10639.64128</v>
      </c>
      <c r="F114" s="617">
        <f t="shared" si="5"/>
        <v>927200.5911</v>
      </c>
      <c r="G114" s="617">
        <f t="shared" si="6"/>
        <v>958499.4089</v>
      </c>
      <c r="H114" s="617">
        <f t="shared" si="12"/>
        <v>1885700</v>
      </c>
      <c r="I114" s="617">
        <f t="shared" si="15"/>
        <v>2149476.701</v>
      </c>
      <c r="J114" s="610">
        <v>3.7</v>
      </c>
      <c r="K114" s="591"/>
      <c r="L114" s="6"/>
      <c r="M114" s="75">
        <v>13000.0</v>
      </c>
      <c r="N114" s="79">
        <f t="shared" si="8"/>
        <v>1399900</v>
      </c>
      <c r="O114" s="6">
        <f t="shared" si="1"/>
        <v>111784.5911</v>
      </c>
      <c r="P114" s="6"/>
      <c r="Q114" s="6">
        <f t="shared" si="9"/>
        <v>3315.641279</v>
      </c>
      <c r="R114" s="6">
        <f t="shared" si="10"/>
        <v>111784.5911</v>
      </c>
      <c r="S114" s="81">
        <f t="shared" si="2"/>
        <v>11.66245801</v>
      </c>
      <c r="T114" s="6"/>
      <c r="U114" s="6"/>
      <c r="V114" s="6"/>
      <c r="W114" s="6"/>
      <c r="X114" s="6"/>
      <c r="Y114" s="6"/>
    </row>
    <row r="115" ht="11.25" customHeight="1">
      <c r="A115" s="7"/>
      <c r="B115" s="68">
        <f t="shared" si="13"/>
        <v>110</v>
      </c>
      <c r="C115" s="607">
        <v>17300.0</v>
      </c>
      <c r="D115" s="6">
        <f t="shared" si="14"/>
        <v>6627.553161</v>
      </c>
      <c r="E115" s="6">
        <f t="shared" si="11"/>
        <v>10672.44684</v>
      </c>
      <c r="F115" s="6">
        <f t="shared" si="5"/>
        <v>937873.0379</v>
      </c>
      <c r="G115" s="6">
        <f t="shared" si="6"/>
        <v>965126.9621</v>
      </c>
      <c r="H115" s="6">
        <f t="shared" si="12"/>
        <v>1903000</v>
      </c>
      <c r="I115" s="6">
        <f t="shared" si="15"/>
        <v>2138804.254</v>
      </c>
      <c r="J115" s="610">
        <v>3.7</v>
      </c>
      <c r="K115" s="591"/>
      <c r="L115" s="6"/>
      <c r="M115" s="75">
        <v>13000.0</v>
      </c>
      <c r="N115" s="79">
        <f t="shared" si="8"/>
        <v>1412900</v>
      </c>
      <c r="O115" s="6">
        <f t="shared" si="1"/>
        <v>115133.0379</v>
      </c>
      <c r="P115" s="6"/>
      <c r="Q115" s="6">
        <f t="shared" si="9"/>
        <v>3348.446839</v>
      </c>
      <c r="R115" s="6">
        <f t="shared" si="10"/>
        <v>115133.0379</v>
      </c>
      <c r="S115" s="81">
        <f t="shared" si="2"/>
        <v>11.92931526</v>
      </c>
      <c r="T115" s="6"/>
      <c r="U115" s="6"/>
      <c r="V115" s="6"/>
      <c r="W115" s="6"/>
      <c r="X115" s="6"/>
      <c r="Y115" s="6"/>
    </row>
    <row r="116" ht="11.25" customHeight="1">
      <c r="A116" s="54"/>
      <c r="B116" s="68">
        <f t="shared" si="13"/>
        <v>111</v>
      </c>
      <c r="C116" s="607">
        <v>17300.0</v>
      </c>
      <c r="D116" s="6">
        <f t="shared" si="14"/>
        <v>6594.64645</v>
      </c>
      <c r="E116" s="6">
        <f t="shared" si="11"/>
        <v>10705.35355</v>
      </c>
      <c r="F116" s="6">
        <f t="shared" si="5"/>
        <v>948578.3915</v>
      </c>
      <c r="G116" s="6">
        <f t="shared" si="6"/>
        <v>971721.6085</v>
      </c>
      <c r="H116" s="6">
        <f t="shared" si="12"/>
        <v>1920300</v>
      </c>
      <c r="I116" s="6">
        <f t="shared" si="15"/>
        <v>2128098.9</v>
      </c>
      <c r="J116" s="610">
        <v>3.7</v>
      </c>
      <c r="K116" s="591"/>
      <c r="L116" s="6"/>
      <c r="M116" s="75">
        <v>13000.0</v>
      </c>
      <c r="N116" s="79">
        <f t="shared" si="8"/>
        <v>1425900</v>
      </c>
      <c r="O116" s="6">
        <f t="shared" si="1"/>
        <v>118514.3915</v>
      </c>
      <c r="P116" s="6"/>
      <c r="Q116" s="6">
        <f t="shared" si="9"/>
        <v>3381.35355</v>
      </c>
      <c r="R116" s="6">
        <f t="shared" si="10"/>
        <v>118514.3915</v>
      </c>
      <c r="S116" s="81">
        <f t="shared" si="2"/>
        <v>12.19633179</v>
      </c>
      <c r="T116" s="6"/>
      <c r="U116" s="6"/>
      <c r="V116" s="6"/>
      <c r="W116" s="6"/>
      <c r="X116" s="6"/>
      <c r="Y116" s="6"/>
    </row>
    <row r="117" ht="11.25" customHeight="1">
      <c r="A117" s="54">
        <v>46388.0</v>
      </c>
      <c r="B117" s="68">
        <f t="shared" si="13"/>
        <v>112</v>
      </c>
      <c r="C117" s="607">
        <v>17300.0</v>
      </c>
      <c r="D117" s="6">
        <f t="shared" si="14"/>
        <v>6561.638276</v>
      </c>
      <c r="E117" s="6">
        <f t="shared" si="11"/>
        <v>10738.36172</v>
      </c>
      <c r="F117" s="6">
        <f t="shared" si="5"/>
        <v>959316.7532</v>
      </c>
      <c r="G117" s="6">
        <f t="shared" si="6"/>
        <v>978283.2468</v>
      </c>
      <c r="H117" s="6">
        <f t="shared" si="12"/>
        <v>1937600</v>
      </c>
      <c r="I117" s="6">
        <f t="shared" si="15"/>
        <v>2117360.539</v>
      </c>
      <c r="J117" s="610">
        <v>3.7</v>
      </c>
      <c r="K117" s="591"/>
      <c r="L117" s="6"/>
      <c r="M117" s="9">
        <v>13000.0</v>
      </c>
      <c r="N117" s="79">
        <f t="shared" si="8"/>
        <v>1438900</v>
      </c>
      <c r="O117" s="6">
        <f t="shared" si="1"/>
        <v>121928.7532</v>
      </c>
      <c r="P117" s="6"/>
      <c r="Q117" s="6">
        <f t="shared" si="9"/>
        <v>3414.361724</v>
      </c>
      <c r="R117" s="6">
        <f t="shared" si="10"/>
        <v>121928.7532</v>
      </c>
      <c r="S117" s="81">
        <f t="shared" si="2"/>
        <v>12.46354301</v>
      </c>
      <c r="T117" s="6"/>
      <c r="U117" s="6"/>
      <c r="V117" s="6"/>
      <c r="W117" s="6"/>
      <c r="X117" s="6"/>
      <c r="Y117" s="6"/>
    </row>
    <row r="118" ht="11.25" customHeight="1">
      <c r="A118" s="64"/>
      <c r="B118" s="68">
        <f t="shared" si="13"/>
        <v>113</v>
      </c>
      <c r="C118" s="607">
        <v>17300.0</v>
      </c>
      <c r="D118" s="6">
        <f t="shared" si="14"/>
        <v>6307.969938</v>
      </c>
      <c r="E118" s="6">
        <f t="shared" si="11"/>
        <v>10992.03006</v>
      </c>
      <c r="F118" s="6">
        <f t="shared" si="5"/>
        <v>970308.7833</v>
      </c>
      <c r="G118" s="6">
        <f t="shared" si="6"/>
        <v>984591.2167</v>
      </c>
      <c r="H118" s="6">
        <f t="shared" si="12"/>
        <v>1954900</v>
      </c>
      <c r="I118" s="6">
        <f t="shared" si="15"/>
        <v>2106368.509</v>
      </c>
      <c r="J118" s="610">
        <v>3.575</v>
      </c>
      <c r="K118" s="591"/>
      <c r="L118" s="6"/>
      <c r="M118" s="9">
        <v>13000.0</v>
      </c>
      <c r="N118" s="79">
        <f t="shared" si="8"/>
        <v>1451900</v>
      </c>
      <c r="O118" s="6">
        <f t="shared" si="1"/>
        <v>125596.7833</v>
      </c>
      <c r="P118" s="6"/>
      <c r="Q118" s="6">
        <f t="shared" si="9"/>
        <v>3668.030062</v>
      </c>
      <c r="R118" s="6">
        <f t="shared" si="10"/>
        <v>125596.7833</v>
      </c>
      <c r="S118" s="81">
        <f t="shared" si="2"/>
        <v>12.75623641</v>
      </c>
      <c r="T118" s="6"/>
      <c r="U118" s="6"/>
      <c r="V118" s="6"/>
      <c r="W118" s="6"/>
      <c r="X118" s="6"/>
      <c r="Y118" s="6"/>
    </row>
    <row r="119" ht="11.25" customHeight="1">
      <c r="A119" s="7"/>
      <c r="B119" s="68">
        <f t="shared" si="13"/>
        <v>114</v>
      </c>
      <c r="C119" s="607">
        <v>17300.0</v>
      </c>
      <c r="D119" s="6">
        <f t="shared" si="14"/>
        <v>6275.222849</v>
      </c>
      <c r="E119" s="6">
        <f t="shared" si="11"/>
        <v>11024.77715</v>
      </c>
      <c r="F119" s="6">
        <f t="shared" si="5"/>
        <v>981333.5604</v>
      </c>
      <c r="G119" s="6">
        <f t="shared" si="6"/>
        <v>990866.4396</v>
      </c>
      <c r="H119" s="6">
        <f t="shared" si="12"/>
        <v>1972200</v>
      </c>
      <c r="I119" s="6">
        <f t="shared" si="15"/>
        <v>2095343.731</v>
      </c>
      <c r="J119" s="610">
        <v>3.575</v>
      </c>
      <c r="K119" s="591"/>
      <c r="L119" s="6"/>
      <c r="M119" s="9">
        <v>13000.0</v>
      </c>
      <c r="N119" s="79">
        <f t="shared" si="8"/>
        <v>1464900</v>
      </c>
      <c r="O119" s="6">
        <f t="shared" si="1"/>
        <v>129297.5604</v>
      </c>
      <c r="P119" s="6"/>
      <c r="Q119" s="6">
        <f t="shared" si="9"/>
        <v>3700.777151</v>
      </c>
      <c r="R119" s="6">
        <f t="shared" si="10"/>
        <v>129297.5604</v>
      </c>
      <c r="S119" s="81">
        <f t="shared" si="2"/>
        <v>13.04893932</v>
      </c>
      <c r="T119" s="6"/>
      <c r="U119" s="6"/>
      <c r="V119" s="6"/>
      <c r="W119" s="6"/>
      <c r="X119" s="6"/>
      <c r="Y119" s="6"/>
    </row>
    <row r="120" ht="11.25" customHeight="1">
      <c r="A120" s="7"/>
      <c r="B120" s="68">
        <f t="shared" si="13"/>
        <v>115</v>
      </c>
      <c r="C120" s="607">
        <v>17300.0</v>
      </c>
      <c r="D120" s="6">
        <f t="shared" si="14"/>
        <v>6242.3782</v>
      </c>
      <c r="E120" s="6">
        <f t="shared" si="11"/>
        <v>11057.6218</v>
      </c>
      <c r="F120" s="6">
        <f t="shared" si="5"/>
        <v>992391.1822</v>
      </c>
      <c r="G120" s="6">
        <f t="shared" si="6"/>
        <v>997108.8178</v>
      </c>
      <c r="H120" s="6">
        <f t="shared" si="12"/>
        <v>1989500</v>
      </c>
      <c r="I120" s="6">
        <f t="shared" si="15"/>
        <v>2084286.11</v>
      </c>
      <c r="J120" s="610">
        <v>3.575</v>
      </c>
      <c r="K120" s="591"/>
      <c r="L120" s="6"/>
      <c r="M120" s="9">
        <v>13000.0</v>
      </c>
      <c r="N120" s="79">
        <f t="shared" si="8"/>
        <v>1477900</v>
      </c>
      <c r="O120" s="6">
        <f t="shared" si="1"/>
        <v>133031.1822</v>
      </c>
      <c r="P120" s="6"/>
      <c r="Q120" s="6">
        <f t="shared" si="9"/>
        <v>3733.6218</v>
      </c>
      <c r="R120" s="6">
        <f t="shared" si="10"/>
        <v>133031.1822</v>
      </c>
      <c r="S120" s="81">
        <f t="shared" si="2"/>
        <v>13.34169148</v>
      </c>
      <c r="T120" s="6"/>
      <c r="U120" s="6"/>
      <c r="V120" s="6"/>
      <c r="W120" s="6"/>
      <c r="X120" s="6"/>
      <c r="Y120" s="6"/>
    </row>
    <row r="121" ht="11.25" customHeight="1">
      <c r="A121" s="7"/>
      <c r="B121" s="68">
        <f t="shared" si="13"/>
        <v>116</v>
      </c>
      <c r="C121" s="607">
        <v>17300.0</v>
      </c>
      <c r="D121" s="6">
        <f t="shared" si="14"/>
        <v>6209.435702</v>
      </c>
      <c r="E121" s="6">
        <f t="shared" si="11"/>
        <v>11090.5643</v>
      </c>
      <c r="F121" s="6">
        <f t="shared" si="5"/>
        <v>1003481.747</v>
      </c>
      <c r="G121" s="6">
        <f t="shared" si="6"/>
        <v>1003318.253</v>
      </c>
      <c r="H121" s="6">
        <f t="shared" si="12"/>
        <v>2006800</v>
      </c>
      <c r="I121" s="6">
        <f t="shared" si="15"/>
        <v>2073195.545</v>
      </c>
      <c r="J121" s="610">
        <v>3.575</v>
      </c>
      <c r="K121" s="591"/>
      <c r="L121" s="6"/>
      <c r="M121" s="9">
        <v>13000.0</v>
      </c>
      <c r="N121" s="79">
        <f t="shared" si="8"/>
        <v>1490900</v>
      </c>
      <c r="O121" s="6">
        <f t="shared" si="1"/>
        <v>136797.7465</v>
      </c>
      <c r="P121" s="6"/>
      <c r="Q121" s="6">
        <f t="shared" si="9"/>
        <v>3766.564298</v>
      </c>
      <c r="R121" s="6">
        <f t="shared" si="10"/>
        <v>136797.7465</v>
      </c>
      <c r="S121" s="81">
        <f t="shared" si="2"/>
        <v>13.63453182</v>
      </c>
      <c r="T121" s="6"/>
      <c r="U121" s="6"/>
      <c r="V121" s="6"/>
      <c r="W121" s="6"/>
      <c r="X121" s="6"/>
      <c r="Y121" s="6"/>
    </row>
    <row r="122" ht="11.25" customHeight="1">
      <c r="A122" s="7"/>
      <c r="B122" s="68">
        <f t="shared" si="13"/>
        <v>117</v>
      </c>
      <c r="C122" s="607">
        <v>17300.0</v>
      </c>
      <c r="D122" s="6">
        <f t="shared" si="14"/>
        <v>6176.395062</v>
      </c>
      <c r="E122" s="6">
        <f t="shared" si="11"/>
        <v>11123.60494</v>
      </c>
      <c r="F122" s="6">
        <f t="shared" si="5"/>
        <v>1014605.351</v>
      </c>
      <c r="G122" s="6">
        <f t="shared" si="6"/>
        <v>1009494.649</v>
      </c>
      <c r="H122" s="6">
        <f t="shared" si="12"/>
        <v>2024100</v>
      </c>
      <c r="I122" s="6">
        <f t="shared" si="15"/>
        <v>2062071.94</v>
      </c>
      <c r="J122" s="610">
        <v>3.575</v>
      </c>
      <c r="K122" s="591"/>
      <c r="L122" s="6"/>
      <c r="M122" s="9">
        <v>13000.0</v>
      </c>
      <c r="N122" s="79">
        <f t="shared" si="8"/>
        <v>1503900</v>
      </c>
      <c r="O122" s="6">
        <f t="shared" si="1"/>
        <v>140597.3515</v>
      </c>
      <c r="P122" s="6"/>
      <c r="Q122" s="6">
        <f t="shared" si="9"/>
        <v>3799.604938</v>
      </c>
      <c r="R122" s="6">
        <f t="shared" si="10"/>
        <v>140597.3515</v>
      </c>
      <c r="S122" s="81">
        <f t="shared" si="2"/>
        <v>13.92749844</v>
      </c>
      <c r="T122" s="6"/>
      <c r="U122" s="6"/>
      <c r="V122" s="6"/>
      <c r="W122" s="6"/>
      <c r="X122" s="6"/>
      <c r="Y122" s="6"/>
    </row>
    <row r="123" ht="11.25" customHeight="1">
      <c r="A123" s="7"/>
      <c r="B123" s="68">
        <f t="shared" si="13"/>
        <v>118</v>
      </c>
      <c r="C123" s="607">
        <v>17300.0</v>
      </c>
      <c r="D123" s="6">
        <f t="shared" si="14"/>
        <v>6143.255989</v>
      </c>
      <c r="E123" s="6">
        <f t="shared" si="11"/>
        <v>11156.74401</v>
      </c>
      <c r="F123" s="6">
        <f t="shared" si="5"/>
        <v>1025762.095</v>
      </c>
      <c r="G123" s="6">
        <f t="shared" si="6"/>
        <v>1015637.905</v>
      </c>
      <c r="H123" s="6">
        <f t="shared" si="12"/>
        <v>2041400</v>
      </c>
      <c r="I123" s="6">
        <f t="shared" si="15"/>
        <v>2050915.196</v>
      </c>
      <c r="J123" s="610">
        <v>3.575</v>
      </c>
      <c r="K123" s="591"/>
      <c r="L123" s="6"/>
      <c r="M123" s="9">
        <v>13000.0</v>
      </c>
      <c r="N123" s="79">
        <f t="shared" si="8"/>
        <v>1516900</v>
      </c>
      <c r="O123" s="6">
        <f t="shared" si="1"/>
        <v>144430.0955</v>
      </c>
      <c r="P123" s="6"/>
      <c r="Q123" s="6">
        <f t="shared" si="9"/>
        <v>3832.744011</v>
      </c>
      <c r="R123" s="6">
        <f t="shared" si="10"/>
        <v>144430.0955</v>
      </c>
      <c r="S123" s="81">
        <f t="shared" si="2"/>
        <v>14.22062871</v>
      </c>
      <c r="T123" s="6"/>
      <c r="U123" s="6"/>
      <c r="V123" s="6"/>
      <c r="W123" s="6"/>
      <c r="X123" s="6"/>
      <c r="Y123" s="6"/>
    </row>
    <row r="124" ht="11.25" customHeight="1">
      <c r="A124" s="7"/>
      <c r="B124" s="68">
        <f t="shared" si="13"/>
        <v>119</v>
      </c>
      <c r="C124" s="607">
        <v>17300.0</v>
      </c>
      <c r="D124" s="6">
        <f t="shared" si="14"/>
        <v>6110.018189</v>
      </c>
      <c r="E124" s="6">
        <f t="shared" ref="E124:E365" si="16">C124-D124</f>
        <v>11189.98181</v>
      </c>
      <c r="F124" s="6">
        <f t="shared" si="5"/>
        <v>1036952.077</v>
      </c>
      <c r="G124" s="6">
        <f t="shared" si="6"/>
        <v>1021747.923</v>
      </c>
      <c r="H124" s="6">
        <f t="shared" ref="H124:H365" si="17">H123+C124</f>
        <v>2058700</v>
      </c>
      <c r="I124" s="6">
        <f t="shared" si="15"/>
        <v>2039725.215</v>
      </c>
      <c r="J124" s="610">
        <v>3.575</v>
      </c>
      <c r="K124" s="591"/>
      <c r="L124" s="6"/>
      <c r="M124" s="9">
        <v>13000.0</v>
      </c>
      <c r="N124" s="79">
        <f t="shared" si="8"/>
        <v>1529900</v>
      </c>
      <c r="O124" s="6">
        <f t="shared" si="1"/>
        <v>148296.0773</v>
      </c>
      <c r="P124" s="6"/>
      <c r="Q124" s="6">
        <f t="shared" si="9"/>
        <v>3865.981811</v>
      </c>
      <c r="R124" s="6">
        <f t="shared" si="10"/>
        <v>148296.0773</v>
      </c>
      <c r="S124" s="81">
        <f t="shared" si="2"/>
        <v>14.51395926</v>
      </c>
      <c r="T124" s="6"/>
      <c r="U124" s="6"/>
      <c r="V124" s="6"/>
      <c r="W124" s="6"/>
      <c r="X124" s="6"/>
      <c r="Y124" s="6"/>
    </row>
    <row r="125" ht="11.25" customHeight="1">
      <c r="A125" s="71"/>
      <c r="B125" s="72">
        <f t="shared" si="13"/>
        <v>120</v>
      </c>
      <c r="C125" s="607">
        <v>17300.0</v>
      </c>
      <c r="D125" s="10">
        <f t="shared" si="14"/>
        <v>6076.681368</v>
      </c>
      <c r="E125" s="10">
        <f t="shared" si="16"/>
        <v>11223.31863</v>
      </c>
      <c r="F125" s="10">
        <f t="shared" si="5"/>
        <v>1048175.396</v>
      </c>
      <c r="G125" s="10">
        <f t="shared" si="6"/>
        <v>1027824.604</v>
      </c>
      <c r="H125" s="10">
        <f t="shared" si="17"/>
        <v>2076000</v>
      </c>
      <c r="I125" s="10">
        <f t="shared" si="15"/>
        <v>2028501.896</v>
      </c>
      <c r="J125" s="610">
        <v>3.575</v>
      </c>
      <c r="K125" s="591"/>
      <c r="L125" s="6"/>
      <c r="M125" s="9">
        <v>13000.0</v>
      </c>
      <c r="N125" s="79">
        <f t="shared" si="8"/>
        <v>1542900</v>
      </c>
      <c r="O125" s="6">
        <f t="shared" si="1"/>
        <v>152195.3959</v>
      </c>
      <c r="P125" s="6"/>
      <c r="Q125" s="6">
        <f t="shared" si="9"/>
        <v>3899.318632</v>
      </c>
      <c r="R125" s="6">
        <f t="shared" si="10"/>
        <v>152195.3959</v>
      </c>
      <c r="S125" s="81">
        <f t="shared" si="2"/>
        <v>14.80752604</v>
      </c>
      <c r="T125" s="6"/>
      <c r="U125" s="6"/>
      <c r="V125" s="6"/>
      <c r="W125" s="6"/>
      <c r="X125" s="6"/>
      <c r="Y125" s="6"/>
    </row>
    <row r="126" ht="11.25" customHeight="1">
      <c r="A126" s="100">
        <v>11.0</v>
      </c>
      <c r="B126" s="66">
        <f t="shared" si="13"/>
        <v>121</v>
      </c>
      <c r="C126" s="607">
        <v>17300.0</v>
      </c>
      <c r="D126" s="617">
        <f t="shared" si="14"/>
        <v>6043.245232</v>
      </c>
      <c r="E126" s="617">
        <f t="shared" si="16"/>
        <v>11256.75477</v>
      </c>
      <c r="F126" s="617">
        <f t="shared" si="5"/>
        <v>1059432.151</v>
      </c>
      <c r="G126" s="617">
        <f t="shared" si="6"/>
        <v>1033867.849</v>
      </c>
      <c r="H126" s="617">
        <f t="shared" si="17"/>
        <v>2093300</v>
      </c>
      <c r="I126" s="617">
        <f t="shared" si="15"/>
        <v>2017245.141</v>
      </c>
      <c r="J126" s="610">
        <v>3.575</v>
      </c>
      <c r="K126" s="591"/>
      <c r="L126" s="6"/>
      <c r="M126" s="9">
        <v>13000.0</v>
      </c>
      <c r="N126" s="79">
        <f t="shared" si="8"/>
        <v>1555900</v>
      </c>
      <c r="O126" s="6">
        <f t="shared" si="1"/>
        <v>156128.1507</v>
      </c>
      <c r="P126" s="6"/>
      <c r="Q126" s="6">
        <f t="shared" si="9"/>
        <v>3932.754768</v>
      </c>
      <c r="R126" s="6">
        <f t="shared" si="10"/>
        <v>156128.1507</v>
      </c>
      <c r="S126" s="81">
        <f t="shared" si="2"/>
        <v>15.10136434</v>
      </c>
      <c r="T126" s="6"/>
      <c r="U126" s="6"/>
      <c r="V126" s="6"/>
      <c r="W126" s="6"/>
      <c r="X126" s="6"/>
      <c r="Y126" s="6"/>
    </row>
    <row r="127" ht="11.25" customHeight="1">
      <c r="A127" s="7"/>
      <c r="B127" s="68">
        <f t="shared" si="13"/>
        <v>122</v>
      </c>
      <c r="C127" s="607">
        <v>17300.0</v>
      </c>
      <c r="D127" s="6">
        <f t="shared" si="14"/>
        <v>6009.709483</v>
      </c>
      <c r="E127" s="6">
        <f t="shared" si="16"/>
        <v>11290.29052</v>
      </c>
      <c r="F127" s="6">
        <f t="shared" si="5"/>
        <v>1070722.441</v>
      </c>
      <c r="G127" s="6">
        <f t="shared" si="6"/>
        <v>1039877.559</v>
      </c>
      <c r="H127" s="6">
        <f t="shared" si="17"/>
        <v>2110600</v>
      </c>
      <c r="I127" s="6">
        <f t="shared" si="15"/>
        <v>2005954.851</v>
      </c>
      <c r="J127" s="610">
        <v>3.575</v>
      </c>
      <c r="K127" s="591"/>
      <c r="L127" s="6"/>
      <c r="M127" s="9">
        <v>13000.0</v>
      </c>
      <c r="N127" s="79">
        <f t="shared" si="8"/>
        <v>1568900</v>
      </c>
      <c r="O127" s="6">
        <f t="shared" si="1"/>
        <v>160094.4412</v>
      </c>
      <c r="P127" s="6"/>
      <c r="Q127" s="6">
        <f t="shared" si="9"/>
        <v>3966.290517</v>
      </c>
      <c r="R127" s="6">
        <f t="shared" si="10"/>
        <v>160094.4412</v>
      </c>
      <c r="S127" s="81">
        <f t="shared" si="2"/>
        <v>15.39550881</v>
      </c>
      <c r="T127" s="6"/>
      <c r="U127" s="6"/>
      <c r="V127" s="6"/>
      <c r="W127" s="6"/>
      <c r="X127" s="6"/>
      <c r="Y127" s="6"/>
    </row>
    <row r="128" ht="11.25" customHeight="1">
      <c r="A128" s="7"/>
      <c r="B128" s="68">
        <f t="shared" si="13"/>
        <v>123</v>
      </c>
      <c r="C128" s="607">
        <v>17300.0</v>
      </c>
      <c r="D128" s="6">
        <f t="shared" si="14"/>
        <v>5976.073826</v>
      </c>
      <c r="E128" s="6">
        <f t="shared" si="16"/>
        <v>11323.92617</v>
      </c>
      <c r="F128" s="6">
        <f t="shared" si="5"/>
        <v>1082046.367</v>
      </c>
      <c r="G128" s="6">
        <f t="shared" si="6"/>
        <v>1045853.633</v>
      </c>
      <c r="H128" s="6">
        <f t="shared" si="17"/>
        <v>2127900</v>
      </c>
      <c r="I128" s="6">
        <f t="shared" si="15"/>
        <v>1994630.924</v>
      </c>
      <c r="J128" s="610">
        <v>3.575</v>
      </c>
      <c r="K128" s="591"/>
      <c r="L128" s="6"/>
      <c r="M128" s="9">
        <v>13000.0</v>
      </c>
      <c r="N128" s="79">
        <f t="shared" si="8"/>
        <v>1581900</v>
      </c>
      <c r="O128" s="6">
        <f t="shared" si="1"/>
        <v>164094.3674</v>
      </c>
      <c r="P128" s="6"/>
      <c r="Q128" s="6">
        <f t="shared" si="9"/>
        <v>3999.926174</v>
      </c>
      <c r="R128" s="6">
        <f t="shared" si="10"/>
        <v>164094.3674</v>
      </c>
      <c r="S128" s="81">
        <f t="shared" si="2"/>
        <v>15.68999354</v>
      </c>
      <c r="T128" s="6"/>
      <c r="U128" s="6"/>
      <c r="V128" s="6"/>
      <c r="W128" s="6"/>
      <c r="X128" s="6"/>
      <c r="Y128" s="6"/>
    </row>
    <row r="129" ht="11.25" customHeight="1">
      <c r="A129" s="54">
        <v>46753.0</v>
      </c>
      <c r="B129" s="68">
        <f t="shared" si="13"/>
        <v>124</v>
      </c>
      <c r="C129" s="607">
        <v>17300.0</v>
      </c>
      <c r="D129" s="6">
        <f t="shared" si="14"/>
        <v>5942.337963</v>
      </c>
      <c r="E129" s="6">
        <f t="shared" si="16"/>
        <v>11357.66204</v>
      </c>
      <c r="F129" s="6">
        <f t="shared" si="5"/>
        <v>1093404.029</v>
      </c>
      <c r="G129" s="6">
        <f t="shared" si="6"/>
        <v>1051795.971</v>
      </c>
      <c r="H129" s="6">
        <f t="shared" si="17"/>
        <v>2145200</v>
      </c>
      <c r="I129" s="6">
        <f t="shared" si="15"/>
        <v>1983273.262</v>
      </c>
      <c r="J129" s="610">
        <v>3.575</v>
      </c>
      <c r="K129" s="591"/>
      <c r="L129" s="6"/>
      <c r="M129" s="9">
        <v>13000.0</v>
      </c>
      <c r="N129" s="79">
        <f t="shared" si="8"/>
        <v>1594900</v>
      </c>
      <c r="O129" s="6">
        <f t="shared" si="1"/>
        <v>168128.0294</v>
      </c>
      <c r="P129" s="6"/>
      <c r="Q129" s="6">
        <f t="shared" si="9"/>
        <v>4033.662037</v>
      </c>
      <c r="R129" s="6">
        <f t="shared" si="10"/>
        <v>168128.0294</v>
      </c>
      <c r="S129" s="81">
        <f t="shared" si="2"/>
        <v>15.98485202</v>
      </c>
      <c r="T129" s="6"/>
      <c r="U129" s="6"/>
      <c r="V129" s="6"/>
      <c r="W129" s="6"/>
      <c r="X129" s="6"/>
      <c r="Y129" s="6"/>
    </row>
    <row r="130" ht="11.25" customHeight="1">
      <c r="A130" s="7"/>
      <c r="B130" s="68">
        <f t="shared" si="13"/>
        <v>125</v>
      </c>
      <c r="C130" s="607">
        <v>17300.0</v>
      </c>
      <c r="D130" s="6">
        <f t="shared" si="14"/>
        <v>6734.865454</v>
      </c>
      <c r="E130" s="6">
        <f t="shared" si="16"/>
        <v>10565.13455</v>
      </c>
      <c r="F130" s="6">
        <f t="shared" si="5"/>
        <v>1103969.164</v>
      </c>
      <c r="G130" s="6">
        <f t="shared" si="6"/>
        <v>1058530.836</v>
      </c>
      <c r="H130" s="6">
        <f t="shared" si="17"/>
        <v>2162500</v>
      </c>
      <c r="I130" s="6">
        <f t="shared" si="15"/>
        <v>1972708.128</v>
      </c>
      <c r="J130" s="610">
        <v>4.075</v>
      </c>
      <c r="K130" s="591"/>
      <c r="L130" s="6"/>
      <c r="M130" s="9">
        <v>13000.0</v>
      </c>
      <c r="N130" s="79">
        <f t="shared" si="8"/>
        <v>1607900</v>
      </c>
      <c r="O130" s="6">
        <f t="shared" si="1"/>
        <v>171369.1639</v>
      </c>
      <c r="P130" s="6"/>
      <c r="Q130" s="6">
        <f t="shared" si="9"/>
        <v>3241.134546</v>
      </c>
      <c r="R130" s="6">
        <f t="shared" si="10"/>
        <v>171369.1639</v>
      </c>
      <c r="S130" s="81">
        <f t="shared" si="2"/>
        <v>16.18934075</v>
      </c>
      <c r="T130" s="6"/>
      <c r="U130" s="6"/>
      <c r="V130" s="6"/>
      <c r="W130" s="6"/>
      <c r="X130" s="6"/>
      <c r="Y130" s="6"/>
    </row>
    <row r="131" ht="11.25" customHeight="1">
      <c r="A131" s="7"/>
      <c r="B131" s="68">
        <f t="shared" si="13"/>
        <v>126</v>
      </c>
      <c r="C131" s="607">
        <v>17300.0</v>
      </c>
      <c r="D131" s="6">
        <f t="shared" si="14"/>
        <v>6904.478448</v>
      </c>
      <c r="E131" s="6">
        <f t="shared" si="16"/>
        <v>10395.52155</v>
      </c>
      <c r="F131" s="6">
        <f t="shared" si="5"/>
        <v>1114364.685</v>
      </c>
      <c r="G131" s="6">
        <f t="shared" si="6"/>
        <v>1065435.315</v>
      </c>
      <c r="H131" s="6">
        <f t="shared" si="17"/>
        <v>2179800</v>
      </c>
      <c r="I131" s="6">
        <f t="shared" si="15"/>
        <v>1962312.606</v>
      </c>
      <c r="J131" s="610">
        <v>4.2</v>
      </c>
      <c r="K131" s="591"/>
      <c r="L131" s="6"/>
      <c r="M131" s="9">
        <v>13000.0</v>
      </c>
      <c r="N131" s="79">
        <f t="shared" si="8"/>
        <v>1620900</v>
      </c>
      <c r="O131" s="6">
        <f t="shared" si="1"/>
        <v>174440.6855</v>
      </c>
      <c r="P131" s="6"/>
      <c r="Q131" s="6">
        <f t="shared" si="9"/>
        <v>3071.521552</v>
      </c>
      <c r="R131" s="6">
        <f t="shared" si="10"/>
        <v>174440.6855</v>
      </c>
      <c r="S131" s="81">
        <f t="shared" si="2"/>
        <v>16.37271481</v>
      </c>
      <c r="T131" s="6"/>
      <c r="U131" s="6"/>
      <c r="V131" s="6"/>
      <c r="W131" s="6"/>
      <c r="X131" s="6"/>
      <c r="Y131" s="6"/>
    </row>
    <row r="132" ht="11.25" customHeight="1">
      <c r="A132" s="7"/>
      <c r="B132" s="68">
        <f t="shared" si="13"/>
        <v>127</v>
      </c>
      <c r="C132" s="607">
        <v>17300.0</v>
      </c>
      <c r="D132" s="6">
        <f t="shared" si="14"/>
        <v>6868.094122</v>
      </c>
      <c r="E132" s="6">
        <f t="shared" si="16"/>
        <v>10431.90588</v>
      </c>
      <c r="F132" s="6">
        <f t="shared" si="5"/>
        <v>1124796.591</v>
      </c>
      <c r="G132" s="6">
        <f t="shared" si="6"/>
        <v>1072303.409</v>
      </c>
      <c r="H132" s="6">
        <f t="shared" si="17"/>
        <v>2197100</v>
      </c>
      <c r="I132" s="6">
        <f t="shared" si="15"/>
        <v>1951880.7</v>
      </c>
      <c r="J132" s="610">
        <v>4.2</v>
      </c>
      <c r="K132" s="591"/>
      <c r="L132" s="6"/>
      <c r="M132" s="9">
        <v>13000.0</v>
      </c>
      <c r="N132" s="79">
        <f t="shared" si="8"/>
        <v>1633900</v>
      </c>
      <c r="O132" s="6">
        <f t="shared" si="1"/>
        <v>177548.5914</v>
      </c>
      <c r="P132" s="6"/>
      <c r="Q132" s="6">
        <f t="shared" si="9"/>
        <v>3107.905878</v>
      </c>
      <c r="R132" s="6">
        <f t="shared" si="10"/>
        <v>177548.5914</v>
      </c>
      <c r="S132" s="81">
        <f t="shared" si="2"/>
        <v>16.55768227</v>
      </c>
      <c r="T132" s="6"/>
      <c r="U132" s="6"/>
      <c r="V132" s="6"/>
      <c r="W132" s="6"/>
      <c r="X132" s="6"/>
      <c r="Y132" s="6"/>
    </row>
    <row r="133" ht="11.25" customHeight="1">
      <c r="A133" s="7"/>
      <c r="B133" s="68">
        <f t="shared" si="13"/>
        <v>128</v>
      </c>
      <c r="C133" s="607">
        <v>17300.0</v>
      </c>
      <c r="D133" s="6">
        <f t="shared" si="14"/>
        <v>6831.582452</v>
      </c>
      <c r="E133" s="6">
        <f t="shared" si="16"/>
        <v>10468.41755</v>
      </c>
      <c r="F133" s="6">
        <f t="shared" si="5"/>
        <v>1135265.009</v>
      </c>
      <c r="G133" s="6">
        <f t="shared" si="6"/>
        <v>1079134.991</v>
      </c>
      <c r="H133" s="6">
        <f t="shared" si="17"/>
        <v>2214400</v>
      </c>
      <c r="I133" s="6">
        <f t="shared" si="15"/>
        <v>1941412.283</v>
      </c>
      <c r="J133" s="610">
        <v>4.2</v>
      </c>
      <c r="K133" s="591"/>
      <c r="L133" s="6"/>
      <c r="M133" s="9">
        <v>13000.0</v>
      </c>
      <c r="N133" s="79">
        <f t="shared" si="8"/>
        <v>1646900</v>
      </c>
      <c r="O133" s="6">
        <f t="shared" si="1"/>
        <v>180693.0089</v>
      </c>
      <c r="P133" s="6"/>
      <c r="Q133" s="6">
        <f t="shared" si="9"/>
        <v>3144.417548</v>
      </c>
      <c r="R133" s="6">
        <f t="shared" si="10"/>
        <v>180693.0089</v>
      </c>
      <c r="S133" s="81">
        <f t="shared" si="2"/>
        <v>16.7442452</v>
      </c>
      <c r="T133" s="6"/>
      <c r="U133" s="6"/>
      <c r="V133" s="6"/>
      <c r="W133" s="6"/>
      <c r="X133" s="6"/>
      <c r="Y133" s="6"/>
    </row>
    <row r="134" ht="11.25" customHeight="1">
      <c r="A134" s="7"/>
      <c r="B134" s="68">
        <f t="shared" si="13"/>
        <v>129</v>
      </c>
      <c r="C134" s="607">
        <v>17300.0</v>
      </c>
      <c r="D134" s="6">
        <f t="shared" si="14"/>
        <v>6794.94299</v>
      </c>
      <c r="E134" s="6">
        <f t="shared" si="16"/>
        <v>10505.05701</v>
      </c>
      <c r="F134" s="6">
        <f t="shared" si="5"/>
        <v>1145770.066</v>
      </c>
      <c r="G134" s="6">
        <f t="shared" si="6"/>
        <v>1085929.934</v>
      </c>
      <c r="H134" s="6">
        <f t="shared" si="17"/>
        <v>2231700</v>
      </c>
      <c r="I134" s="6">
        <f t="shared" si="15"/>
        <v>1930907.226</v>
      </c>
      <c r="J134" s="610">
        <v>4.2</v>
      </c>
      <c r="K134" s="591"/>
      <c r="L134" s="6"/>
      <c r="M134" s="9">
        <v>13000.0</v>
      </c>
      <c r="N134" s="79">
        <f t="shared" si="8"/>
        <v>1659900</v>
      </c>
      <c r="O134" s="6">
        <f t="shared" si="1"/>
        <v>183874.0659</v>
      </c>
      <c r="P134" s="6"/>
      <c r="Q134" s="6">
        <f t="shared" si="9"/>
        <v>3181.05701</v>
      </c>
      <c r="R134" s="6">
        <f t="shared" si="10"/>
        <v>183874.0659</v>
      </c>
      <c r="S134" s="81">
        <f t="shared" si="2"/>
        <v>16.93240606</v>
      </c>
      <c r="T134" s="6"/>
      <c r="U134" s="6"/>
      <c r="V134" s="6"/>
      <c r="W134" s="6"/>
      <c r="X134" s="6"/>
      <c r="Y134" s="6"/>
    </row>
    <row r="135" ht="11.25" customHeight="1">
      <c r="A135" s="7"/>
      <c r="B135" s="68">
        <f t="shared" si="13"/>
        <v>130</v>
      </c>
      <c r="C135" s="607">
        <v>17300.0</v>
      </c>
      <c r="D135" s="6">
        <f t="shared" si="14"/>
        <v>6758.175291</v>
      </c>
      <c r="E135" s="6">
        <f t="shared" si="16"/>
        <v>10541.82471</v>
      </c>
      <c r="F135" s="6">
        <f t="shared" si="5"/>
        <v>1156311.891</v>
      </c>
      <c r="G135" s="6">
        <f t="shared" si="6"/>
        <v>1092688.109</v>
      </c>
      <c r="H135" s="6">
        <f t="shared" si="17"/>
        <v>2249000</v>
      </c>
      <c r="I135" s="6">
        <f t="shared" si="15"/>
        <v>1920365.401</v>
      </c>
      <c r="J135" s="610">
        <v>4.2</v>
      </c>
      <c r="K135" s="591"/>
      <c r="L135" s="6"/>
      <c r="M135" s="9">
        <v>13000.0</v>
      </c>
      <c r="N135" s="79">
        <f t="shared" si="8"/>
        <v>1672900</v>
      </c>
      <c r="O135" s="6">
        <f t="shared" si="1"/>
        <v>187091.8906</v>
      </c>
      <c r="P135" s="6"/>
      <c r="Q135" s="6">
        <f t="shared" si="9"/>
        <v>3217.824709</v>
      </c>
      <c r="R135" s="6">
        <f t="shared" si="10"/>
        <v>187091.8906</v>
      </c>
      <c r="S135" s="81">
        <f t="shared" si="2"/>
        <v>17.12216771</v>
      </c>
      <c r="T135" s="6"/>
      <c r="U135" s="6"/>
      <c r="V135" s="6"/>
      <c r="W135" s="6"/>
      <c r="X135" s="6"/>
      <c r="Y135" s="6"/>
    </row>
    <row r="136" ht="11.25" customHeight="1">
      <c r="A136" s="7"/>
      <c r="B136" s="68">
        <f t="shared" si="13"/>
        <v>131</v>
      </c>
      <c r="C136" s="607">
        <v>17300.0</v>
      </c>
      <c r="D136" s="6">
        <f t="shared" si="14"/>
        <v>6721.278904</v>
      </c>
      <c r="E136" s="6">
        <f t="shared" si="16"/>
        <v>10578.7211</v>
      </c>
      <c r="F136" s="6">
        <f t="shared" si="5"/>
        <v>1166890.612</v>
      </c>
      <c r="G136" s="6">
        <f t="shared" si="6"/>
        <v>1099409.388</v>
      </c>
      <c r="H136" s="6">
        <f t="shared" si="17"/>
        <v>2266300</v>
      </c>
      <c r="I136" s="6">
        <f t="shared" si="15"/>
        <v>1909786.68</v>
      </c>
      <c r="J136" s="610">
        <v>4.2</v>
      </c>
      <c r="K136" s="591"/>
      <c r="L136" s="6"/>
      <c r="M136" s="9">
        <v>13000.0</v>
      </c>
      <c r="N136" s="79">
        <f t="shared" si="8"/>
        <v>1685900</v>
      </c>
      <c r="O136" s="6">
        <f t="shared" si="1"/>
        <v>190346.6117</v>
      </c>
      <c r="P136" s="6"/>
      <c r="Q136" s="6">
        <f t="shared" si="9"/>
        <v>3254.721096</v>
      </c>
      <c r="R136" s="6">
        <f t="shared" si="10"/>
        <v>190346.6117</v>
      </c>
      <c r="S136" s="81">
        <f t="shared" si="2"/>
        <v>17.31353341</v>
      </c>
      <c r="T136" s="6"/>
      <c r="U136" s="6"/>
      <c r="V136" s="6"/>
      <c r="W136" s="6"/>
      <c r="X136" s="6"/>
      <c r="Y136" s="6"/>
    </row>
    <row r="137" ht="11.25" customHeight="1">
      <c r="A137" s="71"/>
      <c r="B137" s="72">
        <f t="shared" si="13"/>
        <v>132</v>
      </c>
      <c r="C137" s="607">
        <v>17300.0</v>
      </c>
      <c r="D137" s="10">
        <f t="shared" si="14"/>
        <v>6485.317268</v>
      </c>
      <c r="E137" s="10">
        <f t="shared" si="16"/>
        <v>10814.68273</v>
      </c>
      <c r="F137" s="10">
        <f t="shared" si="5"/>
        <v>1177705.294</v>
      </c>
      <c r="G137" s="10">
        <f t="shared" si="6"/>
        <v>1105894.706</v>
      </c>
      <c r="H137" s="10">
        <f t="shared" si="17"/>
        <v>2283600</v>
      </c>
      <c r="I137" s="10">
        <f t="shared" si="15"/>
        <v>1898971.997</v>
      </c>
      <c r="J137" s="610">
        <v>4.075</v>
      </c>
      <c r="K137" s="591"/>
      <c r="L137" s="6"/>
      <c r="M137" s="9">
        <v>13000.0</v>
      </c>
      <c r="N137" s="79">
        <f t="shared" si="8"/>
        <v>1698900</v>
      </c>
      <c r="O137" s="6">
        <f t="shared" si="1"/>
        <v>193837.2945</v>
      </c>
      <c r="P137" s="6"/>
      <c r="Q137" s="6">
        <f t="shared" si="9"/>
        <v>3490.682732</v>
      </c>
      <c r="R137" s="6">
        <f t="shared" si="10"/>
        <v>193837.2945</v>
      </c>
      <c r="S137" s="81">
        <f t="shared" si="2"/>
        <v>17.52764468</v>
      </c>
      <c r="T137" s="6"/>
      <c r="U137" s="6"/>
      <c r="V137" s="6"/>
      <c r="W137" s="6"/>
      <c r="X137" s="6"/>
      <c r="Y137" s="6"/>
    </row>
    <row r="138" ht="11.25" customHeight="1">
      <c r="A138" s="100">
        <v>12.0</v>
      </c>
      <c r="B138" s="66">
        <f t="shared" si="13"/>
        <v>133</v>
      </c>
      <c r="C138" s="607">
        <v>17300.0</v>
      </c>
      <c r="D138" s="617">
        <f t="shared" si="14"/>
        <v>6448.592408</v>
      </c>
      <c r="E138" s="617">
        <f t="shared" si="16"/>
        <v>10851.40759</v>
      </c>
      <c r="F138" s="617">
        <f t="shared" si="5"/>
        <v>1188556.702</v>
      </c>
      <c r="G138" s="617">
        <f t="shared" si="6"/>
        <v>1112343.298</v>
      </c>
      <c r="H138" s="617">
        <f t="shared" si="17"/>
        <v>2300900</v>
      </c>
      <c r="I138" s="617">
        <f t="shared" si="15"/>
        <v>1888120.59</v>
      </c>
      <c r="J138" s="610">
        <v>4.075</v>
      </c>
      <c r="K138" s="591"/>
      <c r="L138" s="6"/>
      <c r="M138" s="9">
        <v>13000.0</v>
      </c>
      <c r="N138" s="79">
        <f t="shared" si="8"/>
        <v>1711900</v>
      </c>
      <c r="O138" s="6">
        <f t="shared" si="1"/>
        <v>197364.7021</v>
      </c>
      <c r="P138" s="6"/>
      <c r="Q138" s="6">
        <f t="shared" si="9"/>
        <v>3527.407592</v>
      </c>
      <c r="R138" s="6">
        <f t="shared" si="10"/>
        <v>197364.7021</v>
      </c>
      <c r="S138" s="81">
        <f t="shared" si="2"/>
        <v>17.7431466</v>
      </c>
      <c r="T138" s="6"/>
      <c r="U138" s="6"/>
      <c r="V138" s="6"/>
      <c r="W138" s="6"/>
      <c r="X138" s="6"/>
      <c r="Y138" s="6"/>
    </row>
    <row r="139" ht="11.25" customHeight="1">
      <c r="A139" s="7"/>
      <c r="B139" s="68">
        <f t="shared" si="13"/>
        <v>134</v>
      </c>
      <c r="C139" s="607">
        <v>17300.0</v>
      </c>
      <c r="D139" s="6">
        <f t="shared" si="14"/>
        <v>6411.742836</v>
      </c>
      <c r="E139" s="6">
        <f t="shared" si="16"/>
        <v>10888.25716</v>
      </c>
      <c r="F139" s="6">
        <f t="shared" si="5"/>
        <v>1199444.959</v>
      </c>
      <c r="G139" s="6">
        <f t="shared" si="6"/>
        <v>1118755.041</v>
      </c>
      <c r="H139" s="6">
        <f t="shared" si="17"/>
        <v>2318200</v>
      </c>
      <c r="I139" s="6">
        <f t="shared" si="15"/>
        <v>1877232.333</v>
      </c>
      <c r="J139" s="610">
        <v>4.075</v>
      </c>
      <c r="K139" s="591"/>
      <c r="L139" s="6"/>
      <c r="M139" s="9">
        <v>13000.0</v>
      </c>
      <c r="N139" s="79">
        <f t="shared" si="8"/>
        <v>1724900</v>
      </c>
      <c r="O139" s="6">
        <f t="shared" si="1"/>
        <v>200928.9592</v>
      </c>
      <c r="P139" s="6"/>
      <c r="Q139" s="6">
        <f t="shared" si="9"/>
        <v>3564.257164</v>
      </c>
      <c r="R139" s="6">
        <f t="shared" si="10"/>
        <v>200928.9592</v>
      </c>
      <c r="S139" s="81">
        <f t="shared" si="2"/>
        <v>17.96004951</v>
      </c>
      <c r="T139" s="6"/>
      <c r="U139" s="6"/>
      <c r="V139" s="6"/>
      <c r="W139" s="6"/>
      <c r="X139" s="6"/>
      <c r="Y139" s="6"/>
    </row>
    <row r="140" ht="11.25" customHeight="1">
      <c r="A140" s="7"/>
      <c r="B140" s="68">
        <f t="shared" si="13"/>
        <v>135</v>
      </c>
      <c r="C140" s="607">
        <v>17300.0</v>
      </c>
      <c r="D140" s="6">
        <f t="shared" si="14"/>
        <v>6374.76813</v>
      </c>
      <c r="E140" s="6">
        <f t="shared" si="16"/>
        <v>10925.23187</v>
      </c>
      <c r="F140" s="6">
        <f t="shared" si="5"/>
        <v>1210370.191</v>
      </c>
      <c r="G140" s="6">
        <f t="shared" si="6"/>
        <v>1125129.809</v>
      </c>
      <c r="H140" s="6">
        <f t="shared" si="17"/>
        <v>2335500</v>
      </c>
      <c r="I140" s="6">
        <f t="shared" si="15"/>
        <v>1866307.101</v>
      </c>
      <c r="J140" s="610">
        <v>4.075</v>
      </c>
      <c r="K140" s="591"/>
      <c r="L140" s="6"/>
      <c r="M140" s="9">
        <v>13000.0</v>
      </c>
      <c r="N140" s="79">
        <f t="shared" si="8"/>
        <v>1737900</v>
      </c>
      <c r="O140" s="6">
        <f t="shared" si="1"/>
        <v>204530.1911</v>
      </c>
      <c r="P140" s="6"/>
      <c r="Q140" s="6">
        <f t="shared" si="9"/>
        <v>3601.23187</v>
      </c>
      <c r="R140" s="6">
        <f t="shared" si="10"/>
        <v>204530.1911</v>
      </c>
      <c r="S140" s="81">
        <f t="shared" si="2"/>
        <v>18.17836391</v>
      </c>
      <c r="T140" s="6"/>
      <c r="U140" s="6"/>
      <c r="V140" s="6"/>
      <c r="W140" s="6"/>
      <c r="X140" s="6"/>
      <c r="Y140" s="6"/>
    </row>
    <row r="141" ht="11.25" customHeight="1">
      <c r="A141" s="87">
        <v>47119.0</v>
      </c>
      <c r="B141" s="68">
        <f t="shared" si="13"/>
        <v>136</v>
      </c>
      <c r="C141" s="607">
        <v>17300.0</v>
      </c>
      <c r="D141" s="6">
        <f t="shared" si="14"/>
        <v>6337.667863</v>
      </c>
      <c r="E141" s="6">
        <f t="shared" si="16"/>
        <v>10962.33214</v>
      </c>
      <c r="F141" s="6">
        <f t="shared" si="5"/>
        <v>1221332.523</v>
      </c>
      <c r="G141" s="6">
        <f t="shared" si="6"/>
        <v>1131467.477</v>
      </c>
      <c r="H141" s="6">
        <f t="shared" si="17"/>
        <v>2352800</v>
      </c>
      <c r="I141" s="6">
        <f t="shared" si="15"/>
        <v>1855344.769</v>
      </c>
      <c r="J141" s="610">
        <v>4.075</v>
      </c>
      <c r="K141" s="591"/>
      <c r="L141" s="6"/>
      <c r="M141" s="9">
        <v>13000.0</v>
      </c>
      <c r="N141" s="79">
        <f t="shared" si="8"/>
        <v>1750900</v>
      </c>
      <c r="O141" s="6">
        <f t="shared" si="1"/>
        <v>208168.5232</v>
      </c>
      <c r="P141" s="6"/>
      <c r="Q141" s="6">
        <f t="shared" si="9"/>
        <v>3638.332137</v>
      </c>
      <c r="R141" s="6">
        <f t="shared" si="10"/>
        <v>208168.5232</v>
      </c>
      <c r="S141" s="81">
        <f t="shared" si="2"/>
        <v>18.39810048</v>
      </c>
      <c r="T141" s="6"/>
      <c r="U141" s="6"/>
      <c r="V141" s="6"/>
      <c r="W141" s="6"/>
      <c r="X141" s="6"/>
      <c r="Y141" s="6"/>
    </row>
    <row r="142" ht="11.25" customHeight="1">
      <c r="A142" s="7"/>
      <c r="B142" s="68">
        <f t="shared" si="13"/>
        <v>137</v>
      </c>
      <c r="C142" s="607">
        <v>17300.0</v>
      </c>
      <c r="D142" s="6">
        <f t="shared" si="14"/>
        <v>6300.44161</v>
      </c>
      <c r="E142" s="6">
        <f t="shared" si="16"/>
        <v>10999.55839</v>
      </c>
      <c r="F142" s="6">
        <f t="shared" si="5"/>
        <v>1232332.082</v>
      </c>
      <c r="G142" s="6">
        <f t="shared" si="6"/>
        <v>1137767.918</v>
      </c>
      <c r="H142" s="6">
        <f t="shared" si="17"/>
        <v>2370100</v>
      </c>
      <c r="I142" s="6">
        <f t="shared" si="15"/>
        <v>1844345.21</v>
      </c>
      <c r="J142" s="610">
        <v>4.075</v>
      </c>
      <c r="K142" s="591"/>
      <c r="L142" s="6"/>
      <c r="M142" s="9">
        <v>13000.0</v>
      </c>
      <c r="N142" s="79">
        <f t="shared" si="8"/>
        <v>1763900</v>
      </c>
      <c r="O142" s="6">
        <f t="shared" si="1"/>
        <v>211844.0816</v>
      </c>
      <c r="P142" s="6"/>
      <c r="Q142" s="6">
        <f t="shared" si="9"/>
        <v>3675.55839</v>
      </c>
      <c r="R142" s="6">
        <f t="shared" si="10"/>
        <v>211844.0816</v>
      </c>
      <c r="S142" s="81">
        <f t="shared" si="2"/>
        <v>18.61927008</v>
      </c>
      <c r="T142" s="6"/>
      <c r="U142" s="6"/>
      <c r="V142" s="6"/>
      <c r="W142" s="6"/>
      <c r="X142" s="6"/>
      <c r="Y142" s="6"/>
    </row>
    <row r="143" ht="11.25" customHeight="1">
      <c r="A143" s="7"/>
      <c r="B143" s="68">
        <f t="shared" si="13"/>
        <v>138</v>
      </c>
      <c r="C143" s="607">
        <v>17300.0</v>
      </c>
      <c r="D143" s="6">
        <f t="shared" si="14"/>
        <v>6263.088943</v>
      </c>
      <c r="E143" s="6">
        <f t="shared" si="16"/>
        <v>11036.91106</v>
      </c>
      <c r="F143" s="6">
        <f t="shared" si="5"/>
        <v>1243368.993</v>
      </c>
      <c r="G143" s="6">
        <f t="shared" si="6"/>
        <v>1144031.007</v>
      </c>
      <c r="H143" s="6">
        <f t="shared" si="17"/>
        <v>2387400</v>
      </c>
      <c r="I143" s="6">
        <f t="shared" si="15"/>
        <v>1833308.299</v>
      </c>
      <c r="J143" s="610">
        <v>4.075</v>
      </c>
      <c r="K143" s="591"/>
      <c r="L143" s="6"/>
      <c r="M143" s="9">
        <v>13000.0</v>
      </c>
      <c r="N143" s="79">
        <f t="shared" si="8"/>
        <v>1776900</v>
      </c>
      <c r="O143" s="6">
        <f t="shared" si="1"/>
        <v>215556.9927</v>
      </c>
      <c r="P143" s="6"/>
      <c r="Q143" s="6">
        <f t="shared" si="9"/>
        <v>3712.911057</v>
      </c>
      <c r="R143" s="6">
        <f t="shared" si="10"/>
        <v>215556.9927</v>
      </c>
      <c r="S143" s="81">
        <f t="shared" si="2"/>
        <v>18.84188377</v>
      </c>
      <c r="T143" s="6"/>
      <c r="U143" s="6"/>
      <c r="V143" s="6"/>
      <c r="W143" s="6"/>
      <c r="X143" s="6"/>
      <c r="Y143" s="6"/>
    </row>
    <row r="144" ht="11.25" customHeight="1">
      <c r="A144" s="7"/>
      <c r="B144" s="68">
        <f t="shared" si="13"/>
        <v>139</v>
      </c>
      <c r="C144" s="607">
        <v>17300.0</v>
      </c>
      <c r="D144" s="6">
        <f t="shared" si="14"/>
        <v>6225.609433</v>
      </c>
      <c r="E144" s="6">
        <f t="shared" si="16"/>
        <v>11074.39057</v>
      </c>
      <c r="F144" s="6">
        <f t="shared" si="5"/>
        <v>1254443.383</v>
      </c>
      <c r="G144" s="6">
        <f t="shared" si="6"/>
        <v>1150256.617</v>
      </c>
      <c r="H144" s="6">
        <f t="shared" si="17"/>
        <v>2404700</v>
      </c>
      <c r="I144" s="6">
        <f t="shared" si="15"/>
        <v>1822233.909</v>
      </c>
      <c r="J144" s="610">
        <v>4.075</v>
      </c>
      <c r="K144" s="591"/>
      <c r="L144" s="6"/>
      <c r="M144" s="9">
        <v>13000.0</v>
      </c>
      <c r="N144" s="79">
        <f t="shared" si="8"/>
        <v>1789900</v>
      </c>
      <c r="O144" s="6">
        <f t="shared" si="1"/>
        <v>219307.3833</v>
      </c>
      <c r="P144" s="6"/>
      <c r="Q144" s="6">
        <f t="shared" si="9"/>
        <v>3750.390567</v>
      </c>
      <c r="R144" s="6">
        <f t="shared" si="10"/>
        <v>219307.3833</v>
      </c>
      <c r="S144" s="81">
        <f t="shared" si="2"/>
        <v>19.06595277</v>
      </c>
      <c r="T144" s="6"/>
      <c r="U144" s="6"/>
      <c r="V144" s="6"/>
      <c r="W144" s="6"/>
      <c r="X144" s="6"/>
      <c r="Y144" s="6"/>
    </row>
    <row r="145" ht="11.25" customHeight="1">
      <c r="A145" s="7"/>
      <c r="B145" s="68">
        <f t="shared" si="13"/>
        <v>140</v>
      </c>
      <c r="C145" s="607">
        <v>17300.0</v>
      </c>
      <c r="D145" s="6">
        <f t="shared" si="14"/>
        <v>6188.002648</v>
      </c>
      <c r="E145" s="6">
        <f t="shared" si="16"/>
        <v>11111.99735</v>
      </c>
      <c r="F145" s="6">
        <f t="shared" si="5"/>
        <v>1265555.381</v>
      </c>
      <c r="G145" s="6">
        <f t="shared" si="6"/>
        <v>1156444.619</v>
      </c>
      <c r="H145" s="6">
        <f t="shared" si="17"/>
        <v>2422000</v>
      </c>
      <c r="I145" s="6">
        <f t="shared" si="15"/>
        <v>1811121.911</v>
      </c>
      <c r="J145" s="610">
        <v>4.075</v>
      </c>
      <c r="K145" s="591"/>
      <c r="L145" s="6"/>
      <c r="M145" s="9">
        <v>13000.0</v>
      </c>
      <c r="N145" s="79">
        <f t="shared" si="8"/>
        <v>1802900</v>
      </c>
      <c r="O145" s="6">
        <f t="shared" si="1"/>
        <v>223095.3806</v>
      </c>
      <c r="P145" s="6"/>
      <c r="Q145" s="6">
        <f t="shared" si="9"/>
        <v>3787.997352</v>
      </c>
      <c r="R145" s="6">
        <f t="shared" si="10"/>
        <v>223095.3806</v>
      </c>
      <c r="S145" s="81">
        <f t="shared" si="2"/>
        <v>19.29148849</v>
      </c>
      <c r="T145" s="6"/>
      <c r="U145" s="6"/>
      <c r="V145" s="6"/>
      <c r="W145" s="6"/>
      <c r="X145" s="6"/>
      <c r="Y145" s="6"/>
    </row>
    <row r="146" ht="11.25" customHeight="1">
      <c r="A146" s="7"/>
      <c r="B146" s="68">
        <f t="shared" si="13"/>
        <v>141</v>
      </c>
      <c r="C146" s="607">
        <v>17300.0</v>
      </c>
      <c r="D146" s="6">
        <f t="shared" si="14"/>
        <v>6150.268157</v>
      </c>
      <c r="E146" s="6">
        <f t="shared" si="16"/>
        <v>11149.73184</v>
      </c>
      <c r="F146" s="6">
        <f t="shared" si="5"/>
        <v>1276705.112</v>
      </c>
      <c r="G146" s="6">
        <f t="shared" si="6"/>
        <v>1162594.888</v>
      </c>
      <c r="H146" s="6">
        <f t="shared" si="17"/>
        <v>2439300</v>
      </c>
      <c r="I146" s="6">
        <f t="shared" si="15"/>
        <v>1799972.179</v>
      </c>
      <c r="J146" s="610">
        <v>4.075</v>
      </c>
      <c r="K146" s="591"/>
      <c r="L146" s="6"/>
      <c r="M146" s="9">
        <v>13000.0</v>
      </c>
      <c r="N146" s="79">
        <f t="shared" si="8"/>
        <v>1815900</v>
      </c>
      <c r="O146" s="6">
        <f t="shared" si="1"/>
        <v>226921.1124</v>
      </c>
      <c r="P146" s="6"/>
      <c r="Q146" s="6">
        <f t="shared" si="9"/>
        <v>3825.731843</v>
      </c>
      <c r="R146" s="6">
        <f t="shared" si="10"/>
        <v>226921.1124</v>
      </c>
      <c r="S146" s="81">
        <f t="shared" si="2"/>
        <v>19.51850252</v>
      </c>
      <c r="T146" s="6"/>
      <c r="U146" s="6"/>
      <c r="V146" s="6"/>
      <c r="W146" s="6"/>
      <c r="X146" s="6"/>
      <c r="Y146" s="6"/>
    </row>
    <row r="147" ht="11.25" customHeight="1">
      <c r="A147" s="7"/>
      <c r="B147" s="68">
        <f t="shared" si="13"/>
        <v>142</v>
      </c>
      <c r="C147" s="607">
        <v>17300.0</v>
      </c>
      <c r="D147" s="6">
        <f t="shared" si="14"/>
        <v>6112.405526</v>
      </c>
      <c r="E147" s="6">
        <f t="shared" si="16"/>
        <v>11187.59447</v>
      </c>
      <c r="F147" s="6">
        <f t="shared" si="5"/>
        <v>1287892.707</v>
      </c>
      <c r="G147" s="6">
        <f t="shared" si="6"/>
        <v>1168707.293</v>
      </c>
      <c r="H147" s="6">
        <f t="shared" si="17"/>
        <v>2456600</v>
      </c>
      <c r="I147" s="6">
        <f t="shared" si="15"/>
        <v>1788784.585</v>
      </c>
      <c r="J147" s="610">
        <v>4.075</v>
      </c>
      <c r="K147" s="591"/>
      <c r="L147" s="6"/>
      <c r="M147" s="9">
        <v>13000.0</v>
      </c>
      <c r="N147" s="79">
        <f t="shared" si="8"/>
        <v>1828900</v>
      </c>
      <c r="O147" s="6">
        <f t="shared" si="1"/>
        <v>230784.7069</v>
      </c>
      <c r="P147" s="6"/>
      <c r="Q147" s="6">
        <f t="shared" si="9"/>
        <v>3863.594474</v>
      </c>
      <c r="R147" s="6">
        <f t="shared" si="10"/>
        <v>230784.7069</v>
      </c>
      <c r="S147" s="81">
        <f t="shared" si="2"/>
        <v>19.74700665</v>
      </c>
      <c r="T147" s="6"/>
      <c r="U147" s="6"/>
      <c r="V147" s="6"/>
      <c r="W147" s="6"/>
      <c r="X147" s="6"/>
      <c r="Y147" s="6"/>
    </row>
    <row r="148" ht="11.25" customHeight="1">
      <c r="A148" s="7"/>
      <c r="B148" s="68">
        <f t="shared" si="13"/>
        <v>143</v>
      </c>
      <c r="C148" s="607">
        <v>17300.0</v>
      </c>
      <c r="D148" s="6">
        <f t="shared" si="14"/>
        <v>6074.41432</v>
      </c>
      <c r="E148" s="6">
        <f t="shared" si="16"/>
        <v>11225.58568</v>
      </c>
      <c r="F148" s="6">
        <f t="shared" si="5"/>
        <v>1299118.293</v>
      </c>
      <c r="G148" s="6">
        <f t="shared" si="6"/>
        <v>1174781.707</v>
      </c>
      <c r="H148" s="6">
        <f t="shared" si="17"/>
        <v>2473900</v>
      </c>
      <c r="I148" s="6">
        <f t="shared" si="15"/>
        <v>1777558.999</v>
      </c>
      <c r="J148" s="610">
        <v>4.075</v>
      </c>
      <c r="K148" s="591"/>
      <c r="L148" s="6"/>
      <c r="M148" s="9">
        <v>13000.0</v>
      </c>
      <c r="N148" s="79">
        <f t="shared" si="8"/>
        <v>1841900</v>
      </c>
      <c r="O148" s="6">
        <f t="shared" si="1"/>
        <v>234686.2926</v>
      </c>
      <c r="P148" s="6"/>
      <c r="Q148" s="6">
        <f t="shared" si="9"/>
        <v>3901.58568</v>
      </c>
      <c r="R148" s="6">
        <f t="shared" si="10"/>
        <v>234686.2926</v>
      </c>
      <c r="S148" s="81">
        <f t="shared" si="2"/>
        <v>19.97701285</v>
      </c>
      <c r="T148" s="6"/>
      <c r="U148" s="6"/>
      <c r="V148" s="6"/>
      <c r="W148" s="6"/>
      <c r="X148" s="6"/>
      <c r="Y148" s="6"/>
    </row>
    <row r="149" ht="11.25" customHeight="1">
      <c r="A149" s="71"/>
      <c r="B149" s="72">
        <f t="shared" si="13"/>
        <v>144</v>
      </c>
      <c r="C149" s="607">
        <v>17300.0</v>
      </c>
      <c r="D149" s="10">
        <f t="shared" si="14"/>
        <v>6036.294102</v>
      </c>
      <c r="E149" s="10">
        <f t="shared" si="16"/>
        <v>11263.7059</v>
      </c>
      <c r="F149" s="10">
        <f t="shared" si="5"/>
        <v>1310381.998</v>
      </c>
      <c r="G149" s="10">
        <f t="shared" si="6"/>
        <v>1180818.002</v>
      </c>
      <c r="H149" s="10">
        <f t="shared" si="17"/>
        <v>2491200</v>
      </c>
      <c r="I149" s="10">
        <f t="shared" si="15"/>
        <v>1766295.293</v>
      </c>
      <c r="J149" s="610">
        <v>4.075</v>
      </c>
      <c r="K149" s="591"/>
      <c r="L149" s="6"/>
      <c r="M149" s="9">
        <v>13000.0</v>
      </c>
      <c r="N149" s="79">
        <f t="shared" si="8"/>
        <v>1854900</v>
      </c>
      <c r="O149" s="6">
        <f t="shared" si="1"/>
        <v>238625.9985</v>
      </c>
      <c r="P149" s="6"/>
      <c r="Q149" s="6">
        <f t="shared" si="9"/>
        <v>3939.705898</v>
      </c>
      <c r="R149" s="6">
        <f t="shared" si="10"/>
        <v>238625.9985</v>
      </c>
      <c r="S149" s="81">
        <f t="shared" si="2"/>
        <v>20.20853325</v>
      </c>
      <c r="T149" s="6"/>
      <c r="U149" s="6"/>
      <c r="V149" s="6"/>
      <c r="W149" s="6"/>
      <c r="X149" s="6"/>
      <c r="Y149" s="6"/>
    </row>
    <row r="150" ht="11.25" customHeight="1">
      <c r="A150" s="100">
        <v>13.0</v>
      </c>
      <c r="B150" s="66">
        <f t="shared" si="13"/>
        <v>145</v>
      </c>
      <c r="C150" s="607">
        <v>17300.0</v>
      </c>
      <c r="D150" s="617">
        <f t="shared" si="14"/>
        <v>5998.044434</v>
      </c>
      <c r="E150" s="617">
        <f t="shared" si="16"/>
        <v>11301.95557</v>
      </c>
      <c r="F150" s="617">
        <f t="shared" si="5"/>
        <v>1321683.954</v>
      </c>
      <c r="G150" s="617">
        <f t="shared" si="6"/>
        <v>1186816.046</v>
      </c>
      <c r="H150" s="617">
        <f t="shared" si="17"/>
        <v>2508500</v>
      </c>
      <c r="I150" s="617">
        <f t="shared" si="15"/>
        <v>1754993.338</v>
      </c>
      <c r="J150" s="610">
        <v>4.075</v>
      </c>
      <c r="K150" s="591"/>
      <c r="L150" s="6"/>
      <c r="M150" s="9">
        <v>13000.0</v>
      </c>
      <c r="N150" s="79">
        <f t="shared" si="8"/>
        <v>1867900</v>
      </c>
      <c r="O150" s="6">
        <f t="shared" si="1"/>
        <v>242603.9541</v>
      </c>
      <c r="P150" s="6"/>
      <c r="Q150" s="6">
        <f t="shared" si="9"/>
        <v>3977.955566</v>
      </c>
      <c r="R150" s="6">
        <f t="shared" si="10"/>
        <v>242603.9541</v>
      </c>
      <c r="S150" s="81">
        <f t="shared" si="2"/>
        <v>20.44158022</v>
      </c>
      <c r="T150" s="6"/>
      <c r="U150" s="6"/>
      <c r="V150" s="6"/>
      <c r="W150" s="6"/>
      <c r="X150" s="6"/>
      <c r="Y150" s="6"/>
    </row>
    <row r="151" ht="11.25" customHeight="1">
      <c r="A151" s="7"/>
      <c r="B151" s="68">
        <f t="shared" si="13"/>
        <v>146</v>
      </c>
      <c r="C151" s="607">
        <v>17300.0</v>
      </c>
      <c r="D151" s="6">
        <f t="shared" si="14"/>
        <v>5959.664876</v>
      </c>
      <c r="E151" s="6">
        <f t="shared" si="16"/>
        <v>11340.33512</v>
      </c>
      <c r="F151" s="6">
        <f t="shared" si="5"/>
        <v>1333024.289</v>
      </c>
      <c r="G151" s="6">
        <f t="shared" si="6"/>
        <v>1192775.711</v>
      </c>
      <c r="H151" s="6">
        <f t="shared" si="17"/>
        <v>2525800</v>
      </c>
      <c r="I151" s="6">
        <f t="shared" si="15"/>
        <v>1743653.003</v>
      </c>
      <c r="J151" s="610">
        <v>4.075</v>
      </c>
      <c r="K151" s="591"/>
      <c r="L151" s="6"/>
      <c r="M151" s="9">
        <v>13000.0</v>
      </c>
      <c r="N151" s="79">
        <f t="shared" si="8"/>
        <v>1880900</v>
      </c>
      <c r="O151" s="6">
        <f t="shared" si="1"/>
        <v>246620.2892</v>
      </c>
      <c r="P151" s="6"/>
      <c r="Q151" s="6">
        <f t="shared" si="9"/>
        <v>4016.335124</v>
      </c>
      <c r="R151" s="6">
        <f t="shared" si="10"/>
        <v>246620.2892</v>
      </c>
      <c r="S151" s="81">
        <f t="shared" si="2"/>
        <v>20.67616627</v>
      </c>
      <c r="T151" s="6"/>
      <c r="U151" s="6"/>
      <c r="V151" s="6"/>
      <c r="W151" s="6"/>
      <c r="X151" s="6"/>
      <c r="Y151" s="6"/>
    </row>
    <row r="152" ht="11.25" customHeight="1">
      <c r="A152" s="7"/>
      <c r="B152" s="68">
        <f t="shared" si="13"/>
        <v>147</v>
      </c>
      <c r="C152" s="607">
        <v>17300.0</v>
      </c>
      <c r="D152" s="6">
        <f t="shared" si="14"/>
        <v>5921.154988</v>
      </c>
      <c r="E152" s="6">
        <f t="shared" si="16"/>
        <v>11378.84501</v>
      </c>
      <c r="F152" s="6">
        <f t="shared" si="5"/>
        <v>1344403.134</v>
      </c>
      <c r="G152" s="6">
        <f t="shared" si="6"/>
        <v>1198696.866</v>
      </c>
      <c r="H152" s="6">
        <f t="shared" si="17"/>
        <v>2543100</v>
      </c>
      <c r="I152" s="6">
        <f t="shared" si="15"/>
        <v>1732274.158</v>
      </c>
      <c r="J152" s="610">
        <v>4.075</v>
      </c>
      <c r="K152" s="591"/>
      <c r="L152" s="6"/>
      <c r="M152" s="9">
        <v>13000.0</v>
      </c>
      <c r="N152" s="79">
        <f t="shared" si="8"/>
        <v>1893900</v>
      </c>
      <c r="O152" s="6">
        <f t="shared" si="1"/>
        <v>250675.1342</v>
      </c>
      <c r="P152" s="6"/>
      <c r="Q152" s="6">
        <f t="shared" si="9"/>
        <v>4054.845012</v>
      </c>
      <c r="R152" s="6">
        <f t="shared" si="10"/>
        <v>250675.1342</v>
      </c>
      <c r="S152" s="81">
        <f t="shared" si="2"/>
        <v>20.91230413</v>
      </c>
      <c r="T152" s="6"/>
      <c r="U152" s="6"/>
      <c r="V152" s="6"/>
      <c r="W152" s="6"/>
      <c r="X152" s="6"/>
      <c r="Y152" s="6"/>
    </row>
    <row r="153" ht="11.25" customHeight="1">
      <c r="A153" s="7"/>
      <c r="B153" s="68">
        <f t="shared" si="13"/>
        <v>148</v>
      </c>
      <c r="C153" s="607">
        <v>17300.0</v>
      </c>
      <c r="D153" s="6">
        <f t="shared" si="14"/>
        <v>5882.514327</v>
      </c>
      <c r="E153" s="6">
        <f t="shared" si="16"/>
        <v>11417.48567</v>
      </c>
      <c r="F153" s="6">
        <f t="shared" si="5"/>
        <v>1355820.62</v>
      </c>
      <c r="G153" s="6">
        <f t="shared" si="6"/>
        <v>1204579.38</v>
      </c>
      <c r="H153" s="6">
        <f t="shared" si="17"/>
        <v>2560400</v>
      </c>
      <c r="I153" s="6">
        <f t="shared" si="15"/>
        <v>1720856.672</v>
      </c>
      <c r="J153" s="610">
        <v>4.075</v>
      </c>
      <c r="K153" s="591"/>
      <c r="L153" s="6"/>
      <c r="M153" s="9">
        <v>13000.0</v>
      </c>
      <c r="N153" s="79">
        <f t="shared" si="8"/>
        <v>1906900</v>
      </c>
      <c r="O153" s="6">
        <f t="shared" si="1"/>
        <v>254768.6199</v>
      </c>
      <c r="P153" s="6"/>
      <c r="Q153" s="6">
        <f t="shared" si="9"/>
        <v>4093.485673</v>
      </c>
      <c r="R153" s="6">
        <f t="shared" si="10"/>
        <v>254768.6199</v>
      </c>
      <c r="S153" s="81">
        <f t="shared" si="2"/>
        <v>21.15000672</v>
      </c>
      <c r="T153" s="6"/>
      <c r="U153" s="6"/>
      <c r="V153" s="6"/>
      <c r="W153" s="6"/>
      <c r="X153" s="6"/>
      <c r="Y153" s="6"/>
    </row>
    <row r="154" ht="11.25" customHeight="1">
      <c r="A154" s="7"/>
      <c r="B154" s="68">
        <f t="shared" si="13"/>
        <v>149</v>
      </c>
      <c r="C154" s="607">
        <v>17300.0</v>
      </c>
      <c r="D154" s="6">
        <f t="shared" si="14"/>
        <v>5843.742449</v>
      </c>
      <c r="E154" s="6">
        <f t="shared" si="16"/>
        <v>11456.25755</v>
      </c>
      <c r="F154" s="6">
        <f t="shared" si="5"/>
        <v>1367276.877</v>
      </c>
      <c r="G154" s="6">
        <f t="shared" si="6"/>
        <v>1210423.123</v>
      </c>
      <c r="H154" s="6">
        <f t="shared" si="17"/>
        <v>2577700</v>
      </c>
      <c r="I154" s="6">
        <f t="shared" si="15"/>
        <v>1709400.414</v>
      </c>
      <c r="J154" s="610">
        <v>4.075</v>
      </c>
      <c r="K154" s="591"/>
      <c r="L154" s="6"/>
      <c r="M154" s="9">
        <v>13000.0</v>
      </c>
      <c r="N154" s="79">
        <f t="shared" si="8"/>
        <v>1919900</v>
      </c>
      <c r="O154" s="6">
        <f t="shared" si="1"/>
        <v>258900.8774</v>
      </c>
      <c r="P154" s="6"/>
      <c r="Q154" s="6">
        <f t="shared" si="9"/>
        <v>4132.257551</v>
      </c>
      <c r="R154" s="6">
        <f t="shared" si="10"/>
        <v>258900.8774</v>
      </c>
      <c r="S154" s="81">
        <f t="shared" si="2"/>
        <v>21.38928715</v>
      </c>
      <c r="T154" s="6"/>
      <c r="U154" s="6"/>
      <c r="V154" s="6"/>
      <c r="W154" s="6"/>
      <c r="X154" s="6"/>
      <c r="Y154" s="6"/>
    </row>
    <row r="155" ht="11.25" customHeight="1">
      <c r="A155" s="7"/>
      <c r="B155" s="68">
        <f t="shared" si="13"/>
        <v>150</v>
      </c>
      <c r="C155" s="607">
        <v>17300.0</v>
      </c>
      <c r="D155" s="6">
        <f t="shared" si="14"/>
        <v>5804.838907</v>
      </c>
      <c r="E155" s="6">
        <f t="shared" si="16"/>
        <v>11495.16109</v>
      </c>
      <c r="F155" s="6">
        <f t="shared" si="5"/>
        <v>1378772.039</v>
      </c>
      <c r="G155" s="6">
        <f t="shared" si="6"/>
        <v>1216227.961</v>
      </c>
      <c r="H155" s="6">
        <f t="shared" si="17"/>
        <v>2595000</v>
      </c>
      <c r="I155" s="6">
        <f t="shared" si="15"/>
        <v>1697905.253</v>
      </c>
      <c r="J155" s="610">
        <v>4.075</v>
      </c>
      <c r="K155" s="591"/>
      <c r="L155" s="6"/>
      <c r="M155" s="9">
        <v>13000.0</v>
      </c>
      <c r="N155" s="79">
        <f t="shared" si="8"/>
        <v>1932900</v>
      </c>
      <c r="O155" s="6">
        <f t="shared" si="1"/>
        <v>263072.0385</v>
      </c>
      <c r="P155" s="6"/>
      <c r="Q155" s="6">
        <f t="shared" si="9"/>
        <v>4171.161093</v>
      </c>
      <c r="R155" s="6">
        <f t="shared" si="10"/>
        <v>263072.0385</v>
      </c>
      <c r="S155" s="81">
        <f t="shared" si="2"/>
        <v>21.63015872</v>
      </c>
      <c r="T155" s="6"/>
      <c r="U155" s="6"/>
      <c r="V155" s="6"/>
      <c r="W155" s="6"/>
      <c r="X155" s="6"/>
      <c r="Y155" s="6"/>
    </row>
    <row r="156" ht="11.25" customHeight="1">
      <c r="A156" s="7"/>
      <c r="B156" s="68">
        <f t="shared" si="13"/>
        <v>151</v>
      </c>
      <c r="C156" s="607">
        <v>17300.0</v>
      </c>
      <c r="D156" s="6">
        <f t="shared" si="14"/>
        <v>5765.803256</v>
      </c>
      <c r="E156" s="6">
        <f t="shared" si="16"/>
        <v>11534.19674</v>
      </c>
      <c r="F156" s="6">
        <f t="shared" si="5"/>
        <v>1390306.235</v>
      </c>
      <c r="G156" s="6">
        <f t="shared" si="6"/>
        <v>1221993.765</v>
      </c>
      <c r="H156" s="6">
        <f t="shared" si="17"/>
        <v>2612300</v>
      </c>
      <c r="I156" s="6">
        <f t="shared" si="15"/>
        <v>1686371.057</v>
      </c>
      <c r="J156" s="610">
        <v>4.075</v>
      </c>
      <c r="K156" s="591"/>
      <c r="L156" s="6"/>
      <c r="M156" s="9">
        <v>13000.0</v>
      </c>
      <c r="N156" s="79">
        <f t="shared" si="8"/>
        <v>1945900</v>
      </c>
      <c r="O156" s="6">
        <f t="shared" si="1"/>
        <v>267282.2353</v>
      </c>
      <c r="P156" s="6"/>
      <c r="Q156" s="6">
        <f t="shared" si="9"/>
        <v>4210.196744</v>
      </c>
      <c r="R156" s="6">
        <f t="shared" si="10"/>
        <v>267282.2353</v>
      </c>
      <c r="S156" s="81">
        <f t="shared" si="2"/>
        <v>21.87263495</v>
      </c>
      <c r="T156" s="6"/>
      <c r="U156" s="6"/>
      <c r="V156" s="6"/>
      <c r="W156" s="6"/>
      <c r="X156" s="6"/>
      <c r="Y156" s="6"/>
    </row>
    <row r="157" ht="11.25" customHeight="1">
      <c r="A157" s="7"/>
      <c r="B157" s="68">
        <f t="shared" si="13"/>
        <v>152</v>
      </c>
      <c r="C157" s="607">
        <v>17300.0</v>
      </c>
      <c r="D157" s="6">
        <f t="shared" si="14"/>
        <v>5726.635046</v>
      </c>
      <c r="E157" s="6">
        <f t="shared" si="16"/>
        <v>11573.36495</v>
      </c>
      <c r="F157" s="6">
        <f t="shared" si="5"/>
        <v>1401879.6</v>
      </c>
      <c r="G157" s="6">
        <f t="shared" si="6"/>
        <v>1227720.4</v>
      </c>
      <c r="H157" s="6">
        <f t="shared" si="17"/>
        <v>2629600</v>
      </c>
      <c r="I157" s="6">
        <f t="shared" si="15"/>
        <v>1674797.692</v>
      </c>
      <c r="J157" s="610">
        <v>4.075</v>
      </c>
      <c r="K157" s="591"/>
      <c r="L157" s="6"/>
      <c r="M157" s="9">
        <v>13000.0</v>
      </c>
      <c r="N157" s="79">
        <f t="shared" si="8"/>
        <v>1958900</v>
      </c>
      <c r="O157" s="6">
        <f t="shared" si="1"/>
        <v>271531.6002</v>
      </c>
      <c r="P157" s="6"/>
      <c r="Q157" s="6">
        <f t="shared" si="9"/>
        <v>4249.364954</v>
      </c>
      <c r="R157" s="6">
        <f t="shared" si="10"/>
        <v>271531.6002</v>
      </c>
      <c r="S157" s="81">
        <f t="shared" si="2"/>
        <v>22.11672953</v>
      </c>
      <c r="T157" s="6"/>
      <c r="U157" s="6"/>
      <c r="V157" s="6"/>
      <c r="W157" s="6"/>
      <c r="X157" s="6"/>
      <c r="Y157" s="6"/>
    </row>
    <row r="158" ht="11.25" customHeight="1">
      <c r="A158" s="7"/>
      <c r="B158" s="68">
        <f t="shared" si="13"/>
        <v>153</v>
      </c>
      <c r="C158" s="607">
        <v>17300.0</v>
      </c>
      <c r="D158" s="6">
        <f t="shared" si="14"/>
        <v>5687.333828</v>
      </c>
      <c r="E158" s="6">
        <f t="shared" si="16"/>
        <v>11612.66617</v>
      </c>
      <c r="F158" s="6">
        <f t="shared" si="5"/>
        <v>1413492.266</v>
      </c>
      <c r="G158" s="6">
        <f t="shared" si="6"/>
        <v>1233407.734</v>
      </c>
      <c r="H158" s="6">
        <f t="shared" si="17"/>
        <v>2646900</v>
      </c>
      <c r="I158" s="6">
        <f t="shared" si="15"/>
        <v>1663185.025</v>
      </c>
      <c r="J158" s="610">
        <v>4.075</v>
      </c>
      <c r="K158" s="591"/>
      <c r="L158" s="6"/>
      <c r="M158" s="9">
        <v>13000.0</v>
      </c>
      <c r="N158" s="79">
        <f t="shared" si="8"/>
        <v>1971900</v>
      </c>
      <c r="O158" s="6">
        <f t="shared" si="1"/>
        <v>275820.2664</v>
      </c>
      <c r="P158" s="6"/>
      <c r="Q158" s="6">
        <f t="shared" si="9"/>
        <v>4288.666172</v>
      </c>
      <c r="R158" s="6">
        <f t="shared" si="10"/>
        <v>275820.2664</v>
      </c>
      <c r="S158" s="81">
        <f t="shared" si="2"/>
        <v>22.36245638</v>
      </c>
      <c r="T158" s="6"/>
      <c r="U158" s="6"/>
      <c r="V158" s="6"/>
      <c r="W158" s="6"/>
      <c r="X158" s="6"/>
      <c r="Y158" s="6"/>
    </row>
    <row r="159" ht="11.25" customHeight="1">
      <c r="A159" s="7"/>
      <c r="B159" s="68">
        <f t="shared" si="13"/>
        <v>154</v>
      </c>
      <c r="C159" s="607">
        <v>17300.0</v>
      </c>
      <c r="D159" s="6">
        <f t="shared" si="14"/>
        <v>5647.899149</v>
      </c>
      <c r="E159" s="6">
        <f t="shared" si="16"/>
        <v>11652.10085</v>
      </c>
      <c r="F159" s="6">
        <f t="shared" si="5"/>
        <v>1425144.367</v>
      </c>
      <c r="G159" s="6">
        <f t="shared" si="6"/>
        <v>1239055.633</v>
      </c>
      <c r="H159" s="6">
        <f t="shared" si="17"/>
        <v>2664200</v>
      </c>
      <c r="I159" s="6">
        <f t="shared" si="15"/>
        <v>1651532.925</v>
      </c>
      <c r="J159" s="610">
        <v>4.075</v>
      </c>
      <c r="K159" s="591"/>
      <c r="L159" s="6"/>
      <c r="M159" s="9">
        <v>13000.0</v>
      </c>
      <c r="N159" s="79">
        <f t="shared" si="8"/>
        <v>1984900</v>
      </c>
      <c r="O159" s="6">
        <f t="shared" si="1"/>
        <v>280148.3672</v>
      </c>
      <c r="P159" s="6"/>
      <c r="Q159" s="6">
        <f t="shared" si="9"/>
        <v>4328.100851</v>
      </c>
      <c r="R159" s="6">
        <f t="shared" si="10"/>
        <v>280148.3672</v>
      </c>
      <c r="S159" s="81">
        <f t="shared" si="2"/>
        <v>22.6098296</v>
      </c>
      <c r="T159" s="6"/>
      <c r="U159" s="6"/>
      <c r="V159" s="6"/>
      <c r="W159" s="6"/>
      <c r="X159" s="6"/>
      <c r="Y159" s="6"/>
    </row>
    <row r="160" ht="11.25" customHeight="1">
      <c r="A160" s="7"/>
      <c r="B160" s="68">
        <f t="shared" si="13"/>
        <v>155</v>
      </c>
      <c r="C160" s="607">
        <v>17300.0</v>
      </c>
      <c r="D160" s="6">
        <f t="shared" si="14"/>
        <v>5608.330556</v>
      </c>
      <c r="E160" s="6">
        <f t="shared" si="16"/>
        <v>11691.66944</v>
      </c>
      <c r="F160" s="6">
        <f t="shared" si="5"/>
        <v>1436836.037</v>
      </c>
      <c r="G160" s="6">
        <f t="shared" si="6"/>
        <v>1244663.963</v>
      </c>
      <c r="H160" s="6">
        <f t="shared" si="17"/>
        <v>2681500</v>
      </c>
      <c r="I160" s="6">
        <f t="shared" si="15"/>
        <v>1639841.255</v>
      </c>
      <c r="J160" s="610">
        <v>4.075</v>
      </c>
      <c r="K160" s="591"/>
      <c r="L160" s="6"/>
      <c r="M160" s="9">
        <v>13000.0</v>
      </c>
      <c r="N160" s="79">
        <f t="shared" si="8"/>
        <v>1997900</v>
      </c>
      <c r="O160" s="6">
        <f t="shared" si="1"/>
        <v>284516.0367</v>
      </c>
      <c r="P160" s="6"/>
      <c r="Q160" s="6">
        <f t="shared" si="9"/>
        <v>4367.669444</v>
      </c>
      <c r="R160" s="6">
        <f t="shared" si="10"/>
        <v>284516.0367</v>
      </c>
      <c r="S160" s="81">
        <f t="shared" si="2"/>
        <v>22.85886352</v>
      </c>
      <c r="T160" s="6"/>
      <c r="U160" s="6"/>
      <c r="V160" s="6"/>
      <c r="W160" s="6"/>
      <c r="X160" s="6"/>
      <c r="Y160" s="6"/>
    </row>
    <row r="161" ht="11.25" customHeight="1">
      <c r="A161" s="71"/>
      <c r="B161" s="72">
        <f t="shared" si="13"/>
        <v>156</v>
      </c>
      <c r="C161" s="607">
        <v>17300.0</v>
      </c>
      <c r="D161" s="10">
        <f t="shared" si="14"/>
        <v>5568.627596</v>
      </c>
      <c r="E161" s="10">
        <f t="shared" si="16"/>
        <v>11731.3724</v>
      </c>
      <c r="F161" s="10">
        <f t="shared" si="5"/>
        <v>1448567.409</v>
      </c>
      <c r="G161" s="10">
        <f t="shared" si="6"/>
        <v>1250232.591</v>
      </c>
      <c r="H161" s="10">
        <f t="shared" si="17"/>
        <v>2698800</v>
      </c>
      <c r="I161" s="10">
        <f t="shared" si="15"/>
        <v>1628109.883</v>
      </c>
      <c r="J161" s="610">
        <v>4.075</v>
      </c>
      <c r="K161" s="591"/>
      <c r="L161" s="6"/>
      <c r="M161" s="9">
        <v>13000.0</v>
      </c>
      <c r="N161" s="79">
        <f t="shared" si="8"/>
        <v>2010900</v>
      </c>
      <c r="O161" s="6">
        <f t="shared" si="1"/>
        <v>288923.4091</v>
      </c>
      <c r="P161" s="6"/>
      <c r="Q161" s="6">
        <f t="shared" si="9"/>
        <v>4407.372404</v>
      </c>
      <c r="R161" s="6">
        <f t="shared" si="10"/>
        <v>288923.4091</v>
      </c>
      <c r="S161" s="81">
        <f t="shared" si="2"/>
        <v>23.10957267</v>
      </c>
      <c r="T161" s="6"/>
      <c r="U161" s="6"/>
      <c r="V161" s="6"/>
      <c r="W161" s="6"/>
      <c r="X161" s="6"/>
      <c r="Y161" s="6"/>
    </row>
    <row r="162" ht="11.25" customHeight="1">
      <c r="A162" s="100">
        <v>14.0</v>
      </c>
      <c r="B162" s="66">
        <f t="shared" si="13"/>
        <v>157</v>
      </c>
      <c r="C162" s="607">
        <v>17300.0</v>
      </c>
      <c r="D162" s="617">
        <f t="shared" si="14"/>
        <v>5528.78981</v>
      </c>
      <c r="E162" s="617">
        <f t="shared" si="16"/>
        <v>11771.21019</v>
      </c>
      <c r="F162" s="617">
        <f t="shared" si="5"/>
        <v>1460338.619</v>
      </c>
      <c r="G162" s="617">
        <f t="shared" si="6"/>
        <v>1255761.381</v>
      </c>
      <c r="H162" s="617">
        <f t="shared" si="17"/>
        <v>2716100</v>
      </c>
      <c r="I162" s="617">
        <f t="shared" si="15"/>
        <v>1616338.673</v>
      </c>
      <c r="J162" s="610">
        <v>4.075</v>
      </c>
      <c r="K162" s="591"/>
      <c r="L162" s="6"/>
      <c r="M162" s="9">
        <v>13000.0</v>
      </c>
      <c r="N162" s="79">
        <f t="shared" si="8"/>
        <v>2023900</v>
      </c>
      <c r="O162" s="6">
        <f t="shared" si="1"/>
        <v>293370.6193</v>
      </c>
      <c r="P162" s="6"/>
      <c r="Q162" s="6">
        <f t="shared" si="9"/>
        <v>4447.21019</v>
      </c>
      <c r="R162" s="6">
        <f t="shared" si="10"/>
        <v>293370.6193</v>
      </c>
      <c r="S162" s="81">
        <f t="shared" si="2"/>
        <v>23.36197177</v>
      </c>
      <c r="T162" s="6"/>
      <c r="U162" s="6"/>
      <c r="V162" s="6"/>
      <c r="W162" s="6"/>
      <c r="X162" s="6"/>
      <c r="Y162" s="6"/>
    </row>
    <row r="163" ht="11.25" customHeight="1">
      <c r="A163" s="7"/>
      <c r="B163" s="68">
        <f t="shared" si="13"/>
        <v>158</v>
      </c>
      <c r="C163" s="607">
        <v>17300.0</v>
      </c>
      <c r="D163" s="6">
        <f t="shared" si="14"/>
        <v>5488.816742</v>
      </c>
      <c r="E163" s="6">
        <f t="shared" si="16"/>
        <v>11811.18326</v>
      </c>
      <c r="F163" s="6">
        <f t="shared" si="5"/>
        <v>1472149.803</v>
      </c>
      <c r="G163" s="6">
        <f t="shared" si="6"/>
        <v>1261250.197</v>
      </c>
      <c r="H163" s="6">
        <f t="shared" si="17"/>
        <v>2733400</v>
      </c>
      <c r="I163" s="6">
        <f t="shared" si="15"/>
        <v>1604527.489</v>
      </c>
      <c r="J163" s="610">
        <v>4.075</v>
      </c>
      <c r="K163" s="591"/>
      <c r="L163" s="6"/>
      <c r="M163" s="9">
        <v>13000.0</v>
      </c>
      <c r="N163" s="79">
        <f t="shared" si="8"/>
        <v>2036900</v>
      </c>
      <c r="O163" s="6">
        <f t="shared" si="1"/>
        <v>297857.8025</v>
      </c>
      <c r="P163" s="6"/>
      <c r="Q163" s="6">
        <f t="shared" si="9"/>
        <v>4487.183258</v>
      </c>
      <c r="R163" s="6">
        <f t="shared" si="10"/>
        <v>297857.8025</v>
      </c>
      <c r="S163" s="81">
        <f t="shared" si="2"/>
        <v>23.61607579</v>
      </c>
      <c r="T163" s="6"/>
      <c r="U163" s="6"/>
      <c r="V163" s="6"/>
      <c r="W163" s="6"/>
      <c r="X163" s="6"/>
      <c r="Y163" s="6"/>
    </row>
    <row r="164" ht="11.25" customHeight="1">
      <c r="A164" s="7"/>
      <c r="B164" s="68">
        <f t="shared" si="13"/>
        <v>159</v>
      </c>
      <c r="C164" s="607">
        <v>17300.0</v>
      </c>
      <c r="D164" s="6">
        <f t="shared" si="14"/>
        <v>5448.707932</v>
      </c>
      <c r="E164" s="6">
        <f t="shared" si="16"/>
        <v>11851.29207</v>
      </c>
      <c r="F164" s="6">
        <f t="shared" si="5"/>
        <v>1484001.095</v>
      </c>
      <c r="G164" s="6">
        <f t="shared" si="6"/>
        <v>1266698.905</v>
      </c>
      <c r="H164" s="6">
        <f t="shared" si="17"/>
        <v>2750700</v>
      </c>
      <c r="I164" s="6">
        <f t="shared" si="15"/>
        <v>1592676.197</v>
      </c>
      <c r="J164" s="610">
        <v>4.075</v>
      </c>
      <c r="K164" s="591"/>
      <c r="L164" s="6"/>
      <c r="M164" s="9">
        <v>13000.0</v>
      </c>
      <c r="N164" s="79">
        <f t="shared" si="8"/>
        <v>2049900</v>
      </c>
      <c r="O164" s="6">
        <f t="shared" si="1"/>
        <v>302385.0946</v>
      </c>
      <c r="P164" s="6"/>
      <c r="Q164" s="6">
        <f t="shared" si="9"/>
        <v>4527.292068</v>
      </c>
      <c r="R164" s="6">
        <f t="shared" si="10"/>
        <v>302385.0946</v>
      </c>
      <c r="S164" s="81">
        <f t="shared" si="2"/>
        <v>23.87189989</v>
      </c>
      <c r="T164" s="6"/>
      <c r="U164" s="6"/>
      <c r="V164" s="6"/>
      <c r="W164" s="6"/>
      <c r="X164" s="6"/>
      <c r="Y164" s="6"/>
    </row>
    <row r="165" ht="11.25" customHeight="1">
      <c r="A165" s="7"/>
      <c r="B165" s="68">
        <f t="shared" si="13"/>
        <v>160</v>
      </c>
      <c r="C165" s="607">
        <v>17300.0</v>
      </c>
      <c r="D165" s="6">
        <f t="shared" si="14"/>
        <v>5408.46292</v>
      </c>
      <c r="E165" s="6">
        <f t="shared" si="16"/>
        <v>11891.53708</v>
      </c>
      <c r="F165" s="6">
        <f t="shared" si="5"/>
        <v>1495892.632</v>
      </c>
      <c r="G165" s="6">
        <f t="shared" si="6"/>
        <v>1272107.368</v>
      </c>
      <c r="H165" s="6">
        <f t="shared" si="17"/>
        <v>2768000</v>
      </c>
      <c r="I165" s="6">
        <f t="shared" si="15"/>
        <v>1580784.66</v>
      </c>
      <c r="J165" s="610">
        <v>4.075</v>
      </c>
      <c r="K165" s="591"/>
      <c r="L165" s="6"/>
      <c r="M165" s="9">
        <v>13000.0</v>
      </c>
      <c r="N165" s="79">
        <f t="shared" si="8"/>
        <v>2062900</v>
      </c>
      <c r="O165" s="6">
        <f t="shared" si="1"/>
        <v>306952.6317</v>
      </c>
      <c r="P165" s="6"/>
      <c r="Q165" s="6">
        <f t="shared" si="9"/>
        <v>4567.53708</v>
      </c>
      <c r="R165" s="6">
        <f t="shared" si="10"/>
        <v>306952.6317</v>
      </c>
      <c r="S165" s="81">
        <f t="shared" si="2"/>
        <v>24.12945946</v>
      </c>
      <c r="T165" s="6"/>
      <c r="U165" s="6"/>
      <c r="V165" s="6"/>
      <c r="W165" s="6"/>
      <c r="X165" s="6"/>
      <c r="Y165" s="6"/>
    </row>
    <row r="166" ht="11.25" customHeight="1">
      <c r="A166" s="7"/>
      <c r="B166" s="68">
        <f t="shared" si="13"/>
        <v>161</v>
      </c>
      <c r="C166" s="607">
        <v>17300.0</v>
      </c>
      <c r="D166" s="6">
        <f t="shared" si="14"/>
        <v>5368.081242</v>
      </c>
      <c r="E166" s="6">
        <f t="shared" si="16"/>
        <v>11931.91876</v>
      </c>
      <c r="F166" s="6">
        <f t="shared" si="5"/>
        <v>1507824.55</v>
      </c>
      <c r="G166" s="6">
        <f t="shared" si="6"/>
        <v>1277475.45</v>
      </c>
      <c r="H166" s="6">
        <f t="shared" si="17"/>
        <v>2785300</v>
      </c>
      <c r="I166" s="6">
        <f t="shared" si="15"/>
        <v>1568852.741</v>
      </c>
      <c r="J166" s="610">
        <v>4.075</v>
      </c>
      <c r="K166" s="591"/>
      <c r="L166" s="6"/>
      <c r="M166" s="9">
        <v>13000.0</v>
      </c>
      <c r="N166" s="79">
        <f t="shared" si="8"/>
        <v>2075900</v>
      </c>
      <c r="O166" s="6">
        <f t="shared" si="1"/>
        <v>311560.5504</v>
      </c>
      <c r="P166" s="6"/>
      <c r="Q166" s="6">
        <f t="shared" si="9"/>
        <v>4607.918758</v>
      </c>
      <c r="R166" s="6">
        <f t="shared" si="10"/>
        <v>311560.5504</v>
      </c>
      <c r="S166" s="81">
        <f t="shared" si="2"/>
        <v>24.3887701</v>
      </c>
      <c r="T166" s="6"/>
      <c r="U166" s="6"/>
      <c r="V166" s="6"/>
      <c r="W166" s="6"/>
      <c r="X166" s="6"/>
      <c r="Y166" s="6"/>
    </row>
    <row r="167" ht="11.25" customHeight="1">
      <c r="A167" s="7"/>
      <c r="B167" s="68">
        <f t="shared" si="13"/>
        <v>162</v>
      </c>
      <c r="C167" s="607">
        <v>17300.0</v>
      </c>
      <c r="D167" s="6">
        <f t="shared" si="14"/>
        <v>5327.562434</v>
      </c>
      <c r="E167" s="6">
        <f t="shared" si="16"/>
        <v>11972.43757</v>
      </c>
      <c r="F167" s="6">
        <f t="shared" si="5"/>
        <v>1519796.988</v>
      </c>
      <c r="G167" s="6">
        <f t="shared" si="6"/>
        <v>1282803.012</v>
      </c>
      <c r="H167" s="6">
        <f t="shared" si="17"/>
        <v>2802600</v>
      </c>
      <c r="I167" s="6">
        <f t="shared" si="15"/>
        <v>1556880.304</v>
      </c>
      <c r="J167" s="610">
        <v>4.075</v>
      </c>
      <c r="K167" s="591"/>
      <c r="L167" s="6"/>
      <c r="M167" s="9">
        <v>13000.0</v>
      </c>
      <c r="N167" s="79">
        <f t="shared" si="8"/>
        <v>2088900</v>
      </c>
      <c r="O167" s="6">
        <f t="shared" si="1"/>
        <v>316208.988</v>
      </c>
      <c r="P167" s="6"/>
      <c r="Q167" s="6">
        <f t="shared" si="9"/>
        <v>4648.437566</v>
      </c>
      <c r="R167" s="6">
        <f t="shared" si="10"/>
        <v>316208.988</v>
      </c>
      <c r="S167" s="81">
        <f t="shared" si="2"/>
        <v>24.64984764</v>
      </c>
      <c r="T167" s="6"/>
      <c r="U167" s="6"/>
      <c r="V167" s="6"/>
      <c r="W167" s="6"/>
      <c r="X167" s="6"/>
      <c r="Y167" s="6"/>
    </row>
    <row r="168" ht="11.25" customHeight="1">
      <c r="A168" s="7"/>
      <c r="B168" s="68">
        <f t="shared" si="13"/>
        <v>163</v>
      </c>
      <c r="C168" s="607">
        <v>17300.0</v>
      </c>
      <c r="D168" s="6">
        <f t="shared" si="14"/>
        <v>5286.906032</v>
      </c>
      <c r="E168" s="6">
        <f t="shared" si="16"/>
        <v>12013.09397</v>
      </c>
      <c r="F168" s="6">
        <f t="shared" si="5"/>
        <v>1531810.082</v>
      </c>
      <c r="G168" s="6">
        <f t="shared" si="6"/>
        <v>1288089.918</v>
      </c>
      <c r="H168" s="6">
        <f t="shared" si="17"/>
        <v>2819900</v>
      </c>
      <c r="I168" s="6">
        <f t="shared" si="15"/>
        <v>1544867.21</v>
      </c>
      <c r="J168" s="610">
        <v>4.075</v>
      </c>
      <c r="K168" s="591"/>
      <c r="L168" s="6"/>
      <c r="M168" s="9">
        <v>13000.0</v>
      </c>
      <c r="N168" s="79">
        <f t="shared" si="8"/>
        <v>2101900</v>
      </c>
      <c r="O168" s="6">
        <f t="shared" si="1"/>
        <v>320898.082</v>
      </c>
      <c r="P168" s="6"/>
      <c r="Q168" s="6">
        <f t="shared" si="9"/>
        <v>4689.093968</v>
      </c>
      <c r="R168" s="6">
        <f t="shared" si="10"/>
        <v>320898.082</v>
      </c>
      <c r="S168" s="81">
        <f t="shared" si="2"/>
        <v>24.91270815</v>
      </c>
      <c r="T168" s="6"/>
      <c r="U168" s="6"/>
      <c r="V168" s="6"/>
      <c r="W168" s="6"/>
      <c r="X168" s="6"/>
      <c r="Y168" s="6"/>
    </row>
    <row r="169" ht="11.25" customHeight="1">
      <c r="A169" s="7"/>
      <c r="B169" s="68">
        <f t="shared" si="13"/>
        <v>164</v>
      </c>
      <c r="C169" s="607">
        <v>17300.0</v>
      </c>
      <c r="D169" s="6">
        <f t="shared" si="14"/>
        <v>5246.111567</v>
      </c>
      <c r="E169" s="6">
        <f t="shared" si="16"/>
        <v>12053.88843</v>
      </c>
      <c r="F169" s="6">
        <f t="shared" si="5"/>
        <v>1543863.97</v>
      </c>
      <c r="G169" s="6">
        <f t="shared" si="6"/>
        <v>1293336.03</v>
      </c>
      <c r="H169" s="6">
        <f t="shared" si="17"/>
        <v>2837200</v>
      </c>
      <c r="I169" s="6">
        <f t="shared" si="15"/>
        <v>1532813.321</v>
      </c>
      <c r="J169" s="610">
        <v>4.075</v>
      </c>
      <c r="K169" s="591"/>
      <c r="L169" s="6"/>
      <c r="M169" s="9">
        <v>13000.0</v>
      </c>
      <c r="N169" s="79">
        <f t="shared" si="8"/>
        <v>2114900</v>
      </c>
      <c r="O169" s="6">
        <f t="shared" si="1"/>
        <v>325627.9704</v>
      </c>
      <c r="P169" s="6"/>
      <c r="Q169" s="6">
        <f t="shared" si="9"/>
        <v>4729.888433</v>
      </c>
      <c r="R169" s="6">
        <f t="shared" si="10"/>
        <v>325627.9704</v>
      </c>
      <c r="S169" s="81">
        <f t="shared" si="2"/>
        <v>25.1773679</v>
      </c>
      <c r="T169" s="6"/>
      <c r="U169" s="6"/>
      <c r="V169" s="6"/>
      <c r="W169" s="6"/>
      <c r="X169" s="6"/>
      <c r="Y169" s="6"/>
    </row>
    <row r="170" ht="11.25" customHeight="1">
      <c r="A170" s="7"/>
      <c r="B170" s="68">
        <f t="shared" si="13"/>
        <v>165</v>
      </c>
      <c r="C170" s="607">
        <v>17300.0</v>
      </c>
      <c r="D170" s="6">
        <f t="shared" si="14"/>
        <v>5205.178571</v>
      </c>
      <c r="E170" s="6">
        <f t="shared" si="16"/>
        <v>12094.82143</v>
      </c>
      <c r="F170" s="6">
        <f t="shared" si="5"/>
        <v>1555958.792</v>
      </c>
      <c r="G170" s="6">
        <f t="shared" si="6"/>
        <v>1298541.208</v>
      </c>
      <c r="H170" s="6">
        <f t="shared" si="17"/>
        <v>2854500</v>
      </c>
      <c r="I170" s="6">
        <f t="shared" si="15"/>
        <v>1520718.5</v>
      </c>
      <c r="J170" s="610">
        <v>4.075</v>
      </c>
      <c r="K170" s="591"/>
      <c r="L170" s="6"/>
      <c r="M170" s="9">
        <v>13000.0</v>
      </c>
      <c r="N170" s="79">
        <f t="shared" si="8"/>
        <v>2127900</v>
      </c>
      <c r="O170" s="6">
        <f t="shared" si="1"/>
        <v>330398.7918</v>
      </c>
      <c r="P170" s="6"/>
      <c r="Q170" s="6">
        <f t="shared" si="9"/>
        <v>4770.821429</v>
      </c>
      <c r="R170" s="6">
        <f t="shared" si="10"/>
        <v>330398.7918</v>
      </c>
      <c r="S170" s="81">
        <f t="shared" si="2"/>
        <v>25.44384343</v>
      </c>
      <c r="T170" s="6"/>
      <c r="U170" s="6"/>
      <c r="V170" s="6"/>
      <c r="W170" s="6"/>
      <c r="X170" s="6"/>
      <c r="Y170" s="6"/>
    </row>
    <row r="171" ht="11.25" customHeight="1">
      <c r="A171" s="7"/>
      <c r="B171" s="68">
        <f t="shared" si="13"/>
        <v>166</v>
      </c>
      <c r="C171" s="607">
        <v>17300.0</v>
      </c>
      <c r="D171" s="6">
        <f t="shared" si="14"/>
        <v>5164.106573</v>
      </c>
      <c r="E171" s="6">
        <f t="shared" si="16"/>
        <v>12135.89343</v>
      </c>
      <c r="F171" s="6">
        <f t="shared" si="5"/>
        <v>1568094.685</v>
      </c>
      <c r="G171" s="6">
        <f t="shared" si="6"/>
        <v>1303705.315</v>
      </c>
      <c r="H171" s="6">
        <f t="shared" si="17"/>
        <v>2871800</v>
      </c>
      <c r="I171" s="6">
        <f t="shared" si="15"/>
        <v>1508582.607</v>
      </c>
      <c r="J171" s="610">
        <v>4.075</v>
      </c>
      <c r="K171" s="591"/>
      <c r="L171" s="6"/>
      <c r="M171" s="9">
        <v>13000.0</v>
      </c>
      <c r="N171" s="79">
        <f t="shared" si="8"/>
        <v>2140900</v>
      </c>
      <c r="O171" s="6">
        <f t="shared" si="1"/>
        <v>335210.6853</v>
      </c>
      <c r="P171" s="6"/>
      <c r="Q171" s="6">
        <f t="shared" si="9"/>
        <v>4811.893427</v>
      </c>
      <c r="R171" s="6">
        <f t="shared" si="10"/>
        <v>335210.6853</v>
      </c>
      <c r="S171" s="81">
        <f t="shared" si="2"/>
        <v>25.71215147</v>
      </c>
      <c r="T171" s="6"/>
      <c r="U171" s="6"/>
      <c r="V171" s="6"/>
      <c r="W171" s="6"/>
      <c r="X171" s="6"/>
      <c r="Y171" s="6"/>
    </row>
    <row r="172" ht="11.25" customHeight="1">
      <c r="A172" s="7"/>
      <c r="B172" s="68">
        <f t="shared" si="13"/>
        <v>167</v>
      </c>
      <c r="C172" s="607">
        <v>17300.0</v>
      </c>
      <c r="D172" s="6">
        <f t="shared" si="14"/>
        <v>5122.895102</v>
      </c>
      <c r="E172" s="6">
        <f t="shared" si="16"/>
        <v>12177.1049</v>
      </c>
      <c r="F172" s="6">
        <f t="shared" si="5"/>
        <v>1580271.79</v>
      </c>
      <c r="G172" s="6">
        <f t="shared" si="6"/>
        <v>1308828.21</v>
      </c>
      <c r="H172" s="6">
        <f t="shared" si="17"/>
        <v>2889100</v>
      </c>
      <c r="I172" s="6">
        <f t="shared" si="15"/>
        <v>1496405.502</v>
      </c>
      <c r="J172" s="610">
        <v>4.075</v>
      </c>
      <c r="K172" s="591"/>
      <c r="L172" s="6"/>
      <c r="M172" s="9">
        <v>13000.0</v>
      </c>
      <c r="N172" s="79">
        <f t="shared" si="8"/>
        <v>2153900</v>
      </c>
      <c r="O172" s="6">
        <f t="shared" si="1"/>
        <v>340063.7902</v>
      </c>
      <c r="P172" s="6"/>
      <c r="Q172" s="6">
        <f t="shared" si="9"/>
        <v>4853.104898</v>
      </c>
      <c r="R172" s="6">
        <f t="shared" si="10"/>
        <v>340063.7902</v>
      </c>
      <c r="S172" s="81">
        <f t="shared" si="2"/>
        <v>25.98230903</v>
      </c>
      <c r="T172" s="6"/>
      <c r="U172" s="6"/>
      <c r="V172" s="6"/>
      <c r="W172" s="6"/>
      <c r="X172" s="6"/>
      <c r="Y172" s="6"/>
    </row>
    <row r="173" ht="11.25" customHeight="1">
      <c r="A173" s="71"/>
      <c r="B173" s="72">
        <f t="shared" si="13"/>
        <v>168</v>
      </c>
      <c r="C173" s="607">
        <v>17300.0</v>
      </c>
      <c r="D173" s="10">
        <f t="shared" si="14"/>
        <v>5081.543683</v>
      </c>
      <c r="E173" s="10">
        <f t="shared" si="16"/>
        <v>12218.45632</v>
      </c>
      <c r="F173" s="10">
        <f t="shared" si="5"/>
        <v>1592490.246</v>
      </c>
      <c r="G173" s="10">
        <f t="shared" si="6"/>
        <v>1313909.754</v>
      </c>
      <c r="H173" s="10">
        <f t="shared" si="17"/>
        <v>2906400</v>
      </c>
      <c r="I173" s="10">
        <f t="shared" si="15"/>
        <v>1484187.045</v>
      </c>
      <c r="J173" s="610">
        <v>4.075</v>
      </c>
      <c r="K173" s="591"/>
      <c r="L173" s="6"/>
      <c r="M173" s="9">
        <v>13000.0</v>
      </c>
      <c r="N173" s="79">
        <f t="shared" si="8"/>
        <v>2166900</v>
      </c>
      <c r="O173" s="6">
        <f t="shared" si="1"/>
        <v>344958.2465</v>
      </c>
      <c r="P173" s="6"/>
      <c r="Q173" s="6">
        <f t="shared" si="9"/>
        <v>4894.456317</v>
      </c>
      <c r="R173" s="6">
        <f t="shared" si="10"/>
        <v>344958.2465</v>
      </c>
      <c r="S173" s="81">
        <f t="shared" si="2"/>
        <v>26.25433334</v>
      </c>
      <c r="T173" s="6"/>
      <c r="U173" s="6"/>
      <c r="V173" s="6"/>
      <c r="W173" s="6"/>
      <c r="X173" s="6"/>
      <c r="Y173" s="6"/>
    </row>
    <row r="174" ht="11.25" customHeight="1">
      <c r="A174" s="100">
        <v>15.0</v>
      </c>
      <c r="B174" s="66">
        <f t="shared" si="13"/>
        <v>169</v>
      </c>
      <c r="C174" s="607">
        <v>17300.0</v>
      </c>
      <c r="D174" s="617">
        <f t="shared" si="14"/>
        <v>5040.051842</v>
      </c>
      <c r="E174" s="617">
        <f t="shared" si="16"/>
        <v>12259.94816</v>
      </c>
      <c r="F174" s="617">
        <f t="shared" si="5"/>
        <v>1604750.195</v>
      </c>
      <c r="G174" s="617">
        <f t="shared" si="6"/>
        <v>1318949.805</v>
      </c>
      <c r="H174" s="617">
        <f t="shared" si="17"/>
        <v>2923700</v>
      </c>
      <c r="I174" s="617">
        <f t="shared" si="15"/>
        <v>1471927.097</v>
      </c>
      <c r="J174" s="610">
        <v>4.075</v>
      </c>
      <c r="K174" s="591"/>
      <c r="L174" s="6"/>
      <c r="M174" s="9">
        <v>13000.0</v>
      </c>
      <c r="N174" s="79">
        <f t="shared" si="8"/>
        <v>2179900</v>
      </c>
      <c r="O174" s="6">
        <f t="shared" si="1"/>
        <v>349894.1946</v>
      </c>
      <c r="P174" s="6"/>
      <c r="Q174" s="6">
        <f t="shared" si="9"/>
        <v>4935.948158</v>
      </c>
      <c r="R174" s="6">
        <f t="shared" si="10"/>
        <v>349894.1946</v>
      </c>
      <c r="S174" s="81">
        <f t="shared" si="2"/>
        <v>26.52824188</v>
      </c>
      <c r="T174" s="6"/>
      <c r="U174" s="6"/>
      <c r="V174" s="6"/>
      <c r="W174" s="6"/>
      <c r="X174" s="6"/>
      <c r="Y174" s="6"/>
    </row>
    <row r="175" ht="11.25" customHeight="1">
      <c r="A175" s="7"/>
      <c r="B175" s="68">
        <f t="shared" si="13"/>
        <v>170</v>
      </c>
      <c r="C175" s="607">
        <v>17300.0</v>
      </c>
      <c r="D175" s="6">
        <f t="shared" si="14"/>
        <v>4998.419101</v>
      </c>
      <c r="E175" s="6">
        <f t="shared" si="16"/>
        <v>12301.5809</v>
      </c>
      <c r="F175" s="6">
        <f t="shared" si="5"/>
        <v>1617051.776</v>
      </c>
      <c r="G175" s="6">
        <f t="shared" si="6"/>
        <v>1323948.224</v>
      </c>
      <c r="H175" s="6">
        <f t="shared" si="17"/>
        <v>2941000</v>
      </c>
      <c r="I175" s="6">
        <f t="shared" si="15"/>
        <v>1459625.516</v>
      </c>
      <c r="J175" s="610">
        <v>4.075</v>
      </c>
      <c r="K175" s="591"/>
      <c r="L175" s="6"/>
      <c r="M175" s="9">
        <v>13000.0</v>
      </c>
      <c r="N175" s="79">
        <f t="shared" si="8"/>
        <v>2192900</v>
      </c>
      <c r="O175" s="6">
        <f t="shared" si="1"/>
        <v>354871.7755</v>
      </c>
      <c r="P175" s="6"/>
      <c r="Q175" s="6">
        <f t="shared" si="9"/>
        <v>4977.580899</v>
      </c>
      <c r="R175" s="6">
        <f t="shared" si="10"/>
        <v>354871.7755</v>
      </c>
      <c r="S175" s="81">
        <f t="shared" si="2"/>
        <v>26.80405238</v>
      </c>
      <c r="T175" s="6"/>
      <c r="U175" s="6"/>
      <c r="V175" s="6"/>
      <c r="W175" s="6"/>
      <c r="X175" s="6"/>
      <c r="Y175" s="6"/>
    </row>
    <row r="176" ht="11.25" customHeight="1">
      <c r="A176" s="7"/>
      <c r="B176" s="68">
        <f t="shared" si="13"/>
        <v>171</v>
      </c>
      <c r="C176" s="607">
        <v>17300.0</v>
      </c>
      <c r="D176" s="6">
        <f t="shared" si="14"/>
        <v>4956.644982</v>
      </c>
      <c r="E176" s="6">
        <f t="shared" si="16"/>
        <v>12343.35502</v>
      </c>
      <c r="F176" s="6">
        <f t="shared" si="5"/>
        <v>1629395.131</v>
      </c>
      <c r="G176" s="6">
        <f t="shared" si="6"/>
        <v>1328904.869</v>
      </c>
      <c r="H176" s="6">
        <f t="shared" si="17"/>
        <v>2958300</v>
      </c>
      <c r="I176" s="6">
        <f t="shared" si="15"/>
        <v>1447282.161</v>
      </c>
      <c r="J176" s="610">
        <v>4.075</v>
      </c>
      <c r="K176" s="591"/>
      <c r="L176" s="6"/>
      <c r="M176" s="9">
        <v>13000.0</v>
      </c>
      <c r="N176" s="79">
        <f t="shared" si="8"/>
        <v>2205900</v>
      </c>
      <c r="O176" s="6">
        <f t="shared" si="1"/>
        <v>359891.1306</v>
      </c>
      <c r="P176" s="6"/>
      <c r="Q176" s="6">
        <f t="shared" si="9"/>
        <v>5019.355018</v>
      </c>
      <c r="R176" s="6">
        <f t="shared" si="10"/>
        <v>359891.1306</v>
      </c>
      <c r="S176" s="81">
        <f t="shared" si="2"/>
        <v>27.08178281</v>
      </c>
      <c r="T176" s="6"/>
      <c r="U176" s="6"/>
      <c r="V176" s="6"/>
      <c r="W176" s="6"/>
      <c r="X176" s="6"/>
      <c r="Y176" s="6"/>
    </row>
    <row r="177" ht="11.25" customHeight="1">
      <c r="A177" s="7"/>
      <c r="B177" s="68">
        <f t="shared" si="13"/>
        <v>172</v>
      </c>
      <c r="C177" s="607">
        <v>17300.0</v>
      </c>
      <c r="D177" s="6">
        <f t="shared" si="14"/>
        <v>4914.729006</v>
      </c>
      <c r="E177" s="6">
        <f t="shared" si="16"/>
        <v>12385.27099</v>
      </c>
      <c r="F177" s="6">
        <f t="shared" si="5"/>
        <v>1641780.402</v>
      </c>
      <c r="G177" s="6">
        <f t="shared" si="6"/>
        <v>1333819.598</v>
      </c>
      <c r="H177" s="6">
        <f t="shared" si="17"/>
        <v>2975600</v>
      </c>
      <c r="I177" s="6">
        <f t="shared" si="15"/>
        <v>1434896.89</v>
      </c>
      <c r="J177" s="610">
        <v>4.075</v>
      </c>
      <c r="K177" s="591"/>
      <c r="L177" s="6"/>
      <c r="M177" s="9">
        <v>13000.0</v>
      </c>
      <c r="N177" s="79">
        <f t="shared" si="8"/>
        <v>2218900</v>
      </c>
      <c r="O177" s="6">
        <f t="shared" si="1"/>
        <v>364952.4015</v>
      </c>
      <c r="P177" s="6"/>
      <c r="Q177" s="6">
        <f t="shared" si="9"/>
        <v>5061.270994</v>
      </c>
      <c r="R177" s="6">
        <f t="shared" si="10"/>
        <v>364952.4015</v>
      </c>
      <c r="S177" s="81">
        <f t="shared" si="2"/>
        <v>27.36145143</v>
      </c>
      <c r="T177" s="6"/>
      <c r="U177" s="6"/>
      <c r="V177" s="6"/>
      <c r="W177" s="6"/>
      <c r="X177" s="6"/>
      <c r="Y177" s="6"/>
    </row>
    <row r="178" ht="11.25" customHeight="1">
      <c r="A178" s="7"/>
      <c r="B178" s="68">
        <f t="shared" si="13"/>
        <v>173</v>
      </c>
      <c r="C178" s="607">
        <v>17300.0</v>
      </c>
      <c r="D178" s="6">
        <f t="shared" si="14"/>
        <v>4872.67069</v>
      </c>
      <c r="E178" s="6">
        <f t="shared" si="16"/>
        <v>12427.32931</v>
      </c>
      <c r="F178" s="6">
        <f t="shared" si="5"/>
        <v>1654207.731</v>
      </c>
      <c r="G178" s="6">
        <f t="shared" si="6"/>
        <v>1338692.269</v>
      </c>
      <c r="H178" s="6">
        <f t="shared" si="17"/>
        <v>2992900</v>
      </c>
      <c r="I178" s="6">
        <f t="shared" si="15"/>
        <v>1422469.561</v>
      </c>
      <c r="J178" s="610">
        <v>4.075</v>
      </c>
      <c r="K178" s="591"/>
      <c r="L178" s="6"/>
      <c r="M178" s="9">
        <v>13000.0</v>
      </c>
      <c r="N178" s="79">
        <f t="shared" si="8"/>
        <v>2231900</v>
      </c>
      <c r="O178" s="6">
        <f t="shared" si="1"/>
        <v>370055.7309</v>
      </c>
      <c r="P178" s="6"/>
      <c r="Q178" s="6">
        <f t="shared" si="9"/>
        <v>5103.32931</v>
      </c>
      <c r="R178" s="6">
        <f t="shared" si="10"/>
        <v>370055.7309</v>
      </c>
      <c r="S178" s="81">
        <f t="shared" si="2"/>
        <v>27.64307671</v>
      </c>
      <c r="T178" s="6"/>
      <c r="U178" s="6"/>
      <c r="V178" s="6"/>
      <c r="W178" s="6"/>
      <c r="X178" s="6"/>
      <c r="Y178" s="6"/>
    </row>
    <row r="179" ht="11.25" customHeight="1">
      <c r="A179" s="7"/>
      <c r="B179" s="68">
        <f t="shared" si="13"/>
        <v>174</v>
      </c>
      <c r="C179" s="607">
        <v>17300.0</v>
      </c>
      <c r="D179" s="6">
        <f t="shared" si="14"/>
        <v>4830.469551</v>
      </c>
      <c r="E179" s="6">
        <f t="shared" si="16"/>
        <v>12469.53045</v>
      </c>
      <c r="F179" s="6">
        <f t="shared" si="5"/>
        <v>1666677.261</v>
      </c>
      <c r="G179" s="6">
        <f t="shared" si="6"/>
        <v>1343522.739</v>
      </c>
      <c r="H179" s="6">
        <f t="shared" si="17"/>
        <v>3010200</v>
      </c>
      <c r="I179" s="6">
        <f t="shared" si="15"/>
        <v>1410000.031</v>
      </c>
      <c r="J179" s="610">
        <v>4.075</v>
      </c>
      <c r="K179" s="591"/>
      <c r="L179" s="6"/>
      <c r="M179" s="9">
        <v>13000.0</v>
      </c>
      <c r="N179" s="79">
        <f t="shared" si="8"/>
        <v>2244900</v>
      </c>
      <c r="O179" s="6">
        <f t="shared" si="1"/>
        <v>375201.2613</v>
      </c>
      <c r="P179" s="6"/>
      <c r="Q179" s="6">
        <f t="shared" si="9"/>
        <v>5145.530449</v>
      </c>
      <c r="R179" s="6">
        <f t="shared" si="10"/>
        <v>375201.2613</v>
      </c>
      <c r="S179" s="81">
        <f t="shared" si="2"/>
        <v>27.92667742</v>
      </c>
      <c r="T179" s="6"/>
      <c r="U179" s="6"/>
      <c r="V179" s="6"/>
      <c r="W179" s="6"/>
      <c r="X179" s="6"/>
      <c r="Y179" s="6"/>
    </row>
    <row r="180" ht="11.25" customHeight="1">
      <c r="A180" s="7"/>
      <c r="B180" s="68">
        <f t="shared" si="13"/>
        <v>175</v>
      </c>
      <c r="C180" s="607">
        <v>17300.0</v>
      </c>
      <c r="D180" s="6">
        <f t="shared" si="14"/>
        <v>4788.125104</v>
      </c>
      <c r="E180" s="6">
        <f t="shared" si="16"/>
        <v>12511.8749</v>
      </c>
      <c r="F180" s="6">
        <f t="shared" si="5"/>
        <v>1679189.136</v>
      </c>
      <c r="G180" s="6">
        <f t="shared" si="6"/>
        <v>1348310.864</v>
      </c>
      <c r="H180" s="6">
        <f t="shared" si="17"/>
        <v>3027500</v>
      </c>
      <c r="I180" s="6">
        <f t="shared" si="15"/>
        <v>1397488.156</v>
      </c>
      <c r="J180" s="610">
        <v>4.075</v>
      </c>
      <c r="K180" s="591"/>
      <c r="L180" s="6"/>
      <c r="M180" s="9">
        <v>13000.0</v>
      </c>
      <c r="N180" s="79">
        <f t="shared" si="8"/>
        <v>2257900</v>
      </c>
      <c r="O180" s="6">
        <f t="shared" si="1"/>
        <v>380389.1362</v>
      </c>
      <c r="P180" s="6"/>
      <c r="Q180" s="6">
        <f t="shared" si="9"/>
        <v>5187.874896</v>
      </c>
      <c r="R180" s="6">
        <f t="shared" si="10"/>
        <v>380389.1362</v>
      </c>
      <c r="S180" s="81">
        <f t="shared" si="2"/>
        <v>28.21227259</v>
      </c>
      <c r="T180" s="6"/>
      <c r="U180" s="6"/>
      <c r="V180" s="6"/>
      <c r="W180" s="6"/>
      <c r="X180" s="6"/>
      <c r="Y180" s="6"/>
    </row>
    <row r="181" ht="11.25" customHeight="1">
      <c r="A181" s="7"/>
      <c r="B181" s="68">
        <f t="shared" si="13"/>
        <v>176</v>
      </c>
      <c r="C181" s="607">
        <v>17300.0</v>
      </c>
      <c r="D181" s="6">
        <f t="shared" si="14"/>
        <v>4745.636862</v>
      </c>
      <c r="E181" s="6">
        <f t="shared" si="16"/>
        <v>12554.36314</v>
      </c>
      <c r="F181" s="6">
        <f t="shared" si="5"/>
        <v>1691743.499</v>
      </c>
      <c r="G181" s="6">
        <f t="shared" si="6"/>
        <v>1353056.501</v>
      </c>
      <c r="H181" s="6">
        <f t="shared" si="17"/>
        <v>3044800</v>
      </c>
      <c r="I181" s="6">
        <f t="shared" si="15"/>
        <v>1384933.793</v>
      </c>
      <c r="J181" s="610">
        <v>4.075</v>
      </c>
      <c r="K181" s="591"/>
      <c r="L181" s="6"/>
      <c r="M181" s="9">
        <v>13000.0</v>
      </c>
      <c r="N181" s="79">
        <f t="shared" si="8"/>
        <v>2270900</v>
      </c>
      <c r="O181" s="6">
        <f t="shared" si="1"/>
        <v>385619.4993</v>
      </c>
      <c r="P181" s="6"/>
      <c r="Q181" s="6">
        <f t="shared" si="9"/>
        <v>5230.363138</v>
      </c>
      <c r="R181" s="6">
        <f t="shared" si="10"/>
        <v>385619.4993</v>
      </c>
      <c r="S181" s="81">
        <f t="shared" si="2"/>
        <v>28.4998815</v>
      </c>
      <c r="T181" s="6"/>
      <c r="U181" s="6"/>
      <c r="V181" s="6"/>
      <c r="W181" s="6"/>
      <c r="X181" s="6"/>
      <c r="Y181" s="6"/>
    </row>
    <row r="182" ht="11.25" customHeight="1">
      <c r="A182" s="7"/>
      <c r="B182" s="68">
        <f t="shared" si="13"/>
        <v>177</v>
      </c>
      <c r="C182" s="607">
        <v>17300.0</v>
      </c>
      <c r="D182" s="6">
        <f t="shared" si="14"/>
        <v>4703.004337</v>
      </c>
      <c r="E182" s="6">
        <f t="shared" si="16"/>
        <v>12596.99566</v>
      </c>
      <c r="F182" s="6">
        <f t="shared" si="5"/>
        <v>1704340.495</v>
      </c>
      <c r="G182" s="6">
        <f t="shared" si="6"/>
        <v>1357759.505</v>
      </c>
      <c r="H182" s="6">
        <f t="shared" si="17"/>
        <v>3062100</v>
      </c>
      <c r="I182" s="6">
        <f t="shared" si="15"/>
        <v>1372336.797</v>
      </c>
      <c r="J182" s="610">
        <v>4.075</v>
      </c>
      <c r="K182" s="591"/>
      <c r="L182" s="6"/>
      <c r="M182" s="9">
        <v>13000.0</v>
      </c>
      <c r="N182" s="79">
        <f t="shared" si="8"/>
        <v>2283900</v>
      </c>
      <c r="O182" s="6">
        <f t="shared" si="1"/>
        <v>390892.495</v>
      </c>
      <c r="P182" s="6"/>
      <c r="Q182" s="6">
        <f t="shared" si="9"/>
        <v>5272.995663</v>
      </c>
      <c r="R182" s="6">
        <f t="shared" si="10"/>
        <v>390892.495</v>
      </c>
      <c r="S182" s="81">
        <f t="shared" si="2"/>
        <v>28.78952374</v>
      </c>
      <c r="T182" s="6"/>
      <c r="U182" s="6"/>
      <c r="V182" s="6"/>
      <c r="W182" s="6"/>
      <c r="X182" s="6"/>
      <c r="Y182" s="6"/>
    </row>
    <row r="183" ht="11.25" customHeight="1">
      <c r="A183" s="7"/>
      <c r="B183" s="68">
        <f t="shared" si="13"/>
        <v>178</v>
      </c>
      <c r="C183" s="607">
        <v>17300.0</v>
      </c>
      <c r="D183" s="6">
        <f t="shared" si="14"/>
        <v>4660.227039</v>
      </c>
      <c r="E183" s="6">
        <f t="shared" si="16"/>
        <v>12639.77296</v>
      </c>
      <c r="F183" s="6">
        <f t="shared" si="5"/>
        <v>1716980.268</v>
      </c>
      <c r="G183" s="6">
        <f t="shared" si="6"/>
        <v>1362419.732</v>
      </c>
      <c r="H183" s="6">
        <f t="shared" si="17"/>
        <v>3079400</v>
      </c>
      <c r="I183" s="6">
        <f t="shared" si="15"/>
        <v>1359697.024</v>
      </c>
      <c r="J183" s="610">
        <v>4.075</v>
      </c>
      <c r="K183" s="591"/>
      <c r="L183" s="6"/>
      <c r="M183" s="9">
        <v>13000.0</v>
      </c>
      <c r="N183" s="79">
        <f t="shared" si="8"/>
        <v>2296900</v>
      </c>
      <c r="O183" s="6">
        <f t="shared" si="1"/>
        <v>396208.268</v>
      </c>
      <c r="P183" s="6"/>
      <c r="Q183" s="6">
        <f t="shared" si="9"/>
        <v>5315.772961</v>
      </c>
      <c r="R183" s="6">
        <f t="shared" si="10"/>
        <v>396208.268</v>
      </c>
      <c r="S183" s="81">
        <f t="shared" si="2"/>
        <v>29.08121915</v>
      </c>
      <c r="T183" s="6"/>
      <c r="U183" s="6"/>
      <c r="V183" s="6"/>
      <c r="W183" s="6"/>
      <c r="X183" s="6"/>
      <c r="Y183" s="6"/>
    </row>
    <row r="184" ht="11.25" customHeight="1">
      <c r="A184" s="7"/>
      <c r="B184" s="68">
        <f t="shared" si="13"/>
        <v>179</v>
      </c>
      <c r="C184" s="607">
        <v>17300.0</v>
      </c>
      <c r="D184" s="6">
        <f t="shared" si="14"/>
        <v>4617.304477</v>
      </c>
      <c r="E184" s="6">
        <f t="shared" si="16"/>
        <v>12682.69552</v>
      </c>
      <c r="F184" s="6">
        <f t="shared" si="5"/>
        <v>1729662.963</v>
      </c>
      <c r="G184" s="6">
        <f t="shared" si="6"/>
        <v>1367037.037</v>
      </c>
      <c r="H184" s="6">
        <f t="shared" si="17"/>
        <v>3096700</v>
      </c>
      <c r="I184" s="6">
        <f t="shared" si="15"/>
        <v>1347014.328</v>
      </c>
      <c r="J184" s="610">
        <v>4.075</v>
      </c>
      <c r="K184" s="591"/>
      <c r="L184" s="6"/>
      <c r="M184" s="9">
        <v>13000.0</v>
      </c>
      <c r="N184" s="79">
        <f t="shared" si="8"/>
        <v>2309900</v>
      </c>
      <c r="O184" s="6">
        <f t="shared" si="1"/>
        <v>401566.9635</v>
      </c>
      <c r="P184" s="6"/>
      <c r="Q184" s="6">
        <f t="shared" si="9"/>
        <v>5358.695523</v>
      </c>
      <c r="R184" s="6">
        <f t="shared" si="10"/>
        <v>401566.9635</v>
      </c>
      <c r="S184" s="81">
        <f t="shared" si="2"/>
        <v>29.37498786</v>
      </c>
      <c r="T184" s="6"/>
      <c r="U184" s="6"/>
      <c r="V184" s="6"/>
      <c r="W184" s="6"/>
      <c r="X184" s="6"/>
      <c r="Y184" s="6"/>
    </row>
    <row r="185" ht="11.25" customHeight="1">
      <c r="A185" s="71"/>
      <c r="B185" s="72">
        <f t="shared" si="13"/>
        <v>180</v>
      </c>
      <c r="C185" s="607">
        <v>17300.0</v>
      </c>
      <c r="D185" s="10">
        <f t="shared" si="14"/>
        <v>4574.236157</v>
      </c>
      <c r="E185" s="10">
        <f t="shared" si="16"/>
        <v>12725.76384</v>
      </c>
      <c r="F185" s="10">
        <f t="shared" si="5"/>
        <v>1742388.727</v>
      </c>
      <c r="G185" s="10">
        <f t="shared" si="6"/>
        <v>1371611.273</v>
      </c>
      <c r="H185" s="10">
        <f t="shared" si="17"/>
        <v>3114000</v>
      </c>
      <c r="I185" s="10">
        <f t="shared" si="15"/>
        <v>1334288.565</v>
      </c>
      <c r="J185" s="610">
        <v>4.075</v>
      </c>
      <c r="K185" s="591"/>
      <c r="L185" s="6"/>
      <c r="M185" s="9">
        <v>13000.0</v>
      </c>
      <c r="N185" s="79">
        <f t="shared" si="8"/>
        <v>2322900</v>
      </c>
      <c r="O185" s="6">
        <f t="shared" si="1"/>
        <v>406968.7273</v>
      </c>
      <c r="P185" s="6"/>
      <c r="Q185" s="6">
        <f t="shared" si="9"/>
        <v>5401.763843</v>
      </c>
      <c r="R185" s="6">
        <f t="shared" si="10"/>
        <v>406968.7273</v>
      </c>
      <c r="S185" s="81">
        <f t="shared" si="2"/>
        <v>29.67085029</v>
      </c>
      <c r="T185" s="6"/>
      <c r="U185" s="6"/>
      <c r="V185" s="6"/>
      <c r="W185" s="6"/>
      <c r="X185" s="6"/>
      <c r="Y185" s="6"/>
    </row>
    <row r="186" ht="11.25" customHeight="1">
      <c r="A186" s="100">
        <v>16.0</v>
      </c>
      <c r="B186" s="66">
        <f t="shared" si="13"/>
        <v>181</v>
      </c>
      <c r="C186" s="607">
        <v>17300.0</v>
      </c>
      <c r="D186" s="617">
        <f t="shared" si="14"/>
        <v>4531.021584</v>
      </c>
      <c r="E186" s="617">
        <f t="shared" si="16"/>
        <v>12768.97842</v>
      </c>
      <c r="F186" s="617">
        <f t="shared" si="5"/>
        <v>1755157.706</v>
      </c>
      <c r="G186" s="617">
        <f t="shared" si="6"/>
        <v>1376142.294</v>
      </c>
      <c r="H186" s="617">
        <f t="shared" si="17"/>
        <v>3131300</v>
      </c>
      <c r="I186" s="617">
        <f t="shared" si="15"/>
        <v>1321519.586</v>
      </c>
      <c r="J186" s="610">
        <v>4.075</v>
      </c>
      <c r="K186" s="591"/>
      <c r="L186" s="6"/>
      <c r="M186" s="9">
        <v>13000.0</v>
      </c>
      <c r="N186" s="79">
        <f t="shared" si="8"/>
        <v>2335900</v>
      </c>
      <c r="O186" s="6">
        <f t="shared" si="1"/>
        <v>412413.7057</v>
      </c>
      <c r="P186" s="6"/>
      <c r="Q186" s="6">
        <f t="shared" si="9"/>
        <v>5444.978416</v>
      </c>
      <c r="R186" s="6">
        <f t="shared" si="10"/>
        <v>412413.7057</v>
      </c>
      <c r="S186" s="81">
        <f t="shared" si="2"/>
        <v>29.96882717</v>
      </c>
      <c r="T186" s="6"/>
      <c r="U186" s="6"/>
      <c r="V186" s="6"/>
      <c r="W186" s="6"/>
      <c r="X186" s="6"/>
      <c r="Y186" s="6"/>
    </row>
    <row r="187" ht="11.25" customHeight="1">
      <c r="A187" s="7"/>
      <c r="B187" s="68">
        <f t="shared" si="13"/>
        <v>182</v>
      </c>
      <c r="C187" s="607">
        <v>17300.0</v>
      </c>
      <c r="D187" s="6">
        <f t="shared" si="14"/>
        <v>4487.660261</v>
      </c>
      <c r="E187" s="6">
        <f t="shared" si="16"/>
        <v>12812.33974</v>
      </c>
      <c r="F187" s="6">
        <f t="shared" si="5"/>
        <v>1767970.045</v>
      </c>
      <c r="G187" s="6">
        <f t="shared" si="6"/>
        <v>1380629.955</v>
      </c>
      <c r="H187" s="6">
        <f t="shared" si="17"/>
        <v>3148600</v>
      </c>
      <c r="I187" s="6">
        <f t="shared" si="15"/>
        <v>1308707.246</v>
      </c>
      <c r="J187" s="610">
        <v>4.075</v>
      </c>
      <c r="K187" s="591"/>
      <c r="L187" s="6"/>
      <c r="M187" s="9">
        <v>13000.0</v>
      </c>
      <c r="N187" s="79">
        <f t="shared" si="8"/>
        <v>2348900</v>
      </c>
      <c r="O187" s="6">
        <f t="shared" si="1"/>
        <v>417902.0455</v>
      </c>
      <c r="P187" s="6"/>
      <c r="Q187" s="6">
        <f t="shared" si="9"/>
        <v>5488.339739</v>
      </c>
      <c r="R187" s="6">
        <f t="shared" si="10"/>
        <v>417902.0455</v>
      </c>
      <c r="S187" s="81">
        <f t="shared" si="2"/>
        <v>30.26893949</v>
      </c>
      <c r="T187" s="6"/>
      <c r="U187" s="6"/>
      <c r="V187" s="6"/>
      <c r="W187" s="6"/>
      <c r="X187" s="6"/>
      <c r="Y187" s="6"/>
    </row>
    <row r="188" ht="11.25" customHeight="1">
      <c r="A188" s="7"/>
      <c r="B188" s="68">
        <f t="shared" si="13"/>
        <v>183</v>
      </c>
      <c r="C188" s="607">
        <v>17300.0</v>
      </c>
      <c r="D188" s="6">
        <f t="shared" si="14"/>
        <v>4444.151691</v>
      </c>
      <c r="E188" s="6">
        <f t="shared" si="16"/>
        <v>12855.84831</v>
      </c>
      <c r="F188" s="6">
        <f t="shared" si="5"/>
        <v>1780825.894</v>
      </c>
      <c r="G188" s="6">
        <f t="shared" si="6"/>
        <v>1385074.106</v>
      </c>
      <c r="H188" s="6">
        <f t="shared" si="17"/>
        <v>3165900</v>
      </c>
      <c r="I188" s="6">
        <f t="shared" si="15"/>
        <v>1295851.398</v>
      </c>
      <c r="J188" s="610">
        <v>4.075</v>
      </c>
      <c r="K188" s="591"/>
      <c r="L188" s="6"/>
      <c r="M188" s="9">
        <v>13000.0</v>
      </c>
      <c r="N188" s="79">
        <f t="shared" si="8"/>
        <v>2361900</v>
      </c>
      <c r="O188" s="6">
        <f t="shared" si="1"/>
        <v>423433.8938</v>
      </c>
      <c r="P188" s="6"/>
      <c r="Q188" s="6">
        <f t="shared" si="9"/>
        <v>5531.848309</v>
      </c>
      <c r="R188" s="6">
        <f t="shared" si="10"/>
        <v>423433.8938</v>
      </c>
      <c r="S188" s="81">
        <f t="shared" si="2"/>
        <v>30.57120857</v>
      </c>
      <c r="T188" s="6"/>
      <c r="U188" s="6"/>
      <c r="V188" s="6"/>
      <c r="W188" s="6"/>
      <c r="X188" s="6"/>
      <c r="Y188" s="6"/>
    </row>
    <row r="189" ht="11.25" customHeight="1">
      <c r="A189" s="7"/>
      <c r="B189" s="68">
        <f t="shared" si="13"/>
        <v>184</v>
      </c>
      <c r="C189" s="607">
        <v>17300.0</v>
      </c>
      <c r="D189" s="6">
        <f t="shared" si="14"/>
        <v>4400.495373</v>
      </c>
      <c r="E189" s="6">
        <f t="shared" si="16"/>
        <v>12899.50463</v>
      </c>
      <c r="F189" s="6">
        <f t="shared" si="5"/>
        <v>1793725.398</v>
      </c>
      <c r="G189" s="6">
        <f t="shared" si="6"/>
        <v>1389474.602</v>
      </c>
      <c r="H189" s="6">
        <f t="shared" si="17"/>
        <v>3183200</v>
      </c>
      <c r="I189" s="6">
        <f t="shared" si="15"/>
        <v>1282951.893</v>
      </c>
      <c r="J189" s="610">
        <v>4.075</v>
      </c>
      <c r="K189" s="591"/>
      <c r="L189" s="6"/>
      <c r="M189" s="9">
        <v>13000.0</v>
      </c>
      <c r="N189" s="79">
        <f t="shared" si="8"/>
        <v>2374900</v>
      </c>
      <c r="O189" s="6">
        <f t="shared" si="1"/>
        <v>429009.3984</v>
      </c>
      <c r="P189" s="6"/>
      <c r="Q189" s="6">
        <f t="shared" si="9"/>
        <v>5575.504627</v>
      </c>
      <c r="R189" s="6">
        <f t="shared" si="10"/>
        <v>429009.3984</v>
      </c>
      <c r="S189" s="81">
        <f t="shared" si="2"/>
        <v>30.87565602</v>
      </c>
      <c r="T189" s="6"/>
      <c r="U189" s="6"/>
      <c r="V189" s="6"/>
      <c r="W189" s="6"/>
      <c r="X189" s="6"/>
      <c r="Y189" s="6"/>
    </row>
    <row r="190" ht="11.25" customHeight="1">
      <c r="A190" s="7"/>
      <c r="B190" s="68">
        <f t="shared" si="13"/>
        <v>185</v>
      </c>
      <c r="C190" s="607">
        <v>17300.0</v>
      </c>
      <c r="D190" s="6">
        <f t="shared" si="14"/>
        <v>4356.690805</v>
      </c>
      <c r="E190" s="6">
        <f t="shared" si="16"/>
        <v>12943.3092</v>
      </c>
      <c r="F190" s="6">
        <f t="shared" si="5"/>
        <v>1806668.708</v>
      </c>
      <c r="G190" s="6">
        <f t="shared" si="6"/>
        <v>1393831.292</v>
      </c>
      <c r="H190" s="6">
        <f t="shared" si="17"/>
        <v>3200500</v>
      </c>
      <c r="I190" s="6">
        <f t="shared" si="15"/>
        <v>1270008.584</v>
      </c>
      <c r="J190" s="610">
        <v>4.075</v>
      </c>
      <c r="K190" s="591"/>
      <c r="L190" s="6"/>
      <c r="M190" s="9">
        <v>13000.0</v>
      </c>
      <c r="N190" s="79">
        <f t="shared" si="8"/>
        <v>2387900</v>
      </c>
      <c r="O190" s="6">
        <f t="shared" si="1"/>
        <v>434628.7076</v>
      </c>
      <c r="P190" s="6"/>
      <c r="Q190" s="6">
        <f t="shared" si="9"/>
        <v>5619.309195</v>
      </c>
      <c r="R190" s="6">
        <f t="shared" si="10"/>
        <v>434628.7076</v>
      </c>
      <c r="S190" s="81">
        <f t="shared" si="2"/>
        <v>31.18230377</v>
      </c>
      <c r="T190" s="6"/>
      <c r="U190" s="6"/>
      <c r="V190" s="6"/>
      <c r="W190" s="6"/>
      <c r="X190" s="6"/>
      <c r="Y190" s="6"/>
    </row>
    <row r="191" ht="11.25" customHeight="1">
      <c r="A191" s="7"/>
      <c r="B191" s="68">
        <f t="shared" si="13"/>
        <v>186</v>
      </c>
      <c r="C191" s="607">
        <v>17300.0</v>
      </c>
      <c r="D191" s="6">
        <f t="shared" si="14"/>
        <v>4312.737484</v>
      </c>
      <c r="E191" s="6">
        <f t="shared" si="16"/>
        <v>12987.26252</v>
      </c>
      <c r="F191" s="6">
        <f t="shared" si="5"/>
        <v>1819655.97</v>
      </c>
      <c r="G191" s="6">
        <f t="shared" si="6"/>
        <v>1398144.03</v>
      </c>
      <c r="H191" s="6">
        <f t="shared" si="17"/>
        <v>3217800</v>
      </c>
      <c r="I191" s="6">
        <f t="shared" si="15"/>
        <v>1257021.322</v>
      </c>
      <c r="J191" s="610">
        <v>4.075</v>
      </c>
      <c r="K191" s="591"/>
      <c r="L191" s="6"/>
      <c r="M191" s="9">
        <v>13000.0</v>
      </c>
      <c r="N191" s="79">
        <f t="shared" si="8"/>
        <v>2400900</v>
      </c>
      <c r="O191" s="6">
        <f t="shared" si="1"/>
        <v>440291.9701</v>
      </c>
      <c r="P191" s="6"/>
      <c r="Q191" s="6">
        <f t="shared" si="9"/>
        <v>5663.262516</v>
      </c>
      <c r="R191" s="6">
        <f t="shared" si="10"/>
        <v>440291.9701</v>
      </c>
      <c r="S191" s="81">
        <f t="shared" si="2"/>
        <v>31.49117407</v>
      </c>
      <c r="T191" s="6"/>
      <c r="U191" s="6"/>
      <c r="V191" s="6"/>
      <c r="W191" s="6"/>
      <c r="X191" s="6"/>
      <c r="Y191" s="6"/>
    </row>
    <row r="192" ht="11.25" customHeight="1">
      <c r="A192" s="7"/>
      <c r="B192" s="68">
        <f t="shared" si="13"/>
        <v>187</v>
      </c>
      <c r="C192" s="607">
        <v>17300.0</v>
      </c>
      <c r="D192" s="6">
        <f t="shared" si="14"/>
        <v>4268.634905</v>
      </c>
      <c r="E192" s="6">
        <f t="shared" si="16"/>
        <v>13031.3651</v>
      </c>
      <c r="F192" s="6">
        <f t="shared" si="5"/>
        <v>1832687.335</v>
      </c>
      <c r="G192" s="6">
        <f t="shared" si="6"/>
        <v>1402412.665</v>
      </c>
      <c r="H192" s="6">
        <f t="shared" si="17"/>
        <v>3235100</v>
      </c>
      <c r="I192" s="6">
        <f t="shared" si="15"/>
        <v>1243989.957</v>
      </c>
      <c r="J192" s="610">
        <v>4.075</v>
      </c>
      <c r="K192" s="591"/>
      <c r="L192" s="6"/>
      <c r="M192" s="9">
        <v>13000.0</v>
      </c>
      <c r="N192" s="79">
        <f t="shared" si="8"/>
        <v>2413900</v>
      </c>
      <c r="O192" s="6">
        <f t="shared" si="1"/>
        <v>445999.3352</v>
      </c>
      <c r="P192" s="6"/>
      <c r="Q192" s="6">
        <f t="shared" si="9"/>
        <v>5707.365095</v>
      </c>
      <c r="R192" s="6">
        <f t="shared" si="10"/>
        <v>445999.3352</v>
      </c>
      <c r="S192" s="81">
        <f t="shared" si="2"/>
        <v>31.80228947</v>
      </c>
      <c r="T192" s="6"/>
      <c r="U192" s="6"/>
      <c r="V192" s="6"/>
      <c r="W192" s="6"/>
      <c r="X192" s="6"/>
      <c r="Y192" s="6"/>
    </row>
    <row r="193" ht="11.25" customHeight="1">
      <c r="A193" s="7"/>
      <c r="B193" s="68">
        <f t="shared" si="13"/>
        <v>188</v>
      </c>
      <c r="C193" s="607">
        <v>17300.0</v>
      </c>
      <c r="D193" s="6">
        <f t="shared" si="14"/>
        <v>4224.382561</v>
      </c>
      <c r="E193" s="6">
        <f t="shared" si="16"/>
        <v>13075.61744</v>
      </c>
      <c r="F193" s="6">
        <f t="shared" si="5"/>
        <v>1845762.953</v>
      </c>
      <c r="G193" s="6">
        <f t="shared" si="6"/>
        <v>1406637.047</v>
      </c>
      <c r="H193" s="6">
        <f t="shared" si="17"/>
        <v>3252400</v>
      </c>
      <c r="I193" s="6">
        <f t="shared" si="15"/>
        <v>1230914.339</v>
      </c>
      <c r="J193" s="610">
        <v>4.075</v>
      </c>
      <c r="K193" s="591"/>
      <c r="L193" s="6"/>
      <c r="M193" s="9">
        <v>13000.0</v>
      </c>
      <c r="N193" s="79">
        <f t="shared" si="8"/>
        <v>2426900</v>
      </c>
      <c r="O193" s="6">
        <f t="shared" si="1"/>
        <v>451750.9527</v>
      </c>
      <c r="P193" s="6"/>
      <c r="Q193" s="6">
        <f t="shared" si="9"/>
        <v>5751.617439</v>
      </c>
      <c r="R193" s="6">
        <f t="shared" si="10"/>
        <v>451750.9527</v>
      </c>
      <c r="S193" s="81">
        <f t="shared" si="2"/>
        <v>32.11567288</v>
      </c>
      <c r="T193" s="6"/>
      <c r="U193" s="6"/>
      <c r="V193" s="6"/>
      <c r="W193" s="6"/>
      <c r="X193" s="6"/>
      <c r="Y193" s="6"/>
    </row>
    <row r="194" ht="11.25" customHeight="1">
      <c r="A194" s="7"/>
      <c r="B194" s="68">
        <f t="shared" si="13"/>
        <v>189</v>
      </c>
      <c r="C194" s="607">
        <v>17300.0</v>
      </c>
      <c r="D194" s="6">
        <f t="shared" si="14"/>
        <v>4179.979943</v>
      </c>
      <c r="E194" s="6">
        <f t="shared" si="16"/>
        <v>13120.02006</v>
      </c>
      <c r="F194" s="6">
        <f t="shared" si="5"/>
        <v>1858882.973</v>
      </c>
      <c r="G194" s="6">
        <f t="shared" si="6"/>
        <v>1410817.027</v>
      </c>
      <c r="H194" s="6">
        <f t="shared" si="17"/>
        <v>3269700</v>
      </c>
      <c r="I194" s="6">
        <f t="shared" si="15"/>
        <v>1217794.319</v>
      </c>
      <c r="J194" s="610">
        <v>4.075</v>
      </c>
      <c r="K194" s="591"/>
      <c r="L194" s="6"/>
      <c r="M194" s="9">
        <v>13000.0</v>
      </c>
      <c r="N194" s="79">
        <f t="shared" si="8"/>
        <v>2439900</v>
      </c>
      <c r="O194" s="6">
        <f t="shared" si="1"/>
        <v>457546.9727</v>
      </c>
      <c r="P194" s="6"/>
      <c r="Q194" s="6">
        <f t="shared" si="9"/>
        <v>5796.020057</v>
      </c>
      <c r="R194" s="6">
        <f t="shared" si="10"/>
        <v>457546.9727</v>
      </c>
      <c r="S194" s="81">
        <f t="shared" si="2"/>
        <v>32.4313475</v>
      </c>
      <c r="T194" s="6"/>
      <c r="U194" s="6"/>
      <c r="V194" s="6"/>
      <c r="W194" s="6"/>
      <c r="X194" s="6"/>
      <c r="Y194" s="6"/>
    </row>
    <row r="195" ht="11.25" customHeight="1">
      <c r="A195" s="7"/>
      <c r="B195" s="68">
        <f t="shared" si="13"/>
        <v>190</v>
      </c>
      <c r="C195" s="607">
        <v>17300.0</v>
      </c>
      <c r="D195" s="6">
        <f t="shared" si="14"/>
        <v>4135.426542</v>
      </c>
      <c r="E195" s="6">
        <f t="shared" si="16"/>
        <v>13164.57346</v>
      </c>
      <c r="F195" s="6">
        <f t="shared" si="5"/>
        <v>1872047.546</v>
      </c>
      <c r="G195" s="6">
        <f t="shared" si="6"/>
        <v>1414952.454</v>
      </c>
      <c r="H195" s="6">
        <f t="shared" si="17"/>
        <v>3287000</v>
      </c>
      <c r="I195" s="6">
        <f t="shared" si="15"/>
        <v>1204629.746</v>
      </c>
      <c r="J195" s="610">
        <v>4.075</v>
      </c>
      <c r="K195" s="591"/>
      <c r="L195" s="6"/>
      <c r="M195" s="9">
        <v>13000.0</v>
      </c>
      <c r="N195" s="79">
        <f t="shared" si="8"/>
        <v>2452900</v>
      </c>
      <c r="O195" s="6">
        <f t="shared" si="1"/>
        <v>463387.5462</v>
      </c>
      <c r="P195" s="6"/>
      <c r="Q195" s="6">
        <f t="shared" si="9"/>
        <v>5840.573458</v>
      </c>
      <c r="R195" s="6">
        <f t="shared" si="10"/>
        <v>463387.5462</v>
      </c>
      <c r="S195" s="81">
        <f t="shared" si="2"/>
        <v>32.74933691</v>
      </c>
      <c r="T195" s="6"/>
      <c r="U195" s="6"/>
      <c r="V195" s="6"/>
      <c r="W195" s="6"/>
      <c r="X195" s="6"/>
      <c r="Y195" s="6"/>
    </row>
    <row r="196" ht="11.25" customHeight="1">
      <c r="A196" s="7"/>
      <c r="B196" s="68">
        <f t="shared" si="13"/>
        <v>191</v>
      </c>
      <c r="C196" s="607">
        <v>17300.0</v>
      </c>
      <c r="D196" s="6">
        <f t="shared" si="14"/>
        <v>4090.721845</v>
      </c>
      <c r="E196" s="6">
        <f t="shared" si="16"/>
        <v>13209.27816</v>
      </c>
      <c r="F196" s="6">
        <f t="shared" si="5"/>
        <v>1885256.824</v>
      </c>
      <c r="G196" s="6">
        <f t="shared" si="6"/>
        <v>1419043.176</v>
      </c>
      <c r="H196" s="6">
        <f t="shared" si="17"/>
        <v>3304300</v>
      </c>
      <c r="I196" s="6">
        <f t="shared" si="15"/>
        <v>1191420.468</v>
      </c>
      <c r="J196" s="610">
        <v>4.075</v>
      </c>
      <c r="K196" s="591"/>
      <c r="L196" s="6"/>
      <c r="M196" s="9">
        <v>13000.0</v>
      </c>
      <c r="N196" s="79">
        <f t="shared" si="8"/>
        <v>2465900</v>
      </c>
      <c r="O196" s="6">
        <f t="shared" si="1"/>
        <v>469272.8243</v>
      </c>
      <c r="P196" s="6"/>
      <c r="Q196" s="6">
        <f t="shared" si="9"/>
        <v>5885.278155</v>
      </c>
      <c r="R196" s="6">
        <f t="shared" si="10"/>
        <v>469272.8243</v>
      </c>
      <c r="S196" s="81">
        <f t="shared" si="2"/>
        <v>33.069665</v>
      </c>
      <c r="T196" s="6"/>
      <c r="U196" s="6"/>
      <c r="V196" s="6"/>
      <c r="W196" s="6"/>
      <c r="X196" s="6"/>
      <c r="Y196" s="6"/>
    </row>
    <row r="197" ht="11.25" customHeight="1">
      <c r="A197" s="71"/>
      <c r="B197" s="72">
        <f t="shared" si="13"/>
        <v>192</v>
      </c>
      <c r="C197" s="607">
        <v>17300.0</v>
      </c>
      <c r="D197" s="10">
        <f t="shared" si="14"/>
        <v>4045.865338</v>
      </c>
      <c r="E197" s="10">
        <f t="shared" si="16"/>
        <v>13254.13466</v>
      </c>
      <c r="F197" s="10">
        <f t="shared" si="5"/>
        <v>1898510.959</v>
      </c>
      <c r="G197" s="10">
        <f t="shared" si="6"/>
        <v>1423089.041</v>
      </c>
      <c r="H197" s="10">
        <f t="shared" si="17"/>
        <v>3321600</v>
      </c>
      <c r="I197" s="10">
        <f t="shared" si="15"/>
        <v>1178166.333</v>
      </c>
      <c r="J197" s="610">
        <v>4.075</v>
      </c>
      <c r="K197" s="591"/>
      <c r="L197" s="6"/>
      <c r="M197" s="9">
        <v>13000.0</v>
      </c>
      <c r="N197" s="79">
        <f t="shared" si="8"/>
        <v>2478900</v>
      </c>
      <c r="O197" s="6">
        <f t="shared" si="1"/>
        <v>475202.959</v>
      </c>
      <c r="P197" s="6"/>
      <c r="Q197" s="6">
        <f t="shared" si="9"/>
        <v>5930.134662</v>
      </c>
      <c r="R197" s="6">
        <f t="shared" si="10"/>
        <v>475202.959</v>
      </c>
      <c r="S197" s="81">
        <f t="shared" si="2"/>
        <v>33.39235602</v>
      </c>
      <c r="T197" s="6"/>
      <c r="U197" s="6"/>
      <c r="V197" s="6"/>
      <c r="W197" s="6"/>
      <c r="X197" s="6"/>
      <c r="Y197" s="6"/>
    </row>
    <row r="198" ht="11.25" customHeight="1">
      <c r="A198" s="100">
        <v>17.0</v>
      </c>
      <c r="B198" s="66">
        <f t="shared" si="13"/>
        <v>193</v>
      </c>
      <c r="C198" s="607">
        <v>17300.0</v>
      </c>
      <c r="D198" s="617">
        <f t="shared" si="14"/>
        <v>4000.856505</v>
      </c>
      <c r="E198" s="617">
        <f t="shared" si="16"/>
        <v>13299.14349</v>
      </c>
      <c r="F198" s="617">
        <f t="shared" si="5"/>
        <v>1911810.102</v>
      </c>
      <c r="G198" s="617">
        <f t="shared" si="6"/>
        <v>1427089.898</v>
      </c>
      <c r="H198" s="617">
        <f t="shared" si="17"/>
        <v>3338900</v>
      </c>
      <c r="I198" s="617">
        <f t="shared" si="15"/>
        <v>1164867.189</v>
      </c>
      <c r="J198" s="610">
        <v>4.075</v>
      </c>
      <c r="K198" s="591"/>
      <c r="L198" s="6"/>
      <c r="M198" s="9">
        <v>13000.0</v>
      </c>
      <c r="N198" s="79">
        <f t="shared" si="8"/>
        <v>2491900</v>
      </c>
      <c r="O198" s="6">
        <f t="shared" si="1"/>
        <v>481178.1025</v>
      </c>
      <c r="P198" s="6"/>
      <c r="Q198" s="6">
        <f t="shared" si="9"/>
        <v>5975.143495</v>
      </c>
      <c r="R198" s="6">
        <f t="shared" si="10"/>
        <v>481178.1025</v>
      </c>
      <c r="S198" s="81">
        <f t="shared" si="2"/>
        <v>33.71743457</v>
      </c>
      <c r="T198" s="6"/>
      <c r="U198" s="6"/>
      <c r="V198" s="6"/>
      <c r="W198" s="6"/>
      <c r="X198" s="6"/>
      <c r="Y198" s="6"/>
    </row>
    <row r="199" ht="11.25" customHeight="1">
      <c r="A199" s="7"/>
      <c r="B199" s="68">
        <f t="shared" si="13"/>
        <v>194</v>
      </c>
      <c r="C199" s="607">
        <v>17300.0</v>
      </c>
      <c r="D199" s="6">
        <f t="shared" si="14"/>
        <v>3955.694831</v>
      </c>
      <c r="E199" s="6">
        <f t="shared" si="16"/>
        <v>13344.30517</v>
      </c>
      <c r="F199" s="6">
        <f t="shared" si="5"/>
        <v>1925154.408</v>
      </c>
      <c r="G199" s="6">
        <f t="shared" si="6"/>
        <v>1431045.592</v>
      </c>
      <c r="H199" s="6">
        <f t="shared" si="17"/>
        <v>3356200</v>
      </c>
      <c r="I199" s="6">
        <f t="shared" si="15"/>
        <v>1151522.884</v>
      </c>
      <c r="J199" s="610">
        <v>4.075</v>
      </c>
      <c r="K199" s="591"/>
      <c r="L199" s="6"/>
      <c r="M199" s="9">
        <v>13000.0</v>
      </c>
      <c r="N199" s="79">
        <f t="shared" si="8"/>
        <v>2504900</v>
      </c>
      <c r="O199" s="6">
        <f t="shared" si="1"/>
        <v>487198.4077</v>
      </c>
      <c r="P199" s="6"/>
      <c r="Q199" s="6">
        <f t="shared" si="9"/>
        <v>6020.305169</v>
      </c>
      <c r="R199" s="6">
        <f t="shared" si="10"/>
        <v>487198.4077</v>
      </c>
      <c r="S199" s="81">
        <f t="shared" si="2"/>
        <v>34.04492563</v>
      </c>
      <c r="T199" s="6"/>
      <c r="U199" s="6"/>
      <c r="V199" s="6"/>
      <c r="W199" s="6"/>
      <c r="X199" s="6"/>
      <c r="Y199" s="6"/>
    </row>
    <row r="200" ht="11.25" customHeight="1">
      <c r="A200" s="7"/>
      <c r="B200" s="68">
        <f t="shared" si="13"/>
        <v>195</v>
      </c>
      <c r="C200" s="607">
        <v>17300.0</v>
      </c>
      <c r="D200" s="6">
        <f t="shared" si="14"/>
        <v>3910.379794</v>
      </c>
      <c r="E200" s="6">
        <f t="shared" si="16"/>
        <v>13389.62021</v>
      </c>
      <c r="F200" s="6">
        <f t="shared" si="5"/>
        <v>1938544.028</v>
      </c>
      <c r="G200" s="6">
        <f t="shared" si="6"/>
        <v>1434955.972</v>
      </c>
      <c r="H200" s="6">
        <f t="shared" si="17"/>
        <v>3373500</v>
      </c>
      <c r="I200" s="6">
        <f t="shared" si="15"/>
        <v>1138133.264</v>
      </c>
      <c r="J200" s="610">
        <v>4.075</v>
      </c>
      <c r="K200" s="591"/>
      <c r="L200" s="6"/>
      <c r="M200" s="9">
        <v>13000.0</v>
      </c>
      <c r="N200" s="79">
        <f t="shared" si="8"/>
        <v>2517900</v>
      </c>
      <c r="O200" s="6">
        <f t="shared" si="1"/>
        <v>493264.0279</v>
      </c>
      <c r="P200" s="6"/>
      <c r="Q200" s="6">
        <f t="shared" si="9"/>
        <v>6065.620206</v>
      </c>
      <c r="R200" s="6">
        <f t="shared" si="10"/>
        <v>493264.0279</v>
      </c>
      <c r="S200" s="81">
        <f t="shared" si="2"/>
        <v>34.37485452</v>
      </c>
      <c r="T200" s="6"/>
      <c r="U200" s="6"/>
      <c r="V200" s="6"/>
      <c r="W200" s="6"/>
      <c r="X200" s="6"/>
      <c r="Y200" s="6"/>
    </row>
    <row r="201" ht="11.25" customHeight="1">
      <c r="A201" s="7"/>
      <c r="B201" s="68">
        <f t="shared" si="13"/>
        <v>196</v>
      </c>
      <c r="C201" s="607">
        <v>17300.0</v>
      </c>
      <c r="D201" s="6">
        <f t="shared" si="14"/>
        <v>3864.910876</v>
      </c>
      <c r="E201" s="6">
        <f t="shared" si="16"/>
        <v>13435.08912</v>
      </c>
      <c r="F201" s="6">
        <f t="shared" si="5"/>
        <v>1951979.117</v>
      </c>
      <c r="G201" s="6">
        <f t="shared" si="6"/>
        <v>1438820.883</v>
      </c>
      <c r="H201" s="6">
        <f t="shared" si="17"/>
        <v>3390800</v>
      </c>
      <c r="I201" s="6">
        <f t="shared" si="15"/>
        <v>1124698.175</v>
      </c>
      <c r="J201" s="610">
        <v>4.075</v>
      </c>
      <c r="K201" s="591"/>
      <c r="L201" s="6"/>
      <c r="M201" s="9">
        <v>13000.0</v>
      </c>
      <c r="N201" s="79">
        <f t="shared" si="8"/>
        <v>2530900</v>
      </c>
      <c r="O201" s="6">
        <f t="shared" si="1"/>
        <v>499375.117</v>
      </c>
      <c r="P201" s="6"/>
      <c r="Q201" s="6">
        <f t="shared" si="9"/>
        <v>6111.089124</v>
      </c>
      <c r="R201" s="6">
        <f t="shared" si="10"/>
        <v>499375.117</v>
      </c>
      <c r="S201" s="81">
        <f t="shared" si="2"/>
        <v>34.70724695</v>
      </c>
      <c r="T201" s="6"/>
      <c r="U201" s="6"/>
      <c r="V201" s="6"/>
      <c r="W201" s="6"/>
      <c r="X201" s="6"/>
      <c r="Y201" s="6"/>
    </row>
    <row r="202" ht="11.25" customHeight="1">
      <c r="A202" s="7"/>
      <c r="B202" s="68">
        <f t="shared" si="13"/>
        <v>197</v>
      </c>
      <c r="C202" s="607">
        <v>17300.0</v>
      </c>
      <c r="D202" s="6">
        <f t="shared" si="14"/>
        <v>3819.287552</v>
      </c>
      <c r="E202" s="6">
        <f t="shared" si="16"/>
        <v>13480.71245</v>
      </c>
      <c r="F202" s="6">
        <f t="shared" si="5"/>
        <v>1965459.829</v>
      </c>
      <c r="G202" s="6">
        <f t="shared" si="6"/>
        <v>1442640.171</v>
      </c>
      <c r="H202" s="6">
        <f t="shared" si="17"/>
        <v>3408100</v>
      </c>
      <c r="I202" s="6">
        <f t="shared" si="15"/>
        <v>1111217.462</v>
      </c>
      <c r="J202" s="610">
        <v>4.075</v>
      </c>
      <c r="K202" s="591"/>
      <c r="L202" s="6"/>
      <c r="M202" s="9">
        <v>13000.0</v>
      </c>
      <c r="N202" s="79">
        <f t="shared" si="8"/>
        <v>2543900</v>
      </c>
      <c r="O202" s="6">
        <f t="shared" si="1"/>
        <v>505531.8294</v>
      </c>
      <c r="P202" s="6"/>
      <c r="Q202" s="6">
        <f t="shared" si="9"/>
        <v>6156.712448</v>
      </c>
      <c r="R202" s="6">
        <f t="shared" si="10"/>
        <v>505531.8294</v>
      </c>
      <c r="S202" s="81">
        <f t="shared" si="2"/>
        <v>35.04212899</v>
      </c>
      <c r="T202" s="6"/>
      <c r="U202" s="6"/>
      <c r="V202" s="6"/>
      <c r="W202" s="6"/>
      <c r="X202" s="6"/>
      <c r="Y202" s="6"/>
    </row>
    <row r="203" ht="11.25" customHeight="1">
      <c r="A203" s="7"/>
      <c r="B203" s="68">
        <f t="shared" si="13"/>
        <v>198</v>
      </c>
      <c r="C203" s="607">
        <v>17300.0</v>
      </c>
      <c r="D203" s="6">
        <f t="shared" si="14"/>
        <v>3773.509299</v>
      </c>
      <c r="E203" s="6">
        <f t="shared" si="16"/>
        <v>13526.4907</v>
      </c>
      <c r="F203" s="6">
        <f t="shared" si="5"/>
        <v>1978986.32</v>
      </c>
      <c r="G203" s="6">
        <f t="shared" si="6"/>
        <v>1446413.68</v>
      </c>
      <c r="H203" s="6">
        <f t="shared" si="17"/>
        <v>3425400</v>
      </c>
      <c r="I203" s="6">
        <f t="shared" si="15"/>
        <v>1097690.972</v>
      </c>
      <c r="J203" s="610">
        <v>4.075</v>
      </c>
      <c r="K203" s="591"/>
      <c r="L203" s="6"/>
      <c r="M203" s="9">
        <v>13000.0</v>
      </c>
      <c r="N203" s="79">
        <f t="shared" si="8"/>
        <v>2556900</v>
      </c>
      <c r="O203" s="6">
        <f t="shared" si="1"/>
        <v>511734.3201</v>
      </c>
      <c r="P203" s="6"/>
      <c r="Q203" s="6">
        <f t="shared" si="9"/>
        <v>6202.490701</v>
      </c>
      <c r="R203" s="6">
        <f t="shared" si="10"/>
        <v>511734.3201</v>
      </c>
      <c r="S203" s="81">
        <f t="shared" si="2"/>
        <v>35.37952712</v>
      </c>
      <c r="T203" s="6"/>
      <c r="U203" s="6"/>
      <c r="V203" s="6"/>
      <c r="W203" s="6"/>
      <c r="X203" s="6"/>
      <c r="Y203" s="6"/>
    </row>
    <row r="204" ht="11.25" customHeight="1">
      <c r="A204" s="7"/>
      <c r="B204" s="68">
        <f t="shared" si="13"/>
        <v>199</v>
      </c>
      <c r="C204" s="607">
        <v>17300.0</v>
      </c>
      <c r="D204" s="6">
        <f t="shared" si="14"/>
        <v>3727.575591</v>
      </c>
      <c r="E204" s="6">
        <f t="shared" si="16"/>
        <v>13572.42441</v>
      </c>
      <c r="F204" s="6">
        <f t="shared" si="5"/>
        <v>1992558.745</v>
      </c>
      <c r="G204" s="6">
        <f t="shared" si="6"/>
        <v>1450141.255</v>
      </c>
      <c r="H204" s="6">
        <f t="shared" si="17"/>
        <v>3442700</v>
      </c>
      <c r="I204" s="6">
        <f t="shared" si="15"/>
        <v>1084118.547</v>
      </c>
      <c r="J204" s="610">
        <v>4.075</v>
      </c>
      <c r="K204" s="591"/>
      <c r="L204" s="6"/>
      <c r="M204" s="9">
        <v>13000.0</v>
      </c>
      <c r="N204" s="79">
        <f t="shared" si="8"/>
        <v>2569900</v>
      </c>
      <c r="O204" s="6">
        <f t="shared" si="1"/>
        <v>517982.7446</v>
      </c>
      <c r="P204" s="6"/>
      <c r="Q204" s="6">
        <f t="shared" si="9"/>
        <v>6248.424409</v>
      </c>
      <c r="R204" s="6">
        <f t="shared" si="10"/>
        <v>517982.7446</v>
      </c>
      <c r="S204" s="81">
        <f t="shared" si="2"/>
        <v>35.7194682</v>
      </c>
      <c r="T204" s="6"/>
      <c r="U204" s="6"/>
      <c r="V204" s="6"/>
      <c r="W204" s="6"/>
      <c r="X204" s="6"/>
      <c r="Y204" s="6"/>
    </row>
    <row r="205" ht="11.25" customHeight="1">
      <c r="A205" s="7"/>
      <c r="B205" s="68">
        <f t="shared" si="13"/>
        <v>200</v>
      </c>
      <c r="C205" s="607">
        <v>17300.0</v>
      </c>
      <c r="D205" s="6">
        <f t="shared" si="14"/>
        <v>3681.4859</v>
      </c>
      <c r="E205" s="6">
        <f t="shared" si="16"/>
        <v>13618.5141</v>
      </c>
      <c r="F205" s="6">
        <f t="shared" si="5"/>
        <v>2006177.259</v>
      </c>
      <c r="G205" s="6">
        <f t="shared" si="6"/>
        <v>1453822.741</v>
      </c>
      <c r="H205" s="6">
        <f t="shared" si="17"/>
        <v>3460000</v>
      </c>
      <c r="I205" s="6">
        <f t="shared" si="15"/>
        <v>1070500.033</v>
      </c>
      <c r="J205" s="610">
        <v>4.075</v>
      </c>
      <c r="K205" s="591"/>
      <c r="L205" s="6"/>
      <c r="M205" s="9">
        <v>13000.0</v>
      </c>
      <c r="N205" s="79">
        <f t="shared" si="8"/>
        <v>2582900</v>
      </c>
      <c r="O205" s="6">
        <f t="shared" si="1"/>
        <v>524277.2587</v>
      </c>
      <c r="P205" s="6"/>
      <c r="Q205" s="6">
        <f t="shared" si="9"/>
        <v>6294.5141</v>
      </c>
      <c r="R205" s="6">
        <f t="shared" si="10"/>
        <v>524277.2587</v>
      </c>
      <c r="S205" s="81">
        <f t="shared" si="2"/>
        <v>36.06197948</v>
      </c>
      <c r="T205" s="6"/>
      <c r="U205" s="6"/>
      <c r="V205" s="6"/>
      <c r="W205" s="6"/>
      <c r="X205" s="6"/>
      <c r="Y205" s="6"/>
    </row>
    <row r="206" ht="11.25" customHeight="1">
      <c r="A206" s="7"/>
      <c r="B206" s="68">
        <f t="shared" si="13"/>
        <v>201</v>
      </c>
      <c r="C206" s="607">
        <v>17300.0</v>
      </c>
      <c r="D206" s="6">
        <f t="shared" si="14"/>
        <v>3635.239696</v>
      </c>
      <c r="E206" s="6">
        <f t="shared" si="16"/>
        <v>13664.7603</v>
      </c>
      <c r="F206" s="6">
        <f t="shared" si="5"/>
        <v>2019842.019</v>
      </c>
      <c r="G206" s="6">
        <f t="shared" si="6"/>
        <v>1457457.981</v>
      </c>
      <c r="H206" s="6">
        <f t="shared" si="17"/>
        <v>3477300</v>
      </c>
      <c r="I206" s="6">
        <f t="shared" si="15"/>
        <v>1056835.273</v>
      </c>
      <c r="J206" s="610">
        <v>4.075</v>
      </c>
      <c r="K206" s="591"/>
      <c r="L206" s="6"/>
      <c r="M206" s="9">
        <v>13000.0</v>
      </c>
      <c r="N206" s="79">
        <f t="shared" si="8"/>
        <v>2595900</v>
      </c>
      <c r="O206" s="6">
        <f t="shared" si="1"/>
        <v>530618.019</v>
      </c>
      <c r="P206" s="6"/>
      <c r="Q206" s="6">
        <f t="shared" si="9"/>
        <v>6340.760304</v>
      </c>
      <c r="R206" s="6">
        <f t="shared" si="10"/>
        <v>530618.019</v>
      </c>
      <c r="S206" s="81">
        <f t="shared" si="2"/>
        <v>36.40708863</v>
      </c>
      <c r="T206" s="6"/>
      <c r="U206" s="6"/>
      <c r="V206" s="6"/>
      <c r="W206" s="6"/>
      <c r="X206" s="6"/>
      <c r="Y206" s="6"/>
    </row>
    <row r="207" ht="11.25" customHeight="1">
      <c r="A207" s="7"/>
      <c r="B207" s="68">
        <f t="shared" si="13"/>
        <v>202</v>
      </c>
      <c r="C207" s="607">
        <v>17300.0</v>
      </c>
      <c r="D207" s="6">
        <f t="shared" si="14"/>
        <v>3588.836448</v>
      </c>
      <c r="E207" s="6">
        <f t="shared" si="16"/>
        <v>13711.16355</v>
      </c>
      <c r="F207" s="6">
        <f t="shared" si="5"/>
        <v>2033553.183</v>
      </c>
      <c r="G207" s="6">
        <f t="shared" si="6"/>
        <v>1461046.817</v>
      </c>
      <c r="H207" s="6">
        <f t="shared" si="17"/>
        <v>3494600</v>
      </c>
      <c r="I207" s="6">
        <f t="shared" si="15"/>
        <v>1043124.109</v>
      </c>
      <c r="J207" s="610">
        <v>4.075</v>
      </c>
      <c r="K207" s="591"/>
      <c r="L207" s="6"/>
      <c r="M207" s="9">
        <v>13000.0</v>
      </c>
      <c r="N207" s="79">
        <f t="shared" si="8"/>
        <v>2608900</v>
      </c>
      <c r="O207" s="6">
        <f t="shared" si="1"/>
        <v>537005.1825</v>
      </c>
      <c r="P207" s="6"/>
      <c r="Q207" s="6">
        <f t="shared" si="9"/>
        <v>6387.163552</v>
      </c>
      <c r="R207" s="6">
        <f t="shared" si="10"/>
        <v>537005.1825</v>
      </c>
      <c r="S207" s="81">
        <f t="shared" si="2"/>
        <v>36.75482374</v>
      </c>
      <c r="T207" s="6"/>
      <c r="U207" s="6"/>
      <c r="V207" s="6"/>
      <c r="W207" s="6"/>
      <c r="X207" s="6"/>
      <c r="Y207" s="6"/>
    </row>
    <row r="208" ht="11.25" customHeight="1">
      <c r="A208" s="7"/>
      <c r="B208" s="68">
        <f t="shared" si="13"/>
        <v>203</v>
      </c>
      <c r="C208" s="607">
        <v>17300.0</v>
      </c>
      <c r="D208" s="6">
        <f t="shared" si="14"/>
        <v>3542.275621</v>
      </c>
      <c r="E208" s="6">
        <f t="shared" si="16"/>
        <v>13757.72438</v>
      </c>
      <c r="F208" s="6">
        <f t="shared" si="5"/>
        <v>2047310.907</v>
      </c>
      <c r="G208" s="6">
        <f t="shared" si="6"/>
        <v>1464589.093</v>
      </c>
      <c r="H208" s="6">
        <f t="shared" si="17"/>
        <v>3511900</v>
      </c>
      <c r="I208" s="6">
        <f t="shared" si="15"/>
        <v>1029366.385</v>
      </c>
      <c r="J208" s="610">
        <v>4.075</v>
      </c>
      <c r="K208" s="591"/>
      <c r="L208" s="6"/>
      <c r="M208" s="9">
        <v>13000.0</v>
      </c>
      <c r="N208" s="79">
        <f t="shared" si="8"/>
        <v>2621900</v>
      </c>
      <c r="O208" s="6">
        <f t="shared" si="1"/>
        <v>543438.9069</v>
      </c>
      <c r="P208" s="6"/>
      <c r="Q208" s="6">
        <f t="shared" si="9"/>
        <v>6433.724379</v>
      </c>
      <c r="R208" s="6">
        <f t="shared" si="10"/>
        <v>543438.9069</v>
      </c>
      <c r="S208" s="81">
        <f t="shared" si="2"/>
        <v>37.10521329</v>
      </c>
      <c r="T208" s="6"/>
      <c r="U208" s="6"/>
      <c r="V208" s="6"/>
      <c r="W208" s="6"/>
      <c r="X208" s="6"/>
      <c r="Y208" s="6"/>
    </row>
    <row r="209" ht="11.25" customHeight="1">
      <c r="A209" s="71"/>
      <c r="B209" s="72">
        <f t="shared" si="13"/>
        <v>204</v>
      </c>
      <c r="C209" s="607">
        <v>17300.0</v>
      </c>
      <c r="D209" s="10">
        <f t="shared" si="14"/>
        <v>3495.556682</v>
      </c>
      <c r="E209" s="10">
        <f t="shared" si="16"/>
        <v>13804.44332</v>
      </c>
      <c r="F209" s="10">
        <f t="shared" si="5"/>
        <v>2061115.35</v>
      </c>
      <c r="G209" s="10">
        <f t="shared" si="6"/>
        <v>1468084.65</v>
      </c>
      <c r="H209" s="10">
        <f t="shared" si="17"/>
        <v>3529200</v>
      </c>
      <c r="I209" s="10">
        <f t="shared" si="15"/>
        <v>1015561.942</v>
      </c>
      <c r="J209" s="610">
        <v>4.075</v>
      </c>
      <c r="K209" s="591"/>
      <c r="L209" s="6"/>
      <c r="M209" s="9">
        <v>13000.0</v>
      </c>
      <c r="N209" s="79">
        <f t="shared" si="8"/>
        <v>2634900</v>
      </c>
      <c r="O209" s="6">
        <f t="shared" si="1"/>
        <v>549919.3502</v>
      </c>
      <c r="P209" s="6"/>
      <c r="Q209" s="6">
        <f t="shared" si="9"/>
        <v>6480.443318</v>
      </c>
      <c r="R209" s="6">
        <f t="shared" si="10"/>
        <v>549919.3502</v>
      </c>
      <c r="S209" s="81">
        <f t="shared" si="2"/>
        <v>37.45828623</v>
      </c>
      <c r="T209" s="6"/>
      <c r="U209" s="6"/>
      <c r="V209" s="6"/>
      <c r="W209" s="6"/>
      <c r="X209" s="6"/>
      <c r="Y209" s="6"/>
    </row>
    <row r="210" ht="11.25" customHeight="1">
      <c r="A210" s="100">
        <v>18.0</v>
      </c>
      <c r="B210" s="66">
        <f t="shared" si="13"/>
        <v>205</v>
      </c>
      <c r="C210" s="607">
        <v>17300.0</v>
      </c>
      <c r="D210" s="617">
        <f t="shared" si="14"/>
        <v>3448.679094</v>
      </c>
      <c r="E210" s="617">
        <f t="shared" si="16"/>
        <v>13851.32091</v>
      </c>
      <c r="F210" s="617">
        <f t="shared" si="5"/>
        <v>2074966.671</v>
      </c>
      <c r="G210" s="617">
        <f t="shared" si="6"/>
        <v>1471533.329</v>
      </c>
      <c r="H210" s="617">
        <f t="shared" si="17"/>
        <v>3546500</v>
      </c>
      <c r="I210" s="617">
        <f t="shared" si="15"/>
        <v>1001710.621</v>
      </c>
      <c r="J210" s="610">
        <v>4.075</v>
      </c>
      <c r="K210" s="591"/>
      <c r="L210" s="6"/>
      <c r="M210" s="9">
        <v>13000.0</v>
      </c>
      <c r="N210" s="79">
        <f t="shared" si="8"/>
        <v>2647900</v>
      </c>
      <c r="O210" s="6">
        <f t="shared" si="1"/>
        <v>556446.6711</v>
      </c>
      <c r="P210" s="6"/>
      <c r="Q210" s="6">
        <f t="shared" si="9"/>
        <v>6527.320906</v>
      </c>
      <c r="R210" s="6">
        <f t="shared" si="10"/>
        <v>556446.6711</v>
      </c>
      <c r="S210" s="81">
        <f t="shared" si="2"/>
        <v>37.81407191</v>
      </c>
      <c r="T210" s="6"/>
      <c r="U210" s="6"/>
      <c r="V210" s="6"/>
      <c r="W210" s="6"/>
      <c r="X210" s="6"/>
      <c r="Y210" s="6"/>
    </row>
    <row r="211" ht="11.25" customHeight="1">
      <c r="A211" s="7"/>
      <c r="B211" s="68">
        <f t="shared" si="13"/>
        <v>206</v>
      </c>
      <c r="C211" s="607">
        <v>17300.0</v>
      </c>
      <c r="D211" s="6">
        <f t="shared" si="14"/>
        <v>3401.642316</v>
      </c>
      <c r="E211" s="6">
        <f t="shared" si="16"/>
        <v>13898.35768</v>
      </c>
      <c r="F211" s="6">
        <f t="shared" si="5"/>
        <v>2088865.029</v>
      </c>
      <c r="G211" s="6">
        <f t="shared" si="6"/>
        <v>1474934.971</v>
      </c>
      <c r="H211" s="6">
        <f t="shared" si="17"/>
        <v>3563800</v>
      </c>
      <c r="I211" s="6">
        <f t="shared" si="15"/>
        <v>987812.2631</v>
      </c>
      <c r="J211" s="610">
        <v>4.075</v>
      </c>
      <c r="K211" s="591"/>
      <c r="L211" s="6"/>
      <c r="M211" s="9">
        <v>13000.0</v>
      </c>
      <c r="N211" s="79">
        <f t="shared" si="8"/>
        <v>2660900</v>
      </c>
      <c r="O211" s="6">
        <f t="shared" si="1"/>
        <v>563021.0288</v>
      </c>
      <c r="P211" s="6"/>
      <c r="Q211" s="6">
        <f t="shared" si="9"/>
        <v>6574.357684</v>
      </c>
      <c r="R211" s="6">
        <f t="shared" si="10"/>
        <v>563021.0288</v>
      </c>
      <c r="S211" s="81">
        <f t="shared" si="2"/>
        <v>38.17260013</v>
      </c>
      <c r="T211" s="6"/>
      <c r="U211" s="6"/>
      <c r="V211" s="6"/>
      <c r="W211" s="6"/>
      <c r="X211" s="6"/>
      <c r="Y211" s="6"/>
    </row>
    <row r="212" ht="11.25" customHeight="1">
      <c r="A212" s="7"/>
      <c r="B212" s="68">
        <f t="shared" si="13"/>
        <v>207</v>
      </c>
      <c r="C212" s="607">
        <v>17300.0</v>
      </c>
      <c r="D212" s="6">
        <f t="shared" si="14"/>
        <v>3354.44581</v>
      </c>
      <c r="E212" s="6">
        <f t="shared" si="16"/>
        <v>13945.55419</v>
      </c>
      <c r="F212" s="6">
        <f t="shared" si="5"/>
        <v>2102810.583</v>
      </c>
      <c r="G212" s="6">
        <f t="shared" si="6"/>
        <v>1478289.417</v>
      </c>
      <c r="H212" s="6">
        <f t="shared" si="17"/>
        <v>3581100</v>
      </c>
      <c r="I212" s="6">
        <f t="shared" si="15"/>
        <v>973866.7089</v>
      </c>
      <c r="J212" s="610">
        <v>4.075</v>
      </c>
      <c r="K212" s="591"/>
      <c r="L212" s="6"/>
      <c r="M212" s="9">
        <v>13000.0</v>
      </c>
      <c r="N212" s="79">
        <f t="shared" si="8"/>
        <v>2673900</v>
      </c>
      <c r="O212" s="6">
        <f t="shared" si="1"/>
        <v>569642.583</v>
      </c>
      <c r="P212" s="6"/>
      <c r="Q212" s="6">
        <f t="shared" si="9"/>
        <v>6621.55419</v>
      </c>
      <c r="R212" s="6">
        <f t="shared" si="10"/>
        <v>569642.583</v>
      </c>
      <c r="S212" s="81">
        <f t="shared" si="2"/>
        <v>38.53390117</v>
      </c>
      <c r="T212" s="6"/>
      <c r="U212" s="6"/>
      <c r="V212" s="6"/>
      <c r="W212" s="6"/>
      <c r="X212" s="6"/>
      <c r="Y212" s="6"/>
    </row>
    <row r="213" ht="11.25" customHeight="1">
      <c r="A213" s="7"/>
      <c r="B213" s="68">
        <f t="shared" si="13"/>
        <v>208</v>
      </c>
      <c r="C213" s="607">
        <v>17300.0</v>
      </c>
      <c r="D213" s="6">
        <f t="shared" si="14"/>
        <v>3307.089032</v>
      </c>
      <c r="E213" s="6">
        <f t="shared" si="16"/>
        <v>13992.91097</v>
      </c>
      <c r="F213" s="6">
        <f t="shared" si="5"/>
        <v>2116803.494</v>
      </c>
      <c r="G213" s="6">
        <f t="shared" si="6"/>
        <v>1481596.506</v>
      </c>
      <c r="H213" s="6">
        <f t="shared" si="17"/>
        <v>3598400</v>
      </c>
      <c r="I213" s="6">
        <f t="shared" si="15"/>
        <v>959873.7979</v>
      </c>
      <c r="J213" s="610">
        <v>4.075</v>
      </c>
      <c r="K213" s="591"/>
      <c r="L213" s="6"/>
      <c r="M213" s="9">
        <v>13000.0</v>
      </c>
      <c r="N213" s="79">
        <f t="shared" si="8"/>
        <v>2686900</v>
      </c>
      <c r="O213" s="6">
        <f t="shared" si="1"/>
        <v>576311.494</v>
      </c>
      <c r="P213" s="6"/>
      <c r="Q213" s="6">
        <f t="shared" si="9"/>
        <v>6668.910968</v>
      </c>
      <c r="R213" s="6">
        <f t="shared" si="10"/>
        <v>576311.494</v>
      </c>
      <c r="S213" s="81">
        <f t="shared" si="2"/>
        <v>38.89800574</v>
      </c>
      <c r="T213" s="6"/>
      <c r="U213" s="6"/>
      <c r="V213" s="6"/>
      <c r="W213" s="6"/>
      <c r="X213" s="6"/>
      <c r="Y213" s="6"/>
    </row>
    <row r="214" ht="11.25" customHeight="1">
      <c r="A214" s="7"/>
      <c r="B214" s="68">
        <f t="shared" si="13"/>
        <v>209</v>
      </c>
      <c r="C214" s="607">
        <v>17300.0</v>
      </c>
      <c r="D214" s="6">
        <f t="shared" si="14"/>
        <v>3259.571439</v>
      </c>
      <c r="E214" s="6">
        <f t="shared" si="16"/>
        <v>14040.42856</v>
      </c>
      <c r="F214" s="6">
        <f t="shared" si="5"/>
        <v>2130843.923</v>
      </c>
      <c r="G214" s="6">
        <f t="shared" si="6"/>
        <v>1484856.077</v>
      </c>
      <c r="H214" s="6">
        <f t="shared" si="17"/>
        <v>3615700</v>
      </c>
      <c r="I214" s="6">
        <f t="shared" si="15"/>
        <v>945833.3693</v>
      </c>
      <c r="J214" s="610">
        <v>4.075</v>
      </c>
      <c r="K214" s="591"/>
      <c r="L214" s="6"/>
      <c r="M214" s="9">
        <v>13000.0</v>
      </c>
      <c r="N214" s="79">
        <f t="shared" si="8"/>
        <v>2699900</v>
      </c>
      <c r="O214" s="6">
        <f t="shared" si="1"/>
        <v>583027.9225</v>
      </c>
      <c r="P214" s="6"/>
      <c r="Q214" s="6">
        <f t="shared" si="9"/>
        <v>6716.428561</v>
      </c>
      <c r="R214" s="6">
        <f t="shared" si="10"/>
        <v>583027.9225</v>
      </c>
      <c r="S214" s="81">
        <f t="shared" si="2"/>
        <v>39.26494502</v>
      </c>
      <c r="T214" s="6"/>
      <c r="U214" s="6"/>
      <c r="V214" s="6"/>
      <c r="W214" s="6"/>
      <c r="X214" s="6"/>
      <c r="Y214" s="6"/>
    </row>
    <row r="215" ht="11.25" customHeight="1">
      <c r="A215" s="7"/>
      <c r="B215" s="68">
        <f t="shared" si="13"/>
        <v>210</v>
      </c>
      <c r="C215" s="607">
        <v>17300.0</v>
      </c>
      <c r="D215" s="6">
        <f t="shared" si="14"/>
        <v>3211.892483</v>
      </c>
      <c r="E215" s="6">
        <f t="shared" si="16"/>
        <v>14088.10752</v>
      </c>
      <c r="F215" s="6">
        <f t="shared" si="5"/>
        <v>2144932.03</v>
      </c>
      <c r="G215" s="6">
        <f t="shared" si="6"/>
        <v>1488067.97</v>
      </c>
      <c r="H215" s="6">
        <f t="shared" si="17"/>
        <v>3633000</v>
      </c>
      <c r="I215" s="6">
        <f t="shared" si="15"/>
        <v>931745.2618</v>
      </c>
      <c r="J215" s="610">
        <v>4.075</v>
      </c>
      <c r="K215" s="591"/>
      <c r="L215" s="6"/>
      <c r="M215" s="9">
        <v>13000.0</v>
      </c>
      <c r="N215" s="79">
        <f t="shared" si="8"/>
        <v>2712900</v>
      </c>
      <c r="O215" s="6">
        <f t="shared" si="1"/>
        <v>589792.03</v>
      </c>
      <c r="P215" s="6"/>
      <c r="Q215" s="6">
        <f t="shared" si="9"/>
        <v>6764.107517</v>
      </c>
      <c r="R215" s="6">
        <f t="shared" si="10"/>
        <v>589792.03</v>
      </c>
      <c r="S215" s="81">
        <f t="shared" si="2"/>
        <v>39.63475069</v>
      </c>
      <c r="T215" s="6"/>
      <c r="U215" s="6"/>
      <c r="V215" s="6"/>
      <c r="W215" s="6"/>
      <c r="X215" s="6"/>
      <c r="Y215" s="6"/>
    </row>
    <row r="216" ht="11.25" customHeight="1">
      <c r="A216" s="7"/>
      <c r="B216" s="68">
        <f t="shared" si="13"/>
        <v>211</v>
      </c>
      <c r="C216" s="607">
        <v>17300.0</v>
      </c>
      <c r="D216" s="6">
        <f t="shared" si="14"/>
        <v>3164.051618</v>
      </c>
      <c r="E216" s="6">
        <f t="shared" si="16"/>
        <v>14135.94838</v>
      </c>
      <c r="F216" s="6">
        <f t="shared" si="5"/>
        <v>2159067.978</v>
      </c>
      <c r="G216" s="6">
        <f t="shared" si="6"/>
        <v>1491232.022</v>
      </c>
      <c r="H216" s="6">
        <f t="shared" si="17"/>
        <v>3650300</v>
      </c>
      <c r="I216" s="6">
        <f t="shared" si="15"/>
        <v>917609.3134</v>
      </c>
      <c r="J216" s="610">
        <v>4.075</v>
      </c>
      <c r="K216" s="591"/>
      <c r="L216" s="6"/>
      <c r="M216" s="9">
        <v>13000.0</v>
      </c>
      <c r="N216" s="79">
        <f t="shared" si="8"/>
        <v>2725900</v>
      </c>
      <c r="O216" s="6">
        <f t="shared" si="1"/>
        <v>596603.9784</v>
      </c>
      <c r="P216" s="6"/>
      <c r="Q216" s="6">
        <f t="shared" si="9"/>
        <v>6811.948382</v>
      </c>
      <c r="R216" s="6">
        <f t="shared" si="10"/>
        <v>596603.9784</v>
      </c>
      <c r="S216" s="81">
        <f t="shared" si="2"/>
        <v>40.00745489</v>
      </c>
      <c r="T216" s="6"/>
      <c r="U216" s="6"/>
      <c r="V216" s="6"/>
      <c r="W216" s="6"/>
      <c r="X216" s="6"/>
      <c r="Y216" s="6"/>
    </row>
    <row r="217" ht="11.25" customHeight="1">
      <c r="A217" s="7"/>
      <c r="B217" s="68">
        <f t="shared" si="13"/>
        <v>212</v>
      </c>
      <c r="C217" s="607">
        <v>17300.0</v>
      </c>
      <c r="D217" s="6">
        <f t="shared" si="14"/>
        <v>3116.048294</v>
      </c>
      <c r="E217" s="6">
        <f t="shared" si="16"/>
        <v>14183.95171</v>
      </c>
      <c r="F217" s="6">
        <f t="shared" si="5"/>
        <v>2173251.93</v>
      </c>
      <c r="G217" s="6">
        <f t="shared" si="6"/>
        <v>1494348.07</v>
      </c>
      <c r="H217" s="6">
        <f t="shared" si="17"/>
        <v>3667600</v>
      </c>
      <c r="I217" s="6">
        <f t="shared" si="15"/>
        <v>903425.3617</v>
      </c>
      <c r="J217" s="610">
        <v>4.075</v>
      </c>
      <c r="K217" s="591"/>
      <c r="L217" s="6"/>
      <c r="M217" s="9">
        <v>13000.0</v>
      </c>
      <c r="N217" s="79">
        <f t="shared" si="8"/>
        <v>2738900</v>
      </c>
      <c r="O217" s="6">
        <f t="shared" si="1"/>
        <v>603463.9301</v>
      </c>
      <c r="P217" s="6"/>
      <c r="Q217" s="6">
        <f t="shared" si="9"/>
        <v>6859.951706</v>
      </c>
      <c r="R217" s="6">
        <f t="shared" si="10"/>
        <v>603463.9301</v>
      </c>
      <c r="S217" s="81">
        <f t="shared" si="2"/>
        <v>40.38309028</v>
      </c>
      <c r="T217" s="6"/>
      <c r="U217" s="6"/>
      <c r="V217" s="6"/>
      <c r="W217" s="6"/>
      <c r="X217" s="6"/>
      <c r="Y217" s="6"/>
    </row>
    <row r="218" ht="11.25" customHeight="1">
      <c r="A218" s="7"/>
      <c r="B218" s="68">
        <f t="shared" si="13"/>
        <v>213</v>
      </c>
      <c r="C218" s="607">
        <v>17300.0</v>
      </c>
      <c r="D218" s="6">
        <f t="shared" si="14"/>
        <v>3067.881958</v>
      </c>
      <c r="E218" s="6">
        <f t="shared" si="16"/>
        <v>14232.11804</v>
      </c>
      <c r="F218" s="6">
        <f t="shared" si="5"/>
        <v>2187484.048</v>
      </c>
      <c r="G218" s="6">
        <f t="shared" si="6"/>
        <v>1497415.952</v>
      </c>
      <c r="H218" s="6">
        <f t="shared" si="17"/>
        <v>3684900</v>
      </c>
      <c r="I218" s="6">
        <f t="shared" si="15"/>
        <v>889193.2437</v>
      </c>
      <c r="J218" s="610">
        <v>4.075</v>
      </c>
      <c r="K218" s="591"/>
      <c r="L218" s="6"/>
      <c r="M218" s="9">
        <v>13000.0</v>
      </c>
      <c r="N218" s="79">
        <f t="shared" si="8"/>
        <v>2751900</v>
      </c>
      <c r="O218" s="6">
        <f t="shared" si="1"/>
        <v>610372.0482</v>
      </c>
      <c r="P218" s="6"/>
      <c r="Q218" s="6">
        <f t="shared" si="9"/>
        <v>6908.118042</v>
      </c>
      <c r="R218" s="6">
        <f t="shared" si="10"/>
        <v>610372.0482</v>
      </c>
      <c r="S218" s="81">
        <f t="shared" si="2"/>
        <v>40.76168999</v>
      </c>
      <c r="T218" s="6"/>
      <c r="U218" s="6"/>
      <c r="V218" s="6"/>
      <c r="W218" s="6"/>
      <c r="X218" s="6"/>
      <c r="Y218" s="6"/>
    </row>
    <row r="219" ht="11.25" customHeight="1">
      <c r="A219" s="7"/>
      <c r="B219" s="68">
        <f t="shared" si="13"/>
        <v>214</v>
      </c>
      <c r="C219" s="607">
        <v>17300.0</v>
      </c>
      <c r="D219" s="6">
        <f t="shared" si="14"/>
        <v>3019.552057</v>
      </c>
      <c r="E219" s="6">
        <f t="shared" si="16"/>
        <v>14280.44794</v>
      </c>
      <c r="F219" s="6">
        <f t="shared" si="5"/>
        <v>2201764.496</v>
      </c>
      <c r="G219" s="6">
        <f t="shared" si="6"/>
        <v>1500435.504</v>
      </c>
      <c r="H219" s="6">
        <f t="shared" si="17"/>
        <v>3702200</v>
      </c>
      <c r="I219" s="6">
        <f t="shared" si="15"/>
        <v>874912.7957</v>
      </c>
      <c r="J219" s="610">
        <v>4.075</v>
      </c>
      <c r="K219" s="591"/>
      <c r="L219" s="6"/>
      <c r="M219" s="9">
        <v>13000.0</v>
      </c>
      <c r="N219" s="79">
        <f t="shared" si="8"/>
        <v>2764900</v>
      </c>
      <c r="O219" s="6">
        <f t="shared" si="1"/>
        <v>617328.4961</v>
      </c>
      <c r="P219" s="6"/>
      <c r="Q219" s="6">
        <f t="shared" si="9"/>
        <v>6956.447943</v>
      </c>
      <c r="R219" s="6">
        <f t="shared" si="10"/>
        <v>617328.4961</v>
      </c>
      <c r="S219" s="81">
        <f t="shared" si="2"/>
        <v>41.1432877</v>
      </c>
      <c r="T219" s="6"/>
      <c r="U219" s="6"/>
      <c r="V219" s="6"/>
      <c r="W219" s="6"/>
      <c r="X219" s="6"/>
      <c r="Y219" s="6"/>
    </row>
    <row r="220" ht="11.25" customHeight="1">
      <c r="A220" s="7"/>
      <c r="B220" s="68">
        <f t="shared" si="13"/>
        <v>215</v>
      </c>
      <c r="C220" s="607">
        <v>17300.0</v>
      </c>
      <c r="D220" s="6">
        <f t="shared" si="14"/>
        <v>2971.058036</v>
      </c>
      <c r="E220" s="6">
        <f t="shared" si="16"/>
        <v>14328.94196</v>
      </c>
      <c r="F220" s="6">
        <f t="shared" si="5"/>
        <v>2216093.438</v>
      </c>
      <c r="G220" s="6">
        <f t="shared" si="6"/>
        <v>1503406.562</v>
      </c>
      <c r="H220" s="6">
        <f t="shared" si="17"/>
        <v>3719500</v>
      </c>
      <c r="I220" s="6">
        <f t="shared" si="15"/>
        <v>860583.8538</v>
      </c>
      <c r="J220" s="610">
        <v>4.075</v>
      </c>
      <c r="K220" s="591"/>
      <c r="L220" s="6"/>
      <c r="M220" s="9">
        <v>13000.0</v>
      </c>
      <c r="N220" s="79">
        <f t="shared" si="8"/>
        <v>2777900</v>
      </c>
      <c r="O220" s="6">
        <f t="shared" si="1"/>
        <v>624333.4381</v>
      </c>
      <c r="P220" s="6"/>
      <c r="Q220" s="6">
        <f t="shared" si="9"/>
        <v>7004.941964</v>
      </c>
      <c r="R220" s="6">
        <f t="shared" si="10"/>
        <v>624333.4381</v>
      </c>
      <c r="S220" s="81">
        <f t="shared" si="2"/>
        <v>41.52791759</v>
      </c>
      <c r="T220" s="6"/>
      <c r="U220" s="6"/>
      <c r="V220" s="6"/>
      <c r="W220" s="6"/>
      <c r="X220" s="6"/>
      <c r="Y220" s="6"/>
    </row>
    <row r="221" ht="11.25" customHeight="1">
      <c r="A221" s="71"/>
      <c r="B221" s="72">
        <f t="shared" si="13"/>
        <v>216</v>
      </c>
      <c r="C221" s="607">
        <v>17300.0</v>
      </c>
      <c r="D221" s="10">
        <f t="shared" si="14"/>
        <v>2922.399337</v>
      </c>
      <c r="E221" s="10">
        <f t="shared" si="16"/>
        <v>14377.60066</v>
      </c>
      <c r="F221" s="10">
        <f t="shared" si="5"/>
        <v>2230471.039</v>
      </c>
      <c r="G221" s="10">
        <f t="shared" si="6"/>
        <v>1506328.961</v>
      </c>
      <c r="H221" s="10">
        <f t="shared" si="17"/>
        <v>3736800</v>
      </c>
      <c r="I221" s="10">
        <f t="shared" si="15"/>
        <v>846206.2531</v>
      </c>
      <c r="J221" s="610">
        <v>4.075</v>
      </c>
      <c r="K221" s="591"/>
      <c r="L221" s="6"/>
      <c r="M221" s="9">
        <v>13000.0</v>
      </c>
      <c r="N221" s="79">
        <f t="shared" si="8"/>
        <v>2790900</v>
      </c>
      <c r="O221" s="6">
        <f t="shared" si="1"/>
        <v>631387.0387</v>
      </c>
      <c r="P221" s="6"/>
      <c r="Q221" s="6">
        <f t="shared" si="9"/>
        <v>7053.600663</v>
      </c>
      <c r="R221" s="6">
        <f t="shared" si="10"/>
        <v>631387.0387</v>
      </c>
      <c r="S221" s="81">
        <f t="shared" si="2"/>
        <v>41.91561438</v>
      </c>
      <c r="T221" s="6"/>
      <c r="U221" s="6"/>
      <c r="V221" s="6"/>
      <c r="W221" s="6"/>
      <c r="X221" s="6"/>
      <c r="Y221" s="6"/>
    </row>
    <row r="222" ht="11.25" customHeight="1">
      <c r="A222" s="100">
        <v>19.0</v>
      </c>
      <c r="B222" s="66">
        <f t="shared" si="13"/>
        <v>217</v>
      </c>
      <c r="C222" s="607">
        <v>17300.0</v>
      </c>
      <c r="D222" s="617">
        <f t="shared" si="14"/>
        <v>2873.575401</v>
      </c>
      <c r="E222" s="617">
        <f t="shared" si="16"/>
        <v>14426.4246</v>
      </c>
      <c r="F222" s="617">
        <f t="shared" si="5"/>
        <v>2244897.463</v>
      </c>
      <c r="G222" s="617">
        <f t="shared" si="6"/>
        <v>1509202.537</v>
      </c>
      <c r="H222" s="617">
        <f t="shared" si="17"/>
        <v>3754100</v>
      </c>
      <c r="I222" s="617">
        <f t="shared" si="15"/>
        <v>831779.8285</v>
      </c>
      <c r="J222" s="610">
        <v>4.075</v>
      </c>
      <c r="K222" s="591"/>
      <c r="L222" s="6"/>
      <c r="M222" s="9">
        <v>13000.0</v>
      </c>
      <c r="N222" s="79">
        <f t="shared" si="8"/>
        <v>2803900</v>
      </c>
      <c r="O222" s="6">
        <f t="shared" si="1"/>
        <v>638489.4633</v>
      </c>
      <c r="P222" s="6"/>
      <c r="Q222" s="6">
        <f t="shared" si="9"/>
        <v>7102.424599</v>
      </c>
      <c r="R222" s="6">
        <f t="shared" si="10"/>
        <v>638489.4633</v>
      </c>
      <c r="S222" s="81">
        <f t="shared" si="2"/>
        <v>42.30641334</v>
      </c>
      <c r="T222" s="6"/>
      <c r="U222" s="6"/>
      <c r="V222" s="6"/>
      <c r="W222" s="6"/>
      <c r="X222" s="6"/>
      <c r="Y222" s="6"/>
    </row>
    <row r="223" ht="11.25" customHeight="1">
      <c r="A223" s="7"/>
      <c r="B223" s="68">
        <f t="shared" si="13"/>
        <v>218</v>
      </c>
      <c r="C223" s="607">
        <v>17300.0</v>
      </c>
      <c r="D223" s="6">
        <f t="shared" si="14"/>
        <v>2824.585668</v>
      </c>
      <c r="E223" s="6">
        <f t="shared" si="16"/>
        <v>14475.41433</v>
      </c>
      <c r="F223" s="6">
        <f t="shared" si="5"/>
        <v>2259372.878</v>
      </c>
      <c r="G223" s="6">
        <f t="shared" si="6"/>
        <v>1512027.122</v>
      </c>
      <c r="H223" s="6">
        <f t="shared" si="17"/>
        <v>3771400</v>
      </c>
      <c r="I223" s="6">
        <f t="shared" si="15"/>
        <v>817304.4142</v>
      </c>
      <c r="J223" s="610">
        <v>4.075</v>
      </c>
      <c r="K223" s="591"/>
      <c r="L223" s="6"/>
      <c r="M223" s="9">
        <v>13000.0</v>
      </c>
      <c r="N223" s="79">
        <f t="shared" si="8"/>
        <v>2816900</v>
      </c>
      <c r="O223" s="6">
        <f t="shared" si="1"/>
        <v>645640.8777</v>
      </c>
      <c r="P223" s="6"/>
      <c r="Q223" s="6">
        <f t="shared" si="9"/>
        <v>7151.414332</v>
      </c>
      <c r="R223" s="6">
        <f t="shared" si="10"/>
        <v>645640.8777</v>
      </c>
      <c r="S223" s="81">
        <f t="shared" si="2"/>
        <v>42.70035029</v>
      </c>
      <c r="T223" s="6"/>
      <c r="U223" s="6"/>
      <c r="V223" s="6"/>
      <c r="W223" s="6"/>
      <c r="X223" s="6"/>
      <c r="Y223" s="6"/>
    </row>
    <row r="224" ht="11.25" customHeight="1">
      <c r="A224" s="7"/>
      <c r="B224" s="68">
        <f t="shared" si="13"/>
        <v>219</v>
      </c>
      <c r="C224" s="607">
        <v>17300.0</v>
      </c>
      <c r="D224" s="6">
        <f t="shared" si="14"/>
        <v>2775.429573</v>
      </c>
      <c r="E224" s="6">
        <f t="shared" si="16"/>
        <v>14524.57043</v>
      </c>
      <c r="F224" s="6">
        <f t="shared" si="5"/>
        <v>2273897.448</v>
      </c>
      <c r="G224" s="6">
        <f t="shared" si="6"/>
        <v>1514802.552</v>
      </c>
      <c r="H224" s="6">
        <f t="shared" si="17"/>
        <v>3788700</v>
      </c>
      <c r="I224" s="6">
        <f t="shared" si="15"/>
        <v>802779.8438</v>
      </c>
      <c r="J224" s="610">
        <v>4.075</v>
      </c>
      <c r="K224" s="591"/>
      <c r="L224" s="6"/>
      <c r="M224" s="9">
        <v>13000.0</v>
      </c>
      <c r="N224" s="79">
        <f t="shared" si="8"/>
        <v>2829900</v>
      </c>
      <c r="O224" s="6">
        <f t="shared" si="1"/>
        <v>652841.4481</v>
      </c>
      <c r="P224" s="6"/>
      <c r="Q224" s="6">
        <f t="shared" si="9"/>
        <v>7200.570427</v>
      </c>
      <c r="R224" s="6">
        <f t="shared" si="10"/>
        <v>652841.4481</v>
      </c>
      <c r="S224" s="81">
        <f t="shared" si="2"/>
        <v>43.0974616</v>
      </c>
      <c r="T224" s="6"/>
      <c r="U224" s="6"/>
      <c r="V224" s="6"/>
      <c r="W224" s="6"/>
      <c r="X224" s="6"/>
      <c r="Y224" s="6"/>
    </row>
    <row r="225" ht="11.25" customHeight="1">
      <c r="A225" s="7"/>
      <c r="B225" s="68">
        <f t="shared" si="13"/>
        <v>220</v>
      </c>
      <c r="C225" s="607">
        <v>17300.0</v>
      </c>
      <c r="D225" s="6">
        <f t="shared" si="14"/>
        <v>2726.106553</v>
      </c>
      <c r="E225" s="6">
        <f t="shared" si="16"/>
        <v>14573.89345</v>
      </c>
      <c r="F225" s="6">
        <f t="shared" si="5"/>
        <v>2288471.342</v>
      </c>
      <c r="G225" s="6">
        <f t="shared" si="6"/>
        <v>1517528.658</v>
      </c>
      <c r="H225" s="6">
        <f t="shared" si="17"/>
        <v>3806000</v>
      </c>
      <c r="I225" s="6">
        <f t="shared" si="15"/>
        <v>788205.9503</v>
      </c>
      <c r="J225" s="610">
        <v>4.075</v>
      </c>
      <c r="K225" s="591"/>
      <c r="L225" s="6"/>
      <c r="M225" s="9">
        <v>13000.0</v>
      </c>
      <c r="N225" s="79">
        <f t="shared" si="8"/>
        <v>2842900</v>
      </c>
      <c r="O225" s="6">
        <f t="shared" si="1"/>
        <v>660091.3415</v>
      </c>
      <c r="P225" s="6"/>
      <c r="Q225" s="6">
        <f t="shared" si="9"/>
        <v>7249.893447</v>
      </c>
      <c r="R225" s="6">
        <f t="shared" si="10"/>
        <v>660091.3415</v>
      </c>
      <c r="S225" s="81">
        <f t="shared" si="2"/>
        <v>43.49778423</v>
      </c>
      <c r="T225" s="6"/>
      <c r="U225" s="6"/>
      <c r="V225" s="6"/>
      <c r="W225" s="6"/>
      <c r="X225" s="6"/>
      <c r="Y225" s="6"/>
    </row>
    <row r="226" ht="11.25" customHeight="1">
      <c r="A226" s="7"/>
      <c r="B226" s="68">
        <f t="shared" si="13"/>
        <v>221</v>
      </c>
      <c r="C226" s="607">
        <v>17300.0</v>
      </c>
      <c r="D226" s="6">
        <f t="shared" si="14"/>
        <v>2676.61604</v>
      </c>
      <c r="E226" s="6">
        <f t="shared" si="16"/>
        <v>14623.38396</v>
      </c>
      <c r="F226" s="6">
        <f t="shared" si="5"/>
        <v>2303094.725</v>
      </c>
      <c r="G226" s="6">
        <f t="shared" si="6"/>
        <v>1520205.275</v>
      </c>
      <c r="H226" s="6">
        <f t="shared" si="17"/>
        <v>3823300</v>
      </c>
      <c r="I226" s="6">
        <f t="shared" si="15"/>
        <v>773582.5664</v>
      </c>
      <c r="J226" s="610">
        <v>4.075</v>
      </c>
      <c r="K226" s="591"/>
      <c r="L226" s="6"/>
      <c r="M226" s="9">
        <v>13000.0</v>
      </c>
      <c r="N226" s="79">
        <f t="shared" si="8"/>
        <v>2855900</v>
      </c>
      <c r="O226" s="6">
        <f t="shared" si="1"/>
        <v>667390.7255</v>
      </c>
      <c r="P226" s="6"/>
      <c r="Q226" s="6">
        <f t="shared" si="9"/>
        <v>7299.38396</v>
      </c>
      <c r="R226" s="6">
        <f t="shared" si="10"/>
        <v>667390.7255</v>
      </c>
      <c r="S226" s="81">
        <f t="shared" si="2"/>
        <v>43.90135574</v>
      </c>
      <c r="T226" s="6"/>
      <c r="U226" s="6"/>
      <c r="V226" s="6"/>
      <c r="W226" s="6"/>
      <c r="X226" s="6"/>
      <c r="Y226" s="6"/>
    </row>
    <row r="227" ht="11.25" customHeight="1">
      <c r="A227" s="7"/>
      <c r="B227" s="68">
        <f t="shared" si="13"/>
        <v>222</v>
      </c>
      <c r="C227" s="607">
        <v>17300.0</v>
      </c>
      <c r="D227" s="6">
        <f t="shared" si="14"/>
        <v>2626.957465</v>
      </c>
      <c r="E227" s="6">
        <f t="shared" si="16"/>
        <v>14673.04254</v>
      </c>
      <c r="F227" s="6">
        <f t="shared" si="5"/>
        <v>2317767.768</v>
      </c>
      <c r="G227" s="6">
        <f t="shared" si="6"/>
        <v>1522832.232</v>
      </c>
      <c r="H227" s="6">
        <f t="shared" si="17"/>
        <v>3840600</v>
      </c>
      <c r="I227" s="6">
        <f t="shared" si="15"/>
        <v>758909.5238</v>
      </c>
      <c r="J227" s="610">
        <v>4.075</v>
      </c>
      <c r="K227" s="591"/>
      <c r="L227" s="6"/>
      <c r="M227" s="9">
        <v>13000.0</v>
      </c>
      <c r="N227" s="79">
        <f t="shared" si="8"/>
        <v>2868900</v>
      </c>
      <c r="O227" s="6">
        <f t="shared" si="1"/>
        <v>674739.768</v>
      </c>
      <c r="P227" s="6"/>
      <c r="Q227" s="6">
        <f t="shared" si="9"/>
        <v>7349.042535</v>
      </c>
      <c r="R227" s="6">
        <f t="shared" si="10"/>
        <v>674739.768</v>
      </c>
      <c r="S227" s="81">
        <f t="shared" si="2"/>
        <v>44.30821425</v>
      </c>
      <c r="T227" s="6"/>
      <c r="U227" s="6"/>
      <c r="V227" s="6"/>
      <c r="W227" s="6"/>
      <c r="X227" s="6"/>
      <c r="Y227" s="6"/>
    </row>
    <row r="228" ht="11.25" customHeight="1">
      <c r="A228" s="7"/>
      <c r="B228" s="68">
        <f t="shared" si="13"/>
        <v>223</v>
      </c>
      <c r="C228" s="607">
        <v>17300.0</v>
      </c>
      <c r="D228" s="6">
        <f t="shared" si="14"/>
        <v>2577.130258</v>
      </c>
      <c r="E228" s="6">
        <f t="shared" si="16"/>
        <v>14722.86974</v>
      </c>
      <c r="F228" s="6">
        <f t="shared" si="5"/>
        <v>2332490.638</v>
      </c>
      <c r="G228" s="6">
        <f t="shared" si="6"/>
        <v>1525409.362</v>
      </c>
      <c r="H228" s="6">
        <f t="shared" si="17"/>
        <v>3857900</v>
      </c>
      <c r="I228" s="6">
        <f t="shared" si="15"/>
        <v>744186.6541</v>
      </c>
      <c r="J228" s="610">
        <v>4.075</v>
      </c>
      <c r="K228" s="591"/>
      <c r="L228" s="6"/>
      <c r="M228" s="9">
        <v>13000.0</v>
      </c>
      <c r="N228" s="79">
        <f t="shared" si="8"/>
        <v>2881900</v>
      </c>
      <c r="O228" s="6">
        <f t="shared" si="1"/>
        <v>682138.6378</v>
      </c>
      <c r="P228" s="6"/>
      <c r="Q228" s="6">
        <f t="shared" si="9"/>
        <v>7398.869742</v>
      </c>
      <c r="R228" s="6">
        <f t="shared" si="10"/>
        <v>682138.6378</v>
      </c>
      <c r="S228" s="81">
        <f t="shared" si="2"/>
        <v>44.71839853</v>
      </c>
      <c r="T228" s="6"/>
      <c r="U228" s="6"/>
      <c r="V228" s="6"/>
      <c r="W228" s="6"/>
      <c r="X228" s="6"/>
      <c r="Y228" s="6"/>
    </row>
    <row r="229" ht="11.25" customHeight="1">
      <c r="A229" s="7"/>
      <c r="B229" s="68">
        <f t="shared" si="13"/>
        <v>224</v>
      </c>
      <c r="C229" s="607">
        <v>17300.0</v>
      </c>
      <c r="D229" s="6">
        <f t="shared" si="14"/>
        <v>2527.133846</v>
      </c>
      <c r="E229" s="6">
        <f t="shared" si="16"/>
        <v>14772.86615</v>
      </c>
      <c r="F229" s="6">
        <f t="shared" si="5"/>
        <v>2347263.504</v>
      </c>
      <c r="G229" s="6">
        <f t="shared" si="6"/>
        <v>1527936.496</v>
      </c>
      <c r="H229" s="6">
        <f t="shared" si="17"/>
        <v>3875200</v>
      </c>
      <c r="I229" s="6">
        <f t="shared" si="15"/>
        <v>729413.7879</v>
      </c>
      <c r="J229" s="610">
        <v>4.075</v>
      </c>
      <c r="K229" s="591"/>
      <c r="L229" s="6"/>
      <c r="M229" s="9">
        <v>13000.0</v>
      </c>
      <c r="N229" s="79">
        <f t="shared" si="8"/>
        <v>2894900</v>
      </c>
      <c r="O229" s="6">
        <f t="shared" si="1"/>
        <v>689587.5039</v>
      </c>
      <c r="P229" s="6"/>
      <c r="Q229" s="6">
        <f t="shared" si="9"/>
        <v>7448.866154</v>
      </c>
      <c r="R229" s="6">
        <f t="shared" si="10"/>
        <v>689587.5039</v>
      </c>
      <c r="S229" s="81">
        <f t="shared" si="2"/>
        <v>45.13194794</v>
      </c>
      <c r="T229" s="6"/>
      <c r="U229" s="6"/>
      <c r="V229" s="6"/>
      <c r="W229" s="6"/>
      <c r="X229" s="6"/>
      <c r="Y229" s="6"/>
    </row>
    <row r="230" ht="11.25" customHeight="1">
      <c r="A230" s="7"/>
      <c r="B230" s="68">
        <f t="shared" si="13"/>
        <v>225</v>
      </c>
      <c r="C230" s="607">
        <v>17300.0</v>
      </c>
      <c r="D230" s="6">
        <f t="shared" si="14"/>
        <v>2476.967655</v>
      </c>
      <c r="E230" s="6">
        <f t="shared" si="16"/>
        <v>14823.03235</v>
      </c>
      <c r="F230" s="6">
        <f t="shared" si="5"/>
        <v>2362086.536</v>
      </c>
      <c r="G230" s="6">
        <f t="shared" si="6"/>
        <v>1530413.464</v>
      </c>
      <c r="H230" s="6">
        <f t="shared" si="17"/>
        <v>3892500</v>
      </c>
      <c r="I230" s="6">
        <f t="shared" si="15"/>
        <v>714590.7556</v>
      </c>
      <c r="J230" s="610">
        <v>4.075</v>
      </c>
      <c r="K230" s="591"/>
      <c r="L230" s="6"/>
      <c r="M230" s="9">
        <v>13000.0</v>
      </c>
      <c r="N230" s="79">
        <f t="shared" si="8"/>
        <v>2907900</v>
      </c>
      <c r="O230" s="6">
        <f t="shared" si="1"/>
        <v>697086.5363</v>
      </c>
      <c r="P230" s="6"/>
      <c r="Q230" s="6">
        <f t="shared" si="9"/>
        <v>7499.032345</v>
      </c>
      <c r="R230" s="6">
        <f t="shared" si="10"/>
        <v>697086.5363</v>
      </c>
      <c r="S230" s="81">
        <f t="shared" si="2"/>
        <v>45.54890249</v>
      </c>
      <c r="T230" s="6"/>
      <c r="U230" s="6"/>
      <c r="V230" s="6"/>
      <c r="W230" s="6"/>
      <c r="X230" s="6"/>
      <c r="Y230" s="6"/>
    </row>
    <row r="231" ht="11.25" customHeight="1">
      <c r="A231" s="7"/>
      <c r="B231" s="68">
        <f t="shared" si="13"/>
        <v>226</v>
      </c>
      <c r="C231" s="607">
        <v>17300.0</v>
      </c>
      <c r="D231" s="6">
        <f t="shared" si="14"/>
        <v>2426.631107</v>
      </c>
      <c r="E231" s="6">
        <f t="shared" si="16"/>
        <v>14873.36889</v>
      </c>
      <c r="F231" s="6">
        <f t="shared" si="5"/>
        <v>2376959.905</v>
      </c>
      <c r="G231" s="6">
        <f t="shared" si="6"/>
        <v>1532840.095</v>
      </c>
      <c r="H231" s="6">
        <f t="shared" si="17"/>
        <v>3909800</v>
      </c>
      <c r="I231" s="6">
        <f t="shared" si="15"/>
        <v>699717.3867</v>
      </c>
      <c r="J231" s="610">
        <v>4.075</v>
      </c>
      <c r="K231" s="591"/>
      <c r="L231" s="6"/>
      <c r="M231" s="9">
        <v>13000.0</v>
      </c>
      <c r="N231" s="79">
        <f t="shared" si="8"/>
        <v>2920900</v>
      </c>
      <c r="O231" s="6">
        <f t="shared" si="1"/>
        <v>704635.9052</v>
      </c>
      <c r="P231" s="6"/>
      <c r="Q231" s="6">
        <f t="shared" si="9"/>
        <v>7549.368893</v>
      </c>
      <c r="R231" s="6">
        <f t="shared" si="10"/>
        <v>704635.9052</v>
      </c>
      <c r="S231" s="81">
        <f t="shared" si="2"/>
        <v>45.96930283</v>
      </c>
      <c r="T231" s="6"/>
      <c r="U231" s="6"/>
      <c r="V231" s="6"/>
      <c r="W231" s="6"/>
      <c r="X231" s="6"/>
      <c r="Y231" s="6"/>
    </row>
    <row r="232" ht="11.25" customHeight="1">
      <c r="A232" s="7"/>
      <c r="B232" s="68">
        <f t="shared" si="13"/>
        <v>227</v>
      </c>
      <c r="C232" s="607">
        <v>17300.0</v>
      </c>
      <c r="D232" s="6">
        <f t="shared" si="14"/>
        <v>2376.123626</v>
      </c>
      <c r="E232" s="6">
        <f t="shared" si="16"/>
        <v>14923.87637</v>
      </c>
      <c r="F232" s="6">
        <f t="shared" si="5"/>
        <v>2391883.782</v>
      </c>
      <c r="G232" s="6">
        <f t="shared" si="6"/>
        <v>1535216.218</v>
      </c>
      <c r="H232" s="6">
        <f t="shared" si="17"/>
        <v>3927100</v>
      </c>
      <c r="I232" s="6">
        <f t="shared" si="15"/>
        <v>684793.5103</v>
      </c>
      <c r="J232" s="610">
        <v>4.075</v>
      </c>
      <c r="K232" s="591"/>
      <c r="L232" s="6"/>
      <c r="M232" s="9">
        <v>13000.0</v>
      </c>
      <c r="N232" s="79">
        <f t="shared" si="8"/>
        <v>2933900</v>
      </c>
      <c r="O232" s="6">
        <f t="shared" si="1"/>
        <v>712235.7815</v>
      </c>
      <c r="P232" s="6"/>
      <c r="Q232" s="6">
        <f t="shared" si="9"/>
        <v>7599.876374</v>
      </c>
      <c r="R232" s="6">
        <f t="shared" si="10"/>
        <v>712235.7815</v>
      </c>
      <c r="S232" s="81">
        <f t="shared" si="2"/>
        <v>46.39319029</v>
      </c>
      <c r="T232" s="6"/>
      <c r="U232" s="6"/>
      <c r="V232" s="6"/>
      <c r="W232" s="6"/>
      <c r="X232" s="6"/>
      <c r="Y232" s="6"/>
    </row>
    <row r="233" ht="11.25" customHeight="1">
      <c r="A233" s="71"/>
      <c r="B233" s="72">
        <f t="shared" si="13"/>
        <v>228</v>
      </c>
      <c r="C233" s="607">
        <v>17300.0</v>
      </c>
      <c r="D233" s="10">
        <f t="shared" si="14"/>
        <v>2325.444629</v>
      </c>
      <c r="E233" s="10">
        <f t="shared" si="16"/>
        <v>14974.55537</v>
      </c>
      <c r="F233" s="10">
        <f t="shared" si="5"/>
        <v>2406858.337</v>
      </c>
      <c r="G233" s="10">
        <f t="shared" si="6"/>
        <v>1537541.663</v>
      </c>
      <c r="H233" s="10">
        <f t="shared" si="17"/>
        <v>3944400</v>
      </c>
      <c r="I233" s="10">
        <f t="shared" si="15"/>
        <v>669818.9549</v>
      </c>
      <c r="J233" s="610">
        <v>4.075</v>
      </c>
      <c r="K233" s="591"/>
      <c r="L233" s="6"/>
      <c r="M233" s="9">
        <v>13000.0</v>
      </c>
      <c r="N233" s="79">
        <f t="shared" si="8"/>
        <v>2946900</v>
      </c>
      <c r="O233" s="6">
        <f t="shared" si="1"/>
        <v>719886.3369</v>
      </c>
      <c r="P233" s="6"/>
      <c r="Q233" s="6">
        <f t="shared" si="9"/>
        <v>7650.555371</v>
      </c>
      <c r="R233" s="6">
        <f t="shared" si="10"/>
        <v>719886.3369</v>
      </c>
      <c r="S233" s="81">
        <f t="shared" si="2"/>
        <v>46.82060683</v>
      </c>
      <c r="T233" s="6"/>
      <c r="U233" s="6"/>
      <c r="V233" s="6"/>
      <c r="W233" s="6"/>
      <c r="X233" s="6"/>
      <c r="Y233" s="6"/>
    </row>
    <row r="234" ht="11.25" customHeight="1">
      <c r="A234" s="100">
        <v>20.0</v>
      </c>
      <c r="B234" s="66">
        <f t="shared" si="13"/>
        <v>229</v>
      </c>
      <c r="C234" s="607">
        <v>17300.0</v>
      </c>
      <c r="D234" s="617">
        <f t="shared" si="14"/>
        <v>2274.593534</v>
      </c>
      <c r="E234" s="617">
        <f t="shared" si="16"/>
        <v>15025.40647</v>
      </c>
      <c r="F234" s="617">
        <f t="shared" si="5"/>
        <v>2421883.743</v>
      </c>
      <c r="G234" s="617">
        <f t="shared" si="6"/>
        <v>1539816.257</v>
      </c>
      <c r="H234" s="617">
        <f t="shared" si="17"/>
        <v>3961700</v>
      </c>
      <c r="I234" s="617">
        <f t="shared" si="15"/>
        <v>654793.5485</v>
      </c>
      <c r="J234" s="610">
        <v>4.075</v>
      </c>
      <c r="K234" s="591"/>
      <c r="L234" s="6"/>
      <c r="M234" s="9">
        <v>13000.0</v>
      </c>
      <c r="N234" s="79">
        <f t="shared" si="8"/>
        <v>2959900</v>
      </c>
      <c r="O234" s="6">
        <f t="shared" si="1"/>
        <v>727587.7434</v>
      </c>
      <c r="P234" s="6"/>
      <c r="Q234" s="6">
        <f t="shared" si="9"/>
        <v>7701.406466</v>
      </c>
      <c r="R234" s="6">
        <f t="shared" si="10"/>
        <v>727587.7434</v>
      </c>
      <c r="S234" s="81">
        <f t="shared" si="2"/>
        <v>47.25159513</v>
      </c>
      <c r="T234" s="6"/>
      <c r="U234" s="6"/>
      <c r="V234" s="6"/>
      <c r="W234" s="6"/>
      <c r="X234" s="6"/>
      <c r="Y234" s="6"/>
    </row>
    <row r="235" ht="11.25" customHeight="1">
      <c r="A235" s="7"/>
      <c r="B235" s="68">
        <f t="shared" si="13"/>
        <v>230</v>
      </c>
      <c r="C235" s="607">
        <v>17300.0</v>
      </c>
      <c r="D235" s="6">
        <f t="shared" si="14"/>
        <v>2223.569758</v>
      </c>
      <c r="E235" s="6">
        <f t="shared" si="16"/>
        <v>15076.43024</v>
      </c>
      <c r="F235" s="6">
        <f t="shared" si="5"/>
        <v>2436960.174</v>
      </c>
      <c r="G235" s="6">
        <f t="shared" si="6"/>
        <v>1542039.826</v>
      </c>
      <c r="H235" s="6">
        <f t="shared" si="17"/>
        <v>3979000</v>
      </c>
      <c r="I235" s="6">
        <f t="shared" si="15"/>
        <v>639717.1182</v>
      </c>
      <c r="J235" s="610">
        <v>4.075</v>
      </c>
      <c r="K235" s="591"/>
      <c r="L235" s="6"/>
      <c r="M235" s="9">
        <v>13000.0</v>
      </c>
      <c r="N235" s="79">
        <f t="shared" si="8"/>
        <v>2972900</v>
      </c>
      <c r="O235" s="6">
        <f t="shared" si="1"/>
        <v>735340.1736</v>
      </c>
      <c r="P235" s="6"/>
      <c r="Q235" s="6">
        <f t="shared" si="9"/>
        <v>7752.430242</v>
      </c>
      <c r="R235" s="6">
        <f t="shared" si="10"/>
        <v>735340.1736</v>
      </c>
      <c r="S235" s="81">
        <f t="shared" si="2"/>
        <v>47.68619857</v>
      </c>
      <c r="T235" s="6"/>
      <c r="U235" s="6"/>
      <c r="V235" s="6"/>
      <c r="W235" s="6"/>
      <c r="X235" s="6"/>
      <c r="Y235" s="6"/>
    </row>
    <row r="236" ht="11.25" customHeight="1">
      <c r="A236" s="7"/>
      <c r="B236" s="68">
        <f t="shared" si="13"/>
        <v>231</v>
      </c>
      <c r="C236" s="607">
        <v>17300.0</v>
      </c>
      <c r="D236" s="6">
        <f t="shared" si="14"/>
        <v>2172.372714</v>
      </c>
      <c r="E236" s="6">
        <f t="shared" si="16"/>
        <v>15127.62729</v>
      </c>
      <c r="F236" s="6">
        <f t="shared" si="5"/>
        <v>2452087.801</v>
      </c>
      <c r="G236" s="6">
        <f t="shared" si="6"/>
        <v>1544212.199</v>
      </c>
      <c r="H236" s="6">
        <f t="shared" si="17"/>
        <v>3996300</v>
      </c>
      <c r="I236" s="6">
        <f t="shared" si="15"/>
        <v>624589.4909</v>
      </c>
      <c r="J236" s="610">
        <v>4.075</v>
      </c>
      <c r="K236" s="591"/>
      <c r="L236" s="6"/>
      <c r="M236" s="9">
        <v>13000.0</v>
      </c>
      <c r="N236" s="79">
        <f t="shared" si="8"/>
        <v>2985900</v>
      </c>
      <c r="O236" s="6">
        <f t="shared" si="1"/>
        <v>743143.8009</v>
      </c>
      <c r="P236" s="6"/>
      <c r="Q236" s="6">
        <f t="shared" si="9"/>
        <v>7803.627286</v>
      </c>
      <c r="R236" s="6">
        <f t="shared" si="10"/>
        <v>743143.8009</v>
      </c>
      <c r="S236" s="81">
        <f t="shared" si="2"/>
        <v>48.12446122</v>
      </c>
      <c r="T236" s="6"/>
      <c r="U236" s="6"/>
      <c r="V236" s="6"/>
      <c r="W236" s="6"/>
      <c r="X236" s="6"/>
      <c r="Y236" s="6"/>
    </row>
    <row r="237" ht="11.25" customHeight="1">
      <c r="A237" s="7"/>
      <c r="B237" s="68">
        <f t="shared" si="13"/>
        <v>232</v>
      </c>
      <c r="C237" s="607">
        <v>17300.0</v>
      </c>
      <c r="D237" s="6">
        <f t="shared" si="14"/>
        <v>2121.001813</v>
      </c>
      <c r="E237" s="6">
        <f t="shared" si="16"/>
        <v>15178.99819</v>
      </c>
      <c r="F237" s="6">
        <f t="shared" si="5"/>
        <v>2467266.799</v>
      </c>
      <c r="G237" s="6">
        <f t="shared" si="6"/>
        <v>1546333.201</v>
      </c>
      <c r="H237" s="6">
        <f t="shared" si="17"/>
        <v>4013600</v>
      </c>
      <c r="I237" s="6">
        <f t="shared" si="15"/>
        <v>609410.4928</v>
      </c>
      <c r="J237" s="610">
        <v>4.075</v>
      </c>
      <c r="K237" s="591"/>
      <c r="L237" s="6"/>
      <c r="M237" s="9">
        <v>13000.0</v>
      </c>
      <c r="N237" s="79">
        <f t="shared" si="8"/>
        <v>2998900</v>
      </c>
      <c r="O237" s="6">
        <f t="shared" si="1"/>
        <v>750998.7991</v>
      </c>
      <c r="P237" s="6"/>
      <c r="Q237" s="6">
        <f t="shared" si="9"/>
        <v>7854.998187</v>
      </c>
      <c r="R237" s="6">
        <f t="shared" si="10"/>
        <v>750998.7991</v>
      </c>
      <c r="S237" s="81">
        <f t="shared" si="2"/>
        <v>48.5664279</v>
      </c>
      <c r="T237" s="6"/>
      <c r="U237" s="6"/>
      <c r="V237" s="6"/>
      <c r="W237" s="6"/>
      <c r="X237" s="6"/>
      <c r="Y237" s="6"/>
    </row>
    <row r="238" ht="11.25" customHeight="1">
      <c r="A238" s="7"/>
      <c r="B238" s="68">
        <f t="shared" si="13"/>
        <v>233</v>
      </c>
      <c r="C238" s="607">
        <v>17300.0</v>
      </c>
      <c r="D238" s="6">
        <f t="shared" si="14"/>
        <v>2069.456465</v>
      </c>
      <c r="E238" s="6">
        <f t="shared" si="16"/>
        <v>15230.54354</v>
      </c>
      <c r="F238" s="6">
        <f t="shared" si="5"/>
        <v>2482497.343</v>
      </c>
      <c r="G238" s="6">
        <f t="shared" si="6"/>
        <v>1548402.657</v>
      </c>
      <c r="H238" s="6">
        <f t="shared" si="17"/>
        <v>4030900</v>
      </c>
      <c r="I238" s="6">
        <f t="shared" si="15"/>
        <v>594179.9492</v>
      </c>
      <c r="J238" s="610">
        <v>4.075</v>
      </c>
      <c r="K238" s="591"/>
      <c r="L238" s="6"/>
      <c r="M238" s="9">
        <v>13000.0</v>
      </c>
      <c r="N238" s="79">
        <f t="shared" si="8"/>
        <v>3011900</v>
      </c>
      <c r="O238" s="6">
        <f t="shared" si="1"/>
        <v>758905.3426</v>
      </c>
      <c r="P238" s="6"/>
      <c r="Q238" s="6">
        <f t="shared" si="9"/>
        <v>7906.543535</v>
      </c>
      <c r="R238" s="6">
        <f t="shared" si="10"/>
        <v>758905.3426</v>
      </c>
      <c r="S238" s="81">
        <f t="shared" si="2"/>
        <v>49.01214416</v>
      </c>
      <c r="T238" s="6"/>
      <c r="U238" s="6"/>
      <c r="V238" s="6"/>
      <c r="W238" s="6"/>
      <c r="X238" s="6"/>
      <c r="Y238" s="6"/>
    </row>
    <row r="239" ht="11.25" customHeight="1">
      <c r="A239" s="7"/>
      <c r="B239" s="68">
        <f t="shared" si="13"/>
        <v>234</v>
      </c>
      <c r="C239" s="607">
        <v>17300.0</v>
      </c>
      <c r="D239" s="6">
        <f t="shared" si="14"/>
        <v>2017.736078</v>
      </c>
      <c r="E239" s="6">
        <f t="shared" si="16"/>
        <v>15282.26392</v>
      </c>
      <c r="F239" s="6">
        <f t="shared" si="5"/>
        <v>2497779.607</v>
      </c>
      <c r="G239" s="6">
        <f t="shared" si="6"/>
        <v>1550420.393</v>
      </c>
      <c r="H239" s="6">
        <f t="shared" si="17"/>
        <v>4048200</v>
      </c>
      <c r="I239" s="6">
        <f t="shared" si="15"/>
        <v>578897.6853</v>
      </c>
      <c r="J239" s="610">
        <v>4.075</v>
      </c>
      <c r="K239" s="591"/>
      <c r="L239" s="6"/>
      <c r="M239" s="9">
        <v>13000.0</v>
      </c>
      <c r="N239" s="79">
        <f t="shared" si="8"/>
        <v>3024900</v>
      </c>
      <c r="O239" s="6">
        <f t="shared" si="1"/>
        <v>766863.6065</v>
      </c>
      <c r="P239" s="6"/>
      <c r="Q239" s="6">
        <f t="shared" si="9"/>
        <v>7958.263922</v>
      </c>
      <c r="R239" s="6">
        <f t="shared" si="10"/>
        <v>766863.6065</v>
      </c>
      <c r="S239" s="81">
        <f t="shared" si="2"/>
        <v>49.46165632</v>
      </c>
      <c r="T239" s="6"/>
      <c r="U239" s="6"/>
      <c r="V239" s="6"/>
      <c r="W239" s="6"/>
      <c r="X239" s="6"/>
      <c r="Y239" s="6"/>
    </row>
    <row r="240" ht="11.25" customHeight="1">
      <c r="A240" s="7"/>
      <c r="B240" s="68">
        <f t="shared" si="13"/>
        <v>235</v>
      </c>
      <c r="C240" s="607">
        <v>17300.0</v>
      </c>
      <c r="D240" s="6">
        <f t="shared" si="14"/>
        <v>1965.840056</v>
      </c>
      <c r="E240" s="6">
        <f t="shared" si="16"/>
        <v>15334.15994</v>
      </c>
      <c r="F240" s="6">
        <f t="shared" si="5"/>
        <v>2513113.766</v>
      </c>
      <c r="G240" s="6">
        <f t="shared" si="6"/>
        <v>1552386.234</v>
      </c>
      <c r="H240" s="6">
        <f t="shared" si="17"/>
        <v>4065500</v>
      </c>
      <c r="I240" s="6">
        <f t="shared" si="15"/>
        <v>563563.5254</v>
      </c>
      <c r="J240" s="610">
        <v>4.075</v>
      </c>
      <c r="K240" s="591"/>
      <c r="L240" s="6"/>
      <c r="M240" s="9">
        <v>13000.0</v>
      </c>
      <c r="N240" s="79">
        <f t="shared" si="8"/>
        <v>3037900</v>
      </c>
      <c r="O240" s="6">
        <f t="shared" si="1"/>
        <v>774873.7665</v>
      </c>
      <c r="P240" s="6"/>
      <c r="Q240" s="6">
        <f t="shared" si="9"/>
        <v>8010.159944</v>
      </c>
      <c r="R240" s="6">
        <f t="shared" si="10"/>
        <v>774873.7665</v>
      </c>
      <c r="S240" s="81">
        <f t="shared" si="2"/>
        <v>49.91501147</v>
      </c>
      <c r="T240" s="6"/>
      <c r="U240" s="6"/>
      <c r="V240" s="6"/>
      <c r="W240" s="6"/>
      <c r="X240" s="6"/>
      <c r="Y240" s="6"/>
    </row>
    <row r="241" ht="11.25" customHeight="1">
      <c r="A241" s="7"/>
      <c r="B241" s="68">
        <f t="shared" si="13"/>
        <v>236</v>
      </c>
      <c r="C241" s="607">
        <v>17300.0</v>
      </c>
      <c r="D241" s="6">
        <f t="shared" si="14"/>
        <v>1913.767805</v>
      </c>
      <c r="E241" s="6">
        <f t="shared" si="16"/>
        <v>15386.2322</v>
      </c>
      <c r="F241" s="6">
        <f t="shared" si="5"/>
        <v>2528499.999</v>
      </c>
      <c r="G241" s="6">
        <f t="shared" si="6"/>
        <v>1554300.001</v>
      </c>
      <c r="H241" s="6">
        <f t="shared" si="17"/>
        <v>4082800</v>
      </c>
      <c r="I241" s="6">
        <f t="shared" si="15"/>
        <v>548177.2932</v>
      </c>
      <c r="J241" s="610">
        <v>4.075</v>
      </c>
      <c r="K241" s="591"/>
      <c r="L241" s="6"/>
      <c r="M241" s="9">
        <v>13000.0</v>
      </c>
      <c r="N241" s="79">
        <f t="shared" si="8"/>
        <v>3050900</v>
      </c>
      <c r="O241" s="6">
        <f t="shared" si="1"/>
        <v>782935.9987</v>
      </c>
      <c r="P241" s="6"/>
      <c r="Q241" s="6">
        <f t="shared" si="9"/>
        <v>8062.232195</v>
      </c>
      <c r="R241" s="6">
        <f t="shared" si="10"/>
        <v>782935.9987</v>
      </c>
      <c r="S241" s="81">
        <f t="shared" si="2"/>
        <v>50.37225748</v>
      </c>
      <c r="T241" s="6"/>
      <c r="U241" s="6"/>
      <c r="V241" s="6"/>
      <c r="W241" s="6"/>
      <c r="X241" s="6"/>
      <c r="Y241" s="6"/>
    </row>
    <row r="242" ht="11.25" customHeight="1">
      <c r="A242" s="7"/>
      <c r="B242" s="68">
        <f t="shared" si="13"/>
        <v>237</v>
      </c>
      <c r="C242" s="607">
        <v>17300.0</v>
      </c>
      <c r="D242" s="6">
        <f t="shared" si="14"/>
        <v>1861.518725</v>
      </c>
      <c r="E242" s="6">
        <f t="shared" si="16"/>
        <v>15438.48128</v>
      </c>
      <c r="F242" s="6">
        <f t="shared" si="5"/>
        <v>2543938.48</v>
      </c>
      <c r="G242" s="6">
        <f t="shared" si="6"/>
        <v>1556161.52</v>
      </c>
      <c r="H242" s="6">
        <f t="shared" si="17"/>
        <v>4100100</v>
      </c>
      <c r="I242" s="6">
        <f t="shared" si="15"/>
        <v>532738.8119</v>
      </c>
      <c r="J242" s="610">
        <v>4.075</v>
      </c>
      <c r="K242" s="591"/>
      <c r="L242" s="6"/>
      <c r="M242" s="9">
        <v>13000.0</v>
      </c>
      <c r="N242" s="79">
        <f t="shared" si="8"/>
        <v>3063900</v>
      </c>
      <c r="O242" s="6">
        <f t="shared" si="1"/>
        <v>791050.48</v>
      </c>
      <c r="P242" s="6"/>
      <c r="Q242" s="6">
        <f t="shared" si="9"/>
        <v>8114.481275</v>
      </c>
      <c r="R242" s="6">
        <f t="shared" si="10"/>
        <v>791050.48</v>
      </c>
      <c r="S242" s="81">
        <f t="shared" si="2"/>
        <v>50.83344304</v>
      </c>
      <c r="T242" s="6"/>
      <c r="U242" s="6"/>
      <c r="V242" s="6"/>
      <c r="W242" s="6"/>
      <c r="X242" s="6"/>
      <c r="Y242" s="6"/>
    </row>
    <row r="243" ht="11.25" customHeight="1">
      <c r="A243" s="7"/>
      <c r="B243" s="68">
        <f t="shared" si="13"/>
        <v>238</v>
      </c>
      <c r="C243" s="607">
        <v>17300.0</v>
      </c>
      <c r="D243" s="6">
        <f t="shared" si="14"/>
        <v>1809.092215</v>
      </c>
      <c r="E243" s="6">
        <f t="shared" si="16"/>
        <v>15490.90778</v>
      </c>
      <c r="F243" s="6">
        <f t="shared" si="5"/>
        <v>2559429.388</v>
      </c>
      <c r="G243" s="6">
        <f t="shared" si="6"/>
        <v>1557970.612</v>
      </c>
      <c r="H243" s="6">
        <f t="shared" si="17"/>
        <v>4117400</v>
      </c>
      <c r="I243" s="6">
        <f t="shared" si="15"/>
        <v>517247.9041</v>
      </c>
      <c r="J243" s="610">
        <v>4.075</v>
      </c>
      <c r="K243" s="591"/>
      <c r="L243" s="6"/>
      <c r="M243" s="9">
        <v>13000.0</v>
      </c>
      <c r="N243" s="79">
        <f t="shared" si="8"/>
        <v>3076900</v>
      </c>
      <c r="O243" s="6">
        <f t="shared" si="1"/>
        <v>799217.3877</v>
      </c>
      <c r="P243" s="6"/>
      <c r="Q243" s="6">
        <f t="shared" si="9"/>
        <v>8166.907785</v>
      </c>
      <c r="R243" s="6">
        <f t="shared" si="10"/>
        <v>799217.3877</v>
      </c>
      <c r="S243" s="81">
        <f t="shared" si="2"/>
        <v>51.29861767</v>
      </c>
      <c r="T243" s="6"/>
      <c r="U243" s="6"/>
      <c r="V243" s="6"/>
      <c r="W243" s="6"/>
      <c r="X243" s="6"/>
      <c r="Y243" s="6"/>
    </row>
    <row r="244" ht="11.25" customHeight="1">
      <c r="A244" s="7"/>
      <c r="B244" s="68">
        <f t="shared" si="13"/>
        <v>239</v>
      </c>
      <c r="C244" s="607">
        <v>17300.0</v>
      </c>
      <c r="D244" s="6">
        <f t="shared" si="14"/>
        <v>1756.487674</v>
      </c>
      <c r="E244" s="6">
        <f t="shared" si="16"/>
        <v>15543.51233</v>
      </c>
      <c r="F244" s="6">
        <f t="shared" si="5"/>
        <v>2574972.9</v>
      </c>
      <c r="G244" s="6">
        <f t="shared" si="6"/>
        <v>1559727.1</v>
      </c>
      <c r="H244" s="6">
        <f t="shared" si="17"/>
        <v>4134700</v>
      </c>
      <c r="I244" s="6">
        <f t="shared" si="15"/>
        <v>501704.3918</v>
      </c>
      <c r="J244" s="610">
        <v>4.075</v>
      </c>
      <c r="K244" s="591"/>
      <c r="L244" s="6"/>
      <c r="M244" s="9">
        <v>13000.0</v>
      </c>
      <c r="N244" s="79">
        <f t="shared" si="8"/>
        <v>3089900</v>
      </c>
      <c r="O244" s="6">
        <f t="shared" si="1"/>
        <v>807436.9001</v>
      </c>
      <c r="P244" s="6"/>
      <c r="Q244" s="6">
        <f t="shared" si="9"/>
        <v>8219.512326</v>
      </c>
      <c r="R244" s="6">
        <f t="shared" si="10"/>
        <v>807436.9001</v>
      </c>
      <c r="S244" s="81">
        <f t="shared" si="2"/>
        <v>51.7678317</v>
      </c>
      <c r="T244" s="6"/>
      <c r="U244" s="6"/>
      <c r="V244" s="6"/>
      <c r="W244" s="6"/>
      <c r="X244" s="6"/>
      <c r="Y244" s="6"/>
    </row>
    <row r="245" ht="11.25" customHeight="1">
      <c r="A245" s="71"/>
      <c r="B245" s="72">
        <f t="shared" si="13"/>
        <v>240</v>
      </c>
      <c r="C245" s="607">
        <v>17300.0</v>
      </c>
      <c r="D245" s="10">
        <f t="shared" si="14"/>
        <v>1703.704497</v>
      </c>
      <c r="E245" s="10">
        <f t="shared" si="16"/>
        <v>15596.2955</v>
      </c>
      <c r="F245" s="10">
        <f t="shared" si="5"/>
        <v>2590569.196</v>
      </c>
      <c r="G245" s="10">
        <f t="shared" si="6"/>
        <v>1561430.804</v>
      </c>
      <c r="H245" s="10">
        <f t="shared" si="17"/>
        <v>4152000</v>
      </c>
      <c r="I245" s="10">
        <f t="shared" si="15"/>
        <v>486108.0963</v>
      </c>
      <c r="J245" s="610">
        <v>4.075</v>
      </c>
      <c r="K245" s="591"/>
      <c r="L245" s="6"/>
      <c r="M245" s="9">
        <v>13000.0</v>
      </c>
      <c r="N245" s="79">
        <f t="shared" si="8"/>
        <v>3102900</v>
      </c>
      <c r="O245" s="6">
        <f t="shared" si="1"/>
        <v>815709.1956</v>
      </c>
      <c r="P245" s="6"/>
      <c r="Q245" s="6">
        <f t="shared" si="9"/>
        <v>8272.295503</v>
      </c>
      <c r="R245" s="6">
        <f t="shared" si="10"/>
        <v>815709.1956</v>
      </c>
      <c r="S245" s="81">
        <f t="shared" si="2"/>
        <v>52.24113635</v>
      </c>
      <c r="T245" s="6"/>
      <c r="U245" s="6"/>
      <c r="V245" s="6"/>
      <c r="W245" s="6"/>
      <c r="X245" s="6"/>
      <c r="Y245" s="6"/>
    </row>
    <row r="246" ht="11.25" customHeight="1">
      <c r="A246" s="100">
        <v>21.0</v>
      </c>
      <c r="B246" s="66">
        <f t="shared" si="13"/>
        <v>241</v>
      </c>
      <c r="C246" s="607">
        <v>17300.0</v>
      </c>
      <c r="D246" s="617">
        <f t="shared" si="14"/>
        <v>1650.742077</v>
      </c>
      <c r="E246" s="617">
        <f t="shared" si="16"/>
        <v>15649.25792</v>
      </c>
      <c r="F246" s="617">
        <f t="shared" si="5"/>
        <v>2606218.453</v>
      </c>
      <c r="G246" s="617">
        <f t="shared" si="6"/>
        <v>1563081.547</v>
      </c>
      <c r="H246" s="617">
        <f t="shared" si="17"/>
        <v>4169300</v>
      </c>
      <c r="I246" s="617">
        <f t="shared" si="15"/>
        <v>470458.8384</v>
      </c>
      <c r="J246" s="610">
        <v>4.075</v>
      </c>
      <c r="K246" s="591"/>
      <c r="L246" s="6"/>
      <c r="M246" s="9">
        <v>13000.0</v>
      </c>
      <c r="N246" s="79">
        <f t="shared" si="8"/>
        <v>3115900</v>
      </c>
      <c r="O246" s="6">
        <f t="shared" si="1"/>
        <v>824034.4535</v>
      </c>
      <c r="P246" s="6"/>
      <c r="Q246" s="6">
        <f t="shared" si="9"/>
        <v>8325.257923</v>
      </c>
      <c r="R246" s="6">
        <f t="shared" si="10"/>
        <v>824034.4535</v>
      </c>
      <c r="S246" s="81">
        <f t="shared" si="2"/>
        <v>52.71858371</v>
      </c>
      <c r="T246" s="6"/>
      <c r="U246" s="6"/>
      <c r="V246" s="6"/>
      <c r="W246" s="6"/>
      <c r="X246" s="6"/>
      <c r="Y246" s="6"/>
    </row>
    <row r="247" ht="11.25" customHeight="1">
      <c r="A247" s="7"/>
      <c r="B247" s="68">
        <f t="shared" si="13"/>
        <v>242</v>
      </c>
      <c r="C247" s="607">
        <v>17300.0</v>
      </c>
      <c r="D247" s="6">
        <f t="shared" si="14"/>
        <v>1597.599805</v>
      </c>
      <c r="E247" s="6">
        <f t="shared" si="16"/>
        <v>15702.40019</v>
      </c>
      <c r="F247" s="6">
        <f t="shared" si="5"/>
        <v>2621920.854</v>
      </c>
      <c r="G247" s="6">
        <f t="shared" si="6"/>
        <v>1564679.146</v>
      </c>
      <c r="H247" s="6">
        <f t="shared" si="17"/>
        <v>4186600</v>
      </c>
      <c r="I247" s="6">
        <f t="shared" si="15"/>
        <v>454756.4382</v>
      </c>
      <c r="J247" s="610">
        <v>4.075</v>
      </c>
      <c r="K247" s="591"/>
      <c r="L247" s="6"/>
      <c r="M247" s="9">
        <v>13000.0</v>
      </c>
      <c r="N247" s="79">
        <f t="shared" si="8"/>
        <v>3128900</v>
      </c>
      <c r="O247" s="6">
        <f t="shared" si="1"/>
        <v>832412.8537</v>
      </c>
      <c r="P247" s="6"/>
      <c r="Q247" s="6">
        <f t="shared" si="9"/>
        <v>8378.400195</v>
      </c>
      <c r="R247" s="6">
        <f t="shared" si="10"/>
        <v>832412.8537</v>
      </c>
      <c r="S247" s="81">
        <f t="shared" si="2"/>
        <v>53.20022675</v>
      </c>
      <c r="T247" s="6"/>
      <c r="U247" s="6"/>
      <c r="V247" s="6"/>
      <c r="W247" s="6"/>
      <c r="X247" s="6"/>
      <c r="Y247" s="6"/>
    </row>
    <row r="248" ht="11.25" customHeight="1">
      <c r="A248" s="7"/>
      <c r="B248" s="68">
        <f t="shared" si="13"/>
        <v>243</v>
      </c>
      <c r="C248" s="607">
        <v>17300.0</v>
      </c>
      <c r="D248" s="6">
        <f t="shared" si="14"/>
        <v>1544.277071</v>
      </c>
      <c r="E248" s="6">
        <f t="shared" si="16"/>
        <v>15755.72293</v>
      </c>
      <c r="F248" s="6">
        <f t="shared" si="5"/>
        <v>2637676.577</v>
      </c>
      <c r="G248" s="6">
        <f t="shared" si="6"/>
        <v>1566223.423</v>
      </c>
      <c r="H248" s="6">
        <f t="shared" si="17"/>
        <v>4203900</v>
      </c>
      <c r="I248" s="6">
        <f t="shared" si="15"/>
        <v>439000.7152</v>
      </c>
      <c r="J248" s="610">
        <v>4.075</v>
      </c>
      <c r="K248" s="591"/>
      <c r="L248" s="6"/>
      <c r="M248" s="9">
        <v>13000.0</v>
      </c>
      <c r="N248" s="79">
        <f t="shared" si="8"/>
        <v>3141900</v>
      </c>
      <c r="O248" s="6">
        <f t="shared" si="1"/>
        <v>840844.5766</v>
      </c>
      <c r="P248" s="6"/>
      <c r="Q248" s="6">
        <f t="shared" si="9"/>
        <v>8431.722929</v>
      </c>
      <c r="R248" s="6">
        <f t="shared" si="10"/>
        <v>840844.5766</v>
      </c>
      <c r="S248" s="81">
        <f t="shared" si="2"/>
        <v>53.68611937</v>
      </c>
      <c r="T248" s="6"/>
      <c r="U248" s="6"/>
      <c r="V248" s="6"/>
      <c r="W248" s="6"/>
      <c r="X248" s="6"/>
      <c r="Y248" s="6"/>
    </row>
    <row r="249" ht="11.25" customHeight="1">
      <c r="A249" s="7"/>
      <c r="B249" s="68">
        <f t="shared" si="13"/>
        <v>244</v>
      </c>
      <c r="C249" s="607">
        <v>17300.0</v>
      </c>
      <c r="D249" s="6">
        <f t="shared" si="14"/>
        <v>1490.773262</v>
      </c>
      <c r="E249" s="6">
        <f t="shared" si="16"/>
        <v>15809.22674</v>
      </c>
      <c r="F249" s="6">
        <f t="shared" si="5"/>
        <v>2653485.803</v>
      </c>
      <c r="G249" s="6">
        <f t="shared" si="6"/>
        <v>1567714.197</v>
      </c>
      <c r="H249" s="6">
        <f t="shared" si="17"/>
        <v>4221200</v>
      </c>
      <c r="I249" s="6">
        <f t="shared" si="15"/>
        <v>423191.4885</v>
      </c>
      <c r="J249" s="610">
        <v>4.075</v>
      </c>
      <c r="K249" s="591"/>
      <c r="L249" s="6"/>
      <c r="M249" s="9">
        <v>13000.0</v>
      </c>
      <c r="N249" s="79">
        <f t="shared" si="8"/>
        <v>3154900</v>
      </c>
      <c r="O249" s="6">
        <f t="shared" si="1"/>
        <v>849329.8034</v>
      </c>
      <c r="P249" s="6"/>
      <c r="Q249" s="6">
        <f t="shared" si="9"/>
        <v>8485.226738</v>
      </c>
      <c r="R249" s="6">
        <f t="shared" si="10"/>
        <v>849329.8034</v>
      </c>
      <c r="S249" s="81">
        <f t="shared" si="2"/>
        <v>54.1763164</v>
      </c>
      <c r="T249" s="6"/>
      <c r="U249" s="6"/>
      <c r="V249" s="6"/>
      <c r="W249" s="6"/>
      <c r="X249" s="6"/>
      <c r="Y249" s="6"/>
    </row>
    <row r="250" ht="11.25" customHeight="1">
      <c r="A250" s="7"/>
      <c r="B250" s="68">
        <f t="shared" si="13"/>
        <v>245</v>
      </c>
      <c r="C250" s="607">
        <v>17300.0</v>
      </c>
      <c r="D250" s="6">
        <f t="shared" si="14"/>
        <v>1437.087763</v>
      </c>
      <c r="E250" s="6">
        <f t="shared" si="16"/>
        <v>15862.91224</v>
      </c>
      <c r="F250" s="6">
        <f t="shared" si="5"/>
        <v>2669348.716</v>
      </c>
      <c r="G250" s="6">
        <f t="shared" si="6"/>
        <v>1569151.284</v>
      </c>
      <c r="H250" s="6">
        <f t="shared" si="17"/>
        <v>4238500</v>
      </c>
      <c r="I250" s="6">
        <f t="shared" si="15"/>
        <v>407328.5763</v>
      </c>
      <c r="J250" s="610">
        <v>4.075</v>
      </c>
      <c r="K250" s="591"/>
      <c r="L250" s="6"/>
      <c r="M250" s="9">
        <v>13000.0</v>
      </c>
      <c r="N250" s="79">
        <f t="shared" si="8"/>
        <v>3167900</v>
      </c>
      <c r="O250" s="6">
        <f t="shared" si="1"/>
        <v>857868.7156</v>
      </c>
      <c r="P250" s="6"/>
      <c r="Q250" s="6">
        <f t="shared" si="9"/>
        <v>8538.912237</v>
      </c>
      <c r="R250" s="6">
        <f t="shared" si="10"/>
        <v>857868.7156</v>
      </c>
      <c r="S250" s="81">
        <f t="shared" si="2"/>
        <v>54.67087362</v>
      </c>
      <c r="T250" s="6"/>
      <c r="U250" s="6"/>
      <c r="V250" s="6"/>
      <c r="W250" s="6"/>
      <c r="X250" s="6"/>
      <c r="Y250" s="6"/>
    </row>
    <row r="251" ht="11.25" customHeight="1">
      <c r="A251" s="7"/>
      <c r="B251" s="68">
        <f t="shared" si="13"/>
        <v>246</v>
      </c>
      <c r="C251" s="607">
        <v>17300.0</v>
      </c>
      <c r="D251" s="6">
        <f t="shared" si="14"/>
        <v>1383.219957</v>
      </c>
      <c r="E251" s="6">
        <f t="shared" si="16"/>
        <v>15916.78004</v>
      </c>
      <c r="F251" s="6">
        <f t="shared" si="5"/>
        <v>2685265.496</v>
      </c>
      <c r="G251" s="6">
        <f t="shared" si="6"/>
        <v>1570534.504</v>
      </c>
      <c r="H251" s="6">
        <f t="shared" si="17"/>
        <v>4255800</v>
      </c>
      <c r="I251" s="6">
        <f t="shared" si="15"/>
        <v>391411.7962</v>
      </c>
      <c r="J251" s="610">
        <v>4.075</v>
      </c>
      <c r="K251" s="591"/>
      <c r="L251" s="6"/>
      <c r="M251" s="9">
        <v>13000.0</v>
      </c>
      <c r="N251" s="79">
        <f t="shared" si="8"/>
        <v>3180900</v>
      </c>
      <c r="O251" s="6">
        <f t="shared" si="1"/>
        <v>866461.4956</v>
      </c>
      <c r="P251" s="6"/>
      <c r="Q251" s="6">
        <f t="shared" si="9"/>
        <v>8592.780043</v>
      </c>
      <c r="R251" s="6">
        <f t="shared" si="10"/>
        <v>866461.4956</v>
      </c>
      <c r="S251" s="81">
        <f t="shared" si="2"/>
        <v>55.1698478</v>
      </c>
      <c r="T251" s="6"/>
      <c r="U251" s="6"/>
      <c r="V251" s="6"/>
      <c r="W251" s="6"/>
      <c r="X251" s="6"/>
      <c r="Y251" s="6"/>
    </row>
    <row r="252" ht="11.25" customHeight="1">
      <c r="A252" s="7"/>
      <c r="B252" s="68">
        <f t="shared" si="13"/>
        <v>247</v>
      </c>
      <c r="C252" s="607">
        <v>17300.0</v>
      </c>
      <c r="D252" s="6">
        <f t="shared" si="14"/>
        <v>1329.169225</v>
      </c>
      <c r="E252" s="6">
        <f t="shared" si="16"/>
        <v>15970.83078</v>
      </c>
      <c r="F252" s="6">
        <f t="shared" si="5"/>
        <v>2701236.326</v>
      </c>
      <c r="G252" s="6">
        <f t="shared" si="6"/>
        <v>1571863.674</v>
      </c>
      <c r="H252" s="6">
        <f t="shared" si="17"/>
        <v>4273100</v>
      </c>
      <c r="I252" s="6">
        <f t="shared" si="15"/>
        <v>375440.9654</v>
      </c>
      <c r="J252" s="610">
        <v>4.075</v>
      </c>
      <c r="K252" s="591"/>
      <c r="L252" s="6"/>
      <c r="M252" s="9">
        <v>13000.0</v>
      </c>
      <c r="N252" s="79">
        <f t="shared" si="8"/>
        <v>3193900</v>
      </c>
      <c r="O252" s="6">
        <f t="shared" si="1"/>
        <v>875108.3264</v>
      </c>
      <c r="P252" s="6"/>
      <c r="Q252" s="6">
        <f t="shared" si="9"/>
        <v>8646.830775</v>
      </c>
      <c r="R252" s="6">
        <f t="shared" si="10"/>
        <v>875108.3264</v>
      </c>
      <c r="S252" s="81">
        <f t="shared" si="2"/>
        <v>55.67329668</v>
      </c>
      <c r="T252" s="6"/>
      <c r="U252" s="6"/>
      <c r="V252" s="6"/>
      <c r="W252" s="6"/>
      <c r="X252" s="6"/>
      <c r="Y252" s="6"/>
    </row>
    <row r="253" ht="11.25" customHeight="1">
      <c r="A253" s="7"/>
      <c r="B253" s="68">
        <f t="shared" si="13"/>
        <v>248</v>
      </c>
      <c r="C253" s="607">
        <v>17300.0</v>
      </c>
      <c r="D253" s="6">
        <f t="shared" si="14"/>
        <v>1274.934945</v>
      </c>
      <c r="E253" s="6">
        <f t="shared" si="16"/>
        <v>16025.06505</v>
      </c>
      <c r="F253" s="6">
        <f t="shared" si="5"/>
        <v>2717261.391</v>
      </c>
      <c r="G253" s="6">
        <f t="shared" si="6"/>
        <v>1573138.609</v>
      </c>
      <c r="H253" s="6">
        <f t="shared" si="17"/>
        <v>4290400</v>
      </c>
      <c r="I253" s="6">
        <f t="shared" si="15"/>
        <v>359415.9004</v>
      </c>
      <c r="J253" s="610">
        <v>4.075</v>
      </c>
      <c r="K253" s="591"/>
      <c r="L253" s="6"/>
      <c r="M253" s="9">
        <v>13000.0</v>
      </c>
      <c r="N253" s="79">
        <f t="shared" si="8"/>
        <v>3206900</v>
      </c>
      <c r="O253" s="6">
        <f t="shared" si="1"/>
        <v>883809.3915</v>
      </c>
      <c r="P253" s="6"/>
      <c r="Q253" s="6">
        <f t="shared" si="9"/>
        <v>8701.065055</v>
      </c>
      <c r="R253" s="6">
        <f t="shared" si="10"/>
        <v>883809.3915</v>
      </c>
      <c r="S253" s="81">
        <f t="shared" si="2"/>
        <v>56.18127905</v>
      </c>
      <c r="T253" s="6"/>
      <c r="U253" s="6"/>
      <c r="V253" s="6"/>
      <c r="W253" s="6"/>
      <c r="X253" s="6"/>
      <c r="Y253" s="6"/>
    </row>
    <row r="254" ht="11.25" customHeight="1">
      <c r="A254" s="7"/>
      <c r="B254" s="68">
        <f t="shared" si="13"/>
        <v>249</v>
      </c>
      <c r="C254" s="607">
        <v>17300.0</v>
      </c>
      <c r="D254" s="6">
        <f t="shared" si="14"/>
        <v>1220.516495</v>
      </c>
      <c r="E254" s="6">
        <f t="shared" si="16"/>
        <v>16079.4835</v>
      </c>
      <c r="F254" s="6">
        <f t="shared" si="5"/>
        <v>2733340.875</v>
      </c>
      <c r="G254" s="6">
        <f t="shared" si="6"/>
        <v>1574359.125</v>
      </c>
      <c r="H254" s="6">
        <f t="shared" si="17"/>
        <v>4307700</v>
      </c>
      <c r="I254" s="6">
        <f t="shared" si="15"/>
        <v>343336.4169</v>
      </c>
      <c r="J254" s="610">
        <v>4.075</v>
      </c>
      <c r="K254" s="591"/>
      <c r="L254" s="6"/>
      <c r="M254" s="9">
        <v>13000.0</v>
      </c>
      <c r="N254" s="79">
        <f t="shared" si="8"/>
        <v>3219900</v>
      </c>
      <c r="O254" s="6">
        <f t="shared" si="1"/>
        <v>892564.875</v>
      </c>
      <c r="P254" s="6"/>
      <c r="Q254" s="6">
        <f t="shared" si="9"/>
        <v>8755.483505</v>
      </c>
      <c r="R254" s="6">
        <f t="shared" si="10"/>
        <v>892564.875</v>
      </c>
      <c r="S254" s="81">
        <f t="shared" si="2"/>
        <v>56.69385471</v>
      </c>
      <c r="T254" s="6"/>
      <c r="U254" s="6"/>
      <c r="V254" s="6"/>
      <c r="W254" s="6"/>
      <c r="X254" s="6"/>
      <c r="Y254" s="6"/>
    </row>
    <row r="255" ht="11.25" customHeight="1">
      <c r="A255" s="7"/>
      <c r="B255" s="68">
        <f t="shared" si="13"/>
        <v>250</v>
      </c>
      <c r="C255" s="607">
        <v>17300.0</v>
      </c>
      <c r="D255" s="6">
        <f t="shared" si="14"/>
        <v>1165.913249</v>
      </c>
      <c r="E255" s="6">
        <f t="shared" si="16"/>
        <v>16134.08675</v>
      </c>
      <c r="F255" s="6">
        <f t="shared" si="5"/>
        <v>2749474.962</v>
      </c>
      <c r="G255" s="6">
        <f t="shared" si="6"/>
        <v>1575525.038</v>
      </c>
      <c r="H255" s="6">
        <f t="shared" si="17"/>
        <v>4325000</v>
      </c>
      <c r="I255" s="6">
        <f t="shared" si="15"/>
        <v>327202.3301</v>
      </c>
      <c r="J255" s="610">
        <v>4.075</v>
      </c>
      <c r="K255" s="591"/>
      <c r="L255" s="6"/>
      <c r="M255" s="9">
        <v>13000.0</v>
      </c>
      <c r="N255" s="79">
        <f t="shared" si="8"/>
        <v>3232900</v>
      </c>
      <c r="O255" s="6">
        <f t="shared" si="1"/>
        <v>901374.9617</v>
      </c>
      <c r="P255" s="6"/>
      <c r="Q255" s="6">
        <f t="shared" si="9"/>
        <v>8810.086751</v>
      </c>
      <c r="R255" s="6">
        <f t="shared" si="10"/>
        <v>901374.9617</v>
      </c>
      <c r="S255" s="81">
        <f t="shared" si="2"/>
        <v>57.21108455</v>
      </c>
      <c r="T255" s="6"/>
      <c r="U255" s="6"/>
      <c r="V255" s="6"/>
      <c r="W255" s="6"/>
      <c r="X255" s="6"/>
      <c r="Y255" s="6"/>
    </row>
    <row r="256" ht="11.25" customHeight="1">
      <c r="A256" s="7"/>
      <c r="B256" s="68">
        <f t="shared" si="13"/>
        <v>251</v>
      </c>
      <c r="C256" s="607">
        <v>17300.0</v>
      </c>
      <c r="D256" s="6">
        <f t="shared" si="14"/>
        <v>1111.124579</v>
      </c>
      <c r="E256" s="6">
        <f t="shared" si="16"/>
        <v>16188.87542</v>
      </c>
      <c r="F256" s="6">
        <f t="shared" si="5"/>
        <v>2765663.837</v>
      </c>
      <c r="G256" s="6">
        <f t="shared" si="6"/>
        <v>1576636.163</v>
      </c>
      <c r="H256" s="6">
        <f t="shared" si="17"/>
        <v>4342300</v>
      </c>
      <c r="I256" s="6">
        <f t="shared" si="15"/>
        <v>311013.4547</v>
      </c>
      <c r="J256" s="610">
        <v>4.075</v>
      </c>
      <c r="K256" s="591"/>
      <c r="L256" s="6"/>
      <c r="M256" s="9">
        <v>13000.0</v>
      </c>
      <c r="N256" s="79">
        <f t="shared" si="8"/>
        <v>3245900</v>
      </c>
      <c r="O256" s="6">
        <f t="shared" si="1"/>
        <v>910239.8371</v>
      </c>
      <c r="P256" s="6"/>
      <c r="Q256" s="6">
        <f t="shared" si="9"/>
        <v>8864.875421</v>
      </c>
      <c r="R256" s="6">
        <f t="shared" si="10"/>
        <v>910239.8371</v>
      </c>
      <c r="S256" s="81">
        <f t="shared" si="2"/>
        <v>57.73303052</v>
      </c>
      <c r="T256" s="6"/>
      <c r="U256" s="6"/>
      <c r="V256" s="6"/>
      <c r="W256" s="6"/>
      <c r="X256" s="6"/>
      <c r="Y256" s="6"/>
    </row>
    <row r="257" ht="11.25" customHeight="1">
      <c r="A257" s="71"/>
      <c r="B257" s="72">
        <f t="shared" si="13"/>
        <v>252</v>
      </c>
      <c r="C257" s="607">
        <v>17300.0</v>
      </c>
      <c r="D257" s="10">
        <f t="shared" si="14"/>
        <v>1056.149857</v>
      </c>
      <c r="E257" s="10">
        <f t="shared" si="16"/>
        <v>16243.85014</v>
      </c>
      <c r="F257" s="10">
        <f t="shared" si="5"/>
        <v>2781907.687</v>
      </c>
      <c r="G257" s="10">
        <f t="shared" si="6"/>
        <v>1577692.313</v>
      </c>
      <c r="H257" s="10">
        <f t="shared" si="17"/>
        <v>4359600</v>
      </c>
      <c r="I257" s="10">
        <f t="shared" si="15"/>
        <v>294769.6046</v>
      </c>
      <c r="J257" s="610">
        <v>4.075</v>
      </c>
      <c r="K257" s="591"/>
      <c r="L257" s="6"/>
      <c r="M257" s="9">
        <v>13000.0</v>
      </c>
      <c r="N257" s="79">
        <f t="shared" si="8"/>
        <v>3258900</v>
      </c>
      <c r="O257" s="6">
        <f t="shared" si="1"/>
        <v>919159.6873</v>
      </c>
      <c r="P257" s="6"/>
      <c r="Q257" s="6">
        <f t="shared" si="9"/>
        <v>8919.850143</v>
      </c>
      <c r="R257" s="6">
        <f t="shared" si="10"/>
        <v>919159.6873</v>
      </c>
      <c r="S257" s="81">
        <f t="shared" si="2"/>
        <v>58.25975571</v>
      </c>
      <c r="T257" s="6"/>
      <c r="U257" s="6"/>
      <c r="V257" s="6"/>
      <c r="W257" s="6"/>
      <c r="X257" s="6"/>
      <c r="Y257" s="6"/>
    </row>
    <row r="258" ht="11.25" customHeight="1">
      <c r="A258" s="100">
        <v>22.0</v>
      </c>
      <c r="B258" s="66">
        <f t="shared" si="13"/>
        <v>253</v>
      </c>
      <c r="C258" s="607">
        <v>17300.0</v>
      </c>
      <c r="D258" s="617">
        <f t="shared" si="14"/>
        <v>1000.988449</v>
      </c>
      <c r="E258" s="617">
        <f t="shared" si="16"/>
        <v>16299.01155</v>
      </c>
      <c r="F258" s="617">
        <f t="shared" si="5"/>
        <v>2798206.699</v>
      </c>
      <c r="G258" s="617">
        <f t="shared" si="6"/>
        <v>1578693.301</v>
      </c>
      <c r="H258" s="617">
        <f t="shared" si="17"/>
        <v>4376900</v>
      </c>
      <c r="I258" s="617">
        <f t="shared" si="15"/>
        <v>278470.593</v>
      </c>
      <c r="J258" s="610">
        <v>4.075</v>
      </c>
      <c r="K258" s="591"/>
      <c r="L258" s="6"/>
      <c r="M258" s="9">
        <v>13000.0</v>
      </c>
      <c r="N258" s="79">
        <f t="shared" si="8"/>
        <v>3271900</v>
      </c>
      <c r="O258" s="6">
        <f t="shared" si="1"/>
        <v>928134.6988</v>
      </c>
      <c r="P258" s="6"/>
      <c r="Q258" s="6">
        <f t="shared" si="9"/>
        <v>8975.011551</v>
      </c>
      <c r="R258" s="6">
        <f t="shared" si="10"/>
        <v>928134.6988</v>
      </c>
      <c r="S258" s="81">
        <f t="shared" si="2"/>
        <v>58.79132433</v>
      </c>
      <c r="T258" s="6"/>
      <c r="U258" s="6"/>
      <c r="V258" s="6"/>
      <c r="W258" s="6"/>
      <c r="X258" s="6"/>
      <c r="Y258" s="6"/>
    </row>
    <row r="259" ht="11.25" customHeight="1">
      <c r="A259" s="7"/>
      <c r="B259" s="68">
        <f t="shared" si="13"/>
        <v>254</v>
      </c>
      <c r="C259" s="607">
        <v>17300.0</v>
      </c>
      <c r="D259" s="6">
        <f t="shared" si="14"/>
        <v>945.6397221</v>
      </c>
      <c r="E259" s="6">
        <f t="shared" si="16"/>
        <v>16354.36028</v>
      </c>
      <c r="F259" s="6">
        <f t="shared" si="5"/>
        <v>2814561.059</v>
      </c>
      <c r="G259" s="6">
        <f t="shared" si="6"/>
        <v>1579638.941</v>
      </c>
      <c r="H259" s="6">
        <f t="shared" si="17"/>
        <v>4394200</v>
      </c>
      <c r="I259" s="6">
        <f t="shared" si="15"/>
        <v>262116.2327</v>
      </c>
      <c r="J259" s="610">
        <v>4.075</v>
      </c>
      <c r="K259" s="591"/>
      <c r="L259" s="6"/>
      <c r="M259" s="9">
        <v>13000.0</v>
      </c>
      <c r="N259" s="79">
        <f t="shared" si="8"/>
        <v>3284900</v>
      </c>
      <c r="O259" s="6">
        <f t="shared" si="1"/>
        <v>937165.0591</v>
      </c>
      <c r="P259" s="6"/>
      <c r="Q259" s="6">
        <f t="shared" si="9"/>
        <v>9030.360278</v>
      </c>
      <c r="R259" s="6">
        <f t="shared" si="10"/>
        <v>937165.0591</v>
      </c>
      <c r="S259" s="81">
        <f t="shared" si="2"/>
        <v>59.32780174</v>
      </c>
      <c r="T259" s="6"/>
      <c r="U259" s="6"/>
      <c r="V259" s="6"/>
      <c r="W259" s="6"/>
      <c r="X259" s="6"/>
      <c r="Y259" s="6"/>
    </row>
    <row r="260" ht="11.25" customHeight="1">
      <c r="A260" s="7"/>
      <c r="B260" s="68">
        <f t="shared" si="13"/>
        <v>255</v>
      </c>
      <c r="C260" s="607">
        <v>17300.0</v>
      </c>
      <c r="D260" s="6">
        <f t="shared" si="14"/>
        <v>890.1030403</v>
      </c>
      <c r="E260" s="6">
        <f t="shared" si="16"/>
        <v>16409.89696</v>
      </c>
      <c r="F260" s="6">
        <f t="shared" si="5"/>
        <v>2830970.956</v>
      </c>
      <c r="G260" s="6">
        <f t="shared" si="6"/>
        <v>1580529.044</v>
      </c>
      <c r="H260" s="6">
        <f t="shared" si="17"/>
        <v>4411500</v>
      </c>
      <c r="I260" s="6">
        <f t="shared" si="15"/>
        <v>245706.3358</v>
      </c>
      <c r="J260" s="610">
        <v>4.075</v>
      </c>
      <c r="K260" s="591"/>
      <c r="L260" s="6"/>
      <c r="M260" s="9">
        <v>13000.0</v>
      </c>
      <c r="N260" s="79">
        <f t="shared" si="8"/>
        <v>3297900</v>
      </c>
      <c r="O260" s="6">
        <f t="shared" si="1"/>
        <v>946250.9561</v>
      </c>
      <c r="P260" s="6"/>
      <c r="Q260" s="6">
        <f t="shared" si="9"/>
        <v>9085.89696</v>
      </c>
      <c r="R260" s="6">
        <f t="shared" si="10"/>
        <v>946250.9561</v>
      </c>
      <c r="S260" s="81">
        <f t="shared" si="2"/>
        <v>59.86925452</v>
      </c>
      <c r="T260" s="6"/>
      <c r="U260" s="6"/>
      <c r="V260" s="6"/>
      <c r="W260" s="6"/>
      <c r="X260" s="6"/>
      <c r="Y260" s="6"/>
    </row>
    <row r="261" ht="11.25" customHeight="1">
      <c r="A261" s="7"/>
      <c r="B261" s="68">
        <f t="shared" si="13"/>
        <v>256</v>
      </c>
      <c r="C261" s="607">
        <v>17300.0</v>
      </c>
      <c r="D261" s="6">
        <f t="shared" si="14"/>
        <v>834.3777652</v>
      </c>
      <c r="E261" s="6">
        <f t="shared" si="16"/>
        <v>16465.62223</v>
      </c>
      <c r="F261" s="6">
        <f t="shared" si="5"/>
        <v>2847436.578</v>
      </c>
      <c r="G261" s="6">
        <f t="shared" si="6"/>
        <v>1581363.422</v>
      </c>
      <c r="H261" s="6">
        <f t="shared" si="17"/>
        <v>4428800</v>
      </c>
      <c r="I261" s="6">
        <f t="shared" si="15"/>
        <v>229240.7135</v>
      </c>
      <c r="J261" s="610">
        <v>4.075</v>
      </c>
      <c r="K261" s="591"/>
      <c r="L261" s="6"/>
      <c r="M261" s="9">
        <v>13000.0</v>
      </c>
      <c r="N261" s="79">
        <f t="shared" si="8"/>
        <v>3310900</v>
      </c>
      <c r="O261" s="6">
        <f t="shared" si="1"/>
        <v>955392.5783</v>
      </c>
      <c r="P261" s="6"/>
      <c r="Q261" s="6">
        <f t="shared" si="9"/>
        <v>9141.622235</v>
      </c>
      <c r="R261" s="6">
        <f t="shared" si="10"/>
        <v>955392.5783</v>
      </c>
      <c r="S261" s="81">
        <f t="shared" si="2"/>
        <v>60.41575043</v>
      </c>
      <c r="T261" s="6"/>
      <c r="U261" s="6"/>
      <c r="V261" s="6"/>
      <c r="W261" s="6"/>
      <c r="X261" s="6"/>
      <c r="Y261" s="6"/>
    </row>
    <row r="262" ht="11.25" customHeight="1">
      <c r="A262" s="7"/>
      <c r="B262" s="68">
        <f t="shared" si="13"/>
        <v>257</v>
      </c>
      <c r="C262" s="607">
        <v>17300.0</v>
      </c>
      <c r="D262" s="6">
        <f t="shared" si="14"/>
        <v>778.4632564</v>
      </c>
      <c r="E262" s="6">
        <f t="shared" si="16"/>
        <v>16521.53674</v>
      </c>
      <c r="F262" s="6">
        <f t="shared" si="5"/>
        <v>2863958.115</v>
      </c>
      <c r="G262" s="6">
        <f t="shared" si="6"/>
        <v>1582141.885</v>
      </c>
      <c r="H262" s="6">
        <f t="shared" si="17"/>
        <v>4446100</v>
      </c>
      <c r="I262" s="6">
        <f t="shared" si="15"/>
        <v>212719.1768</v>
      </c>
      <c r="J262" s="610">
        <v>4.075</v>
      </c>
      <c r="K262" s="591"/>
      <c r="L262" s="6"/>
      <c r="M262" s="9">
        <v>13000.0</v>
      </c>
      <c r="N262" s="79">
        <f t="shared" si="8"/>
        <v>3323900</v>
      </c>
      <c r="O262" s="6">
        <f t="shared" si="1"/>
        <v>964590.1151</v>
      </c>
      <c r="P262" s="6"/>
      <c r="Q262" s="6">
        <f t="shared" si="9"/>
        <v>9197.536744</v>
      </c>
      <c r="R262" s="6">
        <f t="shared" si="10"/>
        <v>964590.1151</v>
      </c>
      <c r="S262" s="81">
        <f t="shared" si="2"/>
        <v>60.96735851</v>
      </c>
      <c r="T262" s="6"/>
      <c r="U262" s="6"/>
      <c r="V262" s="6"/>
      <c r="W262" s="6"/>
      <c r="X262" s="6"/>
      <c r="Y262" s="6"/>
    </row>
    <row r="263" ht="11.25" customHeight="1">
      <c r="A263" s="7"/>
      <c r="B263" s="68">
        <f t="shared" si="13"/>
        <v>258</v>
      </c>
      <c r="C263" s="607">
        <v>17300.0</v>
      </c>
      <c r="D263" s="6">
        <f t="shared" si="14"/>
        <v>722.3588712</v>
      </c>
      <c r="E263" s="6">
        <f t="shared" si="16"/>
        <v>16577.64113</v>
      </c>
      <c r="F263" s="6">
        <f t="shared" si="5"/>
        <v>2880535.756</v>
      </c>
      <c r="G263" s="6">
        <f t="shared" si="6"/>
        <v>1582864.244</v>
      </c>
      <c r="H263" s="6">
        <f t="shared" si="17"/>
        <v>4463400</v>
      </c>
      <c r="I263" s="6">
        <f t="shared" si="15"/>
        <v>196141.5357</v>
      </c>
      <c r="J263" s="610">
        <v>4.075</v>
      </c>
      <c r="K263" s="591"/>
      <c r="L263" s="6"/>
      <c r="M263" s="9">
        <v>13000.0</v>
      </c>
      <c r="N263" s="79">
        <f t="shared" si="8"/>
        <v>3336900</v>
      </c>
      <c r="O263" s="6">
        <f t="shared" si="1"/>
        <v>973843.7562</v>
      </c>
      <c r="P263" s="6"/>
      <c r="Q263" s="6">
        <f t="shared" si="9"/>
        <v>9253.641129</v>
      </c>
      <c r="R263" s="6">
        <f t="shared" si="10"/>
        <v>973843.7562</v>
      </c>
      <c r="S263" s="81">
        <f t="shared" si="2"/>
        <v>61.52414902</v>
      </c>
      <c r="T263" s="6"/>
      <c r="U263" s="6"/>
      <c r="V263" s="6"/>
      <c r="W263" s="6"/>
      <c r="X263" s="6"/>
      <c r="Y263" s="6"/>
    </row>
    <row r="264" ht="11.25" customHeight="1">
      <c r="A264" s="7"/>
      <c r="B264" s="68">
        <f t="shared" si="13"/>
        <v>259</v>
      </c>
      <c r="C264" s="607">
        <v>17300.0</v>
      </c>
      <c r="D264" s="6">
        <f t="shared" si="14"/>
        <v>666.0639649</v>
      </c>
      <c r="E264" s="6">
        <f t="shared" si="16"/>
        <v>16633.93604</v>
      </c>
      <c r="F264" s="6">
        <f t="shared" si="5"/>
        <v>2897169.692</v>
      </c>
      <c r="G264" s="6">
        <f t="shared" si="6"/>
        <v>1583530.308</v>
      </c>
      <c r="H264" s="6">
        <f t="shared" si="17"/>
        <v>4480700</v>
      </c>
      <c r="I264" s="6">
        <f t="shared" si="15"/>
        <v>179507.5996</v>
      </c>
      <c r="J264" s="610">
        <v>4.075</v>
      </c>
      <c r="K264" s="591"/>
      <c r="L264" s="6"/>
      <c r="M264" s="9">
        <v>13000.0</v>
      </c>
      <c r="N264" s="79">
        <f t="shared" si="8"/>
        <v>3349900</v>
      </c>
      <c r="O264" s="6">
        <f t="shared" si="1"/>
        <v>983153.6922</v>
      </c>
      <c r="P264" s="6"/>
      <c r="Q264" s="6">
        <f t="shared" si="9"/>
        <v>9309.936035</v>
      </c>
      <c r="R264" s="6">
        <f t="shared" si="10"/>
        <v>983153.6922</v>
      </c>
      <c r="S264" s="81">
        <f t="shared" si="2"/>
        <v>62.08619358</v>
      </c>
      <c r="T264" s="6"/>
      <c r="U264" s="6"/>
      <c r="V264" s="6"/>
      <c r="W264" s="6"/>
      <c r="X264" s="6"/>
      <c r="Y264" s="6"/>
    </row>
    <row r="265" ht="11.25" customHeight="1">
      <c r="A265" s="7"/>
      <c r="B265" s="68">
        <f t="shared" si="13"/>
        <v>260</v>
      </c>
      <c r="C265" s="607">
        <v>17300.0</v>
      </c>
      <c r="D265" s="6">
        <f t="shared" si="14"/>
        <v>609.5778904</v>
      </c>
      <c r="E265" s="6">
        <f t="shared" si="16"/>
        <v>16690.42211</v>
      </c>
      <c r="F265" s="6">
        <f t="shared" si="5"/>
        <v>2913860.114</v>
      </c>
      <c r="G265" s="6">
        <f t="shared" si="6"/>
        <v>1584139.886</v>
      </c>
      <c r="H265" s="6">
        <f t="shared" si="17"/>
        <v>4498000</v>
      </c>
      <c r="I265" s="6">
        <f t="shared" si="15"/>
        <v>162817.1775</v>
      </c>
      <c r="J265" s="610">
        <v>4.075</v>
      </c>
      <c r="K265" s="591"/>
      <c r="L265" s="6"/>
      <c r="M265" s="9">
        <v>13000.0</v>
      </c>
      <c r="N265" s="79">
        <f t="shared" si="8"/>
        <v>3362900</v>
      </c>
      <c r="O265" s="6">
        <f t="shared" si="1"/>
        <v>992520.1143</v>
      </c>
      <c r="P265" s="6"/>
      <c r="Q265" s="6">
        <f t="shared" si="9"/>
        <v>9366.42211</v>
      </c>
      <c r="R265" s="6">
        <f t="shared" si="10"/>
        <v>992520.1143</v>
      </c>
      <c r="S265" s="81">
        <f t="shared" si="2"/>
        <v>62.65356509</v>
      </c>
      <c r="T265" s="6"/>
      <c r="U265" s="6"/>
      <c r="V265" s="6"/>
      <c r="W265" s="6"/>
      <c r="X265" s="6"/>
      <c r="Y265" s="6"/>
    </row>
    <row r="266" ht="11.25" customHeight="1">
      <c r="A266" s="7"/>
      <c r="B266" s="68">
        <f t="shared" si="13"/>
        <v>261</v>
      </c>
      <c r="C266" s="607">
        <v>17300.0</v>
      </c>
      <c r="D266" s="6">
        <f t="shared" si="14"/>
        <v>552.8999987</v>
      </c>
      <c r="E266" s="6">
        <f t="shared" si="16"/>
        <v>16747.1</v>
      </c>
      <c r="F266" s="6">
        <f t="shared" si="5"/>
        <v>2930607.214</v>
      </c>
      <c r="G266" s="6">
        <f t="shared" si="6"/>
        <v>1584692.786</v>
      </c>
      <c r="H266" s="6">
        <f t="shared" si="17"/>
        <v>4515300</v>
      </c>
      <c r="I266" s="6">
        <f t="shared" si="15"/>
        <v>146070.0775</v>
      </c>
      <c r="J266" s="610">
        <v>4.075</v>
      </c>
      <c r="K266" s="591"/>
      <c r="L266" s="6"/>
      <c r="M266" s="9">
        <v>13000.0</v>
      </c>
      <c r="N266" s="79">
        <f t="shared" si="8"/>
        <v>3375900</v>
      </c>
      <c r="O266" s="6">
        <f t="shared" si="1"/>
        <v>1001943.214</v>
      </c>
      <c r="P266" s="6"/>
      <c r="Q266" s="6">
        <f t="shared" si="9"/>
        <v>9423.100001</v>
      </c>
      <c r="R266" s="6">
        <f t="shared" si="10"/>
        <v>1001943.214</v>
      </c>
      <c r="S266" s="81">
        <f t="shared" si="2"/>
        <v>63.22633784</v>
      </c>
      <c r="T266" s="6"/>
      <c r="U266" s="6"/>
      <c r="V266" s="6"/>
      <c r="W266" s="6"/>
      <c r="X266" s="6"/>
      <c r="Y266" s="6"/>
    </row>
    <row r="267" ht="11.25" customHeight="1">
      <c r="A267" s="7"/>
      <c r="B267" s="68">
        <f t="shared" si="13"/>
        <v>262</v>
      </c>
      <c r="C267" s="607">
        <v>17300.0</v>
      </c>
      <c r="D267" s="6">
        <f t="shared" si="14"/>
        <v>496.0296382</v>
      </c>
      <c r="E267" s="6">
        <f t="shared" si="16"/>
        <v>16803.97036</v>
      </c>
      <c r="F267" s="6">
        <f t="shared" si="5"/>
        <v>2947411.185</v>
      </c>
      <c r="G267" s="6">
        <f t="shared" si="6"/>
        <v>1585188.815</v>
      </c>
      <c r="H267" s="6">
        <f t="shared" si="17"/>
        <v>4532600</v>
      </c>
      <c r="I267" s="6">
        <f t="shared" si="15"/>
        <v>129266.1072</v>
      </c>
      <c r="J267" s="610">
        <v>4.075</v>
      </c>
      <c r="K267" s="591"/>
      <c r="L267" s="6"/>
      <c r="M267" s="9">
        <v>13000.0</v>
      </c>
      <c r="N267" s="79">
        <f t="shared" si="8"/>
        <v>3388900</v>
      </c>
      <c r="O267" s="6">
        <f t="shared" si="1"/>
        <v>1011423.185</v>
      </c>
      <c r="P267" s="6"/>
      <c r="Q267" s="6">
        <f t="shared" si="9"/>
        <v>9479.970362</v>
      </c>
      <c r="R267" s="6">
        <f t="shared" si="10"/>
        <v>1011423.185</v>
      </c>
      <c r="S267" s="81">
        <f t="shared" si="2"/>
        <v>63.8045875</v>
      </c>
      <c r="T267" s="6"/>
      <c r="U267" s="6"/>
      <c r="V267" s="6"/>
      <c r="W267" s="6"/>
      <c r="X267" s="6"/>
      <c r="Y267" s="6"/>
    </row>
    <row r="268" ht="11.25" customHeight="1">
      <c r="A268" s="7"/>
      <c r="B268" s="68">
        <f t="shared" si="13"/>
        <v>263</v>
      </c>
      <c r="C268" s="607">
        <v>17300.0</v>
      </c>
      <c r="D268" s="6">
        <f t="shared" si="14"/>
        <v>438.9661556</v>
      </c>
      <c r="E268" s="6">
        <f t="shared" si="16"/>
        <v>16861.03384</v>
      </c>
      <c r="F268" s="6">
        <f t="shared" si="5"/>
        <v>2964272.219</v>
      </c>
      <c r="G268" s="6">
        <f t="shared" si="6"/>
        <v>1585627.781</v>
      </c>
      <c r="H268" s="6">
        <f t="shared" si="17"/>
        <v>4549900</v>
      </c>
      <c r="I268" s="6">
        <f t="shared" si="15"/>
        <v>112405.0733</v>
      </c>
      <c r="J268" s="610">
        <v>4.075</v>
      </c>
      <c r="K268" s="591"/>
      <c r="L268" s="6"/>
      <c r="M268" s="9">
        <v>13000.0</v>
      </c>
      <c r="N268" s="79">
        <f t="shared" si="8"/>
        <v>3401900</v>
      </c>
      <c r="O268" s="6">
        <f t="shared" si="1"/>
        <v>1020960.219</v>
      </c>
      <c r="P268" s="6"/>
      <c r="Q268" s="6">
        <f t="shared" si="9"/>
        <v>9537.033844</v>
      </c>
      <c r="R268" s="6">
        <f t="shared" si="10"/>
        <v>1020960.219</v>
      </c>
      <c r="S268" s="81">
        <f t="shared" si="2"/>
        <v>64.38839118</v>
      </c>
      <c r="T268" s="6"/>
      <c r="U268" s="6"/>
      <c r="V268" s="6"/>
      <c r="W268" s="6"/>
      <c r="X268" s="6"/>
      <c r="Y268" s="6"/>
    </row>
    <row r="269" ht="11.25" customHeight="1">
      <c r="A269" s="71"/>
      <c r="B269" s="72">
        <f t="shared" si="13"/>
        <v>264</v>
      </c>
      <c r="C269" s="607">
        <v>17300.0</v>
      </c>
      <c r="D269" s="10">
        <f t="shared" si="14"/>
        <v>381.7088948</v>
      </c>
      <c r="E269" s="10">
        <f t="shared" si="16"/>
        <v>16918.29111</v>
      </c>
      <c r="F269" s="10">
        <f t="shared" si="5"/>
        <v>2981190.51</v>
      </c>
      <c r="G269" s="10">
        <f t="shared" si="6"/>
        <v>1586009.49</v>
      </c>
      <c r="H269" s="10">
        <f t="shared" si="17"/>
        <v>4567200</v>
      </c>
      <c r="I269" s="10">
        <f t="shared" si="15"/>
        <v>95486.78221</v>
      </c>
      <c r="J269" s="610">
        <v>4.075</v>
      </c>
      <c r="K269" s="591"/>
      <c r="L269" s="6"/>
      <c r="M269" s="9">
        <v>13000.0</v>
      </c>
      <c r="N269" s="79">
        <f t="shared" si="8"/>
        <v>3414900</v>
      </c>
      <c r="O269" s="6">
        <f t="shared" si="1"/>
        <v>1030554.51</v>
      </c>
      <c r="P269" s="6"/>
      <c r="Q269" s="6">
        <f t="shared" si="9"/>
        <v>9594.291105</v>
      </c>
      <c r="R269" s="6">
        <f t="shared" si="10"/>
        <v>1030554.51</v>
      </c>
      <c r="S269" s="81">
        <f t="shared" si="2"/>
        <v>64.97782743</v>
      </c>
      <c r="T269" s="6"/>
      <c r="U269" s="6"/>
      <c r="V269" s="6"/>
      <c r="W269" s="6"/>
      <c r="X269" s="6"/>
      <c r="Y269" s="6"/>
    </row>
    <row r="270" ht="11.25" customHeight="1">
      <c r="A270" s="100">
        <v>23.0</v>
      </c>
      <c r="B270" s="66">
        <f t="shared" si="13"/>
        <v>265</v>
      </c>
      <c r="C270" s="607">
        <v>17300.0</v>
      </c>
      <c r="D270" s="617">
        <f t="shared" si="14"/>
        <v>324.2571979</v>
      </c>
      <c r="E270" s="617">
        <f t="shared" si="16"/>
        <v>16975.7428</v>
      </c>
      <c r="F270" s="617">
        <f t="shared" si="5"/>
        <v>2998166.252</v>
      </c>
      <c r="G270" s="617">
        <f t="shared" si="6"/>
        <v>1586333.748</v>
      </c>
      <c r="H270" s="617">
        <f t="shared" si="17"/>
        <v>4584500</v>
      </c>
      <c r="I270" s="617">
        <f t="shared" si="15"/>
        <v>78511.0394</v>
      </c>
      <c r="J270" s="610">
        <v>4.075</v>
      </c>
      <c r="K270" s="591"/>
      <c r="L270" s="6"/>
      <c r="M270" s="9">
        <v>13000.0</v>
      </c>
      <c r="N270" s="79">
        <f t="shared" si="8"/>
        <v>3427900</v>
      </c>
      <c r="O270" s="6">
        <f t="shared" si="1"/>
        <v>1040206.252</v>
      </c>
      <c r="P270" s="6"/>
      <c r="Q270" s="6">
        <f t="shared" si="9"/>
        <v>9651.742802</v>
      </c>
      <c r="R270" s="6">
        <f t="shared" si="10"/>
        <v>1040206.252</v>
      </c>
      <c r="S270" s="81">
        <f t="shared" si="2"/>
        <v>65.57297631</v>
      </c>
      <c r="T270" s="6"/>
      <c r="U270" s="6"/>
      <c r="V270" s="6"/>
      <c r="W270" s="6"/>
      <c r="X270" s="6"/>
      <c r="Y270" s="6"/>
    </row>
    <row r="271" ht="11.25" customHeight="1">
      <c r="A271" s="7"/>
      <c r="B271" s="68">
        <f t="shared" si="13"/>
        <v>266</v>
      </c>
      <c r="C271" s="607">
        <v>17300.0</v>
      </c>
      <c r="D271" s="6">
        <f t="shared" si="14"/>
        <v>266.6104046</v>
      </c>
      <c r="E271" s="6">
        <f t="shared" si="16"/>
        <v>17033.3896</v>
      </c>
      <c r="F271" s="6">
        <f t="shared" si="5"/>
        <v>3015199.642</v>
      </c>
      <c r="G271" s="6">
        <f t="shared" si="6"/>
        <v>1586600.358</v>
      </c>
      <c r="H271" s="6">
        <f t="shared" si="17"/>
        <v>4601800</v>
      </c>
      <c r="I271" s="6">
        <f t="shared" si="15"/>
        <v>61477.64981</v>
      </c>
      <c r="J271" s="610">
        <v>4.075</v>
      </c>
      <c r="K271" s="591"/>
      <c r="L271" s="6"/>
      <c r="M271" s="9">
        <v>13000.0</v>
      </c>
      <c r="N271" s="79">
        <f t="shared" si="8"/>
        <v>3440900</v>
      </c>
      <c r="O271" s="6">
        <f t="shared" si="1"/>
        <v>1049915.642</v>
      </c>
      <c r="P271" s="6"/>
      <c r="Q271" s="6">
        <f t="shared" si="9"/>
        <v>9709.389595</v>
      </c>
      <c r="R271" s="6">
        <f t="shared" si="10"/>
        <v>1049915.642</v>
      </c>
      <c r="S271" s="81">
        <f t="shared" si="2"/>
        <v>66.1739194</v>
      </c>
      <c r="T271" s="6"/>
      <c r="U271" s="6"/>
      <c r="V271" s="6"/>
      <c r="W271" s="6"/>
      <c r="X271" s="6"/>
      <c r="Y271" s="6"/>
    </row>
    <row r="272" ht="11.25" customHeight="1">
      <c r="A272" s="7"/>
      <c r="B272" s="68">
        <f t="shared" si="13"/>
        <v>267</v>
      </c>
      <c r="C272" s="607">
        <v>17300.0</v>
      </c>
      <c r="D272" s="6">
        <f t="shared" si="14"/>
        <v>208.7678525</v>
      </c>
      <c r="E272" s="6">
        <f t="shared" si="16"/>
        <v>17091.23215</v>
      </c>
      <c r="F272" s="6">
        <f t="shared" si="5"/>
        <v>3032290.874</v>
      </c>
      <c r="G272" s="6">
        <f t="shared" si="6"/>
        <v>1586809.126</v>
      </c>
      <c r="H272" s="6">
        <f t="shared" si="17"/>
        <v>4619100</v>
      </c>
      <c r="I272" s="6">
        <f t="shared" si="15"/>
        <v>44386.41766</v>
      </c>
      <c r="J272" s="610">
        <v>4.075</v>
      </c>
      <c r="K272" s="591"/>
      <c r="L272" s="6"/>
      <c r="M272" s="9">
        <v>13000.0</v>
      </c>
      <c r="N272" s="79">
        <f t="shared" si="8"/>
        <v>3453900</v>
      </c>
      <c r="O272" s="6">
        <f t="shared" si="1"/>
        <v>1059682.874</v>
      </c>
      <c r="P272" s="6"/>
      <c r="Q272" s="6">
        <f t="shared" si="9"/>
        <v>9767.232148</v>
      </c>
      <c r="R272" s="6">
        <f t="shared" si="10"/>
        <v>1059682.874</v>
      </c>
      <c r="S272" s="81">
        <f t="shared" si="2"/>
        <v>66.78073985</v>
      </c>
      <c r="T272" s="6"/>
      <c r="U272" s="6"/>
      <c r="V272" s="6"/>
      <c r="W272" s="6"/>
      <c r="X272" s="6"/>
      <c r="Y272" s="6"/>
    </row>
    <row r="273" ht="11.25" customHeight="1">
      <c r="A273" s="7"/>
      <c r="B273" s="68">
        <f t="shared" si="13"/>
        <v>268</v>
      </c>
      <c r="C273" s="607">
        <v>17300.0</v>
      </c>
      <c r="D273" s="6">
        <f t="shared" si="14"/>
        <v>150.7288766</v>
      </c>
      <c r="E273" s="6">
        <f t="shared" si="16"/>
        <v>17149.27112</v>
      </c>
      <c r="F273" s="6">
        <f t="shared" si="5"/>
        <v>3049440.145</v>
      </c>
      <c r="G273" s="6">
        <f t="shared" si="6"/>
        <v>1586959.855</v>
      </c>
      <c r="H273" s="6">
        <f t="shared" si="17"/>
        <v>4636400</v>
      </c>
      <c r="I273" s="6">
        <f t="shared" si="15"/>
        <v>27237.14654</v>
      </c>
      <c r="J273" s="610">
        <v>4.075</v>
      </c>
      <c r="K273" s="591"/>
      <c r="L273" s="6"/>
      <c r="M273" s="9">
        <v>13000.0</v>
      </c>
      <c r="N273" s="79">
        <f t="shared" si="8"/>
        <v>3466900</v>
      </c>
      <c r="O273" s="6">
        <f t="shared" si="1"/>
        <v>1069508.145</v>
      </c>
      <c r="P273" s="6"/>
      <c r="Q273" s="6">
        <f t="shared" si="9"/>
        <v>9825.271123</v>
      </c>
      <c r="R273" s="6">
        <f t="shared" si="10"/>
        <v>1069508.145</v>
      </c>
      <c r="S273" s="81">
        <f t="shared" si="2"/>
        <v>67.39352241</v>
      </c>
      <c r="T273" s="6"/>
      <c r="U273" s="6"/>
      <c r="V273" s="6"/>
      <c r="W273" s="6"/>
      <c r="X273" s="6"/>
      <c r="Y273" s="6"/>
    </row>
    <row r="274" ht="11.25" customHeight="1">
      <c r="A274" s="7"/>
      <c r="B274" s="68">
        <f t="shared" si="13"/>
        <v>269</v>
      </c>
      <c r="C274" s="607">
        <v>17300.0</v>
      </c>
      <c r="D274" s="6">
        <f t="shared" si="14"/>
        <v>92.49281012</v>
      </c>
      <c r="E274" s="6">
        <f t="shared" si="16"/>
        <v>17207.50719</v>
      </c>
      <c r="F274" s="6">
        <f t="shared" si="5"/>
        <v>3066647.653</v>
      </c>
      <c r="G274" s="6">
        <f t="shared" si="6"/>
        <v>1587052.347</v>
      </c>
      <c r="H274" s="6">
        <f t="shared" si="17"/>
        <v>4653700</v>
      </c>
      <c r="I274" s="6">
        <f t="shared" si="15"/>
        <v>10029.63935</v>
      </c>
      <c r="J274" s="610">
        <v>4.075</v>
      </c>
      <c r="K274" s="591"/>
      <c r="L274" s="6"/>
      <c r="M274" s="9">
        <v>13000.0</v>
      </c>
      <c r="N274" s="79">
        <f t="shared" si="8"/>
        <v>3479900</v>
      </c>
      <c r="O274" s="6">
        <f t="shared" si="1"/>
        <v>1079391.653</v>
      </c>
      <c r="P274" s="6"/>
      <c r="Q274" s="6">
        <f t="shared" si="9"/>
        <v>9883.50719</v>
      </c>
      <c r="R274" s="6">
        <f t="shared" si="10"/>
        <v>1079391.653</v>
      </c>
      <c r="S274" s="81">
        <f t="shared" si="2"/>
        <v>68.01235348</v>
      </c>
      <c r="T274" s="6"/>
      <c r="U274" s="6"/>
      <c r="V274" s="6"/>
      <c r="W274" s="6"/>
      <c r="X274" s="6"/>
      <c r="Y274" s="6"/>
    </row>
    <row r="275" ht="11.25" customHeight="1">
      <c r="A275" s="7"/>
      <c r="B275" s="68">
        <f t="shared" si="13"/>
        <v>270</v>
      </c>
      <c r="C275" s="607">
        <v>17300.0</v>
      </c>
      <c r="D275" s="6">
        <f t="shared" si="14"/>
        <v>34.05898362</v>
      </c>
      <c r="E275" s="6">
        <f t="shared" si="16"/>
        <v>17265.94102</v>
      </c>
      <c r="F275" s="6">
        <f t="shared" si="5"/>
        <v>3083913.594</v>
      </c>
      <c r="G275" s="6">
        <f t="shared" si="6"/>
        <v>1587086.406</v>
      </c>
      <c r="H275" s="6">
        <f t="shared" si="17"/>
        <v>4671000</v>
      </c>
      <c r="I275" s="6">
        <f t="shared" si="15"/>
        <v>-7236.301667</v>
      </c>
      <c r="J275" s="610">
        <v>4.075</v>
      </c>
      <c r="K275" s="591"/>
      <c r="L275" s="6"/>
      <c r="M275" s="9">
        <v>13000.0</v>
      </c>
      <c r="N275" s="79">
        <f t="shared" si="8"/>
        <v>3492900</v>
      </c>
      <c r="O275" s="6">
        <f t="shared" si="1"/>
        <v>1089333.594</v>
      </c>
      <c r="P275" s="6"/>
      <c r="Q275" s="6">
        <f t="shared" si="9"/>
        <v>9941.941016</v>
      </c>
      <c r="R275" s="6">
        <f t="shared" si="10"/>
        <v>1089333.594</v>
      </c>
      <c r="S275" s="81">
        <f t="shared" si="2"/>
        <v>68.63732114</v>
      </c>
      <c r="T275" s="6"/>
      <c r="U275" s="6"/>
      <c r="V275" s="6"/>
      <c r="W275" s="6"/>
      <c r="X275" s="6"/>
      <c r="Y275" s="6"/>
    </row>
    <row r="276" ht="11.25" customHeight="1">
      <c r="A276" s="7"/>
      <c r="B276" s="68">
        <f t="shared" si="13"/>
        <v>271</v>
      </c>
      <c r="C276" s="607">
        <v>17300.0</v>
      </c>
      <c r="D276" s="6">
        <f t="shared" si="14"/>
        <v>-24.57327441</v>
      </c>
      <c r="E276" s="6">
        <f t="shared" si="16"/>
        <v>17324.57327</v>
      </c>
      <c r="F276" s="6">
        <f t="shared" si="5"/>
        <v>3101238.167</v>
      </c>
      <c r="G276" s="6">
        <f t="shared" si="6"/>
        <v>1587061.833</v>
      </c>
      <c r="H276" s="6">
        <f t="shared" si="17"/>
        <v>4688300</v>
      </c>
      <c r="I276" s="6">
        <f t="shared" si="15"/>
        <v>-24560.87494</v>
      </c>
      <c r="J276" s="610">
        <v>4.075</v>
      </c>
      <c r="K276" s="591"/>
      <c r="L276" s="6"/>
      <c r="M276" s="9">
        <v>13000.0</v>
      </c>
      <c r="N276" s="79">
        <f t="shared" si="8"/>
        <v>3505900</v>
      </c>
      <c r="O276" s="6">
        <f t="shared" si="1"/>
        <v>1099334.167</v>
      </c>
      <c r="P276" s="6"/>
      <c r="Q276" s="6">
        <f t="shared" si="9"/>
        <v>10000.57327</v>
      </c>
      <c r="R276" s="6">
        <f t="shared" si="10"/>
        <v>1099334.167</v>
      </c>
      <c r="S276" s="81">
        <f t="shared" si="2"/>
        <v>69.26851518</v>
      </c>
      <c r="T276" s="6"/>
      <c r="U276" s="6"/>
      <c r="V276" s="6"/>
      <c r="W276" s="6"/>
      <c r="X276" s="6"/>
      <c r="Y276" s="6"/>
    </row>
    <row r="277" ht="11.25" customHeight="1">
      <c r="A277" s="7"/>
      <c r="B277" s="68">
        <f t="shared" si="13"/>
        <v>272</v>
      </c>
      <c r="C277" s="607">
        <v>17300.0</v>
      </c>
      <c r="D277" s="6">
        <f t="shared" si="14"/>
        <v>-83.40463782</v>
      </c>
      <c r="E277" s="6">
        <f t="shared" si="16"/>
        <v>17383.40464</v>
      </c>
      <c r="F277" s="6">
        <f t="shared" si="5"/>
        <v>3118621.571</v>
      </c>
      <c r="G277" s="6">
        <f t="shared" si="6"/>
        <v>1586978.429</v>
      </c>
      <c r="H277" s="6">
        <f t="shared" si="17"/>
        <v>4705600</v>
      </c>
      <c r="I277" s="6">
        <f t="shared" si="15"/>
        <v>-41944.27958</v>
      </c>
      <c r="J277" s="610">
        <v>4.075</v>
      </c>
      <c r="K277" s="591"/>
      <c r="L277" s="6"/>
      <c r="M277" s="9">
        <v>13000.0</v>
      </c>
      <c r="N277" s="79">
        <f t="shared" si="8"/>
        <v>3518900</v>
      </c>
      <c r="O277" s="6">
        <f t="shared" si="1"/>
        <v>1109393.571</v>
      </c>
      <c r="P277" s="6"/>
      <c r="Q277" s="6">
        <f t="shared" si="9"/>
        <v>10059.40464</v>
      </c>
      <c r="R277" s="6">
        <f t="shared" si="10"/>
        <v>1109393.571</v>
      </c>
      <c r="S277" s="81">
        <f t="shared" si="2"/>
        <v>69.90602717</v>
      </c>
      <c r="T277" s="6"/>
      <c r="U277" s="6"/>
      <c r="V277" s="6"/>
      <c r="W277" s="6"/>
      <c r="X277" s="6"/>
      <c r="Y277" s="6"/>
    </row>
    <row r="278" ht="11.25" customHeight="1">
      <c r="A278" s="7"/>
      <c r="B278" s="68">
        <f t="shared" si="13"/>
        <v>273</v>
      </c>
      <c r="C278" s="607">
        <v>17300.0</v>
      </c>
      <c r="D278" s="6">
        <f t="shared" si="14"/>
        <v>-142.4357827</v>
      </c>
      <c r="E278" s="6">
        <f t="shared" si="16"/>
        <v>17442.43578</v>
      </c>
      <c r="F278" s="6">
        <f t="shared" si="5"/>
        <v>3136064.007</v>
      </c>
      <c r="G278" s="6">
        <f t="shared" si="6"/>
        <v>1586835.993</v>
      </c>
      <c r="H278" s="6">
        <f t="shared" si="17"/>
        <v>4722900</v>
      </c>
      <c r="I278" s="6">
        <f t="shared" si="15"/>
        <v>-59386.71536</v>
      </c>
      <c r="J278" s="610">
        <v>4.075</v>
      </c>
      <c r="K278" s="591"/>
      <c r="L278" s="6"/>
      <c r="M278" s="9">
        <v>13000.0</v>
      </c>
      <c r="N278" s="79">
        <f t="shared" si="8"/>
        <v>3531900</v>
      </c>
      <c r="O278" s="6">
        <f t="shared" si="1"/>
        <v>1119512.007</v>
      </c>
      <c r="P278" s="6"/>
      <c r="Q278" s="6">
        <f t="shared" si="9"/>
        <v>10118.43578</v>
      </c>
      <c r="R278" s="6">
        <f t="shared" si="10"/>
        <v>1119512.007</v>
      </c>
      <c r="S278" s="81">
        <f t="shared" si="2"/>
        <v>70.54995049</v>
      </c>
      <c r="T278" s="6"/>
      <c r="U278" s="6"/>
      <c r="V278" s="6"/>
      <c r="W278" s="6"/>
      <c r="X278" s="6"/>
      <c r="Y278" s="6"/>
    </row>
    <row r="279" ht="11.25" customHeight="1">
      <c r="A279" s="7"/>
      <c r="B279" s="68">
        <f t="shared" si="13"/>
        <v>274</v>
      </c>
      <c r="C279" s="607">
        <v>17300.0</v>
      </c>
      <c r="D279" s="6">
        <f t="shared" si="14"/>
        <v>-201.6673876</v>
      </c>
      <c r="E279" s="6">
        <f t="shared" si="16"/>
        <v>17501.66739</v>
      </c>
      <c r="F279" s="6">
        <f t="shared" si="5"/>
        <v>3153565.675</v>
      </c>
      <c r="G279" s="6">
        <f t="shared" si="6"/>
        <v>1586634.325</v>
      </c>
      <c r="H279" s="6">
        <f t="shared" si="17"/>
        <v>4740200</v>
      </c>
      <c r="I279" s="6">
        <f t="shared" si="15"/>
        <v>-76888.38275</v>
      </c>
      <c r="J279" s="610">
        <v>4.075</v>
      </c>
      <c r="K279" s="591"/>
      <c r="L279" s="6"/>
      <c r="M279" s="9">
        <v>13000.0</v>
      </c>
      <c r="N279" s="79">
        <f t="shared" si="8"/>
        <v>3544900</v>
      </c>
      <c r="O279" s="6">
        <f t="shared" si="1"/>
        <v>1129689.675</v>
      </c>
      <c r="P279" s="6"/>
      <c r="Q279" s="6">
        <f t="shared" si="9"/>
        <v>10177.66739</v>
      </c>
      <c r="R279" s="6">
        <f t="shared" si="10"/>
        <v>1129689.675</v>
      </c>
      <c r="S279" s="81">
        <f t="shared" si="2"/>
        <v>71.20038036</v>
      </c>
      <c r="T279" s="6"/>
      <c r="U279" s="6"/>
      <c r="V279" s="6"/>
      <c r="W279" s="6"/>
      <c r="X279" s="6"/>
      <c r="Y279" s="6"/>
    </row>
    <row r="280" ht="11.25" customHeight="1">
      <c r="A280" s="7"/>
      <c r="B280" s="68">
        <f t="shared" si="13"/>
        <v>275</v>
      </c>
      <c r="C280" s="607">
        <v>17300.0</v>
      </c>
      <c r="D280" s="6">
        <f t="shared" si="14"/>
        <v>-261.1001331</v>
      </c>
      <c r="E280" s="6">
        <f t="shared" si="16"/>
        <v>17561.10013</v>
      </c>
      <c r="F280" s="6">
        <f t="shared" si="5"/>
        <v>3171126.775</v>
      </c>
      <c r="G280" s="6">
        <f t="shared" si="6"/>
        <v>1586373.225</v>
      </c>
      <c r="H280" s="6">
        <f t="shared" si="17"/>
        <v>4757500</v>
      </c>
      <c r="I280" s="6">
        <f t="shared" si="15"/>
        <v>-94449.48288</v>
      </c>
      <c r="J280" s="610">
        <v>4.075</v>
      </c>
      <c r="K280" s="591"/>
      <c r="L280" s="6"/>
      <c r="M280" s="9">
        <v>13000.0</v>
      </c>
      <c r="N280" s="79">
        <f t="shared" si="8"/>
        <v>3557900</v>
      </c>
      <c r="O280" s="6">
        <f t="shared" si="1"/>
        <v>1139926.775</v>
      </c>
      <c r="P280" s="6"/>
      <c r="Q280" s="6">
        <f t="shared" si="9"/>
        <v>10237.10013</v>
      </c>
      <c r="R280" s="6">
        <f t="shared" si="10"/>
        <v>1139926.775</v>
      </c>
      <c r="S280" s="81">
        <f t="shared" si="2"/>
        <v>71.85741392</v>
      </c>
      <c r="T280" s="6"/>
      <c r="U280" s="6"/>
      <c r="V280" s="6"/>
      <c r="W280" s="6"/>
      <c r="X280" s="6"/>
      <c r="Y280" s="6"/>
    </row>
    <row r="281" ht="11.25" customHeight="1">
      <c r="A281" s="71"/>
      <c r="B281" s="72">
        <f t="shared" si="13"/>
        <v>276</v>
      </c>
      <c r="C281" s="607">
        <v>17300.0</v>
      </c>
      <c r="D281" s="10">
        <f t="shared" si="14"/>
        <v>-320.7347023</v>
      </c>
      <c r="E281" s="10">
        <f t="shared" si="16"/>
        <v>17620.7347</v>
      </c>
      <c r="F281" s="10">
        <f t="shared" si="5"/>
        <v>3188747.509</v>
      </c>
      <c r="G281" s="10">
        <f t="shared" si="6"/>
        <v>1586052.491</v>
      </c>
      <c r="H281" s="10">
        <f t="shared" si="17"/>
        <v>4774800</v>
      </c>
      <c r="I281" s="10">
        <f t="shared" si="15"/>
        <v>-112070.2176</v>
      </c>
      <c r="J281" s="610">
        <v>4.075</v>
      </c>
      <c r="K281" s="591"/>
      <c r="L281" s="6"/>
      <c r="M281" s="9">
        <v>13000.0</v>
      </c>
      <c r="N281" s="79">
        <f t="shared" si="8"/>
        <v>3570900</v>
      </c>
      <c r="O281" s="6">
        <f t="shared" si="1"/>
        <v>1150223.509</v>
      </c>
      <c r="P281" s="6"/>
      <c r="Q281" s="6">
        <f t="shared" si="9"/>
        <v>10296.7347</v>
      </c>
      <c r="R281" s="6">
        <f t="shared" si="10"/>
        <v>1150223.509</v>
      </c>
      <c r="S281" s="81">
        <f t="shared" si="2"/>
        <v>72.52115023</v>
      </c>
      <c r="T281" s="6"/>
      <c r="U281" s="6"/>
      <c r="V281" s="6"/>
      <c r="W281" s="6"/>
      <c r="X281" s="6"/>
      <c r="Y281" s="6"/>
    </row>
    <row r="282" ht="11.25" customHeight="1">
      <c r="A282" s="100">
        <v>24.0</v>
      </c>
      <c r="B282" s="66">
        <f t="shared" si="13"/>
        <v>277</v>
      </c>
      <c r="C282" s="607">
        <v>17300.0</v>
      </c>
      <c r="D282" s="617">
        <f t="shared" si="14"/>
        <v>-380.5717806</v>
      </c>
      <c r="E282" s="617">
        <f t="shared" si="16"/>
        <v>17680.57178</v>
      </c>
      <c r="F282" s="617">
        <f t="shared" si="5"/>
        <v>3206428.081</v>
      </c>
      <c r="G282" s="617">
        <f t="shared" si="6"/>
        <v>1585671.919</v>
      </c>
      <c r="H282" s="617">
        <f t="shared" si="17"/>
        <v>4792100</v>
      </c>
      <c r="I282" s="617">
        <f t="shared" si="15"/>
        <v>-129750.7894</v>
      </c>
      <c r="J282" s="610">
        <v>4.075</v>
      </c>
      <c r="K282" s="591"/>
      <c r="L282" s="6"/>
      <c r="M282" s="9">
        <v>13000.0</v>
      </c>
      <c r="N282" s="79">
        <f t="shared" si="8"/>
        <v>3583900</v>
      </c>
      <c r="O282" s="6">
        <f t="shared" si="1"/>
        <v>1160580.081</v>
      </c>
      <c r="P282" s="6"/>
      <c r="Q282" s="6">
        <f t="shared" si="9"/>
        <v>10356.57178</v>
      </c>
      <c r="R282" s="6">
        <f t="shared" si="10"/>
        <v>1160580.081</v>
      </c>
      <c r="S282" s="81">
        <f t="shared" si="2"/>
        <v>73.19169038</v>
      </c>
      <c r="T282" s="6"/>
      <c r="U282" s="6"/>
      <c r="V282" s="6"/>
      <c r="W282" s="6"/>
      <c r="X282" s="6"/>
      <c r="Y282" s="6"/>
    </row>
    <row r="283" ht="11.25" customHeight="1">
      <c r="A283" s="7"/>
      <c r="B283" s="68">
        <f t="shared" si="13"/>
        <v>278</v>
      </c>
      <c r="C283" s="607">
        <v>17300.0</v>
      </c>
      <c r="D283" s="6">
        <f t="shared" si="14"/>
        <v>-440.6120556</v>
      </c>
      <c r="E283" s="6">
        <f t="shared" si="16"/>
        <v>17740.61206</v>
      </c>
      <c r="F283" s="6">
        <f t="shared" si="5"/>
        <v>3224168.693</v>
      </c>
      <c r="G283" s="6">
        <f t="shared" si="6"/>
        <v>1585231.307</v>
      </c>
      <c r="H283" s="6">
        <f t="shared" si="17"/>
        <v>4809400</v>
      </c>
      <c r="I283" s="6">
        <f t="shared" si="15"/>
        <v>-147491.4014</v>
      </c>
      <c r="J283" s="610">
        <v>4.075</v>
      </c>
      <c r="K283" s="591"/>
      <c r="L283" s="6"/>
      <c r="M283" s="9">
        <v>13000.0</v>
      </c>
      <c r="N283" s="79">
        <f t="shared" si="8"/>
        <v>3596900</v>
      </c>
      <c r="O283" s="6">
        <f t="shared" si="1"/>
        <v>1170996.693</v>
      </c>
      <c r="P283" s="6"/>
      <c r="Q283" s="6">
        <f t="shared" si="9"/>
        <v>10416.61206</v>
      </c>
      <c r="R283" s="6">
        <f t="shared" si="10"/>
        <v>1170996.693</v>
      </c>
      <c r="S283" s="81">
        <f t="shared" si="2"/>
        <v>73.86913748</v>
      </c>
      <c r="T283" s="6"/>
      <c r="U283" s="6"/>
      <c r="V283" s="6"/>
      <c r="W283" s="6"/>
      <c r="X283" s="6"/>
      <c r="Y283" s="6"/>
    </row>
    <row r="284" ht="11.25" customHeight="1">
      <c r="A284" s="7"/>
      <c r="B284" s="68">
        <f t="shared" si="13"/>
        <v>279</v>
      </c>
      <c r="C284" s="607">
        <v>17300.0</v>
      </c>
      <c r="D284" s="6">
        <f t="shared" si="14"/>
        <v>-500.8562173</v>
      </c>
      <c r="E284" s="6">
        <f t="shared" si="16"/>
        <v>17800.85622</v>
      </c>
      <c r="F284" s="6">
        <f t="shared" si="5"/>
        <v>3241969.549</v>
      </c>
      <c r="G284" s="6">
        <f t="shared" si="6"/>
        <v>1584730.451</v>
      </c>
      <c r="H284" s="6">
        <f t="shared" si="17"/>
        <v>4826700</v>
      </c>
      <c r="I284" s="6">
        <f t="shared" si="15"/>
        <v>-165292.2576</v>
      </c>
      <c r="J284" s="610">
        <v>4.075</v>
      </c>
      <c r="K284" s="591"/>
      <c r="L284" s="6"/>
      <c r="M284" s="9">
        <v>13000.0</v>
      </c>
      <c r="N284" s="79">
        <f t="shared" si="8"/>
        <v>3609900</v>
      </c>
      <c r="O284" s="6">
        <f t="shared" si="1"/>
        <v>1181473.549</v>
      </c>
      <c r="P284" s="6"/>
      <c r="Q284" s="6">
        <f t="shared" si="9"/>
        <v>10476.85622</v>
      </c>
      <c r="R284" s="6">
        <f t="shared" si="10"/>
        <v>1181473.549</v>
      </c>
      <c r="S284" s="81">
        <f t="shared" si="2"/>
        <v>74.55359674</v>
      </c>
      <c r="T284" s="6"/>
      <c r="U284" s="6"/>
      <c r="V284" s="6"/>
      <c r="W284" s="6"/>
      <c r="X284" s="6"/>
      <c r="Y284" s="6"/>
    </row>
    <row r="285" ht="11.25" customHeight="1">
      <c r="A285" s="7"/>
      <c r="B285" s="68">
        <f t="shared" si="13"/>
        <v>280</v>
      </c>
      <c r="C285" s="607">
        <v>17300.0</v>
      </c>
      <c r="D285" s="6">
        <f t="shared" si="14"/>
        <v>-561.3049582</v>
      </c>
      <c r="E285" s="6">
        <f t="shared" si="16"/>
        <v>17861.30496</v>
      </c>
      <c r="F285" s="6">
        <f t="shared" si="5"/>
        <v>3259830.854</v>
      </c>
      <c r="G285" s="6">
        <f t="shared" si="6"/>
        <v>1584169.146</v>
      </c>
      <c r="H285" s="6">
        <f t="shared" si="17"/>
        <v>4844000</v>
      </c>
      <c r="I285" s="6">
        <f t="shared" si="15"/>
        <v>-183153.5626</v>
      </c>
      <c r="J285" s="610">
        <v>4.075</v>
      </c>
      <c r="K285" s="591"/>
      <c r="L285" s="6"/>
      <c r="M285" s="9">
        <v>13000.0</v>
      </c>
      <c r="N285" s="79">
        <f t="shared" si="8"/>
        <v>3622900</v>
      </c>
      <c r="O285" s="6">
        <f t="shared" si="1"/>
        <v>1192010.854</v>
      </c>
      <c r="P285" s="6"/>
      <c r="Q285" s="6">
        <f t="shared" si="9"/>
        <v>10537.30496</v>
      </c>
      <c r="R285" s="6">
        <f t="shared" si="10"/>
        <v>1192010.854</v>
      </c>
      <c r="S285" s="81">
        <f t="shared" si="2"/>
        <v>75.24517554</v>
      </c>
      <c r="T285" s="6"/>
      <c r="U285" s="6"/>
      <c r="V285" s="6"/>
      <c r="W285" s="6"/>
      <c r="X285" s="6"/>
      <c r="Y285" s="6"/>
    </row>
    <row r="286" ht="11.25" customHeight="1">
      <c r="A286" s="7"/>
      <c r="B286" s="68">
        <f t="shared" si="13"/>
        <v>281</v>
      </c>
      <c r="C286" s="607">
        <v>17300.0</v>
      </c>
      <c r="D286" s="6">
        <f t="shared" si="14"/>
        <v>-621.958973</v>
      </c>
      <c r="E286" s="6">
        <f t="shared" si="16"/>
        <v>17921.95897</v>
      </c>
      <c r="F286" s="6">
        <f t="shared" si="5"/>
        <v>3277752.813</v>
      </c>
      <c r="G286" s="6">
        <f t="shared" si="6"/>
        <v>1583547.187</v>
      </c>
      <c r="H286" s="6">
        <f t="shared" si="17"/>
        <v>4861300</v>
      </c>
      <c r="I286" s="6">
        <f t="shared" si="15"/>
        <v>-201075.5216</v>
      </c>
      <c r="J286" s="610">
        <v>4.075</v>
      </c>
      <c r="K286" s="591"/>
      <c r="L286" s="6"/>
      <c r="M286" s="9">
        <v>13000.0</v>
      </c>
      <c r="N286" s="79">
        <f t="shared" si="8"/>
        <v>3635900</v>
      </c>
      <c r="O286" s="6">
        <f t="shared" si="1"/>
        <v>1202608.813</v>
      </c>
      <c r="P286" s="6"/>
      <c r="Q286" s="6">
        <f t="shared" si="9"/>
        <v>10597.95897</v>
      </c>
      <c r="R286" s="6">
        <f t="shared" si="10"/>
        <v>1202608.813</v>
      </c>
      <c r="S286" s="81">
        <f t="shared" si="2"/>
        <v>75.94398346</v>
      </c>
      <c r="T286" s="6"/>
      <c r="U286" s="6"/>
      <c r="V286" s="6"/>
      <c r="W286" s="6"/>
      <c r="X286" s="6"/>
      <c r="Y286" s="6"/>
    </row>
    <row r="287" ht="11.25" customHeight="1">
      <c r="A287" s="7"/>
      <c r="B287" s="68">
        <f t="shared" si="13"/>
        <v>282</v>
      </c>
      <c r="C287" s="607">
        <v>17300.0</v>
      </c>
      <c r="D287" s="6">
        <f t="shared" si="14"/>
        <v>-682.8189587</v>
      </c>
      <c r="E287" s="6">
        <f t="shared" si="16"/>
        <v>17982.81896</v>
      </c>
      <c r="F287" s="6">
        <f t="shared" si="5"/>
        <v>3295735.632</v>
      </c>
      <c r="G287" s="6">
        <f t="shared" si="6"/>
        <v>1582864.368</v>
      </c>
      <c r="H287" s="6">
        <f t="shared" si="17"/>
        <v>4878600</v>
      </c>
      <c r="I287" s="6">
        <f t="shared" si="15"/>
        <v>-219058.3405</v>
      </c>
      <c r="J287" s="610">
        <v>4.075</v>
      </c>
      <c r="K287" s="591"/>
      <c r="L287" s="6"/>
      <c r="M287" s="9">
        <v>13000.0</v>
      </c>
      <c r="N287" s="79">
        <f t="shared" si="8"/>
        <v>3648900</v>
      </c>
      <c r="O287" s="6">
        <f t="shared" si="1"/>
        <v>1213267.632</v>
      </c>
      <c r="P287" s="6"/>
      <c r="Q287" s="6">
        <f t="shared" si="9"/>
        <v>10658.81896</v>
      </c>
      <c r="R287" s="6">
        <f t="shared" si="10"/>
        <v>1213267.632</v>
      </c>
      <c r="S287" s="81">
        <f t="shared" si="2"/>
        <v>76.65013233</v>
      </c>
      <c r="T287" s="6"/>
      <c r="U287" s="6"/>
      <c r="V287" s="6"/>
      <c r="W287" s="6"/>
      <c r="X287" s="6"/>
      <c r="Y287" s="6"/>
    </row>
    <row r="288" ht="11.25" customHeight="1">
      <c r="A288" s="7"/>
      <c r="B288" s="68">
        <f t="shared" si="13"/>
        <v>283</v>
      </c>
      <c r="C288" s="607">
        <v>17300.0</v>
      </c>
      <c r="D288" s="6">
        <f t="shared" si="14"/>
        <v>-743.8856147</v>
      </c>
      <c r="E288" s="6">
        <f t="shared" si="16"/>
        <v>18043.88561</v>
      </c>
      <c r="F288" s="6">
        <f t="shared" si="5"/>
        <v>3313779.518</v>
      </c>
      <c r="G288" s="6">
        <f t="shared" si="6"/>
        <v>1582120.482</v>
      </c>
      <c r="H288" s="6">
        <f t="shared" si="17"/>
        <v>4895900</v>
      </c>
      <c r="I288" s="6">
        <f t="shared" si="15"/>
        <v>-237102.2261</v>
      </c>
      <c r="J288" s="610">
        <v>4.075</v>
      </c>
      <c r="K288" s="591"/>
      <c r="L288" s="6"/>
      <c r="M288" s="9">
        <v>13000.0</v>
      </c>
      <c r="N288" s="79">
        <f t="shared" si="8"/>
        <v>3661900</v>
      </c>
      <c r="O288" s="6">
        <f t="shared" si="1"/>
        <v>1223987.518</v>
      </c>
      <c r="P288" s="6"/>
      <c r="Q288" s="6">
        <f t="shared" si="9"/>
        <v>10719.88561</v>
      </c>
      <c r="R288" s="6">
        <f t="shared" si="10"/>
        <v>1223987.518</v>
      </c>
      <c r="S288" s="81">
        <f t="shared" si="2"/>
        <v>77.36373632</v>
      </c>
      <c r="T288" s="6"/>
      <c r="U288" s="6"/>
      <c r="V288" s="6"/>
      <c r="W288" s="6"/>
      <c r="X288" s="6"/>
      <c r="Y288" s="6"/>
    </row>
    <row r="289" ht="11.25" customHeight="1">
      <c r="A289" s="7"/>
      <c r="B289" s="68">
        <f t="shared" si="13"/>
        <v>284</v>
      </c>
      <c r="C289" s="607">
        <v>17300.0</v>
      </c>
      <c r="D289" s="6">
        <f t="shared" si="14"/>
        <v>-805.1596429</v>
      </c>
      <c r="E289" s="6">
        <f t="shared" si="16"/>
        <v>18105.15964</v>
      </c>
      <c r="F289" s="6">
        <f t="shared" si="5"/>
        <v>3331884.678</v>
      </c>
      <c r="G289" s="6">
        <f t="shared" si="6"/>
        <v>1581315.322</v>
      </c>
      <c r="H289" s="6">
        <f t="shared" si="17"/>
        <v>4913200</v>
      </c>
      <c r="I289" s="6">
        <f t="shared" si="15"/>
        <v>-255207.3858</v>
      </c>
      <c r="J289" s="610">
        <v>4.075</v>
      </c>
      <c r="K289" s="591"/>
      <c r="L289" s="6"/>
      <c r="M289" s="9">
        <v>13000.0</v>
      </c>
      <c r="N289" s="79">
        <f t="shared" si="8"/>
        <v>3674900</v>
      </c>
      <c r="O289" s="6">
        <f t="shared" si="1"/>
        <v>1234768.678</v>
      </c>
      <c r="P289" s="6"/>
      <c r="Q289" s="6">
        <f t="shared" si="9"/>
        <v>10781.15964</v>
      </c>
      <c r="R289" s="6">
        <f t="shared" si="10"/>
        <v>1234768.678</v>
      </c>
      <c r="S289" s="81">
        <f t="shared" si="2"/>
        <v>78.08491198</v>
      </c>
      <c r="T289" s="6"/>
      <c r="U289" s="6"/>
      <c r="V289" s="6"/>
      <c r="W289" s="6"/>
      <c r="X289" s="6"/>
      <c r="Y289" s="6"/>
    </row>
    <row r="290" ht="11.25" customHeight="1">
      <c r="A290" s="7"/>
      <c r="B290" s="68">
        <f t="shared" si="13"/>
        <v>285</v>
      </c>
      <c r="C290" s="607">
        <v>17300.0</v>
      </c>
      <c r="D290" s="6">
        <f t="shared" si="14"/>
        <v>-866.6417476</v>
      </c>
      <c r="E290" s="6">
        <f t="shared" si="16"/>
        <v>18166.64175</v>
      </c>
      <c r="F290" s="6">
        <f t="shared" si="5"/>
        <v>3350051.319</v>
      </c>
      <c r="G290" s="6">
        <f t="shared" si="6"/>
        <v>1580448.681</v>
      </c>
      <c r="H290" s="6">
        <f t="shared" si="17"/>
        <v>4930500</v>
      </c>
      <c r="I290" s="6">
        <f t="shared" si="15"/>
        <v>-273374.0275</v>
      </c>
      <c r="J290" s="610">
        <v>4.075</v>
      </c>
      <c r="K290" s="591"/>
      <c r="L290" s="6"/>
      <c r="M290" s="9">
        <v>13000.0</v>
      </c>
      <c r="N290" s="79">
        <f t="shared" si="8"/>
        <v>3687900</v>
      </c>
      <c r="O290" s="6">
        <f t="shared" si="1"/>
        <v>1245611.319</v>
      </c>
      <c r="P290" s="6"/>
      <c r="Q290" s="6">
        <f t="shared" si="9"/>
        <v>10842.64175</v>
      </c>
      <c r="R290" s="6">
        <f t="shared" si="10"/>
        <v>1245611.319</v>
      </c>
      <c r="S290" s="81">
        <f t="shared" si="2"/>
        <v>78.81377831</v>
      </c>
      <c r="T290" s="6"/>
      <c r="U290" s="6"/>
      <c r="V290" s="6"/>
      <c r="W290" s="6"/>
      <c r="X290" s="6"/>
      <c r="Y290" s="6"/>
    </row>
    <row r="291" ht="11.25" customHeight="1">
      <c r="A291" s="7"/>
      <c r="B291" s="68">
        <f t="shared" si="13"/>
        <v>286</v>
      </c>
      <c r="C291" s="607">
        <v>17300.0</v>
      </c>
      <c r="D291" s="6">
        <f t="shared" si="14"/>
        <v>-928.3326352</v>
      </c>
      <c r="E291" s="6">
        <f t="shared" si="16"/>
        <v>18228.33264</v>
      </c>
      <c r="F291" s="6">
        <f t="shared" si="5"/>
        <v>3368279.652</v>
      </c>
      <c r="G291" s="6">
        <f t="shared" si="6"/>
        <v>1579520.348</v>
      </c>
      <c r="H291" s="6">
        <f t="shared" si="17"/>
        <v>4947800</v>
      </c>
      <c r="I291" s="6">
        <f t="shared" si="15"/>
        <v>-291602.3602</v>
      </c>
      <c r="J291" s="610">
        <v>4.075</v>
      </c>
      <c r="K291" s="591"/>
      <c r="L291" s="6"/>
      <c r="M291" s="9">
        <v>13000.0</v>
      </c>
      <c r="N291" s="79">
        <f t="shared" si="8"/>
        <v>3700900</v>
      </c>
      <c r="O291" s="6">
        <f t="shared" si="1"/>
        <v>1256515.652</v>
      </c>
      <c r="P291" s="6"/>
      <c r="Q291" s="6">
        <f t="shared" si="9"/>
        <v>10904.33264</v>
      </c>
      <c r="R291" s="6">
        <f t="shared" si="10"/>
        <v>1256515.652</v>
      </c>
      <c r="S291" s="81">
        <f t="shared" si="2"/>
        <v>79.5504568</v>
      </c>
      <c r="T291" s="6"/>
      <c r="U291" s="6"/>
      <c r="V291" s="6"/>
      <c r="W291" s="6"/>
      <c r="X291" s="6"/>
      <c r="Y291" s="6"/>
    </row>
    <row r="292" ht="11.25" customHeight="1">
      <c r="A292" s="7"/>
      <c r="B292" s="68">
        <f t="shared" si="13"/>
        <v>287</v>
      </c>
      <c r="C292" s="607">
        <v>17300.0</v>
      </c>
      <c r="D292" s="6">
        <f t="shared" si="14"/>
        <v>-990.2330147</v>
      </c>
      <c r="E292" s="6">
        <f t="shared" si="16"/>
        <v>18290.23301</v>
      </c>
      <c r="F292" s="6">
        <f t="shared" si="5"/>
        <v>3386569.885</v>
      </c>
      <c r="G292" s="6">
        <f t="shared" si="6"/>
        <v>1578530.115</v>
      </c>
      <c r="H292" s="6">
        <f t="shared" si="17"/>
        <v>4965100</v>
      </c>
      <c r="I292" s="6">
        <f t="shared" si="15"/>
        <v>-309892.5932</v>
      </c>
      <c r="J292" s="610">
        <v>4.075</v>
      </c>
      <c r="K292" s="591"/>
      <c r="L292" s="6"/>
      <c r="M292" s="9">
        <v>13000.0</v>
      </c>
      <c r="N292" s="79">
        <f t="shared" si="8"/>
        <v>3713900</v>
      </c>
      <c r="O292" s="6">
        <f t="shared" si="1"/>
        <v>1267481.885</v>
      </c>
      <c r="P292" s="6"/>
      <c r="Q292" s="6">
        <f t="shared" si="9"/>
        <v>10966.23301</v>
      </c>
      <c r="R292" s="6">
        <f t="shared" si="10"/>
        <v>1267481.885</v>
      </c>
      <c r="S292" s="81">
        <f t="shared" si="2"/>
        <v>80.29507154</v>
      </c>
      <c r="T292" s="6"/>
      <c r="U292" s="6"/>
      <c r="V292" s="6"/>
      <c r="W292" s="6"/>
      <c r="X292" s="6"/>
      <c r="Y292" s="6"/>
    </row>
    <row r="293" ht="11.25" customHeight="1">
      <c r="A293" s="71"/>
      <c r="B293" s="72">
        <f t="shared" si="13"/>
        <v>288</v>
      </c>
      <c r="C293" s="607">
        <v>17300.0</v>
      </c>
      <c r="D293" s="10">
        <f t="shared" si="14"/>
        <v>-1052.343598</v>
      </c>
      <c r="E293" s="10">
        <f t="shared" si="16"/>
        <v>18352.3436</v>
      </c>
      <c r="F293" s="10">
        <f t="shared" si="5"/>
        <v>3404922.229</v>
      </c>
      <c r="G293" s="10">
        <f t="shared" si="6"/>
        <v>1577477.771</v>
      </c>
      <c r="H293" s="10">
        <f t="shared" si="17"/>
        <v>4982400</v>
      </c>
      <c r="I293" s="10">
        <f t="shared" si="15"/>
        <v>-328244.9368</v>
      </c>
      <c r="J293" s="610">
        <v>4.075</v>
      </c>
      <c r="K293" s="591"/>
      <c r="L293" s="6"/>
      <c r="M293" s="9">
        <v>13000.0</v>
      </c>
      <c r="N293" s="79">
        <f t="shared" si="8"/>
        <v>3726900</v>
      </c>
      <c r="O293" s="6">
        <f t="shared" si="1"/>
        <v>1278510.229</v>
      </c>
      <c r="P293" s="6"/>
      <c r="Q293" s="6">
        <f t="shared" si="9"/>
        <v>11028.3436</v>
      </c>
      <c r="R293" s="6">
        <f t="shared" si="10"/>
        <v>1278510.229</v>
      </c>
      <c r="S293" s="81">
        <f t="shared" si="2"/>
        <v>81.04774925</v>
      </c>
      <c r="T293" s="6"/>
      <c r="U293" s="6"/>
      <c r="V293" s="6"/>
      <c r="W293" s="6"/>
      <c r="X293" s="6"/>
      <c r="Y293" s="6"/>
    </row>
    <row r="294" ht="11.25" customHeight="1">
      <c r="A294" s="100">
        <v>25.0</v>
      </c>
      <c r="B294" s="66">
        <f t="shared" si="13"/>
        <v>289</v>
      </c>
      <c r="C294" s="607">
        <v>17300.0</v>
      </c>
      <c r="D294" s="617">
        <f t="shared" si="14"/>
        <v>-1114.665098</v>
      </c>
      <c r="E294" s="617">
        <f t="shared" si="16"/>
        <v>18414.6651</v>
      </c>
      <c r="F294" s="617">
        <f t="shared" si="5"/>
        <v>3423336.894</v>
      </c>
      <c r="G294" s="617">
        <f t="shared" si="6"/>
        <v>1576363.106</v>
      </c>
      <c r="H294" s="617">
        <f t="shared" si="17"/>
        <v>4999700</v>
      </c>
      <c r="I294" s="617">
        <f t="shared" si="15"/>
        <v>-346659.6019</v>
      </c>
      <c r="J294" s="610">
        <v>4.075</v>
      </c>
      <c r="K294" s="591"/>
      <c r="L294" s="6"/>
      <c r="M294" s="9">
        <v>13000.0</v>
      </c>
      <c r="N294" s="79">
        <f t="shared" si="8"/>
        <v>3739900</v>
      </c>
      <c r="O294" s="6">
        <f t="shared" si="1"/>
        <v>1289600.894</v>
      </c>
      <c r="P294" s="6"/>
      <c r="Q294" s="6">
        <f t="shared" si="9"/>
        <v>11090.6651</v>
      </c>
      <c r="R294" s="6">
        <f t="shared" si="10"/>
        <v>1289600.894</v>
      </c>
      <c r="S294" s="81">
        <f t="shared" si="2"/>
        <v>81.80861938</v>
      </c>
      <c r="T294" s="6"/>
      <c r="U294" s="6"/>
      <c r="V294" s="6"/>
      <c r="W294" s="6"/>
      <c r="X294" s="6"/>
      <c r="Y294" s="6"/>
    </row>
    <row r="295" ht="11.25" customHeight="1">
      <c r="A295" s="7"/>
      <c r="B295" s="68">
        <f t="shared" si="13"/>
        <v>290</v>
      </c>
      <c r="C295" s="607">
        <v>17300.0</v>
      </c>
      <c r="D295" s="6">
        <f t="shared" si="14"/>
        <v>-1177.198231</v>
      </c>
      <c r="E295" s="6">
        <f t="shared" si="16"/>
        <v>18477.19823</v>
      </c>
      <c r="F295" s="6">
        <f t="shared" si="5"/>
        <v>3441814.092</v>
      </c>
      <c r="G295" s="6">
        <f t="shared" si="6"/>
        <v>1575185.908</v>
      </c>
      <c r="H295" s="6">
        <f t="shared" si="17"/>
        <v>5017000</v>
      </c>
      <c r="I295" s="6">
        <f t="shared" si="15"/>
        <v>-365136.8001</v>
      </c>
      <c r="J295" s="610">
        <v>4.075</v>
      </c>
      <c r="K295" s="591"/>
      <c r="L295" s="6"/>
      <c r="M295" s="9">
        <v>13000.0</v>
      </c>
      <c r="N295" s="79">
        <f t="shared" si="8"/>
        <v>3752900</v>
      </c>
      <c r="O295" s="6">
        <f t="shared" si="1"/>
        <v>1300754.092</v>
      </c>
      <c r="P295" s="6"/>
      <c r="Q295" s="6">
        <f t="shared" si="9"/>
        <v>11153.19823</v>
      </c>
      <c r="R295" s="6">
        <f t="shared" si="10"/>
        <v>1300754.092</v>
      </c>
      <c r="S295" s="81">
        <f t="shared" si="2"/>
        <v>82.57781417</v>
      </c>
      <c r="T295" s="6"/>
      <c r="U295" s="6"/>
      <c r="V295" s="6"/>
      <c r="W295" s="6"/>
      <c r="X295" s="6"/>
      <c r="Y295" s="6"/>
    </row>
    <row r="296" ht="11.25" customHeight="1">
      <c r="A296" s="7"/>
      <c r="B296" s="68">
        <f t="shared" si="13"/>
        <v>291</v>
      </c>
      <c r="C296" s="607">
        <v>17300.0</v>
      </c>
      <c r="D296" s="6">
        <f t="shared" si="14"/>
        <v>-1239.943717</v>
      </c>
      <c r="E296" s="6">
        <f t="shared" si="16"/>
        <v>18539.94372</v>
      </c>
      <c r="F296" s="6">
        <f t="shared" si="5"/>
        <v>3460354.036</v>
      </c>
      <c r="G296" s="6">
        <f t="shared" si="6"/>
        <v>1573945.964</v>
      </c>
      <c r="H296" s="6">
        <f t="shared" si="17"/>
        <v>5034300</v>
      </c>
      <c r="I296" s="6">
        <f t="shared" si="15"/>
        <v>-383676.7438</v>
      </c>
      <c r="J296" s="610">
        <v>4.075</v>
      </c>
      <c r="K296" s="591"/>
      <c r="L296" s="6"/>
      <c r="M296" s="9">
        <v>13000.0</v>
      </c>
      <c r="N296" s="79">
        <f t="shared" si="8"/>
        <v>3765900</v>
      </c>
      <c r="O296" s="6">
        <f t="shared" si="1"/>
        <v>1311970.036</v>
      </c>
      <c r="P296" s="6"/>
      <c r="Q296" s="6">
        <f t="shared" si="9"/>
        <v>11215.94372</v>
      </c>
      <c r="R296" s="6">
        <f t="shared" si="10"/>
        <v>1311970.036</v>
      </c>
      <c r="S296" s="81">
        <f t="shared" si="2"/>
        <v>83.3554687</v>
      </c>
      <c r="T296" s="6"/>
      <c r="U296" s="6"/>
      <c r="V296" s="6"/>
      <c r="W296" s="6"/>
      <c r="X296" s="6"/>
      <c r="Y296" s="6"/>
    </row>
    <row r="297" ht="11.25" customHeight="1">
      <c r="A297" s="7"/>
      <c r="B297" s="68">
        <f t="shared" si="13"/>
        <v>292</v>
      </c>
      <c r="C297" s="607">
        <v>17300.0</v>
      </c>
      <c r="D297" s="6">
        <f t="shared" si="14"/>
        <v>-1302.902276</v>
      </c>
      <c r="E297" s="6">
        <f t="shared" si="16"/>
        <v>18602.90228</v>
      </c>
      <c r="F297" s="6">
        <f t="shared" si="5"/>
        <v>3478956.938</v>
      </c>
      <c r="G297" s="6">
        <f t="shared" si="6"/>
        <v>1572643.062</v>
      </c>
      <c r="H297" s="6">
        <f t="shared" si="17"/>
        <v>5051600</v>
      </c>
      <c r="I297" s="6">
        <f t="shared" si="15"/>
        <v>-402279.6461</v>
      </c>
      <c r="J297" s="610">
        <v>4.075</v>
      </c>
      <c r="K297" s="591"/>
      <c r="L297" s="6"/>
      <c r="M297" s="9">
        <v>13000.0</v>
      </c>
      <c r="N297" s="79">
        <f t="shared" si="8"/>
        <v>3778900</v>
      </c>
      <c r="O297" s="6">
        <f t="shared" si="1"/>
        <v>1323248.938</v>
      </c>
      <c r="P297" s="6"/>
      <c r="Q297" s="6">
        <f t="shared" si="9"/>
        <v>11278.90228</v>
      </c>
      <c r="R297" s="6">
        <f t="shared" si="10"/>
        <v>1323248.938</v>
      </c>
      <c r="S297" s="81">
        <f t="shared" si="2"/>
        <v>84.14172102</v>
      </c>
      <c r="T297" s="6"/>
      <c r="U297" s="6"/>
      <c r="V297" s="6"/>
      <c r="W297" s="6"/>
      <c r="X297" s="6"/>
      <c r="Y297" s="6"/>
    </row>
    <row r="298" ht="11.25" customHeight="1">
      <c r="A298" s="7"/>
      <c r="B298" s="68">
        <f t="shared" si="13"/>
        <v>293</v>
      </c>
      <c r="C298" s="607">
        <v>17300.0</v>
      </c>
      <c r="D298" s="6">
        <f t="shared" si="14"/>
        <v>-1366.074632</v>
      </c>
      <c r="E298" s="6">
        <f t="shared" si="16"/>
        <v>18666.07463</v>
      </c>
      <c r="F298" s="6">
        <f t="shared" si="5"/>
        <v>3497623.013</v>
      </c>
      <c r="G298" s="6">
        <f t="shared" si="6"/>
        <v>1571276.987</v>
      </c>
      <c r="H298" s="6">
        <f t="shared" si="17"/>
        <v>5068900</v>
      </c>
      <c r="I298" s="6">
        <f t="shared" si="15"/>
        <v>-420945.7207</v>
      </c>
      <c r="J298" s="610">
        <v>4.075</v>
      </c>
      <c r="K298" s="591"/>
      <c r="L298" s="6"/>
      <c r="M298" s="9">
        <v>13000.0</v>
      </c>
      <c r="N298" s="79">
        <f t="shared" si="8"/>
        <v>3791900</v>
      </c>
      <c r="O298" s="6">
        <f t="shared" si="1"/>
        <v>1334591.013</v>
      </c>
      <c r="P298" s="6"/>
      <c r="Q298" s="6">
        <f t="shared" si="9"/>
        <v>11342.07463</v>
      </c>
      <c r="R298" s="6">
        <f t="shared" si="10"/>
        <v>1334591.013</v>
      </c>
      <c r="S298" s="81">
        <f t="shared" si="2"/>
        <v>84.9367122</v>
      </c>
      <c r="T298" s="6"/>
      <c r="U298" s="6"/>
      <c r="V298" s="6"/>
      <c r="W298" s="6"/>
      <c r="X298" s="6"/>
      <c r="Y298" s="6"/>
    </row>
    <row r="299" ht="11.25" customHeight="1">
      <c r="A299" s="7"/>
      <c r="B299" s="68">
        <f t="shared" si="13"/>
        <v>294</v>
      </c>
      <c r="C299" s="607">
        <v>17300.0</v>
      </c>
      <c r="D299" s="6">
        <f t="shared" si="14"/>
        <v>-1429.46151</v>
      </c>
      <c r="E299" s="6">
        <f t="shared" si="16"/>
        <v>18729.46151</v>
      </c>
      <c r="F299" s="6">
        <f t="shared" si="5"/>
        <v>3516352.474</v>
      </c>
      <c r="G299" s="6">
        <f t="shared" si="6"/>
        <v>1569847.526</v>
      </c>
      <c r="H299" s="6">
        <f t="shared" si="17"/>
        <v>5086200</v>
      </c>
      <c r="I299" s="6">
        <f t="shared" si="15"/>
        <v>-439675.1822</v>
      </c>
      <c r="J299" s="610">
        <v>4.075</v>
      </c>
      <c r="K299" s="591"/>
      <c r="L299" s="6"/>
      <c r="M299" s="9">
        <v>13000.0</v>
      </c>
      <c r="N299" s="79">
        <f t="shared" si="8"/>
        <v>3804900</v>
      </c>
      <c r="O299" s="6">
        <f t="shared" si="1"/>
        <v>1345996.474</v>
      </c>
      <c r="P299" s="6"/>
      <c r="Q299" s="6">
        <f t="shared" si="9"/>
        <v>11405.46151</v>
      </c>
      <c r="R299" s="6">
        <f t="shared" si="10"/>
        <v>1345996.474</v>
      </c>
      <c r="S299" s="81">
        <f t="shared" si="2"/>
        <v>85.74058639</v>
      </c>
      <c r="T299" s="6"/>
      <c r="U299" s="6"/>
      <c r="V299" s="6"/>
      <c r="W299" s="6"/>
      <c r="X299" s="6"/>
      <c r="Y299" s="6"/>
    </row>
    <row r="300" ht="11.25" customHeight="1">
      <c r="A300" s="7"/>
      <c r="B300" s="68">
        <f t="shared" si="13"/>
        <v>295</v>
      </c>
      <c r="C300" s="607">
        <v>17300.0</v>
      </c>
      <c r="D300" s="6">
        <f t="shared" si="14"/>
        <v>-1493.06364</v>
      </c>
      <c r="E300" s="6">
        <f t="shared" si="16"/>
        <v>18793.06364</v>
      </c>
      <c r="F300" s="6">
        <f t="shared" si="5"/>
        <v>3535145.538</v>
      </c>
      <c r="G300" s="6">
        <f t="shared" si="6"/>
        <v>1568354.462</v>
      </c>
      <c r="H300" s="6">
        <f t="shared" si="17"/>
        <v>5103500</v>
      </c>
      <c r="I300" s="6">
        <f t="shared" si="15"/>
        <v>-458468.2459</v>
      </c>
      <c r="J300" s="610">
        <v>4.075</v>
      </c>
      <c r="K300" s="591"/>
      <c r="L300" s="6"/>
      <c r="M300" s="9">
        <v>13000.0</v>
      </c>
      <c r="N300" s="79">
        <f t="shared" si="8"/>
        <v>3817900</v>
      </c>
      <c r="O300" s="6">
        <f t="shared" si="1"/>
        <v>1357465.538</v>
      </c>
      <c r="P300" s="6"/>
      <c r="Q300" s="6">
        <f t="shared" si="9"/>
        <v>11469.06364</v>
      </c>
      <c r="R300" s="6">
        <f t="shared" si="10"/>
        <v>1357465.538</v>
      </c>
      <c r="S300" s="81">
        <f t="shared" si="2"/>
        <v>86.55349096</v>
      </c>
      <c r="T300" s="6"/>
      <c r="U300" s="6"/>
      <c r="V300" s="6"/>
      <c r="W300" s="6"/>
      <c r="X300" s="6"/>
      <c r="Y300" s="6"/>
    </row>
    <row r="301" ht="11.25" customHeight="1">
      <c r="A301" s="7"/>
      <c r="B301" s="68">
        <f t="shared" si="13"/>
        <v>296</v>
      </c>
      <c r="C301" s="607">
        <v>17300.0</v>
      </c>
      <c r="D301" s="6">
        <f t="shared" si="14"/>
        <v>-1556.881752</v>
      </c>
      <c r="E301" s="6">
        <f t="shared" si="16"/>
        <v>18856.88175</v>
      </c>
      <c r="F301" s="6">
        <f t="shared" si="5"/>
        <v>3554002.419</v>
      </c>
      <c r="G301" s="6">
        <f t="shared" si="6"/>
        <v>1566797.581</v>
      </c>
      <c r="H301" s="6">
        <f t="shared" si="17"/>
        <v>5120800</v>
      </c>
      <c r="I301" s="6">
        <f t="shared" si="15"/>
        <v>-477325.1276</v>
      </c>
      <c r="J301" s="610">
        <v>4.075</v>
      </c>
      <c r="K301" s="591"/>
      <c r="L301" s="6"/>
      <c r="M301" s="9">
        <v>13000.0</v>
      </c>
      <c r="N301" s="79">
        <f t="shared" si="8"/>
        <v>3830900</v>
      </c>
      <c r="O301" s="6">
        <f t="shared" si="1"/>
        <v>1368998.419</v>
      </c>
      <c r="P301" s="6"/>
      <c r="Q301" s="6">
        <f t="shared" si="9"/>
        <v>11532.88175</v>
      </c>
      <c r="R301" s="6">
        <f t="shared" si="10"/>
        <v>1368998.419</v>
      </c>
      <c r="S301" s="81">
        <f t="shared" si="2"/>
        <v>87.37557656</v>
      </c>
      <c r="T301" s="6"/>
      <c r="U301" s="6"/>
      <c r="V301" s="6"/>
      <c r="W301" s="6"/>
      <c r="X301" s="6"/>
      <c r="Y301" s="6"/>
    </row>
    <row r="302" ht="11.25" customHeight="1">
      <c r="A302" s="7"/>
      <c r="B302" s="68">
        <f t="shared" si="13"/>
        <v>297</v>
      </c>
      <c r="C302" s="607">
        <v>17300.0</v>
      </c>
      <c r="D302" s="6">
        <f t="shared" si="14"/>
        <v>-1620.916579</v>
      </c>
      <c r="E302" s="6">
        <f t="shared" si="16"/>
        <v>18920.91658</v>
      </c>
      <c r="F302" s="6">
        <f t="shared" si="5"/>
        <v>3572923.336</v>
      </c>
      <c r="G302" s="6">
        <f t="shared" si="6"/>
        <v>1565176.664</v>
      </c>
      <c r="H302" s="6">
        <f t="shared" si="17"/>
        <v>5138100</v>
      </c>
      <c r="I302" s="6">
        <f t="shared" si="15"/>
        <v>-496246.0442</v>
      </c>
      <c r="J302" s="610">
        <v>4.075</v>
      </c>
      <c r="K302" s="591"/>
      <c r="L302" s="6"/>
      <c r="M302" s="9">
        <v>13000.0</v>
      </c>
      <c r="N302" s="79">
        <f t="shared" si="8"/>
        <v>3843900</v>
      </c>
      <c r="O302" s="6">
        <f t="shared" si="1"/>
        <v>1380595.336</v>
      </c>
      <c r="P302" s="6"/>
      <c r="Q302" s="6">
        <f t="shared" si="9"/>
        <v>11596.91658</v>
      </c>
      <c r="R302" s="6">
        <f t="shared" si="10"/>
        <v>1380595.336</v>
      </c>
      <c r="S302" s="81">
        <f t="shared" si="2"/>
        <v>88.2069972</v>
      </c>
      <c r="T302" s="6"/>
      <c r="U302" s="6"/>
      <c r="V302" s="6"/>
      <c r="W302" s="6"/>
      <c r="X302" s="6"/>
      <c r="Y302" s="6"/>
    </row>
    <row r="303" ht="11.25" customHeight="1">
      <c r="A303" s="7"/>
      <c r="B303" s="68">
        <f t="shared" si="13"/>
        <v>298</v>
      </c>
      <c r="C303" s="607">
        <v>17300.0</v>
      </c>
      <c r="D303" s="6">
        <f t="shared" si="14"/>
        <v>-1685.168858</v>
      </c>
      <c r="E303" s="6">
        <f t="shared" si="16"/>
        <v>18985.16886</v>
      </c>
      <c r="F303" s="6">
        <f t="shared" si="5"/>
        <v>3591908.505</v>
      </c>
      <c r="G303" s="6">
        <f t="shared" si="6"/>
        <v>1563491.495</v>
      </c>
      <c r="H303" s="6">
        <f t="shared" si="17"/>
        <v>5155400</v>
      </c>
      <c r="I303" s="6">
        <f t="shared" si="15"/>
        <v>-515231.2131</v>
      </c>
      <c r="J303" s="610">
        <v>4.075</v>
      </c>
      <c r="K303" s="591"/>
      <c r="L303" s="6"/>
      <c r="M303" s="9">
        <v>13000.0</v>
      </c>
      <c r="N303" s="79">
        <f t="shared" si="8"/>
        <v>3856900</v>
      </c>
      <c r="O303" s="6">
        <f t="shared" si="1"/>
        <v>1392256.505</v>
      </c>
      <c r="P303" s="6"/>
      <c r="Q303" s="6">
        <f t="shared" si="9"/>
        <v>11661.16886</v>
      </c>
      <c r="R303" s="6">
        <f t="shared" si="10"/>
        <v>1392256.505</v>
      </c>
      <c r="S303" s="81">
        <f t="shared" si="2"/>
        <v>89.04791035</v>
      </c>
      <c r="T303" s="6"/>
      <c r="U303" s="6"/>
      <c r="V303" s="6"/>
      <c r="W303" s="6"/>
      <c r="X303" s="6"/>
      <c r="Y303" s="6"/>
    </row>
    <row r="304" ht="11.25" customHeight="1">
      <c r="A304" s="7"/>
      <c r="B304" s="68">
        <f t="shared" si="13"/>
        <v>299</v>
      </c>
      <c r="C304" s="607">
        <v>17300.0</v>
      </c>
      <c r="D304" s="6">
        <f t="shared" si="14"/>
        <v>-1749.639328</v>
      </c>
      <c r="E304" s="6">
        <f t="shared" si="16"/>
        <v>19049.63933</v>
      </c>
      <c r="F304" s="6">
        <f t="shared" si="5"/>
        <v>3610958.144</v>
      </c>
      <c r="G304" s="6">
        <f t="shared" si="6"/>
        <v>1561741.856</v>
      </c>
      <c r="H304" s="6">
        <f t="shared" si="17"/>
        <v>5172700</v>
      </c>
      <c r="I304" s="6">
        <f t="shared" si="15"/>
        <v>-534280.8524</v>
      </c>
      <c r="J304" s="610">
        <v>4.075</v>
      </c>
      <c r="K304" s="591"/>
      <c r="L304" s="6"/>
      <c r="M304" s="9">
        <v>13000.0</v>
      </c>
      <c r="N304" s="79">
        <f t="shared" si="8"/>
        <v>3869900</v>
      </c>
      <c r="O304" s="6">
        <f t="shared" si="1"/>
        <v>1403982.144</v>
      </c>
      <c r="P304" s="6"/>
      <c r="Q304" s="6">
        <f t="shared" si="9"/>
        <v>11725.63933</v>
      </c>
      <c r="R304" s="6">
        <f t="shared" si="10"/>
        <v>1403982.144</v>
      </c>
      <c r="S304" s="81">
        <f t="shared" si="2"/>
        <v>89.89847708</v>
      </c>
      <c r="T304" s="6"/>
      <c r="U304" s="6"/>
      <c r="V304" s="6"/>
      <c r="W304" s="6"/>
      <c r="X304" s="6"/>
      <c r="Y304" s="6"/>
    </row>
    <row r="305" ht="11.25" customHeight="1">
      <c r="A305" s="71"/>
      <c r="B305" s="72">
        <f t="shared" si="13"/>
        <v>300</v>
      </c>
      <c r="C305" s="607">
        <v>17300.0</v>
      </c>
      <c r="D305" s="10">
        <f t="shared" si="14"/>
        <v>-1814.328728</v>
      </c>
      <c r="E305" s="10">
        <f t="shared" si="16"/>
        <v>19114.32873</v>
      </c>
      <c r="F305" s="10">
        <f t="shared" si="5"/>
        <v>3630072.473</v>
      </c>
      <c r="G305" s="10">
        <f t="shared" si="6"/>
        <v>1559927.527</v>
      </c>
      <c r="H305" s="10">
        <f t="shared" si="17"/>
        <v>5190000</v>
      </c>
      <c r="I305" s="10">
        <f t="shared" si="15"/>
        <v>-553395.1811</v>
      </c>
      <c r="J305" s="610">
        <v>4.075</v>
      </c>
      <c r="K305" s="591"/>
      <c r="L305" s="6"/>
      <c r="M305" s="9">
        <v>13000.0</v>
      </c>
      <c r="N305" s="79">
        <f t="shared" si="8"/>
        <v>3882900</v>
      </c>
      <c r="O305" s="6">
        <f t="shared" si="1"/>
        <v>1415772.473</v>
      </c>
      <c r="P305" s="6"/>
      <c r="Q305" s="6">
        <f t="shared" si="9"/>
        <v>11790.32873</v>
      </c>
      <c r="R305" s="6">
        <f t="shared" si="10"/>
        <v>1415772.473</v>
      </c>
      <c r="S305" s="81">
        <f t="shared" si="2"/>
        <v>90.75886209</v>
      </c>
      <c r="T305" s="6"/>
      <c r="U305" s="6"/>
      <c r="V305" s="6"/>
      <c r="W305" s="6"/>
      <c r="X305" s="6"/>
      <c r="Y305" s="6"/>
    </row>
    <row r="306" ht="11.25" customHeight="1">
      <c r="A306" s="100">
        <v>26.0</v>
      </c>
      <c r="B306" s="66">
        <f t="shared" si="13"/>
        <v>301</v>
      </c>
      <c r="C306" s="607">
        <v>17300.0</v>
      </c>
      <c r="D306" s="617">
        <f t="shared" si="14"/>
        <v>-1879.237803</v>
      </c>
      <c r="E306" s="617">
        <f t="shared" si="16"/>
        <v>19179.2378</v>
      </c>
      <c r="F306" s="617">
        <f t="shared" si="5"/>
        <v>3649251.711</v>
      </c>
      <c r="G306" s="617">
        <f t="shared" si="6"/>
        <v>1558048.289</v>
      </c>
      <c r="H306" s="617">
        <f t="shared" si="17"/>
        <v>5207300</v>
      </c>
      <c r="I306" s="617">
        <f t="shared" si="15"/>
        <v>-572574.4189</v>
      </c>
      <c r="J306" s="610">
        <v>4.075</v>
      </c>
      <c r="K306" s="591"/>
      <c r="L306" s="6"/>
      <c r="M306" s="9">
        <v>13000.0</v>
      </c>
      <c r="N306" s="79">
        <f t="shared" si="8"/>
        <v>3895900</v>
      </c>
      <c r="O306" s="6">
        <f t="shared" si="1"/>
        <v>1427627.711</v>
      </c>
      <c r="P306" s="6"/>
      <c r="Q306" s="6">
        <f t="shared" si="9"/>
        <v>11855.2378</v>
      </c>
      <c r="R306" s="6">
        <f t="shared" si="10"/>
        <v>1427627.711</v>
      </c>
      <c r="S306" s="81">
        <f t="shared" si="2"/>
        <v>91.62923387</v>
      </c>
      <c r="T306" s="6"/>
      <c r="U306" s="6"/>
      <c r="V306" s="6"/>
      <c r="W306" s="6"/>
      <c r="X306" s="6"/>
      <c r="Y306" s="6"/>
    </row>
    <row r="307" ht="11.25" customHeight="1">
      <c r="A307" s="7"/>
      <c r="B307" s="68">
        <f t="shared" si="13"/>
        <v>302</v>
      </c>
      <c r="C307" s="607">
        <v>17300.0</v>
      </c>
      <c r="D307" s="6">
        <f t="shared" si="14"/>
        <v>-1944.367298</v>
      </c>
      <c r="E307" s="6">
        <f t="shared" si="16"/>
        <v>19244.3673</v>
      </c>
      <c r="F307" s="6">
        <f t="shared" si="5"/>
        <v>3668496.078</v>
      </c>
      <c r="G307" s="6">
        <f t="shared" si="6"/>
        <v>1556103.922</v>
      </c>
      <c r="H307" s="6">
        <f t="shared" si="17"/>
        <v>5224600</v>
      </c>
      <c r="I307" s="6">
        <f t="shared" si="15"/>
        <v>-591818.7862</v>
      </c>
      <c r="J307" s="610">
        <v>4.075</v>
      </c>
      <c r="K307" s="591"/>
      <c r="L307" s="6"/>
      <c r="M307" s="9">
        <v>13000.0</v>
      </c>
      <c r="N307" s="79">
        <f t="shared" si="8"/>
        <v>3908900</v>
      </c>
      <c r="O307" s="6">
        <f t="shared" si="1"/>
        <v>1439548.078</v>
      </c>
      <c r="P307" s="6"/>
      <c r="Q307" s="6">
        <f t="shared" si="9"/>
        <v>11920.3673</v>
      </c>
      <c r="R307" s="6">
        <f t="shared" si="10"/>
        <v>1439548.078</v>
      </c>
      <c r="S307" s="81">
        <f t="shared" si="2"/>
        <v>92.50976479</v>
      </c>
      <c r="T307" s="6"/>
      <c r="U307" s="6"/>
      <c r="V307" s="6"/>
      <c r="W307" s="6"/>
      <c r="X307" s="6"/>
      <c r="Y307" s="6"/>
    </row>
    <row r="308" ht="11.25" customHeight="1">
      <c r="A308" s="7"/>
      <c r="B308" s="68">
        <f t="shared" si="13"/>
        <v>303</v>
      </c>
      <c r="C308" s="607">
        <v>17300.0</v>
      </c>
      <c r="D308" s="6">
        <f t="shared" si="14"/>
        <v>-2009.717962</v>
      </c>
      <c r="E308" s="6">
        <f t="shared" si="16"/>
        <v>19309.71796</v>
      </c>
      <c r="F308" s="6">
        <f t="shared" si="5"/>
        <v>3687805.796</v>
      </c>
      <c r="G308" s="6">
        <f t="shared" si="6"/>
        <v>1554094.204</v>
      </c>
      <c r="H308" s="6">
        <f t="shared" si="17"/>
        <v>5241900</v>
      </c>
      <c r="I308" s="6">
        <f t="shared" si="15"/>
        <v>-611128.5042</v>
      </c>
      <c r="J308" s="610">
        <v>4.075</v>
      </c>
      <c r="K308" s="591"/>
      <c r="L308" s="6"/>
      <c r="M308" s="9">
        <v>13000.0</v>
      </c>
      <c r="N308" s="79">
        <f t="shared" si="8"/>
        <v>3921900</v>
      </c>
      <c r="O308" s="6">
        <f t="shared" si="1"/>
        <v>1451533.796</v>
      </c>
      <c r="P308" s="6"/>
      <c r="Q308" s="6">
        <f t="shared" si="9"/>
        <v>11985.71796</v>
      </c>
      <c r="R308" s="6">
        <f t="shared" si="10"/>
        <v>1451533.796</v>
      </c>
      <c r="S308" s="81">
        <f t="shared" si="2"/>
        <v>93.40063121</v>
      </c>
      <c r="T308" s="6"/>
      <c r="U308" s="6"/>
      <c r="V308" s="6"/>
      <c r="W308" s="6"/>
      <c r="X308" s="6"/>
      <c r="Y308" s="6"/>
    </row>
    <row r="309" ht="11.25" customHeight="1">
      <c r="A309" s="7"/>
      <c r="B309" s="68">
        <f t="shared" si="13"/>
        <v>304</v>
      </c>
      <c r="C309" s="607">
        <v>17300.0</v>
      </c>
      <c r="D309" s="6">
        <f t="shared" si="14"/>
        <v>-2075.290545</v>
      </c>
      <c r="E309" s="6">
        <f t="shared" si="16"/>
        <v>19375.29055</v>
      </c>
      <c r="F309" s="6">
        <f t="shared" si="5"/>
        <v>3707181.087</v>
      </c>
      <c r="G309" s="6">
        <f t="shared" si="6"/>
        <v>1552018.913</v>
      </c>
      <c r="H309" s="6">
        <f t="shared" si="17"/>
        <v>5259200</v>
      </c>
      <c r="I309" s="6">
        <f t="shared" si="15"/>
        <v>-630503.7947</v>
      </c>
      <c r="J309" s="610">
        <v>4.075</v>
      </c>
      <c r="K309" s="591"/>
      <c r="L309" s="6"/>
      <c r="M309" s="9">
        <v>13000.0</v>
      </c>
      <c r="N309" s="79">
        <f t="shared" si="8"/>
        <v>3934900</v>
      </c>
      <c r="O309" s="6">
        <f t="shared" si="1"/>
        <v>1463585.087</v>
      </c>
      <c r="P309" s="6"/>
      <c r="Q309" s="6">
        <f t="shared" si="9"/>
        <v>12051.29055</v>
      </c>
      <c r="R309" s="6">
        <f t="shared" si="10"/>
        <v>1463585.087</v>
      </c>
      <c r="S309" s="81">
        <f t="shared" si="2"/>
        <v>94.30201359</v>
      </c>
      <c r="T309" s="6"/>
      <c r="U309" s="6"/>
      <c r="V309" s="6"/>
      <c r="W309" s="6"/>
      <c r="X309" s="6"/>
      <c r="Y309" s="6"/>
    </row>
    <row r="310" ht="11.25" customHeight="1">
      <c r="A310" s="7"/>
      <c r="B310" s="68">
        <f t="shared" si="13"/>
        <v>305</v>
      </c>
      <c r="C310" s="607">
        <v>17300.0</v>
      </c>
      <c r="D310" s="6">
        <f t="shared" si="14"/>
        <v>-2141.085803</v>
      </c>
      <c r="E310" s="6">
        <f t="shared" si="16"/>
        <v>19441.0858</v>
      </c>
      <c r="F310" s="6">
        <f t="shared" si="5"/>
        <v>3726622.172</v>
      </c>
      <c r="G310" s="6">
        <f t="shared" si="6"/>
        <v>1549877.828</v>
      </c>
      <c r="H310" s="6">
        <f t="shared" si="17"/>
        <v>5276500</v>
      </c>
      <c r="I310" s="6">
        <f t="shared" si="15"/>
        <v>-649944.8805</v>
      </c>
      <c r="J310" s="610">
        <v>4.075</v>
      </c>
      <c r="K310" s="591"/>
      <c r="L310" s="6"/>
      <c r="M310" s="9">
        <v>13000.0</v>
      </c>
      <c r="N310" s="79">
        <f t="shared" si="8"/>
        <v>3947900</v>
      </c>
      <c r="O310" s="6">
        <f t="shared" si="1"/>
        <v>1475702.172</v>
      </c>
      <c r="P310" s="6"/>
      <c r="Q310" s="6">
        <f t="shared" si="9"/>
        <v>12117.0858</v>
      </c>
      <c r="R310" s="6">
        <f t="shared" si="10"/>
        <v>1475702.172</v>
      </c>
      <c r="S310" s="81">
        <f t="shared" si="2"/>
        <v>95.21409663</v>
      </c>
      <c r="T310" s="6"/>
      <c r="U310" s="6"/>
      <c r="V310" s="6"/>
      <c r="W310" s="6"/>
      <c r="X310" s="6"/>
      <c r="Y310" s="6"/>
    </row>
    <row r="311" ht="11.25" customHeight="1">
      <c r="A311" s="7"/>
      <c r="B311" s="68">
        <f t="shared" si="13"/>
        <v>306</v>
      </c>
      <c r="C311" s="607">
        <v>17300.0</v>
      </c>
      <c r="D311" s="6">
        <f t="shared" si="14"/>
        <v>-2207.10449</v>
      </c>
      <c r="E311" s="6">
        <f t="shared" si="16"/>
        <v>19507.10449</v>
      </c>
      <c r="F311" s="6">
        <f t="shared" si="5"/>
        <v>3746129.277</v>
      </c>
      <c r="G311" s="6">
        <f t="shared" si="6"/>
        <v>1547670.723</v>
      </c>
      <c r="H311" s="6">
        <f t="shared" si="17"/>
        <v>5293800</v>
      </c>
      <c r="I311" s="6">
        <f t="shared" si="15"/>
        <v>-669451.985</v>
      </c>
      <c r="J311" s="610">
        <v>4.075</v>
      </c>
      <c r="K311" s="591"/>
      <c r="L311" s="6"/>
      <c r="M311" s="9">
        <v>13000.0</v>
      </c>
      <c r="N311" s="79">
        <f t="shared" si="8"/>
        <v>3960900</v>
      </c>
      <c r="O311" s="6">
        <f t="shared" si="1"/>
        <v>1487885.277</v>
      </c>
      <c r="P311" s="6"/>
      <c r="Q311" s="6">
        <f t="shared" si="9"/>
        <v>12183.10449</v>
      </c>
      <c r="R311" s="6">
        <f t="shared" si="10"/>
        <v>1487885.277</v>
      </c>
      <c r="S311" s="81">
        <f t="shared" si="2"/>
        <v>96.13706938</v>
      </c>
      <c r="T311" s="6"/>
      <c r="U311" s="6"/>
      <c r="V311" s="6"/>
      <c r="W311" s="6"/>
      <c r="X311" s="6"/>
      <c r="Y311" s="6"/>
    </row>
    <row r="312" ht="11.25" customHeight="1">
      <c r="A312" s="7"/>
      <c r="B312" s="68">
        <f t="shared" si="13"/>
        <v>307</v>
      </c>
      <c r="C312" s="607">
        <v>17300.0</v>
      </c>
      <c r="D312" s="6">
        <f t="shared" si="14"/>
        <v>-2273.347366</v>
      </c>
      <c r="E312" s="6">
        <f t="shared" si="16"/>
        <v>19573.34737</v>
      </c>
      <c r="F312" s="6">
        <f t="shared" si="5"/>
        <v>3765702.624</v>
      </c>
      <c r="G312" s="6">
        <f t="shared" si="6"/>
        <v>1545397.376</v>
      </c>
      <c r="H312" s="6">
        <f t="shared" si="17"/>
        <v>5311100</v>
      </c>
      <c r="I312" s="6">
        <f t="shared" si="15"/>
        <v>-689025.3324</v>
      </c>
      <c r="J312" s="610">
        <v>4.075</v>
      </c>
      <c r="K312" s="591"/>
      <c r="L312" s="6"/>
      <c r="M312" s="9">
        <v>13000.0</v>
      </c>
      <c r="N312" s="79">
        <f t="shared" si="8"/>
        <v>3973900</v>
      </c>
      <c r="O312" s="6">
        <f t="shared" si="1"/>
        <v>1500134.624</v>
      </c>
      <c r="P312" s="6"/>
      <c r="Q312" s="6">
        <f t="shared" si="9"/>
        <v>12249.34737</v>
      </c>
      <c r="R312" s="6">
        <f t="shared" si="10"/>
        <v>1500134.624</v>
      </c>
      <c r="S312" s="81">
        <f t="shared" si="2"/>
        <v>97.07112538</v>
      </c>
      <c r="T312" s="6"/>
      <c r="U312" s="6"/>
      <c r="V312" s="6"/>
      <c r="W312" s="6"/>
      <c r="X312" s="6"/>
      <c r="Y312" s="6"/>
    </row>
    <row r="313" ht="11.25" customHeight="1">
      <c r="A313" s="7"/>
      <c r="B313" s="68">
        <f t="shared" si="13"/>
        <v>308</v>
      </c>
      <c r="C313" s="607">
        <v>17300.0</v>
      </c>
      <c r="D313" s="6">
        <f t="shared" si="14"/>
        <v>-2339.815191</v>
      </c>
      <c r="E313" s="6">
        <f t="shared" si="16"/>
        <v>19639.81519</v>
      </c>
      <c r="F313" s="6">
        <f t="shared" si="5"/>
        <v>3785342.439</v>
      </c>
      <c r="G313" s="6">
        <f t="shared" si="6"/>
        <v>1543057.561</v>
      </c>
      <c r="H313" s="6">
        <f t="shared" si="17"/>
        <v>5328400</v>
      </c>
      <c r="I313" s="6">
        <f t="shared" si="15"/>
        <v>-708665.1476</v>
      </c>
      <c r="J313" s="610">
        <v>4.075</v>
      </c>
      <c r="K313" s="591"/>
      <c r="L313" s="6"/>
      <c r="M313" s="9">
        <v>13000.0</v>
      </c>
      <c r="N313" s="79">
        <f t="shared" si="8"/>
        <v>3986900</v>
      </c>
      <c r="O313" s="6">
        <f t="shared" si="1"/>
        <v>1512450.439</v>
      </c>
      <c r="P313" s="6"/>
      <c r="Q313" s="6">
        <f t="shared" si="9"/>
        <v>12315.81519</v>
      </c>
      <c r="R313" s="6">
        <f t="shared" si="10"/>
        <v>1512450.439</v>
      </c>
      <c r="S313" s="81">
        <f t="shared" si="2"/>
        <v>98.01646277</v>
      </c>
      <c r="T313" s="6"/>
      <c r="U313" s="6"/>
      <c r="V313" s="6"/>
      <c r="W313" s="6"/>
      <c r="X313" s="6"/>
      <c r="Y313" s="6"/>
    </row>
    <row r="314" ht="11.25" customHeight="1">
      <c r="A314" s="7"/>
      <c r="B314" s="68">
        <f t="shared" si="13"/>
        <v>309</v>
      </c>
      <c r="C314" s="607">
        <v>17300.0</v>
      </c>
      <c r="D314" s="6">
        <f t="shared" si="14"/>
        <v>-2406.50873</v>
      </c>
      <c r="E314" s="6">
        <f t="shared" si="16"/>
        <v>19706.50873</v>
      </c>
      <c r="F314" s="6">
        <f t="shared" si="5"/>
        <v>3805048.948</v>
      </c>
      <c r="G314" s="6">
        <f t="shared" si="6"/>
        <v>1540651.052</v>
      </c>
      <c r="H314" s="6">
        <f t="shared" si="17"/>
        <v>5345700</v>
      </c>
      <c r="I314" s="6">
        <f t="shared" si="15"/>
        <v>-728371.6563</v>
      </c>
      <c r="J314" s="610">
        <v>4.075</v>
      </c>
      <c r="K314" s="591"/>
      <c r="L314" s="6"/>
      <c r="M314" s="9">
        <v>13000.0</v>
      </c>
      <c r="N314" s="79">
        <f t="shared" si="8"/>
        <v>3999900</v>
      </c>
      <c r="O314" s="6">
        <f t="shared" si="1"/>
        <v>1524832.948</v>
      </c>
      <c r="P314" s="6"/>
      <c r="Q314" s="6">
        <f t="shared" si="9"/>
        <v>12382.50873</v>
      </c>
      <c r="R314" s="6">
        <f t="shared" si="10"/>
        <v>1524832.948</v>
      </c>
      <c r="S314" s="81">
        <f t="shared" si="2"/>
        <v>98.97328447</v>
      </c>
      <c r="T314" s="6"/>
      <c r="U314" s="6"/>
      <c r="V314" s="6"/>
      <c r="W314" s="6"/>
      <c r="X314" s="6"/>
      <c r="Y314" s="6"/>
    </row>
    <row r="315" ht="11.25" customHeight="1">
      <c r="A315" s="7"/>
      <c r="B315" s="68">
        <f t="shared" si="13"/>
        <v>310</v>
      </c>
      <c r="C315" s="607">
        <v>17300.0</v>
      </c>
      <c r="D315" s="6">
        <f t="shared" si="14"/>
        <v>-2473.42875</v>
      </c>
      <c r="E315" s="6">
        <f t="shared" si="16"/>
        <v>19773.42875</v>
      </c>
      <c r="F315" s="6">
        <f t="shared" si="5"/>
        <v>3824822.377</v>
      </c>
      <c r="G315" s="6">
        <f t="shared" si="6"/>
        <v>1538177.623</v>
      </c>
      <c r="H315" s="6">
        <f t="shared" si="17"/>
        <v>5363000</v>
      </c>
      <c r="I315" s="6">
        <f t="shared" si="15"/>
        <v>-748145.0851</v>
      </c>
      <c r="J315" s="610">
        <v>4.075</v>
      </c>
      <c r="K315" s="591"/>
      <c r="L315" s="6"/>
      <c r="M315" s="9">
        <v>13000.0</v>
      </c>
      <c r="N315" s="79">
        <f t="shared" si="8"/>
        <v>4012900</v>
      </c>
      <c r="O315" s="6">
        <f t="shared" si="1"/>
        <v>1537282.377</v>
      </c>
      <c r="P315" s="6"/>
      <c r="Q315" s="6">
        <f t="shared" si="9"/>
        <v>12449.42875</v>
      </c>
      <c r="R315" s="6">
        <f t="shared" si="10"/>
        <v>1537282.377</v>
      </c>
      <c r="S315" s="81">
        <f t="shared" si="2"/>
        <v>99.94179826</v>
      </c>
      <c r="T315" s="6"/>
      <c r="U315" s="6"/>
      <c r="V315" s="6"/>
      <c r="W315" s="6"/>
      <c r="X315" s="6"/>
      <c r="Y315" s="6"/>
    </row>
    <row r="316" ht="11.25" customHeight="1">
      <c r="A316" s="7"/>
      <c r="B316" s="68">
        <f t="shared" si="13"/>
        <v>311</v>
      </c>
      <c r="C316" s="607">
        <v>17300.0</v>
      </c>
      <c r="D316" s="6">
        <f t="shared" si="14"/>
        <v>-2540.576018</v>
      </c>
      <c r="E316" s="6">
        <f t="shared" si="16"/>
        <v>19840.57602</v>
      </c>
      <c r="F316" s="6">
        <f t="shared" si="5"/>
        <v>3844662.953</v>
      </c>
      <c r="G316" s="6">
        <f t="shared" si="6"/>
        <v>1535637.047</v>
      </c>
      <c r="H316" s="6">
        <f t="shared" si="17"/>
        <v>5380300</v>
      </c>
      <c r="I316" s="6">
        <f t="shared" si="15"/>
        <v>-767985.6611</v>
      </c>
      <c r="J316" s="610">
        <v>4.075</v>
      </c>
      <c r="K316" s="591"/>
      <c r="L316" s="6"/>
      <c r="M316" s="9">
        <v>13000.0</v>
      </c>
      <c r="N316" s="79">
        <f t="shared" si="8"/>
        <v>4025900</v>
      </c>
      <c r="O316" s="6">
        <f t="shared" si="1"/>
        <v>1549798.953</v>
      </c>
      <c r="P316" s="6"/>
      <c r="Q316" s="6">
        <f t="shared" si="9"/>
        <v>12516.57602</v>
      </c>
      <c r="R316" s="6">
        <f t="shared" si="10"/>
        <v>1549798.953</v>
      </c>
      <c r="S316" s="81">
        <f t="shared" si="2"/>
        <v>100.922217</v>
      </c>
      <c r="T316" s="6"/>
      <c r="U316" s="6"/>
      <c r="V316" s="6"/>
      <c r="W316" s="6"/>
      <c r="X316" s="6"/>
      <c r="Y316" s="6"/>
    </row>
    <row r="317" ht="11.25" customHeight="1">
      <c r="A317" s="71"/>
      <c r="B317" s="72">
        <f t="shared" si="13"/>
        <v>312</v>
      </c>
      <c r="C317" s="607">
        <v>17300.0</v>
      </c>
      <c r="D317" s="10">
        <f t="shared" si="14"/>
        <v>-2607.951307</v>
      </c>
      <c r="E317" s="10">
        <f t="shared" si="16"/>
        <v>19907.95131</v>
      </c>
      <c r="F317" s="10">
        <f t="shared" si="5"/>
        <v>3864570.904</v>
      </c>
      <c r="G317" s="10">
        <f t="shared" si="6"/>
        <v>1533029.096</v>
      </c>
      <c r="H317" s="10">
        <f t="shared" si="17"/>
        <v>5397600</v>
      </c>
      <c r="I317" s="10">
        <f t="shared" si="15"/>
        <v>-787893.6124</v>
      </c>
      <c r="J317" s="610">
        <v>4.075</v>
      </c>
      <c r="K317" s="591"/>
      <c r="L317" s="6"/>
      <c r="M317" s="9">
        <v>13000.0</v>
      </c>
      <c r="N317" s="79">
        <f t="shared" si="8"/>
        <v>4038900</v>
      </c>
      <c r="O317" s="6">
        <f t="shared" si="1"/>
        <v>1562382.904</v>
      </c>
      <c r="P317" s="6"/>
      <c r="Q317" s="6">
        <f t="shared" si="9"/>
        <v>12583.95131</v>
      </c>
      <c r="R317" s="6">
        <f t="shared" si="10"/>
        <v>1562382.904</v>
      </c>
      <c r="S317" s="81">
        <f t="shared" si="2"/>
        <v>101.9147587</v>
      </c>
      <c r="T317" s="6"/>
      <c r="U317" s="6"/>
      <c r="V317" s="6"/>
      <c r="W317" s="6"/>
      <c r="X317" s="6"/>
      <c r="Y317" s="6"/>
    </row>
    <row r="318" ht="11.25" customHeight="1">
      <c r="A318" s="100">
        <v>27.0</v>
      </c>
      <c r="B318" s="66">
        <f t="shared" si="13"/>
        <v>313</v>
      </c>
      <c r="C318" s="607">
        <v>17300.0</v>
      </c>
      <c r="D318" s="617">
        <f t="shared" si="14"/>
        <v>-2675.555392</v>
      </c>
      <c r="E318" s="617">
        <f t="shared" si="16"/>
        <v>19975.55539</v>
      </c>
      <c r="F318" s="617">
        <f t="shared" si="5"/>
        <v>3884546.46</v>
      </c>
      <c r="G318" s="617">
        <f t="shared" si="6"/>
        <v>1530353.54</v>
      </c>
      <c r="H318" s="617">
        <f t="shared" si="17"/>
        <v>5414900</v>
      </c>
      <c r="I318" s="617">
        <f t="shared" si="15"/>
        <v>-807869.1678</v>
      </c>
      <c r="J318" s="610">
        <v>4.075</v>
      </c>
      <c r="K318" s="591"/>
      <c r="L318" s="6"/>
      <c r="M318" s="9">
        <v>13000.0</v>
      </c>
      <c r="N318" s="79">
        <f t="shared" si="8"/>
        <v>4051900</v>
      </c>
      <c r="O318" s="6">
        <f t="shared" si="1"/>
        <v>1575034.46</v>
      </c>
      <c r="P318" s="6"/>
      <c r="Q318" s="6">
        <f t="shared" si="9"/>
        <v>12651.55539</v>
      </c>
      <c r="R318" s="6">
        <f t="shared" si="10"/>
        <v>1575034.46</v>
      </c>
      <c r="S318" s="81">
        <f t="shared" si="2"/>
        <v>102.9196469</v>
      </c>
      <c r="T318" s="6"/>
      <c r="U318" s="6"/>
      <c r="V318" s="6"/>
      <c r="W318" s="6"/>
      <c r="X318" s="6"/>
      <c r="Y318" s="6"/>
    </row>
    <row r="319" ht="11.25" customHeight="1">
      <c r="A319" s="7"/>
      <c r="B319" s="68">
        <f t="shared" si="13"/>
        <v>314</v>
      </c>
      <c r="C319" s="607">
        <v>17300.0</v>
      </c>
      <c r="D319" s="6">
        <f t="shared" si="14"/>
        <v>-2743.389049</v>
      </c>
      <c r="E319" s="6">
        <f t="shared" si="16"/>
        <v>20043.38905</v>
      </c>
      <c r="F319" s="6">
        <f t="shared" si="5"/>
        <v>3904589.849</v>
      </c>
      <c r="G319" s="6">
        <f t="shared" si="6"/>
        <v>1527610.151</v>
      </c>
      <c r="H319" s="6">
        <f t="shared" si="17"/>
        <v>5432200</v>
      </c>
      <c r="I319" s="6">
        <f t="shared" si="15"/>
        <v>-827912.5568</v>
      </c>
      <c r="J319" s="610">
        <v>4.075</v>
      </c>
      <c r="K319" s="591"/>
      <c r="L319" s="6"/>
      <c r="M319" s="9">
        <v>13000.0</v>
      </c>
      <c r="N319" s="79">
        <f t="shared" si="8"/>
        <v>4064900</v>
      </c>
      <c r="O319" s="6">
        <f t="shared" si="1"/>
        <v>1587753.849</v>
      </c>
      <c r="P319" s="6"/>
      <c r="Q319" s="6">
        <f t="shared" si="9"/>
        <v>12719.38905</v>
      </c>
      <c r="R319" s="6">
        <f t="shared" si="10"/>
        <v>1587753.849</v>
      </c>
      <c r="S319" s="81">
        <f t="shared" si="2"/>
        <v>103.9371103</v>
      </c>
      <c r="T319" s="6"/>
      <c r="U319" s="6"/>
      <c r="V319" s="6"/>
      <c r="W319" s="6"/>
      <c r="X319" s="6"/>
      <c r="Y319" s="6"/>
    </row>
    <row r="320" ht="11.25" customHeight="1">
      <c r="A320" s="7"/>
      <c r="B320" s="68">
        <f t="shared" si="13"/>
        <v>315</v>
      </c>
      <c r="C320" s="607">
        <v>17300.0</v>
      </c>
      <c r="D320" s="6">
        <f t="shared" si="14"/>
        <v>-2811.453058</v>
      </c>
      <c r="E320" s="6">
        <f t="shared" si="16"/>
        <v>20111.45306</v>
      </c>
      <c r="F320" s="6">
        <f t="shared" si="5"/>
        <v>3924701.302</v>
      </c>
      <c r="G320" s="6">
        <f t="shared" si="6"/>
        <v>1524798.698</v>
      </c>
      <c r="H320" s="6">
        <f t="shared" si="17"/>
        <v>5449500</v>
      </c>
      <c r="I320" s="6">
        <f t="shared" si="15"/>
        <v>-848024.0099</v>
      </c>
      <c r="J320" s="610">
        <v>4.075</v>
      </c>
      <c r="K320" s="591"/>
      <c r="L320" s="6"/>
      <c r="M320" s="9">
        <v>13000.0</v>
      </c>
      <c r="N320" s="79">
        <f t="shared" si="8"/>
        <v>4077900</v>
      </c>
      <c r="O320" s="6">
        <f t="shared" si="1"/>
        <v>1600541.302</v>
      </c>
      <c r="P320" s="6"/>
      <c r="Q320" s="6">
        <f t="shared" si="9"/>
        <v>12787.45306</v>
      </c>
      <c r="R320" s="6">
        <f t="shared" si="10"/>
        <v>1600541.302</v>
      </c>
      <c r="S320" s="81">
        <f t="shared" si="2"/>
        <v>104.9673838</v>
      </c>
      <c r="T320" s="6"/>
      <c r="U320" s="6"/>
      <c r="V320" s="6"/>
      <c r="W320" s="6"/>
      <c r="X320" s="6"/>
      <c r="Y320" s="6"/>
    </row>
    <row r="321" ht="11.25" customHeight="1">
      <c r="A321" s="7"/>
      <c r="B321" s="68">
        <f t="shared" si="13"/>
        <v>316</v>
      </c>
      <c r="C321" s="607">
        <v>17300.0</v>
      </c>
      <c r="D321" s="6">
        <f t="shared" si="14"/>
        <v>-2879.7482</v>
      </c>
      <c r="E321" s="6">
        <f t="shared" si="16"/>
        <v>20179.7482</v>
      </c>
      <c r="F321" s="6">
        <f t="shared" si="5"/>
        <v>3944881.05</v>
      </c>
      <c r="G321" s="6">
        <f t="shared" si="6"/>
        <v>1521918.95</v>
      </c>
      <c r="H321" s="6">
        <f t="shared" si="17"/>
        <v>5466800</v>
      </c>
      <c r="I321" s="6">
        <f t="shared" si="15"/>
        <v>-868203.7581</v>
      </c>
      <c r="J321" s="610">
        <v>4.075</v>
      </c>
      <c r="K321" s="591"/>
      <c r="L321" s="6"/>
      <c r="M321" s="9">
        <v>13000.0</v>
      </c>
      <c r="N321" s="79">
        <f t="shared" si="8"/>
        <v>4090900</v>
      </c>
      <c r="O321" s="6">
        <f t="shared" si="1"/>
        <v>1613397.05</v>
      </c>
      <c r="P321" s="6"/>
      <c r="Q321" s="6">
        <f t="shared" si="9"/>
        <v>12855.7482</v>
      </c>
      <c r="R321" s="6">
        <f t="shared" si="10"/>
        <v>1613397.05</v>
      </c>
      <c r="S321" s="81">
        <f t="shared" si="2"/>
        <v>106.0107077</v>
      </c>
      <c r="T321" s="6"/>
      <c r="U321" s="6"/>
      <c r="V321" s="6"/>
      <c r="W321" s="6"/>
      <c r="X321" s="6"/>
      <c r="Y321" s="6"/>
    </row>
    <row r="322" ht="11.25" customHeight="1">
      <c r="A322" s="7"/>
      <c r="B322" s="68">
        <f t="shared" si="13"/>
        <v>317</v>
      </c>
      <c r="C322" s="607">
        <v>17300.0</v>
      </c>
      <c r="D322" s="6">
        <f t="shared" si="14"/>
        <v>-2948.275262</v>
      </c>
      <c r="E322" s="6">
        <f t="shared" si="16"/>
        <v>20248.27526</v>
      </c>
      <c r="F322" s="6">
        <f t="shared" si="5"/>
        <v>3965129.325</v>
      </c>
      <c r="G322" s="6">
        <f t="shared" si="6"/>
        <v>1518970.675</v>
      </c>
      <c r="H322" s="6">
        <f t="shared" si="17"/>
        <v>5484100</v>
      </c>
      <c r="I322" s="6">
        <f t="shared" si="15"/>
        <v>-888452.0334</v>
      </c>
      <c r="J322" s="610">
        <v>4.075</v>
      </c>
      <c r="K322" s="591"/>
      <c r="L322" s="6"/>
      <c r="M322" s="9">
        <v>13000.0</v>
      </c>
      <c r="N322" s="79">
        <f t="shared" si="8"/>
        <v>4103900</v>
      </c>
      <c r="O322" s="6">
        <f t="shared" si="1"/>
        <v>1626321.325</v>
      </c>
      <c r="P322" s="6"/>
      <c r="Q322" s="6">
        <f t="shared" si="9"/>
        <v>12924.27526</v>
      </c>
      <c r="R322" s="6">
        <f t="shared" si="10"/>
        <v>1626321.325</v>
      </c>
      <c r="S322" s="81">
        <f t="shared" si="2"/>
        <v>107.0673287</v>
      </c>
      <c r="T322" s="6"/>
      <c r="U322" s="6"/>
      <c r="V322" s="6"/>
      <c r="W322" s="6"/>
      <c r="X322" s="6"/>
      <c r="Y322" s="6"/>
    </row>
    <row r="323" ht="11.25" customHeight="1">
      <c r="A323" s="7"/>
      <c r="B323" s="68">
        <f t="shared" si="13"/>
        <v>318</v>
      </c>
      <c r="C323" s="607">
        <v>17300.0</v>
      </c>
      <c r="D323" s="6">
        <f t="shared" si="14"/>
        <v>-3017.03503</v>
      </c>
      <c r="E323" s="6">
        <f t="shared" si="16"/>
        <v>20317.03503</v>
      </c>
      <c r="F323" s="6">
        <f t="shared" si="5"/>
        <v>3985446.36</v>
      </c>
      <c r="G323" s="6">
        <f t="shared" si="6"/>
        <v>1515953.64</v>
      </c>
      <c r="H323" s="6">
        <f t="shared" si="17"/>
        <v>5501400</v>
      </c>
      <c r="I323" s="6">
        <f t="shared" si="15"/>
        <v>-908769.0684</v>
      </c>
      <c r="J323" s="610">
        <v>4.075</v>
      </c>
      <c r="K323" s="591"/>
      <c r="L323" s="6"/>
      <c r="M323" s="9">
        <v>13000.0</v>
      </c>
      <c r="N323" s="79">
        <f t="shared" si="8"/>
        <v>4116900</v>
      </c>
      <c r="O323" s="6">
        <f t="shared" si="1"/>
        <v>1639314.36</v>
      </c>
      <c r="P323" s="6"/>
      <c r="Q323" s="6">
        <f t="shared" si="9"/>
        <v>12993.03503</v>
      </c>
      <c r="R323" s="6">
        <f t="shared" si="10"/>
        <v>1639314.36</v>
      </c>
      <c r="S323" s="81">
        <f t="shared" si="2"/>
        <v>108.1374995</v>
      </c>
      <c r="T323" s="6"/>
      <c r="U323" s="6"/>
      <c r="V323" s="6"/>
      <c r="W323" s="6"/>
      <c r="X323" s="6"/>
      <c r="Y323" s="6"/>
    </row>
    <row r="324" ht="11.25" customHeight="1">
      <c r="A324" s="7"/>
      <c r="B324" s="68">
        <f t="shared" si="13"/>
        <v>319</v>
      </c>
      <c r="C324" s="607">
        <v>17300.0</v>
      </c>
      <c r="D324" s="6">
        <f t="shared" si="14"/>
        <v>-3086.028295</v>
      </c>
      <c r="E324" s="6">
        <f t="shared" si="16"/>
        <v>20386.02829</v>
      </c>
      <c r="F324" s="6">
        <f t="shared" si="5"/>
        <v>4005832.389</v>
      </c>
      <c r="G324" s="6">
        <f t="shared" si="6"/>
        <v>1512867.611</v>
      </c>
      <c r="H324" s="6">
        <f t="shared" si="17"/>
        <v>5518700</v>
      </c>
      <c r="I324" s="6">
        <f t="shared" si="15"/>
        <v>-929155.0967</v>
      </c>
      <c r="J324" s="610">
        <v>4.075</v>
      </c>
      <c r="K324" s="591"/>
      <c r="L324" s="6"/>
      <c r="M324" s="9">
        <v>13000.0</v>
      </c>
      <c r="N324" s="79">
        <f t="shared" si="8"/>
        <v>4129900</v>
      </c>
      <c r="O324" s="6">
        <f t="shared" si="1"/>
        <v>1652376.389</v>
      </c>
      <c r="P324" s="6"/>
      <c r="Q324" s="6">
        <f t="shared" si="9"/>
        <v>13062.02829</v>
      </c>
      <c r="R324" s="6">
        <f t="shared" si="10"/>
        <v>1652376.389</v>
      </c>
      <c r="S324" s="81">
        <f t="shared" si="2"/>
        <v>109.2214795</v>
      </c>
      <c r="T324" s="6"/>
      <c r="U324" s="6"/>
      <c r="V324" s="6"/>
      <c r="W324" s="6"/>
      <c r="X324" s="6"/>
      <c r="Y324" s="6"/>
    </row>
    <row r="325" ht="11.25" customHeight="1">
      <c r="A325" s="7"/>
      <c r="B325" s="68">
        <f t="shared" si="13"/>
        <v>320</v>
      </c>
      <c r="C325" s="607">
        <v>17300.0</v>
      </c>
      <c r="D325" s="6">
        <f t="shared" si="14"/>
        <v>-3155.255849</v>
      </c>
      <c r="E325" s="6">
        <f t="shared" si="16"/>
        <v>20455.25585</v>
      </c>
      <c r="F325" s="6">
        <f t="shared" si="5"/>
        <v>4026287.644</v>
      </c>
      <c r="G325" s="6">
        <f t="shared" si="6"/>
        <v>1509712.356</v>
      </c>
      <c r="H325" s="6">
        <f t="shared" si="17"/>
        <v>5536000</v>
      </c>
      <c r="I325" s="6">
        <f t="shared" si="15"/>
        <v>-949610.3525</v>
      </c>
      <c r="J325" s="610">
        <v>4.075</v>
      </c>
      <c r="K325" s="591"/>
      <c r="L325" s="6"/>
      <c r="M325" s="9">
        <v>13000.0</v>
      </c>
      <c r="N325" s="79">
        <f t="shared" si="8"/>
        <v>4142900</v>
      </c>
      <c r="O325" s="6">
        <f t="shared" si="1"/>
        <v>1665507.644</v>
      </c>
      <c r="P325" s="6"/>
      <c r="Q325" s="6">
        <f t="shared" si="9"/>
        <v>13131.25585</v>
      </c>
      <c r="R325" s="6">
        <f t="shared" si="10"/>
        <v>1665507.644</v>
      </c>
      <c r="S325" s="81">
        <f t="shared" si="2"/>
        <v>110.3195346</v>
      </c>
      <c r="T325" s="6"/>
      <c r="U325" s="6"/>
      <c r="V325" s="6"/>
      <c r="W325" s="6"/>
      <c r="X325" s="6"/>
      <c r="Y325" s="6"/>
    </row>
    <row r="326" ht="11.25" customHeight="1">
      <c r="A326" s="7"/>
      <c r="B326" s="68">
        <f t="shared" si="13"/>
        <v>321</v>
      </c>
      <c r="C326" s="607">
        <v>17300.0</v>
      </c>
      <c r="D326" s="6">
        <f t="shared" si="14"/>
        <v>-3224.718489</v>
      </c>
      <c r="E326" s="6">
        <f t="shared" si="16"/>
        <v>20524.71849</v>
      </c>
      <c r="F326" s="6">
        <f t="shared" si="5"/>
        <v>4046812.363</v>
      </c>
      <c r="G326" s="6">
        <f t="shared" si="6"/>
        <v>1506487.637</v>
      </c>
      <c r="H326" s="6">
        <f t="shared" si="17"/>
        <v>5553300</v>
      </c>
      <c r="I326" s="6">
        <f t="shared" si="15"/>
        <v>-970135.071</v>
      </c>
      <c r="J326" s="610">
        <v>4.075</v>
      </c>
      <c r="K326" s="591"/>
      <c r="L326" s="6"/>
      <c r="M326" s="9">
        <v>13000.0</v>
      </c>
      <c r="N326" s="79">
        <f t="shared" si="8"/>
        <v>4155900</v>
      </c>
      <c r="O326" s="6">
        <f t="shared" si="1"/>
        <v>1678708.363</v>
      </c>
      <c r="P326" s="6"/>
      <c r="Q326" s="6">
        <f t="shared" si="9"/>
        <v>13200.71849</v>
      </c>
      <c r="R326" s="6">
        <f t="shared" si="10"/>
        <v>1678708.363</v>
      </c>
      <c r="S326" s="81">
        <f t="shared" si="2"/>
        <v>111.4319375</v>
      </c>
      <c r="T326" s="6"/>
      <c r="U326" s="6"/>
      <c r="V326" s="6"/>
      <c r="W326" s="6"/>
      <c r="X326" s="6"/>
      <c r="Y326" s="6"/>
    </row>
    <row r="327" ht="11.25" customHeight="1">
      <c r="A327" s="7"/>
      <c r="B327" s="68">
        <f t="shared" si="13"/>
        <v>322</v>
      </c>
      <c r="C327" s="607">
        <v>17300.0</v>
      </c>
      <c r="D327" s="6">
        <f t="shared" si="14"/>
        <v>-3294.417012</v>
      </c>
      <c r="E327" s="6">
        <f t="shared" si="16"/>
        <v>20594.41701</v>
      </c>
      <c r="F327" s="6">
        <f t="shared" si="5"/>
        <v>4067406.78</v>
      </c>
      <c r="G327" s="6">
        <f t="shared" si="6"/>
        <v>1503193.22</v>
      </c>
      <c r="H327" s="6">
        <f t="shared" si="17"/>
        <v>5570600</v>
      </c>
      <c r="I327" s="6">
        <f t="shared" si="15"/>
        <v>-990729.488</v>
      </c>
      <c r="J327" s="610">
        <v>4.075</v>
      </c>
      <c r="K327" s="591"/>
      <c r="L327" s="6"/>
      <c r="M327" s="9">
        <v>13000.0</v>
      </c>
      <c r="N327" s="79">
        <f t="shared" si="8"/>
        <v>4168900</v>
      </c>
      <c r="O327" s="6">
        <f t="shared" si="1"/>
        <v>1691978.78</v>
      </c>
      <c r="P327" s="6"/>
      <c r="Q327" s="6">
        <f t="shared" si="9"/>
        <v>13270.41701</v>
      </c>
      <c r="R327" s="6">
        <f t="shared" si="10"/>
        <v>1691978.78</v>
      </c>
      <c r="S327" s="81">
        <f t="shared" si="2"/>
        <v>112.5589683</v>
      </c>
      <c r="T327" s="6"/>
      <c r="U327" s="6"/>
      <c r="V327" s="6"/>
      <c r="W327" s="6"/>
      <c r="X327" s="6"/>
      <c r="Y327" s="6"/>
    </row>
    <row r="328" ht="11.25" customHeight="1">
      <c r="A328" s="7"/>
      <c r="B328" s="68">
        <f t="shared" si="13"/>
        <v>323</v>
      </c>
      <c r="C328" s="607">
        <v>17300.0</v>
      </c>
      <c r="D328" s="6">
        <f t="shared" si="14"/>
        <v>-3364.35222</v>
      </c>
      <c r="E328" s="6">
        <f t="shared" si="16"/>
        <v>20664.35222</v>
      </c>
      <c r="F328" s="6">
        <f t="shared" si="5"/>
        <v>4088071.132</v>
      </c>
      <c r="G328" s="6">
        <f t="shared" si="6"/>
        <v>1499828.868</v>
      </c>
      <c r="H328" s="6">
        <f t="shared" si="17"/>
        <v>5587900</v>
      </c>
      <c r="I328" s="6">
        <f t="shared" si="15"/>
        <v>-1011393.84</v>
      </c>
      <c r="J328" s="610">
        <v>4.075</v>
      </c>
      <c r="K328" s="591"/>
      <c r="L328" s="6"/>
      <c r="M328" s="9">
        <v>13000.0</v>
      </c>
      <c r="N328" s="79">
        <f t="shared" si="8"/>
        <v>4181900</v>
      </c>
      <c r="O328" s="6">
        <f t="shared" si="1"/>
        <v>1705319.132</v>
      </c>
      <c r="P328" s="6"/>
      <c r="Q328" s="6">
        <f t="shared" si="9"/>
        <v>13340.35222</v>
      </c>
      <c r="R328" s="6">
        <f t="shared" si="10"/>
        <v>1705319.132</v>
      </c>
      <c r="S328" s="81">
        <f t="shared" si="2"/>
        <v>113.7009141</v>
      </c>
      <c r="T328" s="6"/>
      <c r="U328" s="6"/>
      <c r="V328" s="6"/>
      <c r="W328" s="6"/>
      <c r="X328" s="6"/>
      <c r="Y328" s="6"/>
    </row>
    <row r="329" ht="11.25" customHeight="1">
      <c r="A329" s="71"/>
      <c r="B329" s="72">
        <f t="shared" si="13"/>
        <v>324</v>
      </c>
      <c r="C329" s="607">
        <v>17300.0</v>
      </c>
      <c r="D329" s="10">
        <f t="shared" si="14"/>
        <v>-3434.524916</v>
      </c>
      <c r="E329" s="10">
        <f t="shared" si="16"/>
        <v>20734.52492</v>
      </c>
      <c r="F329" s="10">
        <f t="shared" si="5"/>
        <v>4108805.657</v>
      </c>
      <c r="G329" s="10">
        <f t="shared" si="6"/>
        <v>1496394.343</v>
      </c>
      <c r="H329" s="10">
        <f t="shared" si="17"/>
        <v>5605200</v>
      </c>
      <c r="I329" s="10">
        <f t="shared" si="15"/>
        <v>-1032128.365</v>
      </c>
      <c r="J329" s="610">
        <v>4.075</v>
      </c>
      <c r="K329" s="591"/>
      <c r="L329" s="6"/>
      <c r="M329" s="9">
        <v>13000.0</v>
      </c>
      <c r="N329" s="79">
        <f t="shared" si="8"/>
        <v>4194900</v>
      </c>
      <c r="O329" s="6">
        <f t="shared" si="1"/>
        <v>1718729.657</v>
      </c>
      <c r="P329" s="6"/>
      <c r="Q329" s="6">
        <f t="shared" si="9"/>
        <v>13410.52492</v>
      </c>
      <c r="R329" s="6">
        <f t="shared" si="10"/>
        <v>1718729.657</v>
      </c>
      <c r="S329" s="81">
        <f t="shared" si="2"/>
        <v>114.8580697</v>
      </c>
      <c r="T329" s="6"/>
      <c r="U329" s="6"/>
      <c r="V329" s="6"/>
      <c r="W329" s="6"/>
      <c r="X329" s="6"/>
      <c r="Y329" s="6"/>
    </row>
    <row r="330" ht="11.25" customHeight="1">
      <c r="A330" s="100">
        <v>28.0</v>
      </c>
      <c r="B330" s="66">
        <f t="shared" si="13"/>
        <v>325</v>
      </c>
      <c r="C330" s="607">
        <v>17300.0</v>
      </c>
      <c r="D330" s="617">
        <f t="shared" si="14"/>
        <v>-3504.935907</v>
      </c>
      <c r="E330" s="617">
        <f t="shared" si="16"/>
        <v>20804.93591</v>
      </c>
      <c r="F330" s="617">
        <f t="shared" si="5"/>
        <v>4129610.593</v>
      </c>
      <c r="G330" s="617">
        <f t="shared" si="6"/>
        <v>1492889.407</v>
      </c>
      <c r="H330" s="617">
        <f t="shared" si="17"/>
        <v>5622500</v>
      </c>
      <c r="I330" s="617">
        <f t="shared" si="15"/>
        <v>-1052933.301</v>
      </c>
      <c r="J330" s="610">
        <v>4.075</v>
      </c>
      <c r="K330" s="591"/>
      <c r="L330" s="6"/>
      <c r="M330" s="9">
        <v>13000.0</v>
      </c>
      <c r="N330" s="79">
        <f t="shared" si="8"/>
        <v>4207900</v>
      </c>
      <c r="O330" s="6">
        <f t="shared" si="1"/>
        <v>1732210.593</v>
      </c>
      <c r="P330" s="6"/>
      <c r="Q330" s="6">
        <f t="shared" si="9"/>
        <v>13480.93591</v>
      </c>
      <c r="R330" s="6">
        <f t="shared" si="10"/>
        <v>1732210.593</v>
      </c>
      <c r="S330" s="81">
        <f t="shared" si="2"/>
        <v>116.0307378</v>
      </c>
      <c r="T330" s="6"/>
      <c r="U330" s="6"/>
      <c r="V330" s="6"/>
      <c r="W330" s="6"/>
      <c r="X330" s="6"/>
      <c r="Y330" s="6"/>
    </row>
    <row r="331" ht="11.25" customHeight="1">
      <c r="A331" s="7"/>
      <c r="B331" s="68">
        <f t="shared" si="13"/>
        <v>326</v>
      </c>
      <c r="C331" s="607">
        <v>17300.0</v>
      </c>
      <c r="D331" s="6">
        <f t="shared" si="14"/>
        <v>-3575.586002</v>
      </c>
      <c r="E331" s="6">
        <f t="shared" si="16"/>
        <v>20875.586</v>
      </c>
      <c r="F331" s="6">
        <f t="shared" si="5"/>
        <v>4150486.179</v>
      </c>
      <c r="G331" s="6">
        <f t="shared" si="6"/>
        <v>1489313.821</v>
      </c>
      <c r="H331" s="6">
        <f t="shared" si="17"/>
        <v>5639800</v>
      </c>
      <c r="I331" s="6">
        <f t="shared" si="15"/>
        <v>-1073808.887</v>
      </c>
      <c r="J331" s="610">
        <v>4.075</v>
      </c>
      <c r="K331" s="591"/>
      <c r="L331" s="6"/>
      <c r="M331" s="9">
        <v>13000.0</v>
      </c>
      <c r="N331" s="79">
        <f t="shared" si="8"/>
        <v>4220900</v>
      </c>
      <c r="O331" s="6">
        <f t="shared" si="1"/>
        <v>1745762.179</v>
      </c>
      <c r="P331" s="6"/>
      <c r="Q331" s="6">
        <f t="shared" si="9"/>
        <v>13551.586</v>
      </c>
      <c r="R331" s="6">
        <f t="shared" si="10"/>
        <v>1745762.179</v>
      </c>
      <c r="S331" s="81">
        <f t="shared" si="2"/>
        <v>117.219229</v>
      </c>
      <c r="T331" s="6"/>
      <c r="U331" s="6"/>
      <c r="V331" s="6"/>
      <c r="W331" s="6"/>
      <c r="X331" s="6"/>
      <c r="Y331" s="6"/>
    </row>
    <row r="332" ht="11.25" customHeight="1">
      <c r="A332" s="7"/>
      <c r="B332" s="68">
        <f t="shared" si="13"/>
        <v>327</v>
      </c>
      <c r="C332" s="607">
        <v>17300.0</v>
      </c>
      <c r="D332" s="6">
        <f t="shared" si="14"/>
        <v>-3646.476012</v>
      </c>
      <c r="E332" s="6">
        <f t="shared" si="16"/>
        <v>20946.47601</v>
      </c>
      <c r="F332" s="6">
        <f t="shared" si="5"/>
        <v>4171432.655</v>
      </c>
      <c r="G332" s="6">
        <f t="shared" si="6"/>
        <v>1485667.345</v>
      </c>
      <c r="H332" s="6">
        <f t="shared" si="17"/>
        <v>5657100</v>
      </c>
      <c r="I332" s="6">
        <f t="shared" si="15"/>
        <v>-1094755.363</v>
      </c>
      <c r="J332" s="610">
        <v>4.075</v>
      </c>
      <c r="K332" s="591"/>
      <c r="L332" s="6"/>
      <c r="M332" s="9">
        <v>13000.0</v>
      </c>
      <c r="N332" s="79">
        <f t="shared" si="8"/>
        <v>4233900</v>
      </c>
      <c r="O332" s="6">
        <f t="shared" si="1"/>
        <v>1759384.655</v>
      </c>
      <c r="P332" s="6"/>
      <c r="Q332" s="6">
        <f t="shared" si="9"/>
        <v>13622.47601</v>
      </c>
      <c r="R332" s="6">
        <f t="shared" si="10"/>
        <v>1759384.655</v>
      </c>
      <c r="S332" s="81">
        <f t="shared" si="2"/>
        <v>118.4238626</v>
      </c>
      <c r="T332" s="6"/>
      <c r="U332" s="6"/>
      <c r="V332" s="6"/>
      <c r="W332" s="6"/>
      <c r="X332" s="6"/>
      <c r="Y332" s="6"/>
    </row>
    <row r="333" ht="11.25" customHeight="1">
      <c r="A333" s="7"/>
      <c r="B333" s="68">
        <f t="shared" si="13"/>
        <v>328</v>
      </c>
      <c r="C333" s="607">
        <v>17300.0</v>
      </c>
      <c r="D333" s="6">
        <f t="shared" si="14"/>
        <v>-3717.606754</v>
      </c>
      <c r="E333" s="6">
        <f t="shared" si="16"/>
        <v>21017.60675</v>
      </c>
      <c r="F333" s="6">
        <f t="shared" si="5"/>
        <v>4192450.262</v>
      </c>
      <c r="G333" s="6">
        <f t="shared" si="6"/>
        <v>1481949.738</v>
      </c>
      <c r="H333" s="6">
        <f t="shared" si="17"/>
        <v>5674400</v>
      </c>
      <c r="I333" s="6">
        <f t="shared" si="15"/>
        <v>-1115772.97</v>
      </c>
      <c r="J333" s="610">
        <v>4.075</v>
      </c>
      <c r="K333" s="591"/>
      <c r="L333" s="6"/>
      <c r="M333" s="9">
        <v>13000.0</v>
      </c>
      <c r="N333" s="79">
        <f t="shared" si="8"/>
        <v>4246900</v>
      </c>
      <c r="O333" s="6">
        <f t="shared" si="1"/>
        <v>1773078.262</v>
      </c>
      <c r="P333" s="6"/>
      <c r="Q333" s="6">
        <f t="shared" si="9"/>
        <v>13693.60675</v>
      </c>
      <c r="R333" s="6">
        <f t="shared" si="10"/>
        <v>1773078.262</v>
      </c>
      <c r="S333" s="81">
        <f t="shared" si="2"/>
        <v>119.6449661</v>
      </c>
      <c r="T333" s="6"/>
      <c r="U333" s="6"/>
      <c r="V333" s="6"/>
      <c r="W333" s="6"/>
      <c r="X333" s="6"/>
      <c r="Y333" s="6"/>
    </row>
    <row r="334" ht="11.25" customHeight="1">
      <c r="A334" s="7"/>
      <c r="B334" s="68">
        <f t="shared" si="13"/>
        <v>329</v>
      </c>
      <c r="C334" s="607">
        <v>17300.0</v>
      </c>
      <c r="D334" s="6">
        <f t="shared" si="14"/>
        <v>-3788.979043</v>
      </c>
      <c r="E334" s="6">
        <f t="shared" si="16"/>
        <v>21088.97904</v>
      </c>
      <c r="F334" s="6">
        <f t="shared" si="5"/>
        <v>4213539.241</v>
      </c>
      <c r="G334" s="6">
        <f t="shared" si="6"/>
        <v>1478160.759</v>
      </c>
      <c r="H334" s="6">
        <f t="shared" si="17"/>
        <v>5691700</v>
      </c>
      <c r="I334" s="6">
        <f t="shared" si="15"/>
        <v>-1136861.949</v>
      </c>
      <c r="J334" s="610">
        <v>4.075</v>
      </c>
      <c r="K334" s="591"/>
      <c r="L334" s="6"/>
      <c r="M334" s="9">
        <v>13000.0</v>
      </c>
      <c r="N334" s="79">
        <f t="shared" si="8"/>
        <v>4259900</v>
      </c>
      <c r="O334" s="6">
        <f t="shared" si="1"/>
        <v>1786843.241</v>
      </c>
      <c r="P334" s="6"/>
      <c r="Q334" s="6">
        <f t="shared" si="9"/>
        <v>13764.97904</v>
      </c>
      <c r="R334" s="6">
        <f t="shared" si="10"/>
        <v>1786843.241</v>
      </c>
      <c r="S334" s="81">
        <f t="shared" si="2"/>
        <v>120.8828762</v>
      </c>
      <c r="T334" s="6"/>
      <c r="U334" s="6"/>
      <c r="V334" s="6"/>
      <c r="W334" s="6"/>
      <c r="X334" s="6"/>
      <c r="Y334" s="6"/>
    </row>
    <row r="335" ht="11.25" customHeight="1">
      <c r="A335" s="7"/>
      <c r="B335" s="68">
        <f t="shared" si="13"/>
        <v>330</v>
      </c>
      <c r="C335" s="607">
        <v>17300.0</v>
      </c>
      <c r="D335" s="6">
        <f t="shared" si="14"/>
        <v>-3860.593701</v>
      </c>
      <c r="E335" s="6">
        <f t="shared" si="16"/>
        <v>21160.5937</v>
      </c>
      <c r="F335" s="6">
        <f t="shared" si="5"/>
        <v>4234699.834</v>
      </c>
      <c r="G335" s="6">
        <f t="shared" si="6"/>
        <v>1474300.166</v>
      </c>
      <c r="H335" s="6">
        <f t="shared" si="17"/>
        <v>5709000</v>
      </c>
      <c r="I335" s="6">
        <f t="shared" si="15"/>
        <v>-1158022.543</v>
      </c>
      <c r="J335" s="610">
        <v>4.075</v>
      </c>
      <c r="K335" s="591"/>
      <c r="L335" s="6"/>
      <c r="M335" s="9">
        <v>13000.0</v>
      </c>
      <c r="N335" s="79">
        <f t="shared" si="8"/>
        <v>4272900</v>
      </c>
      <c r="O335" s="6">
        <f t="shared" si="1"/>
        <v>1800679.834</v>
      </c>
      <c r="P335" s="6"/>
      <c r="Q335" s="6">
        <f t="shared" si="9"/>
        <v>13836.5937</v>
      </c>
      <c r="R335" s="6">
        <f t="shared" si="10"/>
        <v>1800679.834</v>
      </c>
      <c r="S335" s="81">
        <f t="shared" si="2"/>
        <v>122.1379388</v>
      </c>
      <c r="T335" s="6"/>
      <c r="U335" s="6"/>
      <c r="V335" s="6"/>
      <c r="W335" s="6"/>
      <c r="X335" s="6"/>
      <c r="Y335" s="6"/>
    </row>
    <row r="336" ht="11.25" customHeight="1">
      <c r="A336" s="7"/>
      <c r="B336" s="68">
        <f t="shared" si="13"/>
        <v>331</v>
      </c>
      <c r="C336" s="607">
        <v>17300.0</v>
      </c>
      <c r="D336" s="6">
        <f t="shared" si="14"/>
        <v>-3932.451551</v>
      </c>
      <c r="E336" s="6">
        <f t="shared" si="16"/>
        <v>21232.45155</v>
      </c>
      <c r="F336" s="6">
        <f t="shared" si="5"/>
        <v>4255932.286</v>
      </c>
      <c r="G336" s="6">
        <f t="shared" si="6"/>
        <v>1470367.714</v>
      </c>
      <c r="H336" s="6">
        <f t="shared" si="17"/>
        <v>5726300</v>
      </c>
      <c r="I336" s="6">
        <f t="shared" si="15"/>
        <v>-1179254.994</v>
      </c>
      <c r="J336" s="610">
        <v>4.075</v>
      </c>
      <c r="K336" s="591"/>
      <c r="L336" s="6"/>
      <c r="M336" s="9">
        <v>13000.0</v>
      </c>
      <c r="N336" s="79">
        <f t="shared" si="8"/>
        <v>4285900</v>
      </c>
      <c r="O336" s="6">
        <f t="shared" si="1"/>
        <v>1814588.286</v>
      </c>
      <c r="P336" s="6"/>
      <c r="Q336" s="6">
        <f t="shared" si="9"/>
        <v>13908.45155</v>
      </c>
      <c r="R336" s="6">
        <f t="shared" si="10"/>
        <v>1814588.286</v>
      </c>
      <c r="S336" s="81">
        <f t="shared" si="2"/>
        <v>123.4105094</v>
      </c>
      <c r="T336" s="6"/>
      <c r="U336" s="6"/>
      <c r="V336" s="6"/>
      <c r="W336" s="6"/>
      <c r="X336" s="6"/>
      <c r="Y336" s="6"/>
    </row>
    <row r="337" ht="11.25" customHeight="1">
      <c r="A337" s="7"/>
      <c r="B337" s="68">
        <f t="shared" si="13"/>
        <v>332</v>
      </c>
      <c r="C337" s="607">
        <v>17300.0</v>
      </c>
      <c r="D337" s="6">
        <f t="shared" si="14"/>
        <v>-4004.553418</v>
      </c>
      <c r="E337" s="6">
        <f t="shared" si="16"/>
        <v>21304.55342</v>
      </c>
      <c r="F337" s="6">
        <f t="shared" si="5"/>
        <v>4277236.839</v>
      </c>
      <c r="G337" s="6">
        <f t="shared" si="6"/>
        <v>1466363.161</v>
      </c>
      <c r="H337" s="6">
        <f t="shared" si="17"/>
        <v>5743600</v>
      </c>
      <c r="I337" s="6">
        <f t="shared" si="15"/>
        <v>-1200559.548</v>
      </c>
      <c r="J337" s="610">
        <v>4.075</v>
      </c>
      <c r="K337" s="591"/>
      <c r="L337" s="6"/>
      <c r="M337" s="9">
        <v>13000.0</v>
      </c>
      <c r="N337" s="79">
        <f t="shared" si="8"/>
        <v>4298900</v>
      </c>
      <c r="O337" s="6">
        <f t="shared" si="1"/>
        <v>1828568.839</v>
      </c>
      <c r="P337" s="6"/>
      <c r="Q337" s="6">
        <f t="shared" si="9"/>
        <v>13980.55342</v>
      </c>
      <c r="R337" s="6">
        <f t="shared" si="10"/>
        <v>1828568.839</v>
      </c>
      <c r="S337" s="81">
        <f t="shared" si="2"/>
        <v>124.7009533</v>
      </c>
      <c r="T337" s="6"/>
      <c r="U337" s="6"/>
      <c r="V337" s="6"/>
      <c r="W337" s="6"/>
      <c r="X337" s="6"/>
      <c r="Y337" s="6"/>
    </row>
    <row r="338" ht="11.25" customHeight="1">
      <c r="A338" s="7"/>
      <c r="B338" s="68">
        <f t="shared" si="13"/>
        <v>333</v>
      </c>
      <c r="C338" s="607">
        <v>17300.0</v>
      </c>
      <c r="D338" s="6">
        <f t="shared" si="14"/>
        <v>-4076.90013</v>
      </c>
      <c r="E338" s="6">
        <f t="shared" si="16"/>
        <v>21376.90013</v>
      </c>
      <c r="F338" s="6">
        <f t="shared" si="5"/>
        <v>4298613.74</v>
      </c>
      <c r="G338" s="6">
        <f t="shared" si="6"/>
        <v>1462286.26</v>
      </c>
      <c r="H338" s="6">
        <f t="shared" si="17"/>
        <v>5760900</v>
      </c>
      <c r="I338" s="6">
        <f t="shared" si="15"/>
        <v>-1221936.448</v>
      </c>
      <c r="J338" s="610">
        <v>4.075</v>
      </c>
      <c r="K338" s="591"/>
      <c r="L338" s="6"/>
      <c r="M338" s="9">
        <v>13000.0</v>
      </c>
      <c r="N338" s="79">
        <f t="shared" si="8"/>
        <v>4311900</v>
      </c>
      <c r="O338" s="6">
        <f t="shared" si="1"/>
        <v>1842621.74</v>
      </c>
      <c r="P338" s="6"/>
      <c r="Q338" s="6">
        <f t="shared" si="9"/>
        <v>14052.90013</v>
      </c>
      <c r="R338" s="6">
        <f t="shared" si="10"/>
        <v>1842621.74</v>
      </c>
      <c r="S338" s="81">
        <f t="shared" si="2"/>
        <v>126.0096459</v>
      </c>
      <c r="T338" s="6"/>
      <c r="U338" s="6"/>
      <c r="V338" s="6"/>
      <c r="W338" s="6"/>
      <c r="X338" s="6"/>
      <c r="Y338" s="6"/>
    </row>
    <row r="339" ht="11.25" customHeight="1">
      <c r="A339" s="7"/>
      <c r="B339" s="68">
        <f t="shared" si="13"/>
        <v>334</v>
      </c>
      <c r="C339" s="607">
        <v>17300.0</v>
      </c>
      <c r="D339" s="6">
        <f t="shared" si="14"/>
        <v>-4149.49252</v>
      </c>
      <c r="E339" s="6">
        <f t="shared" si="16"/>
        <v>21449.49252</v>
      </c>
      <c r="F339" s="6">
        <f t="shared" si="5"/>
        <v>4320063.232</v>
      </c>
      <c r="G339" s="6">
        <f t="shared" si="6"/>
        <v>1458136.768</v>
      </c>
      <c r="H339" s="6">
        <f t="shared" si="17"/>
        <v>5778200</v>
      </c>
      <c r="I339" s="6">
        <f t="shared" si="15"/>
        <v>-1243385.94</v>
      </c>
      <c r="J339" s="610">
        <v>4.075</v>
      </c>
      <c r="K339" s="591"/>
      <c r="L339" s="6"/>
      <c r="M339" s="9">
        <v>13000.0</v>
      </c>
      <c r="N339" s="79">
        <f t="shared" si="8"/>
        <v>4324900</v>
      </c>
      <c r="O339" s="6">
        <f t="shared" si="1"/>
        <v>1856747.232</v>
      </c>
      <c r="P339" s="6"/>
      <c r="Q339" s="6">
        <f t="shared" si="9"/>
        <v>14125.49252</v>
      </c>
      <c r="R339" s="6">
        <f t="shared" si="10"/>
        <v>1856747.232</v>
      </c>
      <c r="S339" s="81">
        <f t="shared" si="2"/>
        <v>127.3369737</v>
      </c>
      <c r="T339" s="6"/>
      <c r="U339" s="6"/>
      <c r="V339" s="6"/>
      <c r="W339" s="6"/>
      <c r="X339" s="6"/>
      <c r="Y339" s="6"/>
    </row>
    <row r="340" ht="11.25" customHeight="1">
      <c r="A340" s="7"/>
      <c r="B340" s="68">
        <f t="shared" si="13"/>
        <v>335</v>
      </c>
      <c r="C340" s="607">
        <v>17300.0</v>
      </c>
      <c r="D340" s="6">
        <f t="shared" si="14"/>
        <v>-4222.331422</v>
      </c>
      <c r="E340" s="6">
        <f t="shared" si="16"/>
        <v>21522.33142</v>
      </c>
      <c r="F340" s="6">
        <f t="shared" si="5"/>
        <v>4341585.563</v>
      </c>
      <c r="G340" s="6">
        <f t="shared" si="6"/>
        <v>1453914.437</v>
      </c>
      <c r="H340" s="6">
        <f t="shared" si="17"/>
        <v>5795500</v>
      </c>
      <c r="I340" s="6">
        <f t="shared" si="15"/>
        <v>-1264908.272</v>
      </c>
      <c r="J340" s="610">
        <v>4.075</v>
      </c>
      <c r="K340" s="591"/>
      <c r="L340" s="6"/>
      <c r="M340" s="9">
        <v>13000.0</v>
      </c>
      <c r="N340" s="79">
        <f t="shared" si="8"/>
        <v>4337900</v>
      </c>
      <c r="O340" s="6">
        <f t="shared" si="1"/>
        <v>1870945.563</v>
      </c>
      <c r="P340" s="6"/>
      <c r="Q340" s="6">
        <f t="shared" si="9"/>
        <v>14198.33142</v>
      </c>
      <c r="R340" s="6">
        <f t="shared" si="10"/>
        <v>1870945.563</v>
      </c>
      <c r="S340" s="81">
        <f t="shared" si="2"/>
        <v>128.6833335</v>
      </c>
      <c r="T340" s="6"/>
      <c r="U340" s="6"/>
      <c r="V340" s="6"/>
      <c r="W340" s="6"/>
      <c r="X340" s="6"/>
      <c r="Y340" s="6"/>
    </row>
    <row r="341" ht="11.25" customHeight="1">
      <c r="A341" s="71"/>
      <c r="B341" s="72">
        <f t="shared" si="13"/>
        <v>336</v>
      </c>
      <c r="C341" s="607">
        <v>17300.0</v>
      </c>
      <c r="D341" s="10">
        <f t="shared" si="14"/>
        <v>-4295.417672</v>
      </c>
      <c r="E341" s="10">
        <f t="shared" si="16"/>
        <v>21595.41767</v>
      </c>
      <c r="F341" s="10">
        <f t="shared" si="5"/>
        <v>4363180.981</v>
      </c>
      <c r="G341" s="10">
        <f t="shared" si="6"/>
        <v>1449619.019</v>
      </c>
      <c r="H341" s="10">
        <f t="shared" si="17"/>
        <v>5812800</v>
      </c>
      <c r="I341" s="10">
        <f t="shared" si="15"/>
        <v>-1286503.689</v>
      </c>
      <c r="J341" s="610">
        <v>4.075</v>
      </c>
      <c r="K341" s="591"/>
      <c r="L341" s="6"/>
      <c r="M341" s="9">
        <v>13000.0</v>
      </c>
      <c r="N341" s="79">
        <f t="shared" si="8"/>
        <v>4350900</v>
      </c>
      <c r="O341" s="6">
        <f t="shared" si="1"/>
        <v>1885216.981</v>
      </c>
      <c r="P341" s="6"/>
      <c r="Q341" s="6">
        <f t="shared" si="9"/>
        <v>14271.41767</v>
      </c>
      <c r="R341" s="6">
        <f t="shared" si="10"/>
        <v>1885216.981</v>
      </c>
      <c r="S341" s="81">
        <f t="shared" si="2"/>
        <v>130.0491341</v>
      </c>
      <c r="T341" s="6"/>
      <c r="U341" s="6"/>
      <c r="V341" s="6"/>
      <c r="W341" s="6"/>
      <c r="X341" s="6"/>
      <c r="Y341" s="6"/>
    </row>
    <row r="342" ht="11.25" customHeight="1">
      <c r="A342" s="100">
        <v>29.0</v>
      </c>
      <c r="B342" s="66">
        <f t="shared" si="13"/>
        <v>337</v>
      </c>
      <c r="C342" s="607">
        <v>17300.0</v>
      </c>
      <c r="D342" s="617">
        <f t="shared" si="14"/>
        <v>-4368.752112</v>
      </c>
      <c r="E342" s="617">
        <f t="shared" si="16"/>
        <v>21668.75211</v>
      </c>
      <c r="F342" s="617">
        <f t="shared" si="5"/>
        <v>4384849.733</v>
      </c>
      <c r="G342" s="617">
        <f t="shared" si="6"/>
        <v>1445250.267</v>
      </c>
      <c r="H342" s="617">
        <f t="shared" si="17"/>
        <v>5830100</v>
      </c>
      <c r="I342" s="617">
        <f t="shared" si="15"/>
        <v>-1308172.441</v>
      </c>
      <c r="J342" s="610">
        <v>4.075</v>
      </c>
      <c r="K342" s="591"/>
      <c r="L342" s="6"/>
      <c r="M342" s="9">
        <v>13000.0</v>
      </c>
      <c r="N342" s="79">
        <f t="shared" si="8"/>
        <v>4363900</v>
      </c>
      <c r="O342" s="6">
        <f t="shared" si="1"/>
        <v>1899561.733</v>
      </c>
      <c r="P342" s="6"/>
      <c r="Q342" s="6">
        <f t="shared" si="9"/>
        <v>14344.75211</v>
      </c>
      <c r="R342" s="6">
        <f t="shared" si="10"/>
        <v>1899561.733</v>
      </c>
      <c r="S342" s="81">
        <f t="shared" si="2"/>
        <v>131.4347955</v>
      </c>
      <c r="T342" s="6"/>
      <c r="U342" s="6"/>
      <c r="V342" s="6"/>
      <c r="W342" s="6"/>
      <c r="X342" s="6"/>
      <c r="Y342" s="6"/>
    </row>
    <row r="343" ht="11.25" customHeight="1">
      <c r="A343" s="7"/>
      <c r="B343" s="68">
        <f t="shared" si="13"/>
        <v>338</v>
      </c>
      <c r="C343" s="607">
        <v>17300.0</v>
      </c>
      <c r="D343" s="6">
        <f t="shared" si="14"/>
        <v>-4442.335582</v>
      </c>
      <c r="E343" s="6">
        <f t="shared" si="16"/>
        <v>21742.33558</v>
      </c>
      <c r="F343" s="6">
        <f t="shared" si="5"/>
        <v>4406592.069</v>
      </c>
      <c r="G343" s="6">
        <f t="shared" si="6"/>
        <v>1440807.931</v>
      </c>
      <c r="H343" s="6">
        <f t="shared" si="17"/>
        <v>5847400</v>
      </c>
      <c r="I343" s="6">
        <f t="shared" si="15"/>
        <v>-1329914.777</v>
      </c>
      <c r="J343" s="610">
        <v>4.075</v>
      </c>
      <c r="K343" s="591"/>
      <c r="L343" s="6"/>
      <c r="M343" s="9">
        <v>13000.0</v>
      </c>
      <c r="N343" s="79">
        <f t="shared" si="8"/>
        <v>4376900</v>
      </c>
      <c r="O343" s="6">
        <f t="shared" si="1"/>
        <v>1913980.069</v>
      </c>
      <c r="P343" s="6"/>
      <c r="Q343" s="6">
        <f t="shared" si="9"/>
        <v>14418.33558</v>
      </c>
      <c r="R343" s="6">
        <f t="shared" si="10"/>
        <v>1913980.069</v>
      </c>
      <c r="S343" s="81">
        <f t="shared" si="2"/>
        <v>132.8407505</v>
      </c>
      <c r="T343" s="6"/>
      <c r="U343" s="6"/>
      <c r="V343" s="6"/>
      <c r="W343" s="6"/>
      <c r="X343" s="6"/>
      <c r="Y343" s="6"/>
    </row>
    <row r="344" ht="11.25" customHeight="1">
      <c r="A344" s="7"/>
      <c r="B344" s="68">
        <f t="shared" si="13"/>
        <v>339</v>
      </c>
      <c r="C344" s="607">
        <v>17300.0</v>
      </c>
      <c r="D344" s="6">
        <f t="shared" si="14"/>
        <v>-4516.16893</v>
      </c>
      <c r="E344" s="6">
        <f t="shared" si="16"/>
        <v>21816.16893</v>
      </c>
      <c r="F344" s="6">
        <f t="shared" si="5"/>
        <v>4428408.238</v>
      </c>
      <c r="G344" s="6">
        <f t="shared" si="6"/>
        <v>1436291.762</v>
      </c>
      <c r="H344" s="6">
        <f t="shared" si="17"/>
        <v>5864700</v>
      </c>
      <c r="I344" s="6">
        <f t="shared" si="15"/>
        <v>-1351730.946</v>
      </c>
      <c r="J344" s="610">
        <v>4.075</v>
      </c>
      <c r="K344" s="591"/>
      <c r="L344" s="6"/>
      <c r="M344" s="9">
        <v>13000.0</v>
      </c>
      <c r="N344" s="79">
        <f t="shared" si="8"/>
        <v>4389900</v>
      </c>
      <c r="O344" s="6">
        <f t="shared" si="1"/>
        <v>1928472.238</v>
      </c>
      <c r="P344" s="6"/>
      <c r="Q344" s="6">
        <f t="shared" si="9"/>
        <v>14492.16893</v>
      </c>
      <c r="R344" s="6">
        <f t="shared" si="10"/>
        <v>1928472.238</v>
      </c>
      <c r="S344" s="81">
        <f t="shared" si="2"/>
        <v>134.267444</v>
      </c>
      <c r="T344" s="6"/>
      <c r="U344" s="6"/>
      <c r="V344" s="6"/>
      <c r="W344" s="6"/>
      <c r="X344" s="6"/>
      <c r="Y344" s="6"/>
    </row>
    <row r="345" ht="11.25" customHeight="1">
      <c r="A345" s="7"/>
      <c r="B345" s="68">
        <f t="shared" si="13"/>
        <v>340</v>
      </c>
      <c r="C345" s="607">
        <v>17300.0</v>
      </c>
      <c r="D345" s="6">
        <f t="shared" si="14"/>
        <v>-4590.253004</v>
      </c>
      <c r="E345" s="6">
        <f t="shared" si="16"/>
        <v>21890.253</v>
      </c>
      <c r="F345" s="6">
        <f t="shared" si="5"/>
        <v>4450298.491</v>
      </c>
      <c r="G345" s="6">
        <f t="shared" si="6"/>
        <v>1431701.509</v>
      </c>
      <c r="H345" s="6">
        <f t="shared" si="17"/>
        <v>5882000</v>
      </c>
      <c r="I345" s="6">
        <f t="shared" si="15"/>
        <v>-1373621.199</v>
      </c>
      <c r="J345" s="610">
        <v>4.075</v>
      </c>
      <c r="K345" s="591"/>
      <c r="L345" s="6"/>
      <c r="M345" s="9">
        <v>13000.0</v>
      </c>
      <c r="N345" s="79">
        <f t="shared" si="8"/>
        <v>4402900</v>
      </c>
      <c r="O345" s="6">
        <f t="shared" si="1"/>
        <v>1943038.491</v>
      </c>
      <c r="P345" s="6"/>
      <c r="Q345" s="6">
        <f t="shared" si="9"/>
        <v>14566.253</v>
      </c>
      <c r="R345" s="6">
        <f t="shared" si="10"/>
        <v>1943038.491</v>
      </c>
      <c r="S345" s="81">
        <f t="shared" si="2"/>
        <v>135.7153344</v>
      </c>
      <c r="T345" s="6"/>
      <c r="U345" s="6"/>
      <c r="V345" s="6"/>
      <c r="W345" s="6"/>
      <c r="X345" s="6"/>
      <c r="Y345" s="6"/>
    </row>
    <row r="346" ht="11.25" customHeight="1">
      <c r="A346" s="7"/>
      <c r="B346" s="68">
        <f t="shared" si="13"/>
        <v>341</v>
      </c>
      <c r="C346" s="607">
        <v>17300.0</v>
      </c>
      <c r="D346" s="6">
        <f t="shared" si="14"/>
        <v>-4664.588655</v>
      </c>
      <c r="E346" s="6">
        <f t="shared" si="16"/>
        <v>21964.58865</v>
      </c>
      <c r="F346" s="6">
        <f t="shared" si="5"/>
        <v>4472263.079</v>
      </c>
      <c r="G346" s="6">
        <f t="shared" si="6"/>
        <v>1427036.921</v>
      </c>
      <c r="H346" s="6">
        <f t="shared" si="17"/>
        <v>5899300</v>
      </c>
      <c r="I346" s="6">
        <f t="shared" si="15"/>
        <v>-1395585.788</v>
      </c>
      <c r="J346" s="610">
        <v>4.075</v>
      </c>
      <c r="K346" s="591"/>
      <c r="L346" s="6"/>
      <c r="M346" s="9">
        <v>13000.0</v>
      </c>
      <c r="N346" s="79">
        <f t="shared" si="8"/>
        <v>4415900</v>
      </c>
      <c r="O346" s="6">
        <f t="shared" si="1"/>
        <v>1957679.079</v>
      </c>
      <c r="P346" s="6"/>
      <c r="Q346" s="6">
        <f t="shared" si="9"/>
        <v>14640.58865</v>
      </c>
      <c r="R346" s="6">
        <f t="shared" si="10"/>
        <v>1957679.079</v>
      </c>
      <c r="S346" s="81">
        <f t="shared" si="2"/>
        <v>137.1848935</v>
      </c>
      <c r="T346" s="6"/>
      <c r="U346" s="6"/>
      <c r="V346" s="6"/>
      <c r="W346" s="6"/>
      <c r="X346" s="6"/>
      <c r="Y346" s="6"/>
    </row>
    <row r="347" ht="11.25" customHeight="1">
      <c r="A347" s="7"/>
      <c r="B347" s="68">
        <f t="shared" si="13"/>
        <v>342</v>
      </c>
      <c r="C347" s="607">
        <v>17300.0</v>
      </c>
      <c r="D347" s="6">
        <f t="shared" si="14"/>
        <v>-4739.176737</v>
      </c>
      <c r="E347" s="6">
        <f t="shared" si="16"/>
        <v>22039.17674</v>
      </c>
      <c r="F347" s="6">
        <f t="shared" si="5"/>
        <v>4494302.256</v>
      </c>
      <c r="G347" s="6">
        <f t="shared" si="6"/>
        <v>1422297.744</v>
      </c>
      <c r="H347" s="6">
        <f t="shared" si="17"/>
        <v>5916600</v>
      </c>
      <c r="I347" s="6">
        <f t="shared" si="15"/>
        <v>-1417624.964</v>
      </c>
      <c r="J347" s="610">
        <v>4.075</v>
      </c>
      <c r="K347" s="591"/>
      <c r="L347" s="6"/>
      <c r="M347" s="9">
        <v>13000.0</v>
      </c>
      <c r="N347" s="79">
        <f t="shared" si="8"/>
        <v>4428900</v>
      </c>
      <c r="O347" s="6">
        <f t="shared" si="1"/>
        <v>1972394.256</v>
      </c>
      <c r="P347" s="6"/>
      <c r="Q347" s="6">
        <f t="shared" si="9"/>
        <v>14715.17674</v>
      </c>
      <c r="R347" s="6">
        <f t="shared" si="10"/>
        <v>1972394.256</v>
      </c>
      <c r="S347" s="81">
        <f t="shared" si="2"/>
        <v>138.6766073</v>
      </c>
      <c r="T347" s="6"/>
      <c r="U347" s="6"/>
      <c r="V347" s="6"/>
      <c r="W347" s="6"/>
      <c r="X347" s="6"/>
      <c r="Y347" s="6"/>
    </row>
    <row r="348" ht="11.25" customHeight="1">
      <c r="A348" s="7"/>
      <c r="B348" s="68">
        <f t="shared" si="13"/>
        <v>343</v>
      </c>
      <c r="C348" s="607">
        <v>17300.0</v>
      </c>
      <c r="D348" s="6">
        <f t="shared" si="14"/>
        <v>-4814.018108</v>
      </c>
      <c r="E348" s="6">
        <f t="shared" si="16"/>
        <v>22114.01811</v>
      </c>
      <c r="F348" s="6">
        <f t="shared" si="5"/>
        <v>4516416.274</v>
      </c>
      <c r="G348" s="6">
        <f t="shared" si="6"/>
        <v>1417483.726</v>
      </c>
      <c r="H348" s="6">
        <f t="shared" si="17"/>
        <v>5933900</v>
      </c>
      <c r="I348" s="6">
        <f t="shared" si="15"/>
        <v>-1439738.982</v>
      </c>
      <c r="J348" s="610">
        <v>4.075</v>
      </c>
      <c r="K348" s="591"/>
      <c r="L348" s="6"/>
      <c r="M348" s="9">
        <v>13000.0</v>
      </c>
      <c r="N348" s="79">
        <f t="shared" si="8"/>
        <v>4441900</v>
      </c>
      <c r="O348" s="6">
        <f t="shared" si="1"/>
        <v>1987184.274</v>
      </c>
      <c r="P348" s="6"/>
      <c r="Q348" s="6">
        <f t="shared" si="9"/>
        <v>14790.01811</v>
      </c>
      <c r="R348" s="6">
        <f t="shared" si="10"/>
        <v>1987184.274</v>
      </c>
      <c r="S348" s="81">
        <f t="shared" si="2"/>
        <v>140.1909763</v>
      </c>
      <c r="T348" s="6"/>
      <c r="U348" s="6"/>
      <c r="V348" s="6"/>
      <c r="W348" s="6"/>
      <c r="X348" s="6"/>
      <c r="Y348" s="6"/>
    </row>
    <row r="349" ht="11.25" customHeight="1">
      <c r="A349" s="7"/>
      <c r="B349" s="68">
        <f t="shared" si="13"/>
        <v>344</v>
      </c>
      <c r="C349" s="607">
        <v>17300.0</v>
      </c>
      <c r="D349" s="6">
        <f t="shared" si="14"/>
        <v>-4889.113628</v>
      </c>
      <c r="E349" s="6">
        <f t="shared" si="16"/>
        <v>22189.11363</v>
      </c>
      <c r="F349" s="6">
        <f t="shared" si="5"/>
        <v>4538605.388</v>
      </c>
      <c r="G349" s="6">
        <f t="shared" si="6"/>
        <v>1412594.612</v>
      </c>
      <c r="H349" s="6">
        <f t="shared" si="17"/>
        <v>5951200</v>
      </c>
      <c r="I349" s="6">
        <f t="shared" si="15"/>
        <v>-1461928.096</v>
      </c>
      <c r="J349" s="610">
        <v>4.075</v>
      </c>
      <c r="K349" s="591"/>
      <c r="L349" s="6"/>
      <c r="M349" s="9">
        <v>13000.0</v>
      </c>
      <c r="N349" s="79">
        <f t="shared" si="8"/>
        <v>4454900</v>
      </c>
      <c r="O349" s="6">
        <f t="shared" si="1"/>
        <v>2002049.388</v>
      </c>
      <c r="P349" s="6"/>
      <c r="Q349" s="6">
        <f t="shared" si="9"/>
        <v>14865.11363</v>
      </c>
      <c r="R349" s="6">
        <f t="shared" si="10"/>
        <v>2002049.388</v>
      </c>
      <c r="S349" s="81">
        <f t="shared" si="2"/>
        <v>141.7285165</v>
      </c>
      <c r="T349" s="6"/>
      <c r="U349" s="6"/>
      <c r="V349" s="6"/>
      <c r="W349" s="6"/>
      <c r="X349" s="6"/>
      <c r="Y349" s="6"/>
    </row>
    <row r="350" ht="11.25" customHeight="1">
      <c r="A350" s="7"/>
      <c r="B350" s="68">
        <f t="shared" si="13"/>
        <v>345</v>
      </c>
      <c r="C350" s="607">
        <v>17300.0</v>
      </c>
      <c r="D350" s="6">
        <f t="shared" si="14"/>
        <v>-4964.46416</v>
      </c>
      <c r="E350" s="6">
        <f t="shared" si="16"/>
        <v>22264.46416</v>
      </c>
      <c r="F350" s="6">
        <f t="shared" si="5"/>
        <v>4560869.852</v>
      </c>
      <c r="G350" s="6">
        <f t="shared" si="6"/>
        <v>1407630.148</v>
      </c>
      <c r="H350" s="6">
        <f t="shared" si="17"/>
        <v>5968500</v>
      </c>
      <c r="I350" s="6">
        <f t="shared" si="15"/>
        <v>-1484192.56</v>
      </c>
      <c r="J350" s="610">
        <v>4.075</v>
      </c>
      <c r="K350" s="591"/>
      <c r="L350" s="6"/>
      <c r="M350" s="9">
        <v>13000.0</v>
      </c>
      <c r="N350" s="79">
        <f t="shared" si="8"/>
        <v>4467900</v>
      </c>
      <c r="O350" s="6">
        <f t="shared" si="1"/>
        <v>2016989.852</v>
      </c>
      <c r="P350" s="6"/>
      <c r="Q350" s="6">
        <f t="shared" si="9"/>
        <v>14940.46416</v>
      </c>
      <c r="R350" s="6">
        <f t="shared" si="10"/>
        <v>2016989.852</v>
      </c>
      <c r="S350" s="81">
        <f t="shared" si="2"/>
        <v>143.2897594</v>
      </c>
      <c r="T350" s="6"/>
      <c r="U350" s="6"/>
      <c r="V350" s="6"/>
      <c r="W350" s="6"/>
      <c r="X350" s="6"/>
      <c r="Y350" s="6"/>
    </row>
    <row r="351" ht="11.25" customHeight="1">
      <c r="A351" s="7"/>
      <c r="B351" s="68">
        <f t="shared" si="13"/>
        <v>346</v>
      </c>
      <c r="C351" s="607">
        <v>17300.0</v>
      </c>
      <c r="D351" s="6">
        <f t="shared" si="14"/>
        <v>-5040.070569</v>
      </c>
      <c r="E351" s="6">
        <f t="shared" si="16"/>
        <v>22340.07057</v>
      </c>
      <c r="F351" s="6">
        <f t="shared" si="5"/>
        <v>4583209.923</v>
      </c>
      <c r="G351" s="6">
        <f t="shared" si="6"/>
        <v>1402590.077</v>
      </c>
      <c r="H351" s="6">
        <f t="shared" si="17"/>
        <v>5985800</v>
      </c>
      <c r="I351" s="6">
        <f t="shared" si="15"/>
        <v>-1506532.631</v>
      </c>
      <c r="J351" s="610">
        <v>4.075</v>
      </c>
      <c r="K351" s="591"/>
      <c r="L351" s="6"/>
      <c r="M351" s="9">
        <v>13000.0</v>
      </c>
      <c r="N351" s="79">
        <f t="shared" si="8"/>
        <v>4480900</v>
      </c>
      <c r="O351" s="6">
        <f t="shared" si="1"/>
        <v>2032005.923</v>
      </c>
      <c r="P351" s="6"/>
      <c r="Q351" s="6">
        <f t="shared" si="9"/>
        <v>15016.07057</v>
      </c>
      <c r="R351" s="6">
        <f t="shared" si="10"/>
        <v>2032005.923</v>
      </c>
      <c r="S351" s="81">
        <f t="shared" si="2"/>
        <v>144.875253</v>
      </c>
      <c r="T351" s="6"/>
      <c r="U351" s="6"/>
      <c r="V351" s="6"/>
      <c r="W351" s="6"/>
      <c r="X351" s="6"/>
      <c r="Y351" s="6"/>
    </row>
    <row r="352" ht="11.25" customHeight="1">
      <c r="A352" s="7"/>
      <c r="B352" s="68">
        <f t="shared" si="13"/>
        <v>347</v>
      </c>
      <c r="C352" s="607">
        <v>17300.0</v>
      </c>
      <c r="D352" s="6">
        <f t="shared" si="14"/>
        <v>-5115.933725</v>
      </c>
      <c r="E352" s="6">
        <f t="shared" si="16"/>
        <v>22415.93373</v>
      </c>
      <c r="F352" s="6">
        <f t="shared" si="5"/>
        <v>4605625.856</v>
      </c>
      <c r="G352" s="6">
        <f t="shared" si="6"/>
        <v>1397474.144</v>
      </c>
      <c r="H352" s="6">
        <f t="shared" si="17"/>
        <v>6003100</v>
      </c>
      <c r="I352" s="6">
        <f t="shared" si="15"/>
        <v>-1528948.565</v>
      </c>
      <c r="J352" s="610">
        <v>4.075</v>
      </c>
      <c r="K352" s="591"/>
      <c r="L352" s="6"/>
      <c r="M352" s="9">
        <v>13000.0</v>
      </c>
      <c r="N352" s="79">
        <f t="shared" si="8"/>
        <v>4493900</v>
      </c>
      <c r="O352" s="6">
        <f t="shared" si="1"/>
        <v>2047097.856</v>
      </c>
      <c r="P352" s="6"/>
      <c r="Q352" s="6">
        <f t="shared" si="9"/>
        <v>15091.93373</v>
      </c>
      <c r="R352" s="6">
        <f t="shared" si="10"/>
        <v>2047097.856</v>
      </c>
      <c r="S352" s="81">
        <f t="shared" si="2"/>
        <v>146.4855622</v>
      </c>
      <c r="T352" s="6"/>
      <c r="U352" s="6"/>
      <c r="V352" s="6"/>
      <c r="W352" s="6"/>
      <c r="X352" s="6"/>
      <c r="Y352" s="6"/>
    </row>
    <row r="353" ht="11.25" customHeight="1">
      <c r="A353" s="71"/>
      <c r="B353" s="72">
        <f t="shared" si="13"/>
        <v>348</v>
      </c>
      <c r="C353" s="607">
        <v>17300.0</v>
      </c>
      <c r="D353" s="10">
        <f t="shared" si="14"/>
        <v>-5192.0545</v>
      </c>
      <c r="E353" s="10">
        <f t="shared" si="16"/>
        <v>22492.0545</v>
      </c>
      <c r="F353" s="10">
        <f t="shared" si="5"/>
        <v>4628117.911</v>
      </c>
      <c r="G353" s="10">
        <f t="shared" si="6"/>
        <v>1392282.089</v>
      </c>
      <c r="H353" s="10">
        <f t="shared" si="17"/>
        <v>6020400</v>
      </c>
      <c r="I353" s="10">
        <f t="shared" si="15"/>
        <v>-1551440.619</v>
      </c>
      <c r="J353" s="610">
        <v>4.075</v>
      </c>
      <c r="K353" s="591"/>
      <c r="L353" s="6"/>
      <c r="M353" s="9">
        <v>13000.0</v>
      </c>
      <c r="N353" s="79">
        <f t="shared" si="8"/>
        <v>4506900</v>
      </c>
      <c r="O353" s="6">
        <f t="shared" si="1"/>
        <v>2062265.911</v>
      </c>
      <c r="P353" s="6"/>
      <c r="Q353" s="6">
        <f t="shared" si="9"/>
        <v>15168.0545</v>
      </c>
      <c r="R353" s="6">
        <f t="shared" si="10"/>
        <v>2062265.911</v>
      </c>
      <c r="S353" s="81">
        <f t="shared" si="2"/>
        <v>148.1212699</v>
      </c>
      <c r="T353" s="6"/>
      <c r="U353" s="6"/>
      <c r="V353" s="6"/>
      <c r="W353" s="6"/>
      <c r="X353" s="6"/>
      <c r="Y353" s="6"/>
    </row>
    <row r="354" ht="11.25" customHeight="1">
      <c r="A354" s="7">
        <v>30.0</v>
      </c>
      <c r="B354" s="68">
        <f t="shared" si="13"/>
        <v>349</v>
      </c>
      <c r="C354" s="607">
        <v>17300.0</v>
      </c>
      <c r="D354" s="6">
        <f t="shared" si="14"/>
        <v>-5268.433769</v>
      </c>
      <c r="E354" s="6">
        <f t="shared" si="16"/>
        <v>22568.43377</v>
      </c>
      <c r="F354" s="6">
        <f t="shared" si="5"/>
        <v>4650686.345</v>
      </c>
      <c r="G354" s="6">
        <f t="shared" si="6"/>
        <v>1387013.655</v>
      </c>
      <c r="H354" s="6">
        <f t="shared" si="17"/>
        <v>6037700</v>
      </c>
      <c r="I354" s="6">
        <f t="shared" si="15"/>
        <v>-1574009.053</v>
      </c>
      <c r="J354" s="610">
        <v>4.075</v>
      </c>
      <c r="K354" s="591"/>
      <c r="L354" s="6"/>
      <c r="M354" s="9">
        <v>13000.0</v>
      </c>
      <c r="N354" s="79">
        <f t="shared" si="8"/>
        <v>4519900</v>
      </c>
      <c r="O354" s="6">
        <f t="shared" si="1"/>
        <v>2077510.345</v>
      </c>
      <c r="P354" s="6"/>
      <c r="Q354" s="6">
        <f t="shared" si="9"/>
        <v>15244.43377</v>
      </c>
      <c r="R354" s="6">
        <f t="shared" si="10"/>
        <v>2077510.345</v>
      </c>
      <c r="S354" s="81">
        <f t="shared" si="2"/>
        <v>149.782977</v>
      </c>
      <c r="T354" s="6"/>
      <c r="U354" s="6"/>
      <c r="V354" s="6"/>
      <c r="W354" s="6"/>
      <c r="X354" s="6"/>
      <c r="Y354" s="6"/>
    </row>
    <row r="355" ht="11.25" customHeight="1">
      <c r="A355" s="7"/>
      <c r="B355" s="68">
        <f t="shared" si="13"/>
        <v>350</v>
      </c>
      <c r="C355" s="607">
        <v>17300.0</v>
      </c>
      <c r="D355" s="6">
        <f t="shared" si="14"/>
        <v>-5345.072408</v>
      </c>
      <c r="E355" s="6">
        <f t="shared" si="16"/>
        <v>22645.07241</v>
      </c>
      <c r="F355" s="6">
        <f t="shared" si="5"/>
        <v>4673331.417</v>
      </c>
      <c r="G355" s="6">
        <f t="shared" si="6"/>
        <v>1381668.583</v>
      </c>
      <c r="H355" s="6">
        <f t="shared" si="17"/>
        <v>6055000</v>
      </c>
      <c r="I355" s="6">
        <f t="shared" si="15"/>
        <v>-1596654.125</v>
      </c>
      <c r="J355" s="610">
        <v>4.075</v>
      </c>
      <c r="K355" s="591"/>
      <c r="L355" s="6"/>
      <c r="M355" s="9">
        <v>13000.0</v>
      </c>
      <c r="N355" s="79">
        <f t="shared" si="8"/>
        <v>4532900</v>
      </c>
      <c r="O355" s="6">
        <f t="shared" si="1"/>
        <v>2092831.417</v>
      </c>
      <c r="P355" s="6"/>
      <c r="Q355" s="6">
        <f t="shared" si="9"/>
        <v>15321.07241</v>
      </c>
      <c r="R355" s="6">
        <f t="shared" si="10"/>
        <v>2092831.417</v>
      </c>
      <c r="S355" s="81">
        <f t="shared" si="2"/>
        <v>151.4713038</v>
      </c>
      <c r="T355" s="6"/>
      <c r="U355" s="6"/>
      <c r="V355" s="6"/>
      <c r="W355" s="6"/>
      <c r="X355" s="6"/>
      <c r="Y355" s="6"/>
    </row>
    <row r="356" ht="11.25" customHeight="1">
      <c r="A356" s="7"/>
      <c r="B356" s="68">
        <f t="shared" si="13"/>
        <v>351</v>
      </c>
      <c r="C356" s="607">
        <v>17300.0</v>
      </c>
      <c r="D356" s="6">
        <f t="shared" si="14"/>
        <v>-5421.9713</v>
      </c>
      <c r="E356" s="6">
        <f t="shared" si="16"/>
        <v>22721.9713</v>
      </c>
      <c r="F356" s="6">
        <f t="shared" si="5"/>
        <v>4696053.388</v>
      </c>
      <c r="G356" s="6">
        <f t="shared" si="6"/>
        <v>1376246.612</v>
      </c>
      <c r="H356" s="6">
        <f t="shared" si="17"/>
        <v>6072300</v>
      </c>
      <c r="I356" s="6">
        <f t="shared" si="15"/>
        <v>-1619376.096</v>
      </c>
      <c r="J356" s="610">
        <v>4.075</v>
      </c>
      <c r="K356" s="591"/>
      <c r="L356" s="6"/>
      <c r="M356" s="9">
        <v>13000.0</v>
      </c>
      <c r="N356" s="79">
        <f t="shared" si="8"/>
        <v>4545900</v>
      </c>
      <c r="O356" s="6">
        <f t="shared" si="1"/>
        <v>2108229.388</v>
      </c>
      <c r="P356" s="6"/>
      <c r="Q356" s="6">
        <f t="shared" si="9"/>
        <v>15397.9713</v>
      </c>
      <c r="R356" s="6">
        <f t="shared" si="10"/>
        <v>2108229.388</v>
      </c>
      <c r="S356" s="81">
        <f t="shared" si="2"/>
        <v>153.1868904</v>
      </c>
      <c r="T356" s="6"/>
      <c r="U356" s="6"/>
      <c r="V356" s="6"/>
      <c r="W356" s="6"/>
      <c r="X356" s="6"/>
      <c r="Y356" s="6"/>
    </row>
    <row r="357" ht="11.25" customHeight="1">
      <c r="A357" s="7"/>
      <c r="B357" s="68">
        <f t="shared" si="13"/>
        <v>352</v>
      </c>
      <c r="C357" s="607">
        <v>17300.0</v>
      </c>
      <c r="D357" s="6">
        <f t="shared" si="14"/>
        <v>-5499.131328</v>
      </c>
      <c r="E357" s="6">
        <f t="shared" si="16"/>
        <v>22799.13133</v>
      </c>
      <c r="F357" s="6">
        <f t="shared" si="5"/>
        <v>4718852.52</v>
      </c>
      <c r="G357" s="6">
        <f t="shared" si="6"/>
        <v>1370747.48</v>
      </c>
      <c r="H357" s="6">
        <f t="shared" si="17"/>
        <v>6089600</v>
      </c>
      <c r="I357" s="6">
        <f t="shared" si="15"/>
        <v>-1642175.228</v>
      </c>
      <c r="J357" s="610">
        <v>4.075</v>
      </c>
      <c r="K357" s="591"/>
      <c r="L357" s="6"/>
      <c r="M357" s="9">
        <v>13000.0</v>
      </c>
      <c r="N357" s="79">
        <f t="shared" si="8"/>
        <v>4558900</v>
      </c>
      <c r="O357" s="6">
        <f t="shared" si="1"/>
        <v>2123704.52</v>
      </c>
      <c r="P357" s="6"/>
      <c r="Q357" s="6">
        <f t="shared" si="9"/>
        <v>15475.13133</v>
      </c>
      <c r="R357" s="6">
        <f t="shared" si="10"/>
        <v>2123704.52</v>
      </c>
      <c r="S357" s="81">
        <f t="shared" si="2"/>
        <v>154.9303975</v>
      </c>
      <c r="T357" s="6"/>
      <c r="U357" s="6"/>
      <c r="V357" s="6"/>
      <c r="W357" s="6"/>
      <c r="X357" s="6"/>
      <c r="Y357" s="6"/>
    </row>
    <row r="358" ht="11.25" customHeight="1">
      <c r="A358" s="7"/>
      <c r="B358" s="68">
        <f t="shared" si="13"/>
        <v>353</v>
      </c>
      <c r="C358" s="607">
        <v>17300.0</v>
      </c>
      <c r="D358" s="6">
        <f t="shared" si="14"/>
        <v>-5576.553378</v>
      </c>
      <c r="E358" s="6">
        <f t="shared" si="16"/>
        <v>22876.55338</v>
      </c>
      <c r="F358" s="6">
        <f t="shared" si="5"/>
        <v>4741729.073</v>
      </c>
      <c r="G358" s="6">
        <f t="shared" si="6"/>
        <v>1365170.927</v>
      </c>
      <c r="H358" s="6">
        <f t="shared" si="17"/>
        <v>6106900</v>
      </c>
      <c r="I358" s="6">
        <f t="shared" si="15"/>
        <v>-1665051.781</v>
      </c>
      <c r="J358" s="610">
        <v>4.075</v>
      </c>
      <c r="K358" s="591"/>
      <c r="L358" s="6"/>
      <c r="M358" s="9">
        <v>13000.0</v>
      </c>
      <c r="N358" s="79">
        <f t="shared" si="8"/>
        <v>4571900</v>
      </c>
      <c r="O358" s="6">
        <f t="shared" si="1"/>
        <v>2139257.073</v>
      </c>
      <c r="P358" s="6"/>
      <c r="Q358" s="6">
        <f t="shared" si="9"/>
        <v>15552.55338</v>
      </c>
      <c r="R358" s="6">
        <f t="shared" si="10"/>
        <v>2139257.073</v>
      </c>
      <c r="S358" s="81">
        <f t="shared" si="2"/>
        <v>156.7025074</v>
      </c>
      <c r="T358" s="6"/>
      <c r="U358" s="6"/>
      <c r="V358" s="6"/>
      <c r="W358" s="6"/>
      <c r="X358" s="6"/>
      <c r="Y358" s="6"/>
    </row>
    <row r="359" ht="11.25" customHeight="1">
      <c r="A359" s="7"/>
      <c r="B359" s="68">
        <f t="shared" si="13"/>
        <v>354</v>
      </c>
      <c r="C359" s="607">
        <v>17300.0</v>
      </c>
      <c r="D359" s="6">
        <f t="shared" si="14"/>
        <v>-5654.23834</v>
      </c>
      <c r="E359" s="6">
        <f t="shared" si="16"/>
        <v>22954.23834</v>
      </c>
      <c r="F359" s="6">
        <f t="shared" si="5"/>
        <v>4764683.311</v>
      </c>
      <c r="G359" s="6">
        <f t="shared" si="6"/>
        <v>1359516.689</v>
      </c>
      <c r="H359" s="6">
        <f t="shared" si="17"/>
        <v>6124200</v>
      </c>
      <c r="I359" s="6">
        <f t="shared" si="15"/>
        <v>-1688006.02</v>
      </c>
      <c r="J359" s="610">
        <v>4.075</v>
      </c>
      <c r="K359" s="591"/>
      <c r="L359" s="6"/>
      <c r="M359" s="9">
        <v>13000.0</v>
      </c>
      <c r="N359" s="79">
        <f t="shared" si="8"/>
        <v>4584900</v>
      </c>
      <c r="O359" s="6">
        <f t="shared" si="1"/>
        <v>2154887.311</v>
      </c>
      <c r="P359" s="6"/>
      <c r="Q359" s="6">
        <f t="shared" si="9"/>
        <v>15630.23834</v>
      </c>
      <c r="R359" s="6">
        <f t="shared" si="10"/>
        <v>2154887.311</v>
      </c>
      <c r="S359" s="81">
        <f t="shared" si="2"/>
        <v>158.5039249</v>
      </c>
      <c r="T359" s="6"/>
      <c r="U359" s="6"/>
      <c r="V359" s="6"/>
      <c r="W359" s="6"/>
      <c r="X359" s="6"/>
      <c r="Y359" s="6"/>
    </row>
    <row r="360" ht="11.25" customHeight="1">
      <c r="A360" s="7"/>
      <c r="B360" s="68">
        <f t="shared" si="13"/>
        <v>355</v>
      </c>
      <c r="C360" s="607">
        <v>17300.0</v>
      </c>
      <c r="D360" s="6">
        <f t="shared" si="14"/>
        <v>-5732.187108</v>
      </c>
      <c r="E360" s="6">
        <f t="shared" si="16"/>
        <v>23032.18711</v>
      </c>
      <c r="F360" s="6">
        <f t="shared" si="5"/>
        <v>4787715.498</v>
      </c>
      <c r="G360" s="6">
        <f t="shared" si="6"/>
        <v>1353784.502</v>
      </c>
      <c r="H360" s="6">
        <f t="shared" si="17"/>
        <v>6141500</v>
      </c>
      <c r="I360" s="6">
        <f t="shared" si="15"/>
        <v>-1711038.207</v>
      </c>
      <c r="J360" s="610">
        <v>4.075</v>
      </c>
      <c r="K360" s="591"/>
      <c r="L360" s="6"/>
      <c r="M360" s="9">
        <v>13000.0</v>
      </c>
      <c r="N360" s="79">
        <f t="shared" si="8"/>
        <v>4597900</v>
      </c>
      <c r="O360" s="6">
        <f t="shared" si="1"/>
        <v>2170595.498</v>
      </c>
      <c r="P360" s="6"/>
      <c r="Q360" s="6">
        <f t="shared" si="9"/>
        <v>15708.18711</v>
      </c>
      <c r="R360" s="6">
        <f t="shared" si="10"/>
        <v>2170595.498</v>
      </c>
      <c r="S360" s="81">
        <f t="shared" si="2"/>
        <v>160.3353781</v>
      </c>
      <c r="T360" s="6"/>
      <c r="U360" s="6"/>
      <c r="V360" s="6"/>
      <c r="W360" s="6"/>
      <c r="X360" s="6"/>
      <c r="Y360" s="6"/>
    </row>
    <row r="361" ht="11.25" customHeight="1">
      <c r="A361" s="7"/>
      <c r="B361" s="68">
        <f t="shared" si="13"/>
        <v>356</v>
      </c>
      <c r="C361" s="607">
        <v>17300.0</v>
      </c>
      <c r="D361" s="6">
        <f t="shared" si="14"/>
        <v>-5810.400577</v>
      </c>
      <c r="E361" s="6">
        <f t="shared" si="16"/>
        <v>23110.40058</v>
      </c>
      <c r="F361" s="6">
        <f t="shared" si="5"/>
        <v>4810825.899</v>
      </c>
      <c r="G361" s="6">
        <f t="shared" si="6"/>
        <v>1347974.101</v>
      </c>
      <c r="H361" s="6">
        <f t="shared" si="17"/>
        <v>6158800</v>
      </c>
      <c r="I361" s="6">
        <f t="shared" si="15"/>
        <v>-1734148.607</v>
      </c>
      <c r="J361" s="610">
        <v>4.075</v>
      </c>
      <c r="K361" s="591"/>
      <c r="L361" s="6"/>
      <c r="M361" s="9">
        <v>13000.0</v>
      </c>
      <c r="N361" s="79">
        <f t="shared" si="8"/>
        <v>4610900</v>
      </c>
      <c r="O361" s="6">
        <f t="shared" si="1"/>
        <v>2186381.899</v>
      </c>
      <c r="P361" s="6"/>
      <c r="Q361" s="6">
        <f t="shared" si="9"/>
        <v>15786.40058</v>
      </c>
      <c r="R361" s="6">
        <f t="shared" si="10"/>
        <v>2186381.899</v>
      </c>
      <c r="S361" s="81">
        <f t="shared" si="2"/>
        <v>162.1976192</v>
      </c>
      <c r="T361" s="6"/>
      <c r="U361" s="6"/>
      <c r="V361" s="6"/>
      <c r="W361" s="6"/>
      <c r="X361" s="6"/>
      <c r="Y361" s="6"/>
    </row>
    <row r="362" ht="11.25" customHeight="1">
      <c r="A362" s="7"/>
      <c r="B362" s="68">
        <f t="shared" si="13"/>
        <v>357</v>
      </c>
      <c r="C362" s="607">
        <v>17300.0</v>
      </c>
      <c r="D362" s="6">
        <f t="shared" si="14"/>
        <v>-5888.879645</v>
      </c>
      <c r="E362" s="6">
        <f t="shared" si="16"/>
        <v>23188.87965</v>
      </c>
      <c r="F362" s="6">
        <f t="shared" si="5"/>
        <v>4834014.779</v>
      </c>
      <c r="G362" s="6">
        <f t="shared" si="6"/>
        <v>1342085.221</v>
      </c>
      <c r="H362" s="6">
        <f t="shared" si="17"/>
        <v>6176100</v>
      </c>
      <c r="I362" s="6">
        <f t="shared" si="15"/>
        <v>-1757337.487</v>
      </c>
      <c r="J362" s="610">
        <v>4.075</v>
      </c>
      <c r="K362" s="591"/>
      <c r="L362" s="6"/>
      <c r="M362" s="9">
        <v>13000.0</v>
      </c>
      <c r="N362" s="79">
        <f t="shared" si="8"/>
        <v>4623900</v>
      </c>
      <c r="O362" s="6">
        <f t="shared" si="1"/>
        <v>2202246.779</v>
      </c>
      <c r="P362" s="6"/>
      <c r="Q362" s="6">
        <f t="shared" si="9"/>
        <v>15864.87965</v>
      </c>
      <c r="R362" s="6">
        <f t="shared" si="10"/>
        <v>2202246.779</v>
      </c>
      <c r="S362" s="81">
        <f t="shared" si="2"/>
        <v>164.0914261</v>
      </c>
      <c r="T362" s="6"/>
      <c r="U362" s="6"/>
      <c r="V362" s="6"/>
      <c r="W362" s="6"/>
      <c r="X362" s="6"/>
      <c r="Y362" s="6"/>
    </row>
    <row r="363" ht="11.25" customHeight="1">
      <c r="A363" s="7"/>
      <c r="B363" s="68">
        <f t="shared" si="13"/>
        <v>358</v>
      </c>
      <c r="C363" s="607">
        <v>17300.0</v>
      </c>
      <c r="D363" s="6">
        <f t="shared" si="14"/>
        <v>-5967.625216</v>
      </c>
      <c r="E363" s="6">
        <f t="shared" si="16"/>
        <v>23267.62522</v>
      </c>
      <c r="F363" s="6">
        <f t="shared" si="5"/>
        <v>4857282.404</v>
      </c>
      <c r="G363" s="6">
        <f t="shared" si="6"/>
        <v>1336117.596</v>
      </c>
      <c r="H363" s="6">
        <f t="shared" si="17"/>
        <v>6193400</v>
      </c>
      <c r="I363" s="6">
        <f t="shared" si="15"/>
        <v>-1780605.112</v>
      </c>
      <c r="J363" s="610">
        <v>4.075</v>
      </c>
      <c r="K363" s="591"/>
      <c r="L363" s="6"/>
      <c r="M363" s="9">
        <v>13000.0</v>
      </c>
      <c r="N363" s="79">
        <f t="shared" si="8"/>
        <v>4636900</v>
      </c>
      <c r="O363" s="6">
        <f t="shared" si="1"/>
        <v>2218190.404</v>
      </c>
      <c r="P363" s="6"/>
      <c r="Q363" s="6">
        <f t="shared" si="9"/>
        <v>15943.62522</v>
      </c>
      <c r="R363" s="6">
        <f t="shared" si="10"/>
        <v>2218190.404</v>
      </c>
      <c r="S363" s="81">
        <f t="shared" si="2"/>
        <v>166.0176028</v>
      </c>
      <c r="T363" s="6"/>
      <c r="U363" s="6"/>
      <c r="V363" s="6"/>
      <c r="W363" s="6"/>
      <c r="X363" s="6"/>
      <c r="Y363" s="6"/>
    </row>
    <row r="364" ht="11.25" customHeight="1">
      <c r="A364" s="7"/>
      <c r="B364" s="68">
        <f t="shared" si="13"/>
        <v>359</v>
      </c>
      <c r="C364" s="607">
        <v>17300.0</v>
      </c>
      <c r="D364" s="6">
        <f t="shared" si="14"/>
        <v>-6046.638193</v>
      </c>
      <c r="E364" s="6">
        <f t="shared" si="16"/>
        <v>23346.63819</v>
      </c>
      <c r="F364" s="6">
        <f t="shared" si="5"/>
        <v>4880629.042</v>
      </c>
      <c r="G364" s="6">
        <f t="shared" si="6"/>
        <v>1330070.958</v>
      </c>
      <c r="H364" s="6">
        <f t="shared" si="17"/>
        <v>6210700</v>
      </c>
      <c r="I364" s="6">
        <f t="shared" si="15"/>
        <v>-1803951.75</v>
      </c>
      <c r="J364" s="610">
        <v>4.075</v>
      </c>
      <c r="K364" s="591"/>
      <c r="L364" s="6"/>
      <c r="M364" s="9">
        <v>13000.0</v>
      </c>
      <c r="N364" s="79">
        <f t="shared" si="8"/>
        <v>4649900</v>
      </c>
      <c r="O364" s="6">
        <f t="shared" si="1"/>
        <v>2234213.042</v>
      </c>
      <c r="P364" s="6"/>
      <c r="Q364" s="6">
        <f t="shared" si="9"/>
        <v>16022.63819</v>
      </c>
      <c r="R364" s="6">
        <f t="shared" si="10"/>
        <v>2234213.042</v>
      </c>
      <c r="S364" s="81">
        <f t="shared" si="2"/>
        <v>167.9769811</v>
      </c>
      <c r="T364" s="6"/>
      <c r="U364" s="6"/>
      <c r="V364" s="6"/>
      <c r="W364" s="6"/>
      <c r="X364" s="6"/>
      <c r="Y364" s="6"/>
    </row>
    <row r="365" ht="12.0" customHeight="1">
      <c r="A365" s="7"/>
      <c r="B365" s="106">
        <f t="shared" si="13"/>
        <v>360</v>
      </c>
      <c r="C365" s="607">
        <v>17300.0</v>
      </c>
      <c r="D365" s="113">
        <f t="shared" si="14"/>
        <v>-6125.919485</v>
      </c>
      <c r="E365" s="113">
        <f t="shared" si="16"/>
        <v>23425.91949</v>
      </c>
      <c r="F365" s="113">
        <f t="shared" si="5"/>
        <v>4904054.962</v>
      </c>
      <c r="G365" s="113">
        <f t="shared" si="6"/>
        <v>1323945.038</v>
      </c>
      <c r="H365" s="113">
        <f t="shared" si="17"/>
        <v>6228000</v>
      </c>
      <c r="I365" s="113">
        <f t="shared" si="15"/>
        <v>-1827377.67</v>
      </c>
      <c r="J365" s="610">
        <v>4.075</v>
      </c>
      <c r="K365" s="591"/>
      <c r="L365" s="6"/>
      <c r="M365" s="9">
        <v>13000.0</v>
      </c>
      <c r="N365" s="79">
        <f t="shared" si="8"/>
        <v>4662900</v>
      </c>
      <c r="O365" s="6">
        <f t="shared" si="1"/>
        <v>2250314.962</v>
      </c>
      <c r="P365" s="6"/>
      <c r="Q365" s="6">
        <f t="shared" si="9"/>
        <v>16101.91949</v>
      </c>
      <c r="R365" s="6">
        <f t="shared" si="10"/>
        <v>2250314.962</v>
      </c>
      <c r="S365" s="81">
        <f t="shared" si="2"/>
        <v>169.9704215</v>
      </c>
      <c r="T365" s="6"/>
      <c r="U365" s="6"/>
      <c r="V365" s="6"/>
      <c r="W365" s="6"/>
      <c r="X365" s="6"/>
      <c r="Y365" s="6"/>
    </row>
    <row r="366" ht="11.25" customHeight="1">
      <c r="A366" s="7"/>
      <c r="B366" s="5"/>
      <c r="C366" s="6"/>
      <c r="D366" s="6"/>
      <c r="E366" s="6"/>
      <c r="F366" s="6"/>
      <c r="G366" s="6"/>
      <c r="H366" s="6"/>
      <c r="I366" s="6"/>
      <c r="J366" s="11"/>
      <c r="K366" s="591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ht="11.25" customHeight="1">
      <c r="A367" s="7"/>
      <c r="B367" s="5"/>
      <c r="C367" s="6"/>
      <c r="D367" s="6"/>
      <c r="E367" s="6"/>
      <c r="F367" s="6"/>
      <c r="G367" s="6"/>
      <c r="H367" s="6"/>
      <c r="I367" s="6"/>
      <c r="J367" s="11"/>
      <c r="K367" s="591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ht="11.25" customHeight="1">
      <c r="A368" s="7"/>
      <c r="B368" s="5"/>
      <c r="C368" s="6"/>
      <c r="D368" s="6"/>
      <c r="E368" s="6"/>
      <c r="F368" s="6"/>
      <c r="G368" s="6"/>
      <c r="H368" s="6"/>
      <c r="I368" s="6"/>
      <c r="J368" s="11"/>
      <c r="K368" s="591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ht="11.25" customHeight="1">
      <c r="A369" s="7"/>
      <c r="B369" s="5"/>
      <c r="C369" s="6"/>
      <c r="D369" s="6"/>
      <c r="E369" s="6"/>
      <c r="F369" s="6"/>
      <c r="G369" s="6"/>
      <c r="H369" s="6"/>
      <c r="I369" s="6"/>
      <c r="J369" s="11"/>
      <c r="K369" s="591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ht="11.25" customHeight="1">
      <c r="A370" s="7"/>
      <c r="B370" s="5"/>
      <c r="C370" s="6"/>
      <c r="D370" s="6"/>
      <c r="E370" s="6"/>
      <c r="F370" s="6"/>
      <c r="G370" s="6"/>
      <c r="H370" s="6"/>
      <c r="I370" s="6"/>
      <c r="J370" s="11"/>
      <c r="K370" s="591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ht="11.25" customHeight="1">
      <c r="A371" s="7"/>
      <c r="B371" s="5"/>
      <c r="C371" s="6"/>
      <c r="D371" s="6"/>
      <c r="E371" s="6"/>
      <c r="F371" s="6"/>
      <c r="G371" s="6"/>
      <c r="H371" s="6"/>
      <c r="I371" s="6"/>
      <c r="J371" s="11"/>
      <c r="K371" s="591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ht="11.25" customHeight="1">
      <c r="A372" s="7"/>
      <c r="B372" s="5"/>
      <c r="C372" s="6"/>
      <c r="D372" s="6"/>
      <c r="E372" s="6"/>
      <c r="F372" s="6"/>
      <c r="G372" s="6"/>
      <c r="H372" s="6"/>
      <c r="I372" s="6"/>
      <c r="J372" s="11"/>
      <c r="K372" s="591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ht="11.25" customHeight="1">
      <c r="A373" s="7"/>
      <c r="B373" s="5"/>
      <c r="C373" s="6"/>
      <c r="D373" s="6"/>
      <c r="E373" s="6"/>
      <c r="F373" s="6"/>
      <c r="G373" s="6"/>
      <c r="H373" s="6"/>
      <c r="I373" s="6"/>
      <c r="J373" s="11"/>
      <c r="K373" s="591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ht="11.25" customHeight="1">
      <c r="A374" s="7"/>
      <c r="B374" s="5"/>
      <c r="C374" s="6"/>
      <c r="D374" s="6"/>
      <c r="E374" s="6"/>
      <c r="F374" s="6"/>
      <c r="G374" s="6"/>
      <c r="H374" s="6"/>
      <c r="I374" s="6"/>
      <c r="J374" s="11"/>
      <c r="K374" s="591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11.25" customHeight="1">
      <c r="A375" s="7"/>
      <c r="B375" s="5"/>
      <c r="C375" s="6"/>
      <c r="D375" s="6"/>
      <c r="E375" s="6"/>
      <c r="F375" s="6"/>
      <c r="G375" s="6"/>
      <c r="H375" s="6"/>
      <c r="I375" s="6"/>
      <c r="J375" s="11"/>
      <c r="K375" s="591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11.25" customHeight="1">
      <c r="A376" s="7"/>
      <c r="B376" s="5"/>
      <c r="C376" s="6"/>
      <c r="D376" s="6"/>
      <c r="E376" s="6"/>
      <c r="F376" s="6"/>
      <c r="G376" s="6"/>
      <c r="H376" s="6"/>
      <c r="I376" s="6"/>
      <c r="J376" s="11"/>
      <c r="K376" s="591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11.25" customHeight="1">
      <c r="A377" s="7"/>
      <c r="B377" s="5"/>
      <c r="C377" s="6"/>
      <c r="D377" s="6"/>
      <c r="E377" s="6"/>
      <c r="F377" s="6"/>
      <c r="G377" s="6"/>
      <c r="H377" s="6"/>
      <c r="I377" s="6"/>
      <c r="J377" s="11"/>
      <c r="K377" s="591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11.25" customHeight="1">
      <c r="A378" s="7"/>
      <c r="B378" s="5"/>
      <c r="C378" s="6"/>
      <c r="D378" s="6"/>
      <c r="E378" s="6"/>
      <c r="F378" s="6"/>
      <c r="G378" s="6"/>
      <c r="H378" s="6"/>
      <c r="I378" s="6"/>
      <c r="J378" s="11"/>
      <c r="K378" s="591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11.25" customHeight="1">
      <c r="A379" s="7"/>
      <c r="B379" s="5"/>
      <c r="C379" s="6"/>
      <c r="D379" s="6"/>
      <c r="E379" s="6"/>
      <c r="F379" s="6"/>
      <c r="G379" s="6"/>
      <c r="H379" s="6"/>
      <c r="I379" s="6"/>
      <c r="J379" s="11"/>
      <c r="K379" s="591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11.25" customHeight="1">
      <c r="A380" s="7"/>
      <c r="B380" s="5"/>
      <c r="C380" s="6"/>
      <c r="D380" s="6"/>
      <c r="E380" s="6"/>
      <c r="F380" s="6"/>
      <c r="G380" s="6"/>
      <c r="H380" s="6"/>
      <c r="I380" s="6"/>
      <c r="J380" s="11"/>
      <c r="K380" s="591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ht="11.25" customHeight="1">
      <c r="A381" s="7"/>
      <c r="B381" s="5"/>
      <c r="C381" s="6"/>
      <c r="D381" s="6"/>
      <c r="E381" s="6"/>
      <c r="F381" s="6"/>
      <c r="G381" s="6"/>
      <c r="H381" s="6"/>
      <c r="I381" s="6"/>
      <c r="J381" s="11"/>
      <c r="K381" s="591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ht="11.25" customHeight="1">
      <c r="A382" s="7"/>
      <c r="B382" s="5"/>
      <c r="C382" s="6"/>
      <c r="D382" s="6"/>
      <c r="E382" s="6"/>
      <c r="F382" s="6"/>
      <c r="G382" s="6"/>
      <c r="H382" s="6"/>
      <c r="I382" s="6"/>
      <c r="J382" s="11"/>
      <c r="K382" s="591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11.25" customHeight="1">
      <c r="A383" s="7"/>
      <c r="B383" s="5"/>
      <c r="C383" s="6"/>
      <c r="D383" s="6"/>
      <c r="E383" s="6"/>
      <c r="F383" s="6"/>
      <c r="G383" s="6"/>
      <c r="H383" s="6"/>
      <c r="I383" s="6"/>
      <c r="J383" s="11"/>
      <c r="K383" s="591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11.25" customHeight="1">
      <c r="A384" s="7"/>
      <c r="B384" s="5"/>
      <c r="C384" s="6"/>
      <c r="D384" s="6"/>
      <c r="E384" s="6"/>
      <c r="F384" s="6"/>
      <c r="G384" s="6"/>
      <c r="H384" s="6"/>
      <c r="I384" s="6"/>
      <c r="J384" s="11"/>
      <c r="K384" s="591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11.25" customHeight="1">
      <c r="A385" s="7"/>
      <c r="B385" s="5"/>
      <c r="C385" s="6"/>
      <c r="D385" s="6"/>
      <c r="E385" s="6"/>
      <c r="F385" s="6"/>
      <c r="G385" s="6"/>
      <c r="H385" s="6"/>
      <c r="I385" s="6"/>
      <c r="J385" s="11"/>
      <c r="K385" s="591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11.25" customHeight="1">
      <c r="A386" s="7"/>
      <c r="B386" s="5"/>
      <c r="C386" s="6"/>
      <c r="D386" s="6"/>
      <c r="E386" s="6"/>
      <c r="F386" s="6"/>
      <c r="G386" s="6"/>
      <c r="H386" s="6"/>
      <c r="I386" s="6"/>
      <c r="J386" s="11"/>
      <c r="K386" s="591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11.25" customHeight="1">
      <c r="A387" s="7"/>
      <c r="B387" s="5"/>
      <c r="C387" s="6"/>
      <c r="D387" s="6"/>
      <c r="E387" s="6"/>
      <c r="F387" s="6"/>
      <c r="G387" s="6"/>
      <c r="H387" s="6"/>
      <c r="I387" s="6"/>
      <c r="J387" s="11"/>
      <c r="K387" s="591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11.25" customHeight="1">
      <c r="A388" s="7"/>
      <c r="B388" s="5"/>
      <c r="C388" s="6"/>
      <c r="D388" s="6"/>
      <c r="E388" s="6"/>
      <c r="F388" s="6"/>
      <c r="G388" s="6"/>
      <c r="H388" s="6"/>
      <c r="I388" s="6"/>
      <c r="J388" s="11"/>
      <c r="K388" s="591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11.25" customHeight="1">
      <c r="A389" s="7"/>
      <c r="B389" s="5"/>
      <c r="C389" s="6"/>
      <c r="D389" s="6"/>
      <c r="E389" s="6"/>
      <c r="F389" s="6"/>
      <c r="G389" s="6"/>
      <c r="H389" s="6"/>
      <c r="I389" s="6"/>
      <c r="J389" s="11"/>
      <c r="K389" s="591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11.25" customHeight="1">
      <c r="A390" s="7"/>
      <c r="B390" s="5"/>
      <c r="C390" s="6"/>
      <c r="D390" s="6"/>
      <c r="E390" s="6"/>
      <c r="F390" s="6"/>
      <c r="G390" s="6"/>
      <c r="H390" s="6"/>
      <c r="I390" s="6"/>
      <c r="J390" s="11"/>
      <c r="K390" s="591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11.25" customHeight="1">
      <c r="A391" s="7"/>
      <c r="B391" s="5"/>
      <c r="C391" s="6"/>
      <c r="D391" s="6"/>
      <c r="E391" s="6"/>
      <c r="F391" s="6"/>
      <c r="G391" s="6"/>
      <c r="H391" s="6"/>
      <c r="I391" s="6"/>
      <c r="J391" s="11"/>
      <c r="K391" s="591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11.25" customHeight="1">
      <c r="A392" s="7"/>
      <c r="B392" s="5"/>
      <c r="C392" s="6"/>
      <c r="D392" s="6"/>
      <c r="E392" s="6"/>
      <c r="F392" s="6"/>
      <c r="G392" s="6"/>
      <c r="H392" s="6"/>
      <c r="I392" s="6"/>
      <c r="J392" s="11"/>
      <c r="K392" s="591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11.25" customHeight="1">
      <c r="A393" s="7"/>
      <c r="B393" s="5"/>
      <c r="C393" s="6"/>
      <c r="D393" s="6"/>
      <c r="E393" s="6"/>
      <c r="F393" s="6"/>
      <c r="G393" s="6"/>
      <c r="H393" s="6"/>
      <c r="I393" s="6"/>
      <c r="J393" s="11"/>
      <c r="K393" s="591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11.25" customHeight="1">
      <c r="A394" s="7"/>
      <c r="B394" s="5"/>
      <c r="C394" s="6"/>
      <c r="D394" s="6"/>
      <c r="E394" s="6"/>
      <c r="F394" s="6"/>
      <c r="G394" s="6"/>
      <c r="H394" s="6"/>
      <c r="I394" s="6"/>
      <c r="J394" s="11"/>
      <c r="K394" s="591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11.25" customHeight="1">
      <c r="A395" s="7"/>
      <c r="B395" s="5"/>
      <c r="C395" s="6"/>
      <c r="D395" s="6"/>
      <c r="E395" s="6"/>
      <c r="F395" s="6"/>
      <c r="G395" s="6"/>
      <c r="H395" s="6"/>
      <c r="I395" s="6"/>
      <c r="J395" s="11"/>
      <c r="K395" s="591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11.25" customHeight="1">
      <c r="A396" s="7"/>
      <c r="B396" s="5"/>
      <c r="C396" s="6"/>
      <c r="D396" s="6"/>
      <c r="E396" s="6"/>
      <c r="F396" s="6"/>
      <c r="G396" s="6"/>
      <c r="H396" s="6"/>
      <c r="I396" s="6"/>
      <c r="J396" s="11"/>
      <c r="K396" s="591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11.25" customHeight="1">
      <c r="A397" s="7"/>
      <c r="B397" s="5"/>
      <c r="C397" s="6"/>
      <c r="D397" s="6"/>
      <c r="E397" s="6"/>
      <c r="F397" s="6"/>
      <c r="G397" s="6"/>
      <c r="H397" s="6"/>
      <c r="I397" s="6"/>
      <c r="J397" s="11"/>
      <c r="K397" s="591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11.25" customHeight="1">
      <c r="A398" s="7"/>
      <c r="B398" s="5"/>
      <c r="C398" s="6"/>
      <c r="D398" s="6"/>
      <c r="E398" s="6"/>
      <c r="F398" s="6"/>
      <c r="G398" s="6"/>
      <c r="H398" s="6"/>
      <c r="I398" s="6"/>
      <c r="J398" s="11"/>
      <c r="K398" s="591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11.25" customHeight="1">
      <c r="A399" s="7"/>
      <c r="B399" s="5"/>
      <c r="C399" s="6"/>
      <c r="D399" s="6"/>
      <c r="E399" s="6"/>
      <c r="F399" s="6"/>
      <c r="G399" s="6"/>
      <c r="H399" s="6"/>
      <c r="I399" s="6"/>
      <c r="J399" s="11"/>
      <c r="K399" s="591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11.25" customHeight="1">
      <c r="A400" s="7"/>
      <c r="B400" s="5"/>
      <c r="C400" s="6"/>
      <c r="D400" s="6"/>
      <c r="E400" s="6"/>
      <c r="F400" s="6"/>
      <c r="G400" s="6"/>
      <c r="H400" s="6"/>
      <c r="I400" s="6"/>
      <c r="J400" s="11"/>
      <c r="K400" s="591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11.25" customHeight="1">
      <c r="A401" s="7"/>
      <c r="B401" s="5"/>
      <c r="C401" s="6"/>
      <c r="D401" s="6"/>
      <c r="E401" s="6"/>
      <c r="F401" s="6"/>
      <c r="G401" s="6"/>
      <c r="H401" s="6"/>
      <c r="I401" s="6"/>
      <c r="J401" s="11"/>
      <c r="K401" s="591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11.25" customHeight="1">
      <c r="A402" s="7"/>
      <c r="B402" s="5"/>
      <c r="C402" s="6"/>
      <c r="D402" s="6"/>
      <c r="E402" s="6"/>
      <c r="F402" s="6"/>
      <c r="G402" s="6"/>
      <c r="H402" s="6"/>
      <c r="I402" s="6"/>
      <c r="J402" s="11"/>
      <c r="K402" s="591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11.25" customHeight="1">
      <c r="A403" s="7"/>
      <c r="B403" s="5"/>
      <c r="C403" s="6"/>
      <c r="D403" s="6"/>
      <c r="E403" s="6"/>
      <c r="F403" s="6"/>
      <c r="G403" s="6"/>
      <c r="H403" s="6"/>
      <c r="I403" s="6"/>
      <c r="J403" s="11"/>
      <c r="K403" s="591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11.25" customHeight="1">
      <c r="A404" s="7"/>
      <c r="B404" s="5"/>
      <c r="C404" s="6"/>
      <c r="D404" s="6"/>
      <c r="E404" s="6"/>
      <c r="F404" s="6"/>
      <c r="G404" s="6"/>
      <c r="H404" s="6"/>
      <c r="I404" s="6"/>
      <c r="J404" s="11"/>
      <c r="K404" s="591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11.25" customHeight="1">
      <c r="A405" s="7"/>
      <c r="B405" s="5"/>
      <c r="C405" s="6"/>
      <c r="D405" s="6"/>
      <c r="E405" s="6"/>
      <c r="F405" s="6"/>
      <c r="G405" s="6"/>
      <c r="H405" s="6"/>
      <c r="I405" s="6"/>
      <c r="J405" s="11"/>
      <c r="K405" s="591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11.25" customHeight="1">
      <c r="A406" s="7"/>
      <c r="B406" s="5"/>
      <c r="C406" s="6"/>
      <c r="D406" s="6"/>
      <c r="E406" s="6"/>
      <c r="F406" s="6"/>
      <c r="G406" s="6"/>
      <c r="H406" s="6"/>
      <c r="I406" s="6"/>
      <c r="J406" s="11"/>
      <c r="K406" s="591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11.25" customHeight="1">
      <c r="A407" s="7"/>
      <c r="B407" s="5"/>
      <c r="C407" s="6"/>
      <c r="D407" s="6"/>
      <c r="E407" s="6"/>
      <c r="F407" s="6"/>
      <c r="G407" s="6"/>
      <c r="H407" s="6"/>
      <c r="I407" s="6"/>
      <c r="J407" s="11"/>
      <c r="K407" s="591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11.25" customHeight="1">
      <c r="A408" s="7"/>
      <c r="B408" s="5"/>
      <c r="C408" s="6"/>
      <c r="D408" s="6"/>
      <c r="E408" s="6"/>
      <c r="F408" s="6"/>
      <c r="G408" s="6"/>
      <c r="H408" s="6"/>
      <c r="I408" s="6"/>
      <c r="J408" s="11"/>
      <c r="K408" s="591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11.25" customHeight="1">
      <c r="A409" s="7"/>
      <c r="B409" s="5"/>
      <c r="C409" s="6"/>
      <c r="D409" s="6"/>
      <c r="E409" s="6"/>
      <c r="F409" s="6"/>
      <c r="G409" s="6"/>
      <c r="H409" s="6"/>
      <c r="I409" s="6"/>
      <c r="J409" s="11"/>
      <c r="K409" s="591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11.25" customHeight="1">
      <c r="A410" s="7"/>
      <c r="B410" s="5"/>
      <c r="C410" s="6"/>
      <c r="D410" s="6"/>
      <c r="E410" s="6"/>
      <c r="F410" s="6"/>
      <c r="G410" s="6"/>
      <c r="H410" s="6"/>
      <c r="I410" s="6"/>
      <c r="J410" s="11"/>
      <c r="K410" s="591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11.25" customHeight="1">
      <c r="A411" s="7"/>
      <c r="B411" s="5"/>
      <c r="C411" s="6"/>
      <c r="D411" s="6"/>
      <c r="E411" s="6"/>
      <c r="F411" s="6"/>
      <c r="G411" s="6"/>
      <c r="H411" s="6"/>
      <c r="I411" s="6"/>
      <c r="J411" s="11"/>
      <c r="K411" s="591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11.25" customHeight="1">
      <c r="A412" s="7"/>
      <c r="B412" s="5"/>
      <c r="C412" s="6"/>
      <c r="D412" s="6"/>
      <c r="E412" s="6"/>
      <c r="F412" s="6"/>
      <c r="G412" s="6"/>
      <c r="H412" s="6"/>
      <c r="I412" s="6"/>
      <c r="J412" s="11"/>
      <c r="K412" s="591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11.25" customHeight="1">
      <c r="A413" s="7"/>
      <c r="B413" s="5"/>
      <c r="C413" s="6"/>
      <c r="D413" s="6"/>
      <c r="E413" s="6"/>
      <c r="F413" s="6"/>
      <c r="G413" s="6"/>
      <c r="H413" s="6"/>
      <c r="I413" s="6"/>
      <c r="J413" s="11"/>
      <c r="K413" s="591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11.25" customHeight="1">
      <c r="A414" s="7"/>
      <c r="B414" s="5"/>
      <c r="C414" s="6"/>
      <c r="D414" s="6"/>
      <c r="E414" s="6"/>
      <c r="F414" s="6"/>
      <c r="G414" s="6"/>
      <c r="H414" s="6"/>
      <c r="I414" s="6"/>
      <c r="J414" s="11"/>
      <c r="K414" s="591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11.25" customHeight="1">
      <c r="A415" s="7"/>
      <c r="B415" s="5"/>
      <c r="C415" s="6"/>
      <c r="D415" s="6"/>
      <c r="E415" s="6"/>
      <c r="F415" s="6"/>
      <c r="G415" s="6"/>
      <c r="H415" s="6"/>
      <c r="I415" s="6"/>
      <c r="J415" s="11"/>
      <c r="K415" s="591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11.25" customHeight="1">
      <c r="A416" s="7"/>
      <c r="B416" s="5"/>
      <c r="C416" s="6"/>
      <c r="D416" s="6"/>
      <c r="E416" s="6"/>
      <c r="F416" s="6"/>
      <c r="G416" s="6"/>
      <c r="H416" s="6"/>
      <c r="I416" s="6"/>
      <c r="J416" s="11"/>
      <c r="K416" s="591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11.25" customHeight="1">
      <c r="A417" s="7"/>
      <c r="B417" s="5"/>
      <c r="C417" s="6"/>
      <c r="D417" s="6"/>
      <c r="E417" s="6"/>
      <c r="F417" s="6"/>
      <c r="G417" s="6"/>
      <c r="H417" s="6"/>
      <c r="I417" s="6"/>
      <c r="J417" s="11"/>
      <c r="K417" s="591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11.25" customHeight="1">
      <c r="A418" s="7"/>
      <c r="B418" s="5"/>
      <c r="C418" s="6"/>
      <c r="D418" s="6"/>
      <c r="E418" s="6"/>
      <c r="F418" s="6"/>
      <c r="G418" s="6"/>
      <c r="H418" s="6"/>
      <c r="I418" s="6"/>
      <c r="J418" s="11"/>
      <c r="K418" s="591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11.25" customHeight="1">
      <c r="A419" s="7"/>
      <c r="B419" s="5"/>
      <c r="C419" s="6"/>
      <c r="D419" s="6"/>
      <c r="E419" s="6"/>
      <c r="F419" s="6"/>
      <c r="G419" s="6"/>
      <c r="H419" s="6"/>
      <c r="I419" s="6"/>
      <c r="J419" s="11"/>
      <c r="K419" s="591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11.25" customHeight="1">
      <c r="A420" s="7"/>
      <c r="B420" s="5"/>
      <c r="C420" s="6"/>
      <c r="D420" s="6"/>
      <c r="E420" s="6"/>
      <c r="F420" s="6"/>
      <c r="G420" s="6"/>
      <c r="H420" s="6"/>
      <c r="I420" s="6"/>
      <c r="J420" s="11"/>
      <c r="K420" s="591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11.25" customHeight="1">
      <c r="A421" s="7"/>
      <c r="B421" s="5"/>
      <c r="C421" s="6"/>
      <c r="D421" s="6"/>
      <c r="E421" s="6"/>
      <c r="F421" s="6"/>
      <c r="G421" s="6"/>
      <c r="H421" s="6"/>
      <c r="I421" s="6"/>
      <c r="J421" s="11"/>
      <c r="K421" s="591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11.25" customHeight="1">
      <c r="A422" s="7"/>
      <c r="B422" s="5"/>
      <c r="C422" s="6"/>
      <c r="D422" s="6"/>
      <c r="E422" s="6"/>
      <c r="F422" s="6"/>
      <c r="G422" s="6"/>
      <c r="H422" s="6"/>
      <c r="I422" s="6"/>
      <c r="J422" s="11"/>
      <c r="K422" s="591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11.25" customHeight="1">
      <c r="A423" s="7"/>
      <c r="B423" s="5"/>
      <c r="C423" s="6"/>
      <c r="D423" s="6"/>
      <c r="E423" s="6"/>
      <c r="F423" s="6"/>
      <c r="G423" s="6"/>
      <c r="H423" s="6"/>
      <c r="I423" s="6"/>
      <c r="J423" s="11"/>
      <c r="K423" s="591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11.25" customHeight="1">
      <c r="A424" s="7"/>
      <c r="B424" s="5"/>
      <c r="C424" s="6"/>
      <c r="D424" s="6"/>
      <c r="E424" s="6"/>
      <c r="F424" s="6"/>
      <c r="G424" s="6"/>
      <c r="H424" s="6"/>
      <c r="I424" s="6"/>
      <c r="J424" s="11"/>
      <c r="K424" s="591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11.25" customHeight="1">
      <c r="A425" s="7"/>
      <c r="B425" s="5"/>
      <c r="C425" s="6"/>
      <c r="D425" s="6"/>
      <c r="E425" s="6"/>
      <c r="F425" s="6"/>
      <c r="G425" s="6"/>
      <c r="H425" s="6"/>
      <c r="I425" s="6"/>
      <c r="J425" s="11"/>
      <c r="K425" s="591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11.25" customHeight="1">
      <c r="A426" s="7"/>
      <c r="B426" s="5"/>
      <c r="C426" s="6"/>
      <c r="D426" s="6"/>
      <c r="E426" s="6"/>
      <c r="F426" s="6"/>
      <c r="G426" s="6"/>
      <c r="H426" s="6"/>
      <c r="I426" s="6"/>
      <c r="J426" s="11"/>
      <c r="K426" s="591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11.25" customHeight="1">
      <c r="A427" s="7"/>
      <c r="B427" s="5"/>
      <c r="C427" s="6"/>
      <c r="D427" s="6"/>
      <c r="E427" s="6"/>
      <c r="F427" s="6"/>
      <c r="G427" s="6"/>
      <c r="H427" s="6"/>
      <c r="I427" s="6"/>
      <c r="J427" s="11"/>
      <c r="K427" s="591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11.25" customHeight="1">
      <c r="A428" s="7"/>
      <c r="B428" s="5"/>
      <c r="C428" s="6"/>
      <c r="D428" s="6"/>
      <c r="E428" s="6"/>
      <c r="F428" s="6"/>
      <c r="G428" s="6"/>
      <c r="H428" s="6"/>
      <c r="I428" s="6"/>
      <c r="J428" s="11"/>
      <c r="K428" s="591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11.25" customHeight="1">
      <c r="A429" s="7"/>
      <c r="B429" s="5"/>
      <c r="C429" s="6"/>
      <c r="D429" s="6"/>
      <c r="E429" s="6"/>
      <c r="F429" s="6"/>
      <c r="G429" s="6"/>
      <c r="H429" s="6"/>
      <c r="I429" s="6"/>
      <c r="J429" s="11"/>
      <c r="K429" s="591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11.25" customHeight="1">
      <c r="A430" s="7"/>
      <c r="B430" s="5"/>
      <c r="C430" s="6"/>
      <c r="D430" s="6"/>
      <c r="E430" s="6"/>
      <c r="F430" s="6"/>
      <c r="G430" s="6"/>
      <c r="H430" s="6"/>
      <c r="I430" s="6"/>
      <c r="J430" s="11"/>
      <c r="K430" s="591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11.25" customHeight="1">
      <c r="A431" s="7"/>
      <c r="B431" s="5"/>
      <c r="C431" s="6"/>
      <c r="D431" s="6"/>
      <c r="E431" s="6"/>
      <c r="F431" s="6"/>
      <c r="G431" s="6"/>
      <c r="H431" s="6"/>
      <c r="I431" s="6"/>
      <c r="J431" s="11"/>
      <c r="K431" s="591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11.25" customHeight="1">
      <c r="A432" s="7"/>
      <c r="B432" s="5"/>
      <c r="C432" s="6"/>
      <c r="D432" s="6"/>
      <c r="E432" s="6"/>
      <c r="F432" s="6"/>
      <c r="G432" s="6"/>
      <c r="H432" s="6"/>
      <c r="I432" s="6"/>
      <c r="J432" s="11"/>
      <c r="K432" s="591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11.25" customHeight="1">
      <c r="A433" s="7"/>
      <c r="B433" s="5"/>
      <c r="C433" s="6"/>
      <c r="D433" s="6"/>
      <c r="E433" s="6"/>
      <c r="F433" s="6"/>
      <c r="G433" s="6"/>
      <c r="H433" s="6"/>
      <c r="I433" s="6"/>
      <c r="J433" s="11"/>
      <c r="K433" s="591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11.25" customHeight="1">
      <c r="A434" s="7"/>
      <c r="B434" s="5"/>
      <c r="C434" s="6"/>
      <c r="D434" s="6"/>
      <c r="E434" s="6"/>
      <c r="F434" s="6"/>
      <c r="G434" s="6"/>
      <c r="H434" s="6"/>
      <c r="I434" s="6"/>
      <c r="J434" s="11"/>
      <c r="K434" s="591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11.25" customHeight="1">
      <c r="A435" s="7"/>
      <c r="B435" s="5"/>
      <c r="C435" s="6"/>
      <c r="D435" s="6"/>
      <c r="E435" s="6"/>
      <c r="F435" s="6"/>
      <c r="G435" s="6"/>
      <c r="H435" s="6"/>
      <c r="I435" s="6"/>
      <c r="J435" s="11"/>
      <c r="K435" s="591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11.25" customHeight="1">
      <c r="A436" s="7"/>
      <c r="B436" s="5"/>
      <c r="C436" s="6"/>
      <c r="D436" s="6"/>
      <c r="E436" s="6"/>
      <c r="F436" s="6"/>
      <c r="G436" s="6"/>
      <c r="H436" s="6"/>
      <c r="I436" s="6"/>
      <c r="J436" s="11"/>
      <c r="K436" s="591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11.25" customHeight="1">
      <c r="A437" s="7"/>
      <c r="B437" s="5"/>
      <c r="C437" s="6"/>
      <c r="D437" s="6"/>
      <c r="E437" s="6"/>
      <c r="F437" s="6"/>
      <c r="G437" s="6"/>
      <c r="H437" s="6"/>
      <c r="I437" s="6"/>
      <c r="J437" s="11"/>
      <c r="K437" s="591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11.25" customHeight="1">
      <c r="A438" s="7"/>
      <c r="B438" s="5"/>
      <c r="C438" s="6"/>
      <c r="D438" s="6"/>
      <c r="E438" s="6"/>
      <c r="F438" s="6"/>
      <c r="G438" s="6"/>
      <c r="H438" s="6"/>
      <c r="I438" s="6"/>
      <c r="J438" s="11"/>
      <c r="K438" s="591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11.25" customHeight="1">
      <c r="A439" s="7"/>
      <c r="B439" s="5"/>
      <c r="C439" s="6"/>
      <c r="D439" s="6"/>
      <c r="E439" s="6"/>
      <c r="F439" s="6"/>
      <c r="G439" s="6"/>
      <c r="H439" s="6"/>
      <c r="I439" s="6"/>
      <c r="J439" s="11"/>
      <c r="K439" s="591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11.25" customHeight="1">
      <c r="A440" s="7"/>
      <c r="B440" s="5"/>
      <c r="C440" s="6"/>
      <c r="D440" s="6"/>
      <c r="E440" s="6"/>
      <c r="F440" s="6"/>
      <c r="G440" s="6"/>
      <c r="H440" s="6"/>
      <c r="I440" s="6"/>
      <c r="J440" s="11"/>
      <c r="K440" s="591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11.25" customHeight="1">
      <c r="A441" s="7"/>
      <c r="B441" s="5"/>
      <c r="C441" s="6"/>
      <c r="D441" s="6"/>
      <c r="E441" s="6"/>
      <c r="F441" s="6"/>
      <c r="G441" s="6"/>
      <c r="H441" s="6"/>
      <c r="I441" s="6"/>
      <c r="J441" s="11"/>
      <c r="K441" s="591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11.25" customHeight="1">
      <c r="A442" s="7"/>
      <c r="B442" s="5"/>
      <c r="C442" s="6"/>
      <c r="D442" s="6"/>
      <c r="E442" s="6"/>
      <c r="F442" s="6"/>
      <c r="G442" s="6"/>
      <c r="H442" s="6"/>
      <c r="I442" s="6"/>
      <c r="J442" s="11"/>
      <c r="K442" s="591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11.25" customHeight="1">
      <c r="A443" s="7"/>
      <c r="B443" s="5"/>
      <c r="C443" s="6"/>
      <c r="D443" s="6"/>
      <c r="E443" s="6"/>
      <c r="F443" s="6"/>
      <c r="G443" s="6"/>
      <c r="H443" s="6"/>
      <c r="I443" s="6"/>
      <c r="J443" s="11"/>
      <c r="K443" s="591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11.25" customHeight="1">
      <c r="A444" s="7"/>
      <c r="B444" s="5"/>
      <c r="C444" s="6"/>
      <c r="D444" s="6"/>
      <c r="E444" s="6"/>
      <c r="F444" s="6"/>
      <c r="G444" s="6"/>
      <c r="H444" s="6"/>
      <c r="I444" s="6"/>
      <c r="J444" s="11"/>
      <c r="K444" s="591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11.25" customHeight="1">
      <c r="A445" s="7"/>
      <c r="B445" s="5"/>
      <c r="C445" s="6"/>
      <c r="D445" s="6"/>
      <c r="E445" s="6"/>
      <c r="F445" s="6"/>
      <c r="G445" s="6"/>
      <c r="H445" s="6"/>
      <c r="I445" s="6"/>
      <c r="J445" s="11"/>
      <c r="K445" s="591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11.25" customHeight="1">
      <c r="A446" s="7"/>
      <c r="B446" s="5"/>
      <c r="C446" s="6"/>
      <c r="D446" s="6"/>
      <c r="E446" s="6"/>
      <c r="F446" s="6"/>
      <c r="G446" s="6"/>
      <c r="H446" s="6"/>
      <c r="I446" s="6"/>
      <c r="J446" s="11"/>
      <c r="K446" s="591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11.25" customHeight="1">
      <c r="A447" s="7"/>
      <c r="B447" s="5"/>
      <c r="C447" s="6"/>
      <c r="D447" s="6"/>
      <c r="E447" s="6"/>
      <c r="F447" s="6"/>
      <c r="G447" s="6"/>
      <c r="H447" s="6"/>
      <c r="I447" s="6"/>
      <c r="J447" s="11"/>
      <c r="K447" s="591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11.25" customHeight="1">
      <c r="A448" s="7"/>
      <c r="B448" s="5"/>
      <c r="C448" s="6"/>
      <c r="D448" s="6"/>
      <c r="E448" s="6"/>
      <c r="F448" s="6"/>
      <c r="G448" s="6"/>
      <c r="H448" s="6"/>
      <c r="I448" s="6"/>
      <c r="J448" s="11"/>
      <c r="K448" s="591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11.25" customHeight="1">
      <c r="A449" s="7"/>
      <c r="B449" s="5"/>
      <c r="C449" s="6"/>
      <c r="D449" s="6"/>
      <c r="E449" s="6"/>
      <c r="F449" s="6"/>
      <c r="G449" s="6"/>
      <c r="H449" s="6"/>
      <c r="I449" s="6"/>
      <c r="J449" s="11"/>
      <c r="K449" s="591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11.25" customHeight="1">
      <c r="A450" s="7"/>
      <c r="B450" s="5"/>
      <c r="C450" s="6"/>
      <c r="D450" s="6"/>
      <c r="E450" s="6"/>
      <c r="F450" s="6"/>
      <c r="G450" s="6"/>
      <c r="H450" s="6"/>
      <c r="I450" s="6"/>
      <c r="J450" s="11"/>
      <c r="K450" s="591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11.25" customHeight="1">
      <c r="A451" s="7"/>
      <c r="B451" s="5"/>
      <c r="C451" s="6"/>
      <c r="D451" s="6"/>
      <c r="E451" s="6"/>
      <c r="F451" s="6"/>
      <c r="G451" s="6"/>
      <c r="H451" s="6"/>
      <c r="I451" s="6"/>
      <c r="J451" s="11"/>
      <c r="K451" s="591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11.25" customHeight="1">
      <c r="A452" s="7"/>
      <c r="B452" s="5"/>
      <c r="C452" s="6"/>
      <c r="D452" s="6"/>
      <c r="E452" s="6"/>
      <c r="F452" s="6"/>
      <c r="G452" s="6"/>
      <c r="H452" s="6"/>
      <c r="I452" s="6"/>
      <c r="J452" s="11"/>
      <c r="K452" s="591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11.25" customHeight="1">
      <c r="A453" s="7"/>
      <c r="B453" s="5"/>
      <c r="C453" s="6"/>
      <c r="D453" s="6"/>
      <c r="E453" s="6"/>
      <c r="F453" s="6"/>
      <c r="G453" s="6"/>
      <c r="H453" s="6"/>
      <c r="I453" s="6"/>
      <c r="J453" s="11"/>
      <c r="K453" s="591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11.25" customHeight="1">
      <c r="A454" s="7"/>
      <c r="B454" s="5"/>
      <c r="C454" s="6"/>
      <c r="D454" s="6"/>
      <c r="E454" s="6"/>
      <c r="F454" s="6"/>
      <c r="G454" s="6"/>
      <c r="H454" s="6"/>
      <c r="I454" s="6"/>
      <c r="J454" s="11"/>
      <c r="K454" s="591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11.25" customHeight="1">
      <c r="A455" s="7"/>
      <c r="B455" s="5"/>
      <c r="C455" s="6"/>
      <c r="D455" s="6"/>
      <c r="E455" s="6"/>
      <c r="F455" s="6"/>
      <c r="G455" s="6"/>
      <c r="H455" s="6"/>
      <c r="I455" s="6"/>
      <c r="J455" s="11"/>
      <c r="K455" s="591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11.25" customHeight="1">
      <c r="A456" s="7"/>
      <c r="B456" s="5"/>
      <c r="C456" s="6"/>
      <c r="D456" s="6"/>
      <c r="E456" s="6"/>
      <c r="F456" s="6"/>
      <c r="G456" s="6"/>
      <c r="H456" s="6"/>
      <c r="I456" s="6"/>
      <c r="J456" s="11"/>
      <c r="K456" s="591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11.25" customHeight="1">
      <c r="A457" s="7"/>
      <c r="B457" s="5"/>
      <c r="C457" s="6"/>
      <c r="D457" s="6"/>
      <c r="E457" s="6"/>
      <c r="F457" s="6"/>
      <c r="G457" s="6"/>
      <c r="H457" s="6"/>
      <c r="I457" s="6"/>
      <c r="J457" s="11"/>
      <c r="K457" s="591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11.25" customHeight="1">
      <c r="A458" s="7"/>
      <c r="B458" s="5"/>
      <c r="C458" s="6"/>
      <c r="D458" s="6"/>
      <c r="E458" s="6"/>
      <c r="F458" s="6"/>
      <c r="G458" s="6"/>
      <c r="H458" s="6"/>
      <c r="I458" s="6"/>
      <c r="J458" s="11"/>
      <c r="K458" s="591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11.25" customHeight="1">
      <c r="A459" s="7"/>
      <c r="B459" s="5"/>
      <c r="C459" s="6"/>
      <c r="D459" s="6"/>
      <c r="E459" s="6"/>
      <c r="F459" s="6"/>
      <c r="G459" s="6"/>
      <c r="H459" s="6"/>
      <c r="I459" s="6"/>
      <c r="J459" s="11"/>
      <c r="K459" s="591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11.25" customHeight="1">
      <c r="A460" s="7"/>
      <c r="B460" s="5"/>
      <c r="C460" s="6"/>
      <c r="D460" s="6"/>
      <c r="E460" s="6"/>
      <c r="F460" s="6"/>
      <c r="G460" s="6"/>
      <c r="H460" s="6"/>
      <c r="I460" s="6"/>
      <c r="J460" s="11"/>
      <c r="K460" s="591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11.25" customHeight="1">
      <c r="A461" s="7"/>
      <c r="B461" s="5"/>
      <c r="C461" s="6"/>
      <c r="D461" s="6"/>
      <c r="E461" s="6"/>
      <c r="F461" s="6"/>
      <c r="G461" s="6"/>
      <c r="H461" s="6"/>
      <c r="I461" s="6"/>
      <c r="J461" s="11"/>
      <c r="K461" s="591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11.25" customHeight="1">
      <c r="A462" s="7"/>
      <c r="B462" s="5"/>
      <c r="C462" s="6"/>
      <c r="D462" s="6"/>
      <c r="E462" s="6"/>
      <c r="F462" s="6"/>
      <c r="G462" s="6"/>
      <c r="H462" s="6"/>
      <c r="I462" s="6"/>
      <c r="J462" s="11"/>
      <c r="K462" s="591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11.25" customHeight="1">
      <c r="A463" s="7"/>
      <c r="B463" s="5"/>
      <c r="C463" s="6"/>
      <c r="D463" s="6"/>
      <c r="E463" s="6"/>
      <c r="F463" s="6"/>
      <c r="G463" s="6"/>
      <c r="H463" s="6"/>
      <c r="I463" s="6"/>
      <c r="J463" s="11"/>
      <c r="K463" s="591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11.25" customHeight="1">
      <c r="A464" s="7"/>
      <c r="B464" s="5"/>
      <c r="C464" s="6"/>
      <c r="D464" s="6"/>
      <c r="E464" s="6"/>
      <c r="F464" s="6"/>
      <c r="G464" s="6"/>
      <c r="H464" s="6"/>
      <c r="I464" s="6"/>
      <c r="J464" s="11"/>
      <c r="K464" s="591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11.25" customHeight="1">
      <c r="A465" s="7"/>
      <c r="B465" s="5"/>
      <c r="C465" s="6"/>
      <c r="D465" s="6"/>
      <c r="E465" s="6"/>
      <c r="F465" s="6"/>
      <c r="G465" s="6"/>
      <c r="H465" s="6"/>
      <c r="I465" s="6"/>
      <c r="J465" s="11"/>
      <c r="K465" s="591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11.25" customHeight="1">
      <c r="A466" s="7"/>
      <c r="B466" s="5"/>
      <c r="C466" s="6"/>
      <c r="D466" s="6"/>
      <c r="E466" s="6"/>
      <c r="F466" s="6"/>
      <c r="G466" s="6"/>
      <c r="H466" s="6"/>
      <c r="I466" s="6"/>
      <c r="J466" s="11"/>
      <c r="K466" s="591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11.25" customHeight="1">
      <c r="A467" s="7"/>
      <c r="B467" s="5"/>
      <c r="C467" s="6"/>
      <c r="D467" s="6"/>
      <c r="E467" s="6"/>
      <c r="F467" s="6"/>
      <c r="G467" s="6"/>
      <c r="H467" s="6"/>
      <c r="I467" s="6"/>
      <c r="J467" s="11"/>
      <c r="K467" s="591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11.25" customHeight="1">
      <c r="A468" s="7"/>
      <c r="B468" s="5"/>
      <c r="C468" s="6"/>
      <c r="D468" s="6"/>
      <c r="E468" s="6"/>
      <c r="F468" s="6"/>
      <c r="G468" s="6"/>
      <c r="H468" s="6"/>
      <c r="I468" s="6"/>
      <c r="J468" s="11"/>
      <c r="K468" s="591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11.25" customHeight="1">
      <c r="A469" s="7"/>
      <c r="B469" s="5"/>
      <c r="C469" s="6"/>
      <c r="D469" s="6"/>
      <c r="E469" s="6"/>
      <c r="F469" s="6"/>
      <c r="G469" s="6"/>
      <c r="H469" s="6"/>
      <c r="I469" s="6"/>
      <c r="J469" s="11"/>
      <c r="K469" s="591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11.25" customHeight="1">
      <c r="A470" s="7"/>
      <c r="B470" s="5"/>
      <c r="C470" s="6"/>
      <c r="D470" s="6"/>
      <c r="E470" s="6"/>
      <c r="F470" s="6"/>
      <c r="G470" s="6"/>
      <c r="H470" s="6"/>
      <c r="I470" s="6"/>
      <c r="J470" s="11"/>
      <c r="K470" s="591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11.25" customHeight="1">
      <c r="A471" s="7"/>
      <c r="B471" s="5"/>
      <c r="C471" s="6"/>
      <c r="D471" s="6"/>
      <c r="E471" s="6"/>
      <c r="F471" s="6"/>
      <c r="G471" s="6"/>
      <c r="H471" s="6"/>
      <c r="I471" s="6"/>
      <c r="J471" s="11"/>
      <c r="K471" s="591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11.25" customHeight="1">
      <c r="A472" s="7"/>
      <c r="B472" s="5"/>
      <c r="C472" s="6"/>
      <c r="D472" s="6"/>
      <c r="E472" s="6"/>
      <c r="F472" s="6"/>
      <c r="G472" s="6"/>
      <c r="H472" s="6"/>
      <c r="I472" s="6"/>
      <c r="J472" s="11"/>
      <c r="K472" s="591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11.25" customHeight="1">
      <c r="A473" s="7"/>
      <c r="B473" s="5"/>
      <c r="C473" s="6"/>
      <c r="D473" s="6"/>
      <c r="E473" s="6"/>
      <c r="F473" s="6"/>
      <c r="G473" s="6"/>
      <c r="H473" s="6"/>
      <c r="I473" s="6"/>
      <c r="J473" s="11"/>
      <c r="K473" s="591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11.25" customHeight="1">
      <c r="A474" s="7"/>
      <c r="B474" s="5"/>
      <c r="C474" s="6"/>
      <c r="D474" s="6"/>
      <c r="E474" s="6"/>
      <c r="F474" s="6"/>
      <c r="G474" s="6"/>
      <c r="H474" s="6"/>
      <c r="I474" s="6"/>
      <c r="J474" s="11"/>
      <c r="K474" s="591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11.25" customHeight="1">
      <c r="A475" s="7"/>
      <c r="B475" s="5"/>
      <c r="C475" s="6"/>
      <c r="D475" s="6"/>
      <c r="E475" s="6"/>
      <c r="F475" s="6"/>
      <c r="G475" s="6"/>
      <c r="H475" s="6"/>
      <c r="I475" s="6"/>
      <c r="J475" s="11"/>
      <c r="K475" s="591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11.25" customHeight="1">
      <c r="A476" s="7"/>
      <c r="B476" s="5"/>
      <c r="C476" s="6"/>
      <c r="D476" s="6"/>
      <c r="E476" s="6"/>
      <c r="F476" s="6"/>
      <c r="G476" s="6"/>
      <c r="H476" s="6"/>
      <c r="I476" s="6"/>
      <c r="J476" s="11"/>
      <c r="K476" s="591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11.25" customHeight="1">
      <c r="A477" s="7"/>
      <c r="B477" s="5"/>
      <c r="C477" s="6"/>
      <c r="D477" s="6"/>
      <c r="E477" s="6"/>
      <c r="F477" s="6"/>
      <c r="G477" s="6"/>
      <c r="H477" s="6"/>
      <c r="I477" s="6"/>
      <c r="J477" s="11"/>
      <c r="K477" s="591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11.25" customHeight="1">
      <c r="A478" s="7"/>
      <c r="B478" s="5"/>
      <c r="C478" s="6"/>
      <c r="D478" s="6"/>
      <c r="E478" s="6"/>
      <c r="F478" s="6"/>
      <c r="G478" s="6"/>
      <c r="H478" s="6"/>
      <c r="I478" s="6"/>
      <c r="J478" s="11"/>
      <c r="K478" s="591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11.25" customHeight="1">
      <c r="A479" s="7"/>
      <c r="B479" s="5"/>
      <c r="C479" s="6"/>
      <c r="D479" s="6"/>
      <c r="E479" s="6"/>
      <c r="F479" s="6"/>
      <c r="G479" s="6"/>
      <c r="H479" s="6"/>
      <c r="I479" s="6"/>
      <c r="J479" s="11"/>
      <c r="K479" s="591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11.25" customHeight="1">
      <c r="A480" s="7"/>
      <c r="B480" s="5"/>
      <c r="C480" s="6"/>
      <c r="D480" s="6"/>
      <c r="E480" s="6"/>
      <c r="F480" s="6"/>
      <c r="G480" s="6"/>
      <c r="H480" s="6"/>
      <c r="I480" s="6"/>
      <c r="J480" s="11"/>
      <c r="K480" s="591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11.25" customHeight="1">
      <c r="A481" s="7"/>
      <c r="B481" s="5"/>
      <c r="C481" s="6"/>
      <c r="D481" s="6"/>
      <c r="E481" s="6"/>
      <c r="F481" s="6"/>
      <c r="G481" s="6"/>
      <c r="H481" s="6"/>
      <c r="I481" s="6"/>
      <c r="J481" s="11"/>
      <c r="K481" s="591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11.25" customHeight="1">
      <c r="A482" s="7"/>
      <c r="B482" s="5"/>
      <c r="C482" s="6"/>
      <c r="D482" s="6"/>
      <c r="E482" s="6"/>
      <c r="F482" s="6"/>
      <c r="G482" s="6"/>
      <c r="H482" s="6"/>
      <c r="I482" s="6"/>
      <c r="J482" s="11"/>
      <c r="K482" s="591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11.25" customHeight="1">
      <c r="A483" s="7"/>
      <c r="B483" s="5"/>
      <c r="C483" s="6"/>
      <c r="D483" s="6"/>
      <c r="E483" s="6"/>
      <c r="F483" s="6"/>
      <c r="G483" s="6"/>
      <c r="H483" s="6"/>
      <c r="I483" s="6"/>
      <c r="J483" s="11"/>
      <c r="K483" s="591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11.25" customHeight="1">
      <c r="A484" s="7"/>
      <c r="B484" s="5"/>
      <c r="C484" s="6"/>
      <c r="D484" s="6"/>
      <c r="E484" s="6"/>
      <c r="F484" s="6"/>
      <c r="G484" s="6"/>
      <c r="H484" s="6"/>
      <c r="I484" s="6"/>
      <c r="J484" s="11"/>
      <c r="K484" s="591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11.25" customHeight="1">
      <c r="A485" s="7"/>
      <c r="B485" s="5"/>
      <c r="C485" s="6"/>
      <c r="D485" s="6"/>
      <c r="E485" s="6"/>
      <c r="F485" s="6"/>
      <c r="G485" s="6"/>
      <c r="H485" s="6"/>
      <c r="I485" s="6"/>
      <c r="J485" s="11"/>
      <c r="K485" s="591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11.25" customHeight="1">
      <c r="A486" s="7"/>
      <c r="B486" s="5"/>
      <c r="C486" s="6"/>
      <c r="D486" s="6"/>
      <c r="E486" s="6"/>
      <c r="F486" s="6"/>
      <c r="G486" s="6"/>
      <c r="H486" s="6"/>
      <c r="I486" s="6"/>
      <c r="J486" s="11"/>
      <c r="K486" s="591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11.25" customHeight="1">
      <c r="A487" s="7"/>
      <c r="B487" s="5"/>
      <c r="C487" s="6"/>
      <c r="D487" s="6"/>
      <c r="E487" s="6"/>
      <c r="F487" s="6"/>
      <c r="G487" s="6"/>
      <c r="H487" s="6"/>
      <c r="I487" s="6"/>
      <c r="J487" s="11"/>
      <c r="K487" s="591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11.25" customHeight="1">
      <c r="A488" s="7"/>
      <c r="B488" s="5"/>
      <c r="C488" s="6"/>
      <c r="D488" s="6"/>
      <c r="E488" s="6"/>
      <c r="F488" s="6"/>
      <c r="G488" s="6"/>
      <c r="H488" s="6"/>
      <c r="I488" s="6"/>
      <c r="J488" s="11"/>
      <c r="K488" s="591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11.25" customHeight="1">
      <c r="A489" s="7"/>
      <c r="B489" s="5"/>
      <c r="C489" s="6"/>
      <c r="D489" s="6"/>
      <c r="E489" s="6"/>
      <c r="F489" s="6"/>
      <c r="G489" s="6"/>
      <c r="H489" s="6"/>
      <c r="I489" s="6"/>
      <c r="J489" s="11"/>
      <c r="K489" s="591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11.25" customHeight="1">
      <c r="A490" s="7"/>
      <c r="B490" s="5"/>
      <c r="C490" s="6"/>
      <c r="D490" s="6"/>
      <c r="E490" s="6"/>
      <c r="F490" s="6"/>
      <c r="G490" s="6"/>
      <c r="H490" s="6"/>
      <c r="I490" s="6"/>
      <c r="J490" s="11"/>
      <c r="K490" s="591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11.25" customHeight="1">
      <c r="A491" s="7"/>
      <c r="B491" s="5"/>
      <c r="C491" s="6"/>
      <c r="D491" s="6"/>
      <c r="E491" s="6"/>
      <c r="F491" s="6"/>
      <c r="G491" s="6"/>
      <c r="H491" s="6"/>
      <c r="I491" s="6"/>
      <c r="J491" s="11"/>
      <c r="K491" s="591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11.25" customHeight="1">
      <c r="A492" s="7"/>
      <c r="B492" s="5"/>
      <c r="C492" s="6"/>
      <c r="D492" s="6"/>
      <c r="E492" s="6"/>
      <c r="F492" s="6"/>
      <c r="G492" s="6"/>
      <c r="H492" s="6"/>
      <c r="I492" s="6"/>
      <c r="J492" s="11"/>
      <c r="K492" s="591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11.25" customHeight="1">
      <c r="A493" s="7"/>
      <c r="B493" s="5"/>
      <c r="C493" s="6"/>
      <c r="D493" s="6"/>
      <c r="E493" s="6"/>
      <c r="F493" s="6"/>
      <c r="G493" s="6"/>
      <c r="H493" s="6"/>
      <c r="I493" s="6"/>
      <c r="J493" s="11"/>
      <c r="K493" s="591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11.25" customHeight="1">
      <c r="A494" s="7"/>
      <c r="B494" s="5"/>
      <c r="C494" s="6"/>
      <c r="D494" s="6"/>
      <c r="E494" s="6"/>
      <c r="F494" s="6"/>
      <c r="G494" s="6"/>
      <c r="H494" s="6"/>
      <c r="I494" s="6"/>
      <c r="J494" s="11"/>
      <c r="K494" s="591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11.25" customHeight="1">
      <c r="A495" s="7"/>
      <c r="B495" s="5"/>
      <c r="C495" s="6"/>
      <c r="D495" s="6"/>
      <c r="E495" s="6"/>
      <c r="F495" s="6"/>
      <c r="G495" s="6"/>
      <c r="H495" s="6"/>
      <c r="I495" s="6"/>
      <c r="J495" s="11"/>
      <c r="K495" s="591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11.25" customHeight="1">
      <c r="A496" s="7"/>
      <c r="B496" s="5"/>
      <c r="C496" s="6"/>
      <c r="D496" s="6"/>
      <c r="E496" s="6"/>
      <c r="F496" s="6"/>
      <c r="G496" s="6"/>
      <c r="H496" s="6"/>
      <c r="I496" s="6"/>
      <c r="J496" s="11"/>
      <c r="K496" s="591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11.25" customHeight="1">
      <c r="A497" s="7"/>
      <c r="B497" s="5"/>
      <c r="C497" s="6"/>
      <c r="D497" s="6"/>
      <c r="E497" s="6"/>
      <c r="F497" s="6"/>
      <c r="G497" s="6"/>
      <c r="H497" s="6"/>
      <c r="I497" s="6"/>
      <c r="J497" s="11"/>
      <c r="K497" s="591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11.25" customHeight="1">
      <c r="A498" s="7"/>
      <c r="B498" s="5"/>
      <c r="C498" s="6"/>
      <c r="D498" s="6"/>
      <c r="E498" s="6"/>
      <c r="F498" s="6"/>
      <c r="G498" s="6"/>
      <c r="H498" s="6"/>
      <c r="I498" s="6"/>
      <c r="J498" s="11"/>
      <c r="K498" s="591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11.25" customHeight="1">
      <c r="A499" s="7"/>
      <c r="B499" s="5"/>
      <c r="C499" s="6"/>
      <c r="D499" s="6"/>
      <c r="E499" s="6"/>
      <c r="F499" s="6"/>
      <c r="G499" s="6"/>
      <c r="H499" s="6"/>
      <c r="I499" s="6"/>
      <c r="J499" s="11"/>
      <c r="K499" s="591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11.25" customHeight="1">
      <c r="A500" s="7"/>
      <c r="B500" s="5"/>
      <c r="C500" s="6"/>
      <c r="D500" s="6"/>
      <c r="E500" s="6"/>
      <c r="F500" s="6"/>
      <c r="G500" s="6"/>
      <c r="H500" s="6"/>
      <c r="I500" s="6"/>
      <c r="J500" s="11"/>
      <c r="K500" s="591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11.25" customHeight="1">
      <c r="A501" s="7"/>
      <c r="B501" s="5"/>
      <c r="C501" s="6"/>
      <c r="D501" s="6"/>
      <c r="E501" s="6"/>
      <c r="F501" s="6"/>
      <c r="G501" s="6"/>
      <c r="H501" s="6"/>
      <c r="I501" s="6"/>
      <c r="J501" s="11"/>
      <c r="K501" s="591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11.25" customHeight="1">
      <c r="A502" s="7"/>
      <c r="B502" s="5"/>
      <c r="C502" s="6"/>
      <c r="D502" s="6"/>
      <c r="E502" s="6"/>
      <c r="F502" s="6"/>
      <c r="G502" s="6"/>
      <c r="H502" s="6"/>
      <c r="I502" s="6"/>
      <c r="J502" s="11"/>
      <c r="K502" s="591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ht="11.25" customHeight="1">
      <c r="A503" s="7"/>
      <c r="B503" s="5"/>
      <c r="C503" s="6"/>
      <c r="D503" s="6"/>
      <c r="E503" s="6"/>
      <c r="F503" s="6"/>
      <c r="G503" s="6"/>
      <c r="H503" s="6"/>
      <c r="I503" s="6"/>
      <c r="J503" s="11"/>
      <c r="K503" s="591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ht="11.25" customHeight="1">
      <c r="A504" s="7"/>
      <c r="B504" s="5"/>
      <c r="C504" s="6"/>
      <c r="D504" s="6"/>
      <c r="E504" s="6"/>
      <c r="F504" s="6"/>
      <c r="G504" s="6"/>
      <c r="H504" s="6"/>
      <c r="I504" s="6"/>
      <c r="J504" s="11"/>
      <c r="K504" s="591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ht="11.25" customHeight="1">
      <c r="A505" s="7"/>
      <c r="B505" s="5"/>
      <c r="C505" s="6"/>
      <c r="D505" s="6"/>
      <c r="E505" s="6"/>
      <c r="F505" s="6"/>
      <c r="G505" s="6"/>
      <c r="H505" s="6"/>
      <c r="I505" s="6"/>
      <c r="J505" s="11"/>
      <c r="K505" s="591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ht="11.25" customHeight="1">
      <c r="A506" s="7"/>
      <c r="B506" s="5"/>
      <c r="C506" s="6"/>
      <c r="D506" s="6"/>
      <c r="E506" s="6"/>
      <c r="F506" s="6"/>
      <c r="G506" s="6"/>
      <c r="H506" s="6"/>
      <c r="I506" s="6"/>
      <c r="J506" s="11"/>
      <c r="K506" s="591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ht="11.25" customHeight="1">
      <c r="A507" s="7"/>
      <c r="B507" s="5"/>
      <c r="C507" s="6"/>
      <c r="D507" s="6"/>
      <c r="E507" s="6"/>
      <c r="F507" s="6"/>
      <c r="G507" s="6"/>
      <c r="H507" s="6"/>
      <c r="I507" s="6"/>
      <c r="J507" s="11"/>
      <c r="K507" s="591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ht="11.25" customHeight="1">
      <c r="A508" s="7"/>
      <c r="B508" s="5"/>
      <c r="C508" s="6"/>
      <c r="D508" s="6"/>
      <c r="E508" s="6"/>
      <c r="F508" s="6"/>
      <c r="G508" s="6"/>
      <c r="H508" s="6"/>
      <c r="I508" s="6"/>
      <c r="J508" s="11"/>
      <c r="K508" s="591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ht="11.25" customHeight="1">
      <c r="A509" s="7"/>
      <c r="B509" s="5"/>
      <c r="C509" s="6"/>
      <c r="D509" s="6"/>
      <c r="E509" s="6"/>
      <c r="F509" s="6"/>
      <c r="G509" s="6"/>
      <c r="H509" s="6"/>
      <c r="I509" s="6"/>
      <c r="J509" s="11"/>
      <c r="K509" s="591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ht="11.25" customHeight="1">
      <c r="A510" s="7"/>
      <c r="B510" s="5"/>
      <c r="C510" s="6"/>
      <c r="D510" s="6"/>
      <c r="E510" s="6"/>
      <c r="F510" s="6"/>
      <c r="G510" s="6"/>
      <c r="H510" s="6"/>
      <c r="I510" s="6"/>
      <c r="J510" s="11"/>
      <c r="K510" s="591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ht="11.25" customHeight="1">
      <c r="A511" s="7"/>
      <c r="B511" s="5"/>
      <c r="C511" s="6"/>
      <c r="D511" s="6"/>
      <c r="E511" s="6"/>
      <c r="F511" s="6"/>
      <c r="G511" s="6"/>
      <c r="H511" s="6"/>
      <c r="I511" s="6"/>
      <c r="J511" s="11"/>
      <c r="K511" s="591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ht="11.25" customHeight="1">
      <c r="A512" s="7"/>
      <c r="B512" s="5"/>
      <c r="C512" s="6"/>
      <c r="D512" s="6"/>
      <c r="E512" s="6"/>
      <c r="F512" s="6"/>
      <c r="G512" s="6"/>
      <c r="H512" s="6"/>
      <c r="I512" s="6"/>
      <c r="J512" s="11"/>
      <c r="K512" s="591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ht="11.25" customHeight="1">
      <c r="A513" s="7"/>
      <c r="B513" s="5"/>
      <c r="C513" s="6"/>
      <c r="D513" s="6"/>
      <c r="E513" s="6"/>
      <c r="F513" s="6"/>
      <c r="G513" s="6"/>
      <c r="H513" s="6"/>
      <c r="I513" s="6"/>
      <c r="J513" s="11"/>
      <c r="K513" s="591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ht="11.25" customHeight="1">
      <c r="A514" s="7"/>
      <c r="B514" s="5"/>
      <c r="C514" s="6"/>
      <c r="D514" s="6"/>
      <c r="E514" s="6"/>
      <c r="F514" s="6"/>
      <c r="G514" s="6"/>
      <c r="H514" s="6"/>
      <c r="I514" s="6"/>
      <c r="J514" s="11"/>
      <c r="K514" s="591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ht="11.25" customHeight="1">
      <c r="A515" s="7"/>
      <c r="B515" s="5"/>
      <c r="C515" s="6"/>
      <c r="D515" s="6"/>
      <c r="E515" s="6"/>
      <c r="F515" s="6"/>
      <c r="G515" s="6"/>
      <c r="H515" s="6"/>
      <c r="I515" s="6"/>
      <c r="J515" s="11"/>
      <c r="K515" s="591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ht="11.25" customHeight="1">
      <c r="A516" s="7"/>
      <c r="B516" s="5"/>
      <c r="C516" s="6"/>
      <c r="D516" s="6"/>
      <c r="E516" s="6"/>
      <c r="F516" s="6"/>
      <c r="G516" s="6"/>
      <c r="H516" s="6"/>
      <c r="I516" s="6"/>
      <c r="J516" s="11"/>
      <c r="K516" s="591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ht="11.25" customHeight="1">
      <c r="A517" s="7"/>
      <c r="B517" s="5"/>
      <c r="C517" s="6"/>
      <c r="D517" s="6"/>
      <c r="E517" s="6"/>
      <c r="F517" s="6"/>
      <c r="G517" s="6"/>
      <c r="H517" s="6"/>
      <c r="I517" s="6"/>
      <c r="J517" s="11"/>
      <c r="K517" s="591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ht="11.25" customHeight="1">
      <c r="A518" s="7"/>
      <c r="B518" s="5"/>
      <c r="C518" s="6"/>
      <c r="D518" s="6"/>
      <c r="E518" s="6"/>
      <c r="F518" s="6"/>
      <c r="G518" s="6"/>
      <c r="H518" s="6"/>
      <c r="I518" s="6"/>
      <c r="J518" s="11"/>
      <c r="K518" s="591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ht="11.25" customHeight="1">
      <c r="A519" s="7"/>
      <c r="B519" s="5"/>
      <c r="C519" s="6"/>
      <c r="D519" s="6"/>
      <c r="E519" s="6"/>
      <c r="F519" s="6"/>
      <c r="G519" s="6"/>
      <c r="H519" s="6"/>
      <c r="I519" s="6"/>
      <c r="J519" s="11"/>
      <c r="K519" s="591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ht="11.25" customHeight="1">
      <c r="A520" s="7"/>
      <c r="B520" s="5"/>
      <c r="C520" s="6"/>
      <c r="D520" s="6"/>
      <c r="E520" s="6"/>
      <c r="F520" s="6"/>
      <c r="G520" s="6"/>
      <c r="H520" s="6"/>
      <c r="I520" s="6"/>
      <c r="J520" s="11"/>
      <c r="K520" s="591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ht="11.25" customHeight="1">
      <c r="A521" s="7"/>
      <c r="B521" s="5"/>
      <c r="C521" s="6"/>
      <c r="D521" s="6"/>
      <c r="E521" s="6"/>
      <c r="F521" s="6"/>
      <c r="G521" s="6"/>
      <c r="H521" s="6"/>
      <c r="I521" s="6"/>
      <c r="J521" s="11"/>
      <c r="K521" s="591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ht="11.25" customHeight="1">
      <c r="A522" s="7"/>
      <c r="B522" s="5"/>
      <c r="C522" s="6"/>
      <c r="D522" s="6"/>
      <c r="E522" s="6"/>
      <c r="F522" s="6"/>
      <c r="G522" s="6"/>
      <c r="H522" s="6"/>
      <c r="I522" s="6"/>
      <c r="J522" s="11"/>
      <c r="K522" s="591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ht="11.25" customHeight="1">
      <c r="A523" s="7"/>
      <c r="B523" s="5"/>
      <c r="C523" s="6"/>
      <c r="D523" s="6"/>
      <c r="E523" s="6"/>
      <c r="F523" s="6"/>
      <c r="G523" s="6"/>
      <c r="H523" s="6"/>
      <c r="I523" s="6"/>
      <c r="J523" s="11"/>
      <c r="K523" s="591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ht="11.25" customHeight="1">
      <c r="A524" s="7"/>
      <c r="B524" s="5"/>
      <c r="C524" s="6"/>
      <c r="D524" s="6"/>
      <c r="E524" s="6"/>
      <c r="F524" s="6"/>
      <c r="G524" s="6"/>
      <c r="H524" s="6"/>
      <c r="I524" s="6"/>
      <c r="J524" s="11"/>
      <c r="K524" s="591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ht="11.25" customHeight="1">
      <c r="A525" s="7"/>
      <c r="B525" s="5"/>
      <c r="C525" s="6"/>
      <c r="D525" s="6"/>
      <c r="E525" s="6"/>
      <c r="F525" s="6"/>
      <c r="G525" s="6"/>
      <c r="H525" s="6"/>
      <c r="I525" s="6"/>
      <c r="J525" s="11"/>
      <c r="K525" s="591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ht="11.25" customHeight="1">
      <c r="A526" s="7"/>
      <c r="B526" s="5"/>
      <c r="C526" s="6"/>
      <c r="D526" s="6"/>
      <c r="E526" s="6"/>
      <c r="F526" s="6"/>
      <c r="G526" s="6"/>
      <c r="H526" s="6"/>
      <c r="I526" s="6"/>
      <c r="J526" s="11"/>
      <c r="K526" s="591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ht="11.25" customHeight="1">
      <c r="A527" s="7"/>
      <c r="B527" s="5"/>
      <c r="C527" s="6"/>
      <c r="D527" s="6"/>
      <c r="E527" s="6"/>
      <c r="F527" s="6"/>
      <c r="G527" s="6"/>
      <c r="H527" s="6"/>
      <c r="I527" s="6"/>
      <c r="J527" s="11"/>
      <c r="K527" s="591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ht="11.25" customHeight="1">
      <c r="A528" s="7"/>
      <c r="B528" s="5"/>
      <c r="C528" s="6"/>
      <c r="D528" s="6"/>
      <c r="E528" s="6"/>
      <c r="F528" s="6"/>
      <c r="G528" s="6"/>
      <c r="H528" s="6"/>
      <c r="I528" s="6"/>
      <c r="J528" s="11"/>
      <c r="K528" s="591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ht="11.25" customHeight="1">
      <c r="A529" s="7"/>
      <c r="B529" s="5"/>
      <c r="C529" s="6"/>
      <c r="D529" s="6"/>
      <c r="E529" s="6"/>
      <c r="F529" s="6"/>
      <c r="G529" s="6"/>
      <c r="H529" s="6"/>
      <c r="I529" s="6"/>
      <c r="J529" s="11"/>
      <c r="K529" s="591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ht="11.25" customHeight="1">
      <c r="A530" s="7"/>
      <c r="B530" s="5"/>
      <c r="C530" s="6"/>
      <c r="D530" s="6"/>
      <c r="E530" s="6"/>
      <c r="F530" s="6"/>
      <c r="G530" s="6"/>
      <c r="H530" s="6"/>
      <c r="I530" s="6"/>
      <c r="J530" s="11"/>
      <c r="K530" s="591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11.25" customHeight="1">
      <c r="A531" s="7"/>
      <c r="B531" s="5"/>
      <c r="C531" s="6"/>
      <c r="D531" s="6"/>
      <c r="E531" s="6"/>
      <c r="F531" s="6"/>
      <c r="G531" s="6"/>
      <c r="H531" s="6"/>
      <c r="I531" s="6"/>
      <c r="J531" s="11"/>
      <c r="K531" s="591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ht="11.25" customHeight="1">
      <c r="A532" s="7"/>
      <c r="B532" s="5"/>
      <c r="C532" s="6"/>
      <c r="D532" s="6"/>
      <c r="E532" s="6"/>
      <c r="F532" s="6"/>
      <c r="G532" s="6"/>
      <c r="H532" s="6"/>
      <c r="I532" s="6"/>
      <c r="J532" s="11"/>
      <c r="K532" s="591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ht="11.25" customHeight="1">
      <c r="A533" s="7"/>
      <c r="B533" s="5"/>
      <c r="C533" s="6"/>
      <c r="D533" s="6"/>
      <c r="E533" s="6"/>
      <c r="F533" s="6"/>
      <c r="G533" s="6"/>
      <c r="H533" s="6"/>
      <c r="I533" s="6"/>
      <c r="J533" s="11"/>
      <c r="K533" s="591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ht="11.25" customHeight="1">
      <c r="A534" s="7"/>
      <c r="B534" s="5"/>
      <c r="C534" s="6"/>
      <c r="D534" s="6"/>
      <c r="E534" s="6"/>
      <c r="F534" s="6"/>
      <c r="G534" s="6"/>
      <c r="H534" s="6"/>
      <c r="I534" s="6"/>
      <c r="J534" s="11"/>
      <c r="K534" s="591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ht="11.25" customHeight="1">
      <c r="A535" s="7"/>
      <c r="B535" s="5"/>
      <c r="C535" s="6"/>
      <c r="D535" s="6"/>
      <c r="E535" s="6"/>
      <c r="F535" s="6"/>
      <c r="G535" s="6"/>
      <c r="H535" s="6"/>
      <c r="I535" s="6"/>
      <c r="J535" s="11"/>
      <c r="K535" s="591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ht="11.25" customHeight="1">
      <c r="A536" s="7"/>
      <c r="B536" s="5"/>
      <c r="C536" s="6"/>
      <c r="D536" s="6"/>
      <c r="E536" s="6"/>
      <c r="F536" s="6"/>
      <c r="G536" s="6"/>
      <c r="H536" s="6"/>
      <c r="I536" s="6"/>
      <c r="J536" s="11"/>
      <c r="K536" s="591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ht="11.25" customHeight="1">
      <c r="A537" s="7"/>
      <c r="B537" s="5"/>
      <c r="C537" s="6"/>
      <c r="D537" s="6"/>
      <c r="E537" s="6"/>
      <c r="F537" s="6"/>
      <c r="G537" s="6"/>
      <c r="H537" s="6"/>
      <c r="I537" s="6"/>
      <c r="J537" s="11"/>
      <c r="K537" s="591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ht="11.25" customHeight="1">
      <c r="A538" s="7"/>
      <c r="B538" s="5"/>
      <c r="C538" s="6"/>
      <c r="D538" s="6"/>
      <c r="E538" s="6"/>
      <c r="F538" s="6"/>
      <c r="G538" s="6"/>
      <c r="H538" s="6"/>
      <c r="I538" s="6"/>
      <c r="J538" s="11"/>
      <c r="K538" s="591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ht="11.25" customHeight="1">
      <c r="A539" s="7"/>
      <c r="B539" s="5"/>
      <c r="C539" s="6"/>
      <c r="D539" s="6"/>
      <c r="E539" s="6"/>
      <c r="F539" s="6"/>
      <c r="G539" s="6"/>
      <c r="H539" s="6"/>
      <c r="I539" s="6"/>
      <c r="J539" s="11"/>
      <c r="K539" s="591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ht="11.25" customHeight="1">
      <c r="A540" s="7"/>
      <c r="B540" s="5"/>
      <c r="C540" s="6"/>
      <c r="D540" s="6"/>
      <c r="E540" s="6"/>
      <c r="F540" s="6"/>
      <c r="G540" s="6"/>
      <c r="H540" s="6"/>
      <c r="I540" s="6"/>
      <c r="J540" s="11"/>
      <c r="K540" s="591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ht="11.25" customHeight="1">
      <c r="A541" s="7"/>
      <c r="B541" s="5"/>
      <c r="C541" s="6"/>
      <c r="D541" s="6"/>
      <c r="E541" s="6"/>
      <c r="F541" s="6"/>
      <c r="G541" s="6"/>
      <c r="H541" s="6"/>
      <c r="I541" s="6"/>
      <c r="J541" s="11"/>
      <c r="K541" s="591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ht="11.25" customHeight="1">
      <c r="A542" s="7"/>
      <c r="B542" s="5"/>
      <c r="C542" s="6"/>
      <c r="D542" s="6"/>
      <c r="E542" s="6"/>
      <c r="F542" s="6"/>
      <c r="G542" s="6"/>
      <c r="H542" s="6"/>
      <c r="I542" s="6"/>
      <c r="J542" s="11"/>
      <c r="K542" s="591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ht="11.25" customHeight="1">
      <c r="A543" s="7"/>
      <c r="B543" s="5"/>
      <c r="C543" s="6"/>
      <c r="D543" s="6"/>
      <c r="E543" s="6"/>
      <c r="F543" s="6"/>
      <c r="G543" s="6"/>
      <c r="H543" s="6"/>
      <c r="I543" s="6"/>
      <c r="J543" s="11"/>
      <c r="K543" s="591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ht="11.25" customHeight="1">
      <c r="A544" s="7"/>
      <c r="B544" s="5"/>
      <c r="C544" s="6"/>
      <c r="D544" s="6"/>
      <c r="E544" s="6"/>
      <c r="F544" s="6"/>
      <c r="G544" s="6"/>
      <c r="H544" s="6"/>
      <c r="I544" s="6"/>
      <c r="J544" s="11"/>
      <c r="K544" s="591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ht="11.25" customHeight="1">
      <c r="A545" s="7"/>
      <c r="B545" s="5"/>
      <c r="C545" s="6"/>
      <c r="D545" s="6"/>
      <c r="E545" s="6"/>
      <c r="F545" s="6"/>
      <c r="G545" s="6"/>
      <c r="H545" s="6"/>
      <c r="I545" s="6"/>
      <c r="J545" s="11"/>
      <c r="K545" s="591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ht="11.25" customHeight="1">
      <c r="A546" s="7"/>
      <c r="B546" s="5"/>
      <c r="C546" s="6"/>
      <c r="D546" s="6"/>
      <c r="E546" s="6"/>
      <c r="F546" s="6"/>
      <c r="G546" s="6"/>
      <c r="H546" s="6"/>
      <c r="I546" s="6"/>
      <c r="J546" s="11"/>
      <c r="K546" s="591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ht="11.25" customHeight="1">
      <c r="A547" s="7"/>
      <c r="B547" s="5"/>
      <c r="C547" s="6"/>
      <c r="D547" s="6"/>
      <c r="E547" s="6"/>
      <c r="F547" s="6"/>
      <c r="G547" s="6"/>
      <c r="H547" s="6"/>
      <c r="I547" s="6"/>
      <c r="J547" s="11"/>
      <c r="K547" s="591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ht="11.25" customHeight="1">
      <c r="A548" s="7"/>
      <c r="B548" s="5"/>
      <c r="C548" s="6"/>
      <c r="D548" s="6"/>
      <c r="E548" s="6"/>
      <c r="F548" s="6"/>
      <c r="G548" s="6"/>
      <c r="H548" s="6"/>
      <c r="I548" s="6"/>
      <c r="J548" s="11"/>
      <c r="K548" s="591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ht="11.25" customHeight="1">
      <c r="A549" s="7"/>
      <c r="B549" s="5"/>
      <c r="C549" s="6"/>
      <c r="D549" s="6"/>
      <c r="E549" s="6"/>
      <c r="F549" s="6"/>
      <c r="G549" s="6"/>
      <c r="H549" s="6"/>
      <c r="I549" s="6"/>
      <c r="J549" s="11"/>
      <c r="K549" s="591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ht="11.25" customHeight="1">
      <c r="A550" s="7"/>
      <c r="B550" s="5"/>
      <c r="C550" s="6"/>
      <c r="D550" s="6"/>
      <c r="E550" s="6"/>
      <c r="F550" s="6"/>
      <c r="G550" s="6"/>
      <c r="H550" s="6"/>
      <c r="I550" s="6"/>
      <c r="J550" s="11"/>
      <c r="K550" s="591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ht="11.25" customHeight="1">
      <c r="A551" s="7"/>
      <c r="B551" s="5"/>
      <c r="C551" s="6"/>
      <c r="D551" s="6"/>
      <c r="E551" s="6"/>
      <c r="F551" s="6"/>
      <c r="G551" s="6"/>
      <c r="H551" s="6"/>
      <c r="I551" s="6"/>
      <c r="J551" s="11"/>
      <c r="K551" s="591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ht="11.25" customHeight="1">
      <c r="A552" s="7"/>
      <c r="B552" s="5"/>
      <c r="C552" s="6"/>
      <c r="D552" s="6"/>
      <c r="E552" s="6"/>
      <c r="F552" s="6"/>
      <c r="G552" s="6"/>
      <c r="H552" s="6"/>
      <c r="I552" s="6"/>
      <c r="J552" s="11"/>
      <c r="K552" s="591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ht="11.25" customHeight="1">
      <c r="A553" s="7"/>
      <c r="B553" s="5"/>
      <c r="C553" s="6"/>
      <c r="D553" s="6"/>
      <c r="E553" s="6"/>
      <c r="F553" s="6"/>
      <c r="G553" s="6"/>
      <c r="H553" s="6"/>
      <c r="I553" s="6"/>
      <c r="J553" s="11"/>
      <c r="K553" s="591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ht="11.25" customHeight="1">
      <c r="A554" s="7"/>
      <c r="B554" s="5"/>
      <c r="C554" s="6"/>
      <c r="D554" s="6"/>
      <c r="E554" s="6"/>
      <c r="F554" s="6"/>
      <c r="G554" s="6"/>
      <c r="H554" s="6"/>
      <c r="I554" s="6"/>
      <c r="J554" s="11"/>
      <c r="K554" s="591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ht="11.25" customHeight="1">
      <c r="A555" s="7"/>
      <c r="B555" s="5"/>
      <c r="C555" s="6"/>
      <c r="D555" s="6"/>
      <c r="E555" s="6"/>
      <c r="F555" s="6"/>
      <c r="G555" s="6"/>
      <c r="H555" s="6"/>
      <c r="I555" s="6"/>
      <c r="J555" s="11"/>
      <c r="K555" s="591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ht="11.25" customHeight="1">
      <c r="A556" s="7"/>
      <c r="B556" s="5"/>
      <c r="C556" s="6"/>
      <c r="D556" s="6"/>
      <c r="E556" s="6"/>
      <c r="F556" s="6"/>
      <c r="G556" s="6"/>
      <c r="H556" s="6"/>
      <c r="I556" s="6"/>
      <c r="J556" s="11"/>
      <c r="K556" s="591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ht="11.25" customHeight="1">
      <c r="A557" s="7"/>
      <c r="B557" s="5"/>
      <c r="C557" s="6"/>
      <c r="D557" s="6"/>
      <c r="E557" s="6"/>
      <c r="F557" s="6"/>
      <c r="G557" s="6"/>
      <c r="H557" s="6"/>
      <c r="I557" s="6"/>
      <c r="J557" s="11"/>
      <c r="K557" s="591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ht="11.25" customHeight="1">
      <c r="A558" s="7"/>
      <c r="B558" s="5"/>
      <c r="C558" s="6"/>
      <c r="D558" s="6"/>
      <c r="E558" s="6"/>
      <c r="F558" s="6"/>
      <c r="G558" s="6"/>
      <c r="H558" s="6"/>
      <c r="I558" s="6"/>
      <c r="J558" s="11"/>
      <c r="K558" s="591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ht="11.25" customHeight="1">
      <c r="A559" s="7"/>
      <c r="B559" s="5"/>
      <c r="C559" s="6"/>
      <c r="D559" s="6"/>
      <c r="E559" s="6"/>
      <c r="F559" s="6"/>
      <c r="G559" s="6"/>
      <c r="H559" s="6"/>
      <c r="I559" s="6"/>
      <c r="J559" s="11"/>
      <c r="K559" s="591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ht="11.25" customHeight="1">
      <c r="A560" s="7"/>
      <c r="B560" s="5"/>
      <c r="C560" s="6"/>
      <c r="D560" s="6"/>
      <c r="E560" s="6"/>
      <c r="F560" s="6"/>
      <c r="G560" s="6"/>
      <c r="H560" s="6"/>
      <c r="I560" s="6"/>
      <c r="J560" s="11"/>
      <c r="K560" s="591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ht="11.25" customHeight="1">
      <c r="A561" s="7"/>
      <c r="B561" s="5"/>
      <c r="C561" s="6"/>
      <c r="D561" s="6"/>
      <c r="E561" s="6"/>
      <c r="F561" s="6"/>
      <c r="G561" s="6"/>
      <c r="H561" s="6"/>
      <c r="I561" s="6"/>
      <c r="J561" s="11"/>
      <c r="K561" s="591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ht="11.25" customHeight="1">
      <c r="A562" s="7"/>
      <c r="B562" s="5"/>
      <c r="C562" s="6"/>
      <c r="D562" s="6"/>
      <c r="E562" s="6"/>
      <c r="F562" s="6"/>
      <c r="G562" s="6"/>
      <c r="H562" s="6"/>
      <c r="I562" s="6"/>
      <c r="J562" s="11"/>
      <c r="K562" s="591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ht="11.25" customHeight="1">
      <c r="A563" s="7"/>
      <c r="B563" s="5"/>
      <c r="C563" s="6"/>
      <c r="D563" s="6"/>
      <c r="E563" s="6"/>
      <c r="F563" s="6"/>
      <c r="G563" s="6"/>
      <c r="H563" s="6"/>
      <c r="I563" s="6"/>
      <c r="J563" s="11"/>
      <c r="K563" s="591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ht="11.25" customHeight="1">
      <c r="A564" s="7"/>
      <c r="B564" s="5"/>
      <c r="C564" s="6"/>
      <c r="D564" s="6"/>
      <c r="E564" s="6"/>
      <c r="F564" s="6"/>
      <c r="G564" s="6"/>
      <c r="H564" s="6"/>
      <c r="I564" s="6"/>
      <c r="J564" s="11"/>
      <c r="K564" s="591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ht="11.25" customHeight="1">
      <c r="A565" s="7"/>
      <c r="B565" s="5"/>
      <c r="C565" s="6"/>
      <c r="D565" s="6"/>
      <c r="E565" s="6"/>
      <c r="F565" s="6"/>
      <c r="G565" s="6"/>
      <c r="H565" s="6"/>
      <c r="I565" s="6"/>
      <c r="J565" s="11"/>
      <c r="K565" s="591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ht="11.25" customHeight="1">
      <c r="A566" s="7"/>
      <c r="B566" s="5"/>
      <c r="C566" s="6"/>
      <c r="D566" s="6"/>
      <c r="E566" s="6"/>
      <c r="F566" s="6"/>
      <c r="G566" s="6"/>
      <c r="H566" s="6"/>
      <c r="I566" s="6"/>
      <c r="J566" s="11"/>
      <c r="K566" s="591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ht="11.25" customHeight="1">
      <c r="A567" s="7"/>
      <c r="B567" s="5"/>
      <c r="C567" s="6"/>
      <c r="D567" s="6"/>
      <c r="E567" s="6"/>
      <c r="F567" s="6"/>
      <c r="G567" s="6"/>
      <c r="H567" s="6"/>
      <c r="I567" s="6"/>
      <c r="J567" s="11"/>
      <c r="K567" s="591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ht="11.25" customHeight="1">
      <c r="A568" s="7"/>
      <c r="B568" s="5"/>
      <c r="C568" s="6"/>
      <c r="D568" s="6"/>
      <c r="E568" s="6"/>
      <c r="F568" s="6"/>
      <c r="G568" s="6"/>
      <c r="H568" s="6"/>
      <c r="I568" s="6"/>
      <c r="J568" s="11"/>
      <c r="K568" s="591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ht="11.25" customHeight="1">
      <c r="A569" s="7"/>
      <c r="B569" s="5"/>
      <c r="C569" s="6"/>
      <c r="D569" s="6"/>
      <c r="E569" s="6"/>
      <c r="F569" s="6"/>
      <c r="G569" s="6"/>
      <c r="H569" s="6"/>
      <c r="I569" s="6"/>
      <c r="J569" s="11"/>
      <c r="K569" s="591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ht="11.25" customHeight="1">
      <c r="A570" s="7"/>
      <c r="B570" s="5"/>
      <c r="C570" s="6"/>
      <c r="D570" s="6"/>
      <c r="E570" s="6"/>
      <c r="F570" s="6"/>
      <c r="G570" s="6"/>
      <c r="H570" s="6"/>
      <c r="I570" s="6"/>
      <c r="J570" s="11"/>
      <c r="K570" s="591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ht="11.25" customHeight="1">
      <c r="A571" s="7"/>
      <c r="B571" s="5"/>
      <c r="C571" s="6"/>
      <c r="D571" s="6"/>
      <c r="E571" s="6"/>
      <c r="F571" s="6"/>
      <c r="G571" s="6"/>
      <c r="H571" s="6"/>
      <c r="I571" s="6"/>
      <c r="J571" s="11"/>
      <c r="K571" s="591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ht="11.25" customHeight="1">
      <c r="A572" s="7"/>
      <c r="B572" s="5"/>
      <c r="C572" s="6"/>
      <c r="D572" s="6"/>
      <c r="E572" s="6"/>
      <c r="F572" s="6"/>
      <c r="G572" s="6"/>
      <c r="H572" s="6"/>
      <c r="I572" s="6"/>
      <c r="J572" s="11"/>
      <c r="K572" s="591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ht="11.25" customHeight="1">
      <c r="A573" s="7"/>
      <c r="B573" s="5"/>
      <c r="C573" s="6"/>
      <c r="D573" s="6"/>
      <c r="E573" s="6"/>
      <c r="F573" s="6"/>
      <c r="G573" s="6"/>
      <c r="H573" s="6"/>
      <c r="I573" s="6"/>
      <c r="J573" s="11"/>
      <c r="K573" s="591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ht="11.25" customHeight="1">
      <c r="A574" s="7"/>
      <c r="B574" s="5"/>
      <c r="C574" s="6"/>
      <c r="D574" s="6"/>
      <c r="E574" s="6"/>
      <c r="F574" s="6"/>
      <c r="G574" s="6"/>
      <c r="H574" s="6"/>
      <c r="I574" s="6"/>
      <c r="J574" s="11"/>
      <c r="K574" s="591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ht="11.25" customHeight="1">
      <c r="A575" s="7"/>
      <c r="B575" s="5"/>
      <c r="C575" s="6"/>
      <c r="D575" s="6"/>
      <c r="E575" s="6"/>
      <c r="F575" s="6"/>
      <c r="G575" s="6"/>
      <c r="H575" s="6"/>
      <c r="I575" s="6"/>
      <c r="J575" s="11"/>
      <c r="K575" s="591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ht="11.25" customHeight="1">
      <c r="A576" s="7"/>
      <c r="B576" s="5"/>
      <c r="C576" s="6"/>
      <c r="D576" s="6"/>
      <c r="E576" s="6"/>
      <c r="F576" s="6"/>
      <c r="G576" s="6"/>
      <c r="H576" s="6"/>
      <c r="I576" s="6"/>
      <c r="J576" s="11"/>
      <c r="K576" s="591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ht="11.25" customHeight="1">
      <c r="A577" s="7"/>
      <c r="B577" s="5"/>
      <c r="C577" s="6"/>
      <c r="D577" s="6"/>
      <c r="E577" s="6"/>
      <c r="F577" s="6"/>
      <c r="G577" s="6"/>
      <c r="H577" s="6"/>
      <c r="I577" s="6"/>
      <c r="J577" s="11"/>
      <c r="K577" s="591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ht="11.25" customHeight="1">
      <c r="A578" s="7"/>
      <c r="B578" s="5"/>
      <c r="C578" s="6"/>
      <c r="D578" s="6"/>
      <c r="E578" s="6"/>
      <c r="F578" s="6"/>
      <c r="G578" s="6"/>
      <c r="H578" s="6"/>
      <c r="I578" s="6"/>
      <c r="J578" s="11"/>
      <c r="K578" s="591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ht="11.25" customHeight="1">
      <c r="A579" s="7"/>
      <c r="B579" s="5"/>
      <c r="C579" s="6"/>
      <c r="D579" s="6"/>
      <c r="E579" s="6"/>
      <c r="F579" s="6"/>
      <c r="G579" s="6"/>
      <c r="H579" s="6"/>
      <c r="I579" s="6"/>
      <c r="J579" s="11"/>
      <c r="K579" s="591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ht="11.25" customHeight="1">
      <c r="A580" s="7"/>
      <c r="B580" s="5"/>
      <c r="C580" s="6"/>
      <c r="D580" s="6"/>
      <c r="E580" s="6"/>
      <c r="F580" s="6"/>
      <c r="G580" s="6"/>
      <c r="H580" s="6"/>
      <c r="I580" s="6"/>
      <c r="J580" s="11"/>
      <c r="K580" s="591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ht="11.25" customHeight="1">
      <c r="A581" s="7"/>
      <c r="B581" s="5"/>
      <c r="C581" s="6"/>
      <c r="D581" s="6"/>
      <c r="E581" s="6"/>
      <c r="F581" s="6"/>
      <c r="G581" s="6"/>
      <c r="H581" s="6"/>
      <c r="I581" s="6"/>
      <c r="J581" s="11"/>
      <c r="K581" s="591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ht="11.25" customHeight="1">
      <c r="A582" s="7"/>
      <c r="B582" s="5"/>
      <c r="C582" s="6"/>
      <c r="D582" s="6"/>
      <c r="E582" s="6"/>
      <c r="F582" s="6"/>
      <c r="G582" s="6"/>
      <c r="H582" s="6"/>
      <c r="I582" s="6"/>
      <c r="J582" s="11"/>
      <c r="K582" s="591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ht="11.25" customHeight="1">
      <c r="A583" s="7"/>
      <c r="B583" s="5"/>
      <c r="C583" s="6"/>
      <c r="D583" s="6"/>
      <c r="E583" s="6"/>
      <c r="F583" s="6"/>
      <c r="G583" s="6"/>
      <c r="H583" s="6"/>
      <c r="I583" s="6"/>
      <c r="J583" s="11"/>
      <c r="K583" s="591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ht="11.25" customHeight="1">
      <c r="A584" s="7"/>
      <c r="B584" s="5"/>
      <c r="C584" s="6"/>
      <c r="D584" s="6"/>
      <c r="E584" s="6"/>
      <c r="F584" s="6"/>
      <c r="G584" s="6"/>
      <c r="H584" s="6"/>
      <c r="I584" s="6"/>
      <c r="J584" s="11"/>
      <c r="K584" s="591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ht="11.25" customHeight="1">
      <c r="A585" s="7"/>
      <c r="B585" s="5"/>
      <c r="C585" s="6"/>
      <c r="D585" s="6"/>
      <c r="E585" s="6"/>
      <c r="F585" s="6"/>
      <c r="G585" s="6"/>
      <c r="H585" s="6"/>
      <c r="I585" s="6"/>
      <c r="J585" s="11"/>
      <c r="K585" s="591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ht="11.25" customHeight="1">
      <c r="A586" s="7"/>
      <c r="B586" s="5"/>
      <c r="C586" s="6"/>
      <c r="D586" s="6"/>
      <c r="E586" s="6"/>
      <c r="F586" s="6"/>
      <c r="G586" s="6"/>
      <c r="H586" s="6"/>
      <c r="I586" s="6"/>
      <c r="J586" s="11"/>
      <c r="K586" s="591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ht="11.25" customHeight="1">
      <c r="A587" s="7"/>
      <c r="B587" s="5"/>
      <c r="C587" s="6"/>
      <c r="D587" s="6"/>
      <c r="E587" s="6"/>
      <c r="F587" s="6"/>
      <c r="G587" s="6"/>
      <c r="H587" s="6"/>
      <c r="I587" s="6"/>
      <c r="J587" s="11"/>
      <c r="K587" s="591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ht="11.25" customHeight="1">
      <c r="A588" s="7"/>
      <c r="B588" s="5"/>
      <c r="C588" s="6"/>
      <c r="D588" s="6"/>
      <c r="E588" s="6"/>
      <c r="F588" s="6"/>
      <c r="G588" s="6"/>
      <c r="H588" s="6"/>
      <c r="I588" s="6"/>
      <c r="J588" s="11"/>
      <c r="K588" s="591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ht="11.25" customHeight="1">
      <c r="A589" s="7"/>
      <c r="B589" s="5"/>
      <c r="C589" s="6"/>
      <c r="D589" s="6"/>
      <c r="E589" s="6"/>
      <c r="F589" s="6"/>
      <c r="G589" s="6"/>
      <c r="H589" s="6"/>
      <c r="I589" s="6"/>
      <c r="J589" s="11"/>
      <c r="K589" s="591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ht="11.25" customHeight="1">
      <c r="A590" s="7"/>
      <c r="B590" s="5"/>
      <c r="C590" s="6"/>
      <c r="D590" s="6"/>
      <c r="E590" s="6"/>
      <c r="F590" s="6"/>
      <c r="G590" s="6"/>
      <c r="H590" s="6"/>
      <c r="I590" s="6"/>
      <c r="J590" s="11"/>
      <c r="K590" s="591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ht="11.25" customHeight="1">
      <c r="A591" s="7"/>
      <c r="B591" s="5"/>
      <c r="C591" s="6"/>
      <c r="D591" s="6"/>
      <c r="E591" s="6"/>
      <c r="F591" s="6"/>
      <c r="G591" s="6"/>
      <c r="H591" s="6"/>
      <c r="I591" s="6"/>
      <c r="J591" s="11"/>
      <c r="K591" s="591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ht="11.25" customHeight="1">
      <c r="A592" s="7"/>
      <c r="B592" s="5"/>
      <c r="C592" s="6"/>
      <c r="D592" s="6"/>
      <c r="E592" s="6"/>
      <c r="F592" s="6"/>
      <c r="G592" s="6"/>
      <c r="H592" s="6"/>
      <c r="I592" s="6"/>
      <c r="J592" s="11"/>
      <c r="K592" s="591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ht="11.25" customHeight="1">
      <c r="A593" s="7"/>
      <c r="B593" s="5"/>
      <c r="C593" s="6"/>
      <c r="D593" s="6"/>
      <c r="E593" s="6"/>
      <c r="F593" s="6"/>
      <c r="G593" s="6"/>
      <c r="H593" s="6"/>
      <c r="I593" s="6"/>
      <c r="J593" s="11"/>
      <c r="K593" s="591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ht="11.25" customHeight="1">
      <c r="A594" s="7"/>
      <c r="B594" s="5"/>
      <c r="C594" s="6"/>
      <c r="D594" s="6"/>
      <c r="E594" s="6"/>
      <c r="F594" s="6"/>
      <c r="G594" s="6"/>
      <c r="H594" s="6"/>
      <c r="I594" s="6"/>
      <c r="J594" s="11"/>
      <c r="K594" s="591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ht="11.25" customHeight="1">
      <c r="A595" s="7"/>
      <c r="B595" s="5"/>
      <c r="C595" s="6"/>
      <c r="D595" s="6"/>
      <c r="E595" s="6"/>
      <c r="F595" s="6"/>
      <c r="G595" s="6"/>
      <c r="H595" s="6"/>
      <c r="I595" s="6"/>
      <c r="J595" s="11"/>
      <c r="K595" s="591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ht="11.25" customHeight="1">
      <c r="A596" s="7"/>
      <c r="B596" s="5"/>
      <c r="C596" s="6"/>
      <c r="D596" s="6"/>
      <c r="E596" s="6"/>
      <c r="F596" s="6"/>
      <c r="G596" s="6"/>
      <c r="H596" s="6"/>
      <c r="I596" s="6"/>
      <c r="J596" s="11"/>
      <c r="K596" s="591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ht="11.25" customHeight="1">
      <c r="A597" s="7"/>
      <c r="B597" s="5"/>
      <c r="C597" s="6"/>
      <c r="D597" s="6"/>
      <c r="E597" s="6"/>
      <c r="F597" s="6"/>
      <c r="G597" s="6"/>
      <c r="H597" s="6"/>
      <c r="I597" s="6"/>
      <c r="J597" s="11"/>
      <c r="K597" s="591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ht="11.25" customHeight="1">
      <c r="A598" s="7"/>
      <c r="B598" s="5"/>
      <c r="C598" s="6"/>
      <c r="D598" s="6"/>
      <c r="E598" s="6"/>
      <c r="F598" s="6"/>
      <c r="G598" s="6"/>
      <c r="H598" s="6"/>
      <c r="I598" s="6"/>
      <c r="J598" s="11"/>
      <c r="K598" s="591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ht="11.25" customHeight="1">
      <c r="A599" s="7"/>
      <c r="B599" s="5"/>
      <c r="C599" s="6"/>
      <c r="D599" s="6"/>
      <c r="E599" s="6"/>
      <c r="F599" s="6"/>
      <c r="G599" s="6"/>
      <c r="H599" s="6"/>
      <c r="I599" s="6"/>
      <c r="J599" s="11"/>
      <c r="K599" s="591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ht="11.25" customHeight="1">
      <c r="A600" s="7"/>
      <c r="B600" s="5"/>
      <c r="C600" s="6"/>
      <c r="D600" s="6"/>
      <c r="E600" s="6"/>
      <c r="F600" s="6"/>
      <c r="G600" s="6"/>
      <c r="H600" s="6"/>
      <c r="I600" s="6"/>
      <c r="J600" s="11"/>
      <c r="K600" s="591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ht="11.25" customHeight="1">
      <c r="A601" s="7"/>
      <c r="B601" s="5"/>
      <c r="C601" s="6"/>
      <c r="D601" s="6"/>
      <c r="E601" s="6"/>
      <c r="F601" s="6"/>
      <c r="G601" s="6"/>
      <c r="H601" s="6"/>
      <c r="I601" s="6"/>
      <c r="J601" s="11"/>
      <c r="K601" s="591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ht="11.25" customHeight="1">
      <c r="A602" s="7"/>
      <c r="B602" s="5"/>
      <c r="C602" s="6"/>
      <c r="D602" s="6"/>
      <c r="E602" s="6"/>
      <c r="F602" s="6"/>
      <c r="G602" s="6"/>
      <c r="H602" s="6"/>
      <c r="I602" s="6"/>
      <c r="J602" s="11"/>
      <c r="K602" s="591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ht="11.25" customHeight="1">
      <c r="A603" s="7"/>
      <c r="B603" s="5"/>
      <c r="C603" s="6"/>
      <c r="D603" s="6"/>
      <c r="E603" s="6"/>
      <c r="F603" s="6"/>
      <c r="G603" s="6"/>
      <c r="H603" s="6"/>
      <c r="I603" s="6"/>
      <c r="J603" s="11"/>
      <c r="K603" s="591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ht="11.25" customHeight="1">
      <c r="A604" s="7"/>
      <c r="B604" s="5"/>
      <c r="C604" s="6"/>
      <c r="D604" s="6"/>
      <c r="E604" s="6"/>
      <c r="F604" s="6"/>
      <c r="G604" s="6"/>
      <c r="H604" s="6"/>
      <c r="I604" s="6"/>
      <c r="J604" s="11"/>
      <c r="K604" s="591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ht="11.25" customHeight="1">
      <c r="A605" s="7"/>
      <c r="B605" s="5"/>
      <c r="C605" s="6"/>
      <c r="D605" s="6"/>
      <c r="E605" s="6"/>
      <c r="F605" s="6"/>
      <c r="G605" s="6"/>
      <c r="H605" s="6"/>
      <c r="I605" s="6"/>
      <c r="J605" s="11"/>
      <c r="K605" s="591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ht="11.25" customHeight="1">
      <c r="A606" s="7"/>
      <c r="B606" s="5"/>
      <c r="C606" s="6"/>
      <c r="D606" s="6"/>
      <c r="E606" s="6"/>
      <c r="F606" s="6"/>
      <c r="G606" s="6"/>
      <c r="H606" s="6"/>
      <c r="I606" s="6"/>
      <c r="J606" s="11"/>
      <c r="K606" s="591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ht="11.25" customHeight="1">
      <c r="A607" s="7"/>
      <c r="B607" s="5"/>
      <c r="C607" s="6"/>
      <c r="D607" s="6"/>
      <c r="E607" s="6"/>
      <c r="F607" s="6"/>
      <c r="G607" s="6"/>
      <c r="H607" s="6"/>
      <c r="I607" s="6"/>
      <c r="J607" s="11"/>
      <c r="K607" s="591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ht="11.25" customHeight="1">
      <c r="A608" s="7"/>
      <c r="B608" s="5"/>
      <c r="C608" s="6"/>
      <c r="D608" s="6"/>
      <c r="E608" s="6"/>
      <c r="F608" s="6"/>
      <c r="G608" s="6"/>
      <c r="H608" s="6"/>
      <c r="I608" s="6"/>
      <c r="J608" s="11"/>
      <c r="K608" s="591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ht="11.25" customHeight="1">
      <c r="A609" s="7"/>
      <c r="B609" s="5"/>
      <c r="C609" s="6"/>
      <c r="D609" s="6"/>
      <c r="E609" s="6"/>
      <c r="F609" s="6"/>
      <c r="G609" s="6"/>
      <c r="H609" s="6"/>
      <c r="I609" s="6"/>
      <c r="J609" s="11"/>
      <c r="K609" s="591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ht="11.25" customHeight="1">
      <c r="A610" s="7"/>
      <c r="B610" s="5"/>
      <c r="C610" s="6"/>
      <c r="D610" s="6"/>
      <c r="E610" s="6"/>
      <c r="F610" s="6"/>
      <c r="G610" s="6"/>
      <c r="H610" s="6"/>
      <c r="I610" s="6"/>
      <c r="J610" s="11"/>
      <c r="K610" s="591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ht="11.25" customHeight="1">
      <c r="A611" s="7"/>
      <c r="B611" s="5"/>
      <c r="C611" s="6"/>
      <c r="D611" s="6"/>
      <c r="E611" s="6"/>
      <c r="F611" s="6"/>
      <c r="G611" s="6"/>
      <c r="H611" s="6"/>
      <c r="I611" s="6"/>
      <c r="J611" s="11"/>
      <c r="K611" s="591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ht="11.25" customHeight="1">
      <c r="A612" s="7"/>
      <c r="B612" s="5"/>
      <c r="C612" s="6"/>
      <c r="D612" s="6"/>
      <c r="E612" s="6"/>
      <c r="F612" s="6"/>
      <c r="G612" s="6"/>
      <c r="H612" s="6"/>
      <c r="I612" s="6"/>
      <c r="J612" s="11"/>
      <c r="K612" s="591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ht="11.25" customHeight="1">
      <c r="A613" s="7"/>
      <c r="B613" s="5"/>
      <c r="C613" s="6"/>
      <c r="D613" s="6"/>
      <c r="E613" s="6"/>
      <c r="F613" s="6"/>
      <c r="G613" s="6"/>
      <c r="H613" s="6"/>
      <c r="I613" s="6"/>
      <c r="J613" s="11"/>
      <c r="K613" s="591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ht="11.25" customHeight="1">
      <c r="A614" s="7"/>
      <c r="B614" s="5"/>
      <c r="C614" s="6"/>
      <c r="D614" s="6"/>
      <c r="E614" s="6"/>
      <c r="F614" s="6"/>
      <c r="G614" s="6"/>
      <c r="H614" s="6"/>
      <c r="I614" s="6"/>
      <c r="J614" s="11"/>
      <c r="K614" s="591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ht="11.25" customHeight="1">
      <c r="A615" s="7"/>
      <c r="B615" s="5"/>
      <c r="C615" s="6"/>
      <c r="D615" s="6"/>
      <c r="E615" s="6"/>
      <c r="F615" s="6"/>
      <c r="G615" s="6"/>
      <c r="H615" s="6"/>
      <c r="I615" s="6"/>
      <c r="J615" s="11"/>
      <c r="K615" s="591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ht="11.25" customHeight="1">
      <c r="A616" s="7"/>
      <c r="B616" s="5"/>
      <c r="C616" s="6"/>
      <c r="D616" s="6"/>
      <c r="E616" s="6"/>
      <c r="F616" s="6"/>
      <c r="G616" s="6"/>
      <c r="H616" s="6"/>
      <c r="I616" s="6"/>
      <c r="J616" s="11"/>
      <c r="K616" s="591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ht="11.25" customHeight="1">
      <c r="A617" s="7"/>
      <c r="B617" s="5"/>
      <c r="C617" s="6"/>
      <c r="D617" s="6"/>
      <c r="E617" s="6"/>
      <c r="F617" s="6"/>
      <c r="G617" s="6"/>
      <c r="H617" s="6"/>
      <c r="I617" s="6"/>
      <c r="J617" s="11"/>
      <c r="K617" s="591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ht="11.25" customHeight="1">
      <c r="A618" s="7"/>
      <c r="B618" s="5"/>
      <c r="C618" s="6"/>
      <c r="D618" s="6"/>
      <c r="E618" s="6"/>
      <c r="F618" s="6"/>
      <c r="G618" s="6"/>
      <c r="H618" s="6"/>
      <c r="I618" s="6"/>
      <c r="J618" s="11"/>
      <c r="K618" s="591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ht="11.25" customHeight="1">
      <c r="A619" s="7"/>
      <c r="B619" s="5"/>
      <c r="C619" s="6"/>
      <c r="D619" s="6"/>
      <c r="E619" s="6"/>
      <c r="F619" s="6"/>
      <c r="G619" s="6"/>
      <c r="H619" s="6"/>
      <c r="I619" s="6"/>
      <c r="J619" s="11"/>
      <c r="K619" s="591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ht="11.25" customHeight="1">
      <c r="A620" s="7"/>
      <c r="B620" s="5"/>
      <c r="C620" s="6"/>
      <c r="D620" s="6"/>
      <c r="E620" s="6"/>
      <c r="F620" s="6"/>
      <c r="G620" s="6"/>
      <c r="H620" s="6"/>
      <c r="I620" s="6"/>
      <c r="J620" s="11"/>
      <c r="K620" s="591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ht="11.25" customHeight="1">
      <c r="A621" s="7"/>
      <c r="B621" s="5"/>
      <c r="C621" s="6"/>
      <c r="D621" s="6"/>
      <c r="E621" s="6"/>
      <c r="F621" s="6"/>
      <c r="G621" s="6"/>
      <c r="H621" s="6"/>
      <c r="I621" s="6"/>
      <c r="J621" s="11"/>
      <c r="K621" s="591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ht="11.25" customHeight="1">
      <c r="A622" s="7"/>
      <c r="B622" s="5"/>
      <c r="C622" s="6"/>
      <c r="D622" s="6"/>
      <c r="E622" s="6"/>
      <c r="F622" s="6"/>
      <c r="G622" s="6"/>
      <c r="H622" s="6"/>
      <c r="I622" s="6"/>
      <c r="J622" s="11"/>
      <c r="K622" s="591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ht="11.25" customHeight="1">
      <c r="A623" s="7"/>
      <c r="B623" s="5"/>
      <c r="C623" s="6"/>
      <c r="D623" s="6"/>
      <c r="E623" s="6"/>
      <c r="F623" s="6"/>
      <c r="G623" s="6"/>
      <c r="H623" s="6"/>
      <c r="I623" s="6"/>
      <c r="J623" s="11"/>
      <c r="K623" s="591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ht="11.25" customHeight="1">
      <c r="A624" s="7"/>
      <c r="B624" s="5"/>
      <c r="C624" s="6"/>
      <c r="D624" s="6"/>
      <c r="E624" s="6"/>
      <c r="F624" s="6"/>
      <c r="G624" s="6"/>
      <c r="H624" s="6"/>
      <c r="I624" s="6"/>
      <c r="J624" s="11"/>
      <c r="K624" s="591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ht="11.25" customHeight="1">
      <c r="A625" s="7"/>
      <c r="B625" s="5"/>
      <c r="C625" s="6"/>
      <c r="D625" s="6"/>
      <c r="E625" s="6"/>
      <c r="F625" s="6"/>
      <c r="G625" s="6"/>
      <c r="H625" s="6"/>
      <c r="I625" s="6"/>
      <c r="J625" s="11"/>
      <c r="K625" s="591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ht="11.25" customHeight="1">
      <c r="A626" s="7"/>
      <c r="B626" s="5"/>
      <c r="C626" s="6"/>
      <c r="D626" s="6"/>
      <c r="E626" s="6"/>
      <c r="F626" s="6"/>
      <c r="G626" s="6"/>
      <c r="H626" s="6"/>
      <c r="I626" s="6"/>
      <c r="J626" s="11"/>
      <c r="K626" s="591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ht="11.25" customHeight="1">
      <c r="A627" s="7"/>
      <c r="B627" s="5"/>
      <c r="C627" s="6"/>
      <c r="D627" s="6"/>
      <c r="E627" s="6"/>
      <c r="F627" s="6"/>
      <c r="G627" s="6"/>
      <c r="H627" s="6"/>
      <c r="I627" s="6"/>
      <c r="J627" s="11"/>
      <c r="K627" s="591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ht="11.25" customHeight="1">
      <c r="A628" s="7"/>
      <c r="B628" s="5"/>
      <c r="C628" s="6"/>
      <c r="D628" s="6"/>
      <c r="E628" s="6"/>
      <c r="F628" s="6"/>
      <c r="G628" s="6"/>
      <c r="H628" s="6"/>
      <c r="I628" s="6"/>
      <c r="J628" s="11"/>
      <c r="K628" s="591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ht="11.25" customHeight="1">
      <c r="A629" s="7"/>
      <c r="B629" s="5"/>
      <c r="C629" s="6"/>
      <c r="D629" s="6"/>
      <c r="E629" s="6"/>
      <c r="F629" s="6"/>
      <c r="G629" s="6"/>
      <c r="H629" s="6"/>
      <c r="I629" s="6"/>
      <c r="J629" s="11"/>
      <c r="K629" s="591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ht="11.25" customHeight="1">
      <c r="A630" s="7"/>
      <c r="B630" s="5"/>
      <c r="C630" s="6"/>
      <c r="D630" s="6"/>
      <c r="E630" s="6"/>
      <c r="F630" s="6"/>
      <c r="G630" s="6"/>
      <c r="H630" s="6"/>
      <c r="I630" s="6"/>
      <c r="J630" s="11"/>
      <c r="K630" s="591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ht="11.25" customHeight="1">
      <c r="A631" s="7"/>
      <c r="B631" s="5"/>
      <c r="C631" s="6"/>
      <c r="D631" s="6"/>
      <c r="E631" s="6"/>
      <c r="F631" s="6"/>
      <c r="G631" s="6"/>
      <c r="H631" s="6"/>
      <c r="I631" s="6"/>
      <c r="J631" s="11"/>
      <c r="K631" s="591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ht="11.25" customHeight="1">
      <c r="A632" s="7"/>
      <c r="B632" s="5"/>
      <c r="C632" s="6"/>
      <c r="D632" s="6"/>
      <c r="E632" s="6"/>
      <c r="F632" s="6"/>
      <c r="G632" s="6"/>
      <c r="H632" s="6"/>
      <c r="I632" s="6"/>
      <c r="J632" s="11"/>
      <c r="K632" s="591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ht="11.25" customHeight="1">
      <c r="A633" s="7"/>
      <c r="B633" s="5"/>
      <c r="C633" s="6"/>
      <c r="D633" s="6"/>
      <c r="E633" s="6"/>
      <c r="F633" s="6"/>
      <c r="G633" s="6"/>
      <c r="H633" s="6"/>
      <c r="I633" s="6"/>
      <c r="J633" s="11"/>
      <c r="K633" s="591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ht="11.25" customHeight="1">
      <c r="A634" s="7"/>
      <c r="B634" s="5"/>
      <c r="C634" s="6"/>
      <c r="D634" s="6"/>
      <c r="E634" s="6"/>
      <c r="F634" s="6"/>
      <c r="G634" s="6"/>
      <c r="H634" s="6"/>
      <c r="I634" s="6"/>
      <c r="J634" s="11"/>
      <c r="K634" s="591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ht="11.25" customHeight="1">
      <c r="A635" s="7"/>
      <c r="B635" s="5"/>
      <c r="C635" s="6"/>
      <c r="D635" s="6"/>
      <c r="E635" s="6"/>
      <c r="F635" s="6"/>
      <c r="G635" s="6"/>
      <c r="H635" s="6"/>
      <c r="I635" s="6"/>
      <c r="J635" s="11"/>
      <c r="K635" s="591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ht="11.25" customHeight="1">
      <c r="A636" s="7"/>
      <c r="B636" s="5"/>
      <c r="C636" s="6"/>
      <c r="D636" s="6"/>
      <c r="E636" s="6"/>
      <c r="F636" s="6"/>
      <c r="G636" s="6"/>
      <c r="H636" s="6"/>
      <c r="I636" s="6"/>
      <c r="J636" s="11"/>
      <c r="K636" s="591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ht="11.25" customHeight="1">
      <c r="A637" s="7"/>
      <c r="B637" s="5"/>
      <c r="C637" s="6"/>
      <c r="D637" s="6"/>
      <c r="E637" s="6"/>
      <c r="F637" s="6"/>
      <c r="G637" s="6"/>
      <c r="H637" s="6"/>
      <c r="I637" s="6"/>
      <c r="J637" s="11"/>
      <c r="K637" s="591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ht="11.25" customHeight="1">
      <c r="A638" s="7"/>
      <c r="B638" s="5"/>
      <c r="C638" s="6"/>
      <c r="D638" s="6"/>
      <c r="E638" s="6"/>
      <c r="F638" s="6"/>
      <c r="G638" s="6"/>
      <c r="H638" s="6"/>
      <c r="I638" s="6"/>
      <c r="J638" s="11"/>
      <c r="K638" s="591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ht="11.25" customHeight="1">
      <c r="A639" s="7"/>
      <c r="B639" s="5"/>
      <c r="C639" s="6"/>
      <c r="D639" s="6"/>
      <c r="E639" s="6"/>
      <c r="F639" s="6"/>
      <c r="G639" s="6"/>
      <c r="H639" s="6"/>
      <c r="I639" s="6"/>
      <c r="J639" s="11"/>
      <c r="K639" s="591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ht="11.25" customHeight="1">
      <c r="A640" s="7"/>
      <c r="B640" s="5"/>
      <c r="C640" s="6"/>
      <c r="D640" s="6"/>
      <c r="E640" s="6"/>
      <c r="F640" s="6"/>
      <c r="G640" s="6"/>
      <c r="H640" s="6"/>
      <c r="I640" s="6"/>
      <c r="J640" s="11"/>
      <c r="K640" s="591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ht="11.25" customHeight="1">
      <c r="A641" s="7"/>
      <c r="B641" s="5"/>
      <c r="C641" s="6"/>
      <c r="D641" s="6"/>
      <c r="E641" s="6"/>
      <c r="F641" s="6"/>
      <c r="G641" s="6"/>
      <c r="H641" s="6"/>
      <c r="I641" s="6"/>
      <c r="J641" s="11"/>
      <c r="K641" s="591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ht="11.25" customHeight="1">
      <c r="A642" s="7"/>
      <c r="B642" s="5"/>
      <c r="C642" s="6"/>
      <c r="D642" s="6"/>
      <c r="E642" s="6"/>
      <c r="F642" s="6"/>
      <c r="G642" s="6"/>
      <c r="H642" s="6"/>
      <c r="I642" s="6"/>
      <c r="J642" s="11"/>
      <c r="K642" s="591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ht="11.25" customHeight="1">
      <c r="A643" s="7"/>
      <c r="B643" s="5"/>
      <c r="C643" s="6"/>
      <c r="D643" s="6"/>
      <c r="E643" s="6"/>
      <c r="F643" s="6"/>
      <c r="G643" s="6"/>
      <c r="H643" s="6"/>
      <c r="I643" s="6"/>
      <c r="J643" s="11"/>
      <c r="K643" s="591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ht="11.25" customHeight="1">
      <c r="A644" s="7"/>
      <c r="B644" s="5"/>
      <c r="C644" s="6"/>
      <c r="D644" s="6"/>
      <c r="E644" s="6"/>
      <c r="F644" s="6"/>
      <c r="G644" s="6"/>
      <c r="H644" s="6"/>
      <c r="I644" s="6"/>
      <c r="J644" s="11"/>
      <c r="K644" s="591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ht="11.25" customHeight="1">
      <c r="A645" s="7"/>
      <c r="B645" s="5"/>
      <c r="C645" s="6"/>
      <c r="D645" s="6"/>
      <c r="E645" s="6"/>
      <c r="F645" s="6"/>
      <c r="G645" s="6"/>
      <c r="H645" s="6"/>
      <c r="I645" s="6"/>
      <c r="J645" s="11"/>
      <c r="K645" s="591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ht="11.25" customHeight="1">
      <c r="A646" s="7"/>
      <c r="B646" s="5"/>
      <c r="C646" s="6"/>
      <c r="D646" s="6"/>
      <c r="E646" s="6"/>
      <c r="F646" s="6"/>
      <c r="G646" s="6"/>
      <c r="H646" s="6"/>
      <c r="I646" s="6"/>
      <c r="J646" s="11"/>
      <c r="K646" s="591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ht="11.25" customHeight="1">
      <c r="A647" s="7"/>
      <c r="B647" s="5"/>
      <c r="C647" s="6"/>
      <c r="D647" s="6"/>
      <c r="E647" s="6"/>
      <c r="F647" s="6"/>
      <c r="G647" s="6"/>
      <c r="H647" s="6"/>
      <c r="I647" s="6"/>
      <c r="J647" s="11"/>
      <c r="K647" s="591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ht="11.25" customHeight="1">
      <c r="A648" s="7"/>
      <c r="B648" s="5"/>
      <c r="C648" s="6"/>
      <c r="D648" s="6"/>
      <c r="E648" s="6"/>
      <c r="F648" s="6"/>
      <c r="G648" s="6"/>
      <c r="H648" s="6"/>
      <c r="I648" s="6"/>
      <c r="J648" s="11"/>
      <c r="K648" s="591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ht="11.25" customHeight="1">
      <c r="A649" s="7"/>
      <c r="B649" s="5"/>
      <c r="C649" s="6"/>
      <c r="D649" s="6"/>
      <c r="E649" s="6"/>
      <c r="F649" s="6"/>
      <c r="G649" s="6"/>
      <c r="H649" s="6"/>
      <c r="I649" s="6"/>
      <c r="J649" s="11"/>
      <c r="K649" s="591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ht="11.25" customHeight="1">
      <c r="A650" s="7"/>
      <c r="B650" s="5"/>
      <c r="C650" s="6"/>
      <c r="D650" s="6"/>
      <c r="E650" s="6"/>
      <c r="F650" s="6"/>
      <c r="G650" s="6"/>
      <c r="H650" s="6"/>
      <c r="I650" s="6"/>
      <c r="J650" s="11"/>
      <c r="K650" s="591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ht="11.25" customHeight="1">
      <c r="A651" s="7"/>
      <c r="B651" s="5"/>
      <c r="C651" s="6"/>
      <c r="D651" s="6"/>
      <c r="E651" s="6"/>
      <c r="F651" s="6"/>
      <c r="G651" s="6"/>
      <c r="H651" s="6"/>
      <c r="I651" s="6"/>
      <c r="J651" s="11"/>
      <c r="K651" s="591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ht="11.25" customHeight="1">
      <c r="A652" s="7"/>
      <c r="B652" s="5"/>
      <c r="C652" s="6"/>
      <c r="D652" s="6"/>
      <c r="E652" s="6"/>
      <c r="F652" s="6"/>
      <c r="G652" s="6"/>
      <c r="H652" s="6"/>
      <c r="I652" s="6"/>
      <c r="J652" s="11"/>
      <c r="K652" s="591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ht="11.25" customHeight="1">
      <c r="A653" s="7"/>
      <c r="B653" s="5"/>
      <c r="C653" s="6"/>
      <c r="D653" s="6"/>
      <c r="E653" s="6"/>
      <c r="F653" s="6"/>
      <c r="G653" s="6"/>
      <c r="H653" s="6"/>
      <c r="I653" s="6"/>
      <c r="J653" s="11"/>
      <c r="K653" s="591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ht="11.25" customHeight="1">
      <c r="A654" s="7"/>
      <c r="B654" s="5"/>
      <c r="C654" s="6"/>
      <c r="D654" s="6"/>
      <c r="E654" s="6"/>
      <c r="F654" s="6"/>
      <c r="G654" s="6"/>
      <c r="H654" s="6"/>
      <c r="I654" s="6"/>
      <c r="J654" s="11"/>
      <c r="K654" s="591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ht="11.25" customHeight="1">
      <c r="A655" s="7"/>
      <c r="B655" s="5"/>
      <c r="C655" s="6"/>
      <c r="D655" s="6"/>
      <c r="E655" s="6"/>
      <c r="F655" s="6"/>
      <c r="G655" s="6"/>
      <c r="H655" s="6"/>
      <c r="I655" s="6"/>
      <c r="J655" s="11"/>
      <c r="K655" s="591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ht="11.25" customHeight="1">
      <c r="A656" s="7"/>
      <c r="B656" s="5"/>
      <c r="C656" s="6"/>
      <c r="D656" s="6"/>
      <c r="E656" s="6"/>
      <c r="F656" s="6"/>
      <c r="G656" s="6"/>
      <c r="H656" s="6"/>
      <c r="I656" s="6"/>
      <c r="J656" s="11"/>
      <c r="K656" s="591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ht="11.25" customHeight="1">
      <c r="A657" s="7"/>
      <c r="B657" s="5"/>
      <c r="C657" s="6"/>
      <c r="D657" s="6"/>
      <c r="E657" s="6"/>
      <c r="F657" s="6"/>
      <c r="G657" s="6"/>
      <c r="H657" s="6"/>
      <c r="I657" s="6"/>
      <c r="J657" s="11"/>
      <c r="K657" s="591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ht="11.25" customHeight="1">
      <c r="A658" s="7"/>
      <c r="B658" s="5"/>
      <c r="C658" s="6"/>
      <c r="D658" s="6"/>
      <c r="E658" s="6"/>
      <c r="F658" s="6"/>
      <c r="G658" s="6"/>
      <c r="H658" s="6"/>
      <c r="I658" s="6"/>
      <c r="J658" s="11"/>
      <c r="K658" s="591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ht="11.25" customHeight="1">
      <c r="A659" s="7"/>
      <c r="B659" s="5"/>
      <c r="C659" s="6"/>
      <c r="D659" s="6"/>
      <c r="E659" s="6"/>
      <c r="F659" s="6"/>
      <c r="G659" s="6"/>
      <c r="H659" s="6"/>
      <c r="I659" s="6"/>
      <c r="J659" s="11"/>
      <c r="K659" s="591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ht="11.25" customHeight="1">
      <c r="A660" s="7"/>
      <c r="B660" s="5"/>
      <c r="C660" s="6"/>
      <c r="D660" s="6"/>
      <c r="E660" s="6"/>
      <c r="F660" s="6"/>
      <c r="G660" s="6"/>
      <c r="H660" s="6"/>
      <c r="I660" s="6"/>
      <c r="J660" s="11"/>
      <c r="K660" s="591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ht="11.25" customHeight="1">
      <c r="A661" s="7"/>
      <c r="B661" s="5"/>
      <c r="C661" s="6"/>
      <c r="D661" s="6"/>
      <c r="E661" s="6"/>
      <c r="F661" s="6"/>
      <c r="G661" s="6"/>
      <c r="H661" s="6"/>
      <c r="I661" s="6"/>
      <c r="J661" s="11"/>
      <c r="K661" s="591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ht="11.25" customHeight="1">
      <c r="A662" s="7"/>
      <c r="B662" s="5"/>
      <c r="C662" s="6"/>
      <c r="D662" s="6"/>
      <c r="E662" s="6"/>
      <c r="F662" s="6"/>
      <c r="G662" s="6"/>
      <c r="H662" s="6"/>
      <c r="I662" s="6"/>
      <c r="J662" s="11"/>
      <c r="K662" s="591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ht="11.25" customHeight="1">
      <c r="A663" s="7"/>
      <c r="B663" s="5"/>
      <c r="C663" s="6"/>
      <c r="D663" s="6"/>
      <c r="E663" s="6"/>
      <c r="F663" s="6"/>
      <c r="G663" s="6"/>
      <c r="H663" s="6"/>
      <c r="I663" s="6"/>
      <c r="J663" s="11"/>
      <c r="K663" s="591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ht="11.25" customHeight="1">
      <c r="A664" s="7"/>
      <c r="B664" s="5"/>
      <c r="C664" s="6"/>
      <c r="D664" s="6"/>
      <c r="E664" s="6"/>
      <c r="F664" s="6"/>
      <c r="G664" s="6"/>
      <c r="H664" s="6"/>
      <c r="I664" s="6"/>
      <c r="J664" s="11"/>
      <c r="K664" s="591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ht="11.25" customHeight="1">
      <c r="A665" s="7"/>
      <c r="B665" s="5"/>
      <c r="C665" s="6"/>
      <c r="D665" s="6"/>
      <c r="E665" s="6"/>
      <c r="F665" s="6"/>
      <c r="G665" s="6"/>
      <c r="H665" s="6"/>
      <c r="I665" s="6"/>
      <c r="J665" s="11"/>
      <c r="K665" s="591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ht="11.25" customHeight="1">
      <c r="A666" s="7"/>
      <c r="B666" s="5"/>
      <c r="C666" s="6"/>
      <c r="D666" s="6"/>
      <c r="E666" s="6"/>
      <c r="F666" s="6"/>
      <c r="G666" s="6"/>
      <c r="H666" s="6"/>
      <c r="I666" s="6"/>
      <c r="J666" s="11"/>
      <c r="K666" s="591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ht="11.25" customHeight="1">
      <c r="A667" s="7"/>
      <c r="B667" s="5"/>
      <c r="C667" s="6"/>
      <c r="D667" s="6"/>
      <c r="E667" s="6"/>
      <c r="F667" s="6"/>
      <c r="G667" s="6"/>
      <c r="H667" s="6"/>
      <c r="I667" s="6"/>
      <c r="J667" s="11"/>
      <c r="K667" s="591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ht="11.25" customHeight="1">
      <c r="A668" s="7"/>
      <c r="B668" s="5"/>
      <c r="C668" s="6"/>
      <c r="D668" s="6"/>
      <c r="E668" s="6"/>
      <c r="F668" s="6"/>
      <c r="G668" s="6"/>
      <c r="H668" s="6"/>
      <c r="I668" s="6"/>
      <c r="J668" s="11"/>
      <c r="K668" s="591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ht="11.25" customHeight="1">
      <c r="A669" s="7"/>
      <c r="B669" s="5"/>
      <c r="C669" s="6"/>
      <c r="D669" s="6"/>
      <c r="E669" s="6"/>
      <c r="F669" s="6"/>
      <c r="G669" s="6"/>
      <c r="H669" s="6"/>
      <c r="I669" s="6"/>
      <c r="J669" s="11"/>
      <c r="K669" s="591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ht="11.25" customHeight="1">
      <c r="A670" s="7"/>
      <c r="B670" s="5"/>
      <c r="C670" s="6"/>
      <c r="D670" s="6"/>
      <c r="E670" s="6"/>
      <c r="F670" s="6"/>
      <c r="G670" s="6"/>
      <c r="H670" s="6"/>
      <c r="I670" s="6"/>
      <c r="J670" s="11"/>
      <c r="K670" s="591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ht="11.25" customHeight="1">
      <c r="A671" s="7"/>
      <c r="B671" s="5"/>
      <c r="C671" s="6"/>
      <c r="D671" s="6"/>
      <c r="E671" s="6"/>
      <c r="F671" s="6"/>
      <c r="G671" s="6"/>
      <c r="H671" s="6"/>
      <c r="I671" s="6"/>
      <c r="J671" s="11"/>
      <c r="K671" s="591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ht="11.25" customHeight="1">
      <c r="A672" s="7"/>
      <c r="B672" s="5"/>
      <c r="C672" s="6"/>
      <c r="D672" s="6"/>
      <c r="E672" s="6"/>
      <c r="F672" s="6"/>
      <c r="G672" s="6"/>
      <c r="H672" s="6"/>
      <c r="I672" s="6"/>
      <c r="J672" s="11"/>
      <c r="K672" s="591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ht="11.25" customHeight="1">
      <c r="A673" s="7"/>
      <c r="B673" s="5"/>
      <c r="C673" s="6"/>
      <c r="D673" s="6"/>
      <c r="E673" s="6"/>
      <c r="F673" s="6"/>
      <c r="G673" s="6"/>
      <c r="H673" s="6"/>
      <c r="I673" s="6"/>
      <c r="J673" s="11"/>
      <c r="K673" s="591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ht="11.25" customHeight="1">
      <c r="A674" s="7"/>
      <c r="B674" s="5"/>
      <c r="C674" s="6"/>
      <c r="D674" s="6"/>
      <c r="E674" s="6"/>
      <c r="F674" s="6"/>
      <c r="G674" s="6"/>
      <c r="H674" s="6"/>
      <c r="I674" s="6"/>
      <c r="J674" s="11"/>
      <c r="K674" s="591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ht="11.25" customHeight="1">
      <c r="A675" s="7"/>
      <c r="B675" s="5"/>
      <c r="C675" s="6"/>
      <c r="D675" s="6"/>
      <c r="E675" s="6"/>
      <c r="F675" s="6"/>
      <c r="G675" s="6"/>
      <c r="H675" s="6"/>
      <c r="I675" s="6"/>
      <c r="J675" s="11"/>
      <c r="K675" s="591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ht="11.25" customHeight="1">
      <c r="A676" s="7"/>
      <c r="B676" s="5"/>
      <c r="C676" s="6"/>
      <c r="D676" s="6"/>
      <c r="E676" s="6"/>
      <c r="F676" s="6"/>
      <c r="G676" s="6"/>
      <c r="H676" s="6"/>
      <c r="I676" s="6"/>
      <c r="J676" s="11"/>
      <c r="K676" s="591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ht="11.25" customHeight="1">
      <c r="A677" s="7"/>
      <c r="B677" s="5"/>
      <c r="C677" s="6"/>
      <c r="D677" s="6"/>
      <c r="E677" s="6"/>
      <c r="F677" s="6"/>
      <c r="G677" s="6"/>
      <c r="H677" s="6"/>
      <c r="I677" s="6"/>
      <c r="J677" s="11"/>
      <c r="K677" s="591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ht="11.25" customHeight="1">
      <c r="A678" s="7"/>
      <c r="B678" s="5"/>
      <c r="C678" s="6"/>
      <c r="D678" s="6"/>
      <c r="E678" s="6"/>
      <c r="F678" s="6"/>
      <c r="G678" s="6"/>
      <c r="H678" s="6"/>
      <c r="I678" s="6"/>
      <c r="J678" s="11"/>
      <c r="K678" s="591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ht="11.25" customHeight="1">
      <c r="A679" s="7"/>
      <c r="B679" s="5"/>
      <c r="C679" s="6"/>
      <c r="D679" s="6"/>
      <c r="E679" s="6"/>
      <c r="F679" s="6"/>
      <c r="G679" s="6"/>
      <c r="H679" s="6"/>
      <c r="I679" s="6"/>
      <c r="J679" s="11"/>
      <c r="K679" s="591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ht="11.25" customHeight="1">
      <c r="A680" s="7"/>
      <c r="B680" s="5"/>
      <c r="C680" s="6"/>
      <c r="D680" s="6"/>
      <c r="E680" s="6"/>
      <c r="F680" s="6"/>
      <c r="G680" s="6"/>
      <c r="H680" s="6"/>
      <c r="I680" s="6"/>
      <c r="J680" s="11"/>
      <c r="K680" s="591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ht="11.25" customHeight="1">
      <c r="A681" s="7"/>
      <c r="B681" s="5"/>
      <c r="C681" s="6"/>
      <c r="D681" s="6"/>
      <c r="E681" s="6"/>
      <c r="F681" s="6"/>
      <c r="G681" s="6"/>
      <c r="H681" s="6"/>
      <c r="I681" s="6"/>
      <c r="J681" s="11"/>
      <c r="K681" s="591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ht="11.25" customHeight="1">
      <c r="A682" s="7"/>
      <c r="B682" s="5"/>
      <c r="C682" s="6"/>
      <c r="D682" s="6"/>
      <c r="E682" s="6"/>
      <c r="F682" s="6"/>
      <c r="G682" s="6"/>
      <c r="H682" s="6"/>
      <c r="I682" s="6"/>
      <c r="J682" s="11"/>
      <c r="K682" s="591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ht="11.25" customHeight="1">
      <c r="A683" s="7"/>
      <c r="B683" s="5"/>
      <c r="C683" s="6"/>
      <c r="D683" s="6"/>
      <c r="E683" s="6"/>
      <c r="F683" s="6"/>
      <c r="G683" s="6"/>
      <c r="H683" s="6"/>
      <c r="I683" s="6"/>
      <c r="J683" s="11"/>
      <c r="K683" s="591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ht="11.25" customHeight="1">
      <c r="A684" s="7"/>
      <c r="B684" s="5"/>
      <c r="C684" s="6"/>
      <c r="D684" s="6"/>
      <c r="E684" s="6"/>
      <c r="F684" s="6"/>
      <c r="G684" s="6"/>
      <c r="H684" s="6"/>
      <c r="I684" s="6"/>
      <c r="J684" s="11"/>
      <c r="K684" s="591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ht="11.25" customHeight="1">
      <c r="A685" s="7"/>
      <c r="B685" s="5"/>
      <c r="C685" s="6"/>
      <c r="D685" s="6"/>
      <c r="E685" s="6"/>
      <c r="F685" s="6"/>
      <c r="G685" s="6"/>
      <c r="H685" s="6"/>
      <c r="I685" s="6"/>
      <c r="J685" s="11"/>
      <c r="K685" s="591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ht="11.25" customHeight="1">
      <c r="A686" s="7"/>
      <c r="B686" s="5"/>
      <c r="C686" s="6"/>
      <c r="D686" s="6"/>
      <c r="E686" s="6"/>
      <c r="F686" s="6"/>
      <c r="G686" s="6"/>
      <c r="H686" s="6"/>
      <c r="I686" s="6"/>
      <c r="J686" s="11"/>
      <c r="K686" s="591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ht="11.25" customHeight="1">
      <c r="A687" s="7"/>
      <c r="B687" s="5"/>
      <c r="C687" s="6"/>
      <c r="D687" s="6"/>
      <c r="E687" s="6"/>
      <c r="F687" s="6"/>
      <c r="G687" s="6"/>
      <c r="H687" s="6"/>
      <c r="I687" s="6"/>
      <c r="J687" s="11"/>
      <c r="K687" s="591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ht="11.25" customHeight="1">
      <c r="A688" s="7"/>
      <c r="B688" s="5"/>
      <c r="C688" s="6"/>
      <c r="D688" s="6"/>
      <c r="E688" s="6"/>
      <c r="F688" s="6"/>
      <c r="G688" s="6"/>
      <c r="H688" s="6"/>
      <c r="I688" s="6"/>
      <c r="J688" s="11"/>
      <c r="K688" s="591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ht="11.25" customHeight="1">
      <c r="A689" s="7"/>
      <c r="B689" s="5"/>
      <c r="C689" s="6"/>
      <c r="D689" s="6"/>
      <c r="E689" s="6"/>
      <c r="F689" s="6"/>
      <c r="G689" s="6"/>
      <c r="H689" s="6"/>
      <c r="I689" s="6"/>
      <c r="J689" s="11"/>
      <c r="K689" s="591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ht="11.25" customHeight="1">
      <c r="A690" s="7"/>
      <c r="B690" s="5"/>
      <c r="C690" s="6"/>
      <c r="D690" s="6"/>
      <c r="E690" s="6"/>
      <c r="F690" s="6"/>
      <c r="G690" s="6"/>
      <c r="H690" s="6"/>
      <c r="I690" s="6"/>
      <c r="J690" s="11"/>
      <c r="K690" s="591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ht="11.25" customHeight="1">
      <c r="A691" s="7"/>
      <c r="B691" s="5"/>
      <c r="C691" s="6"/>
      <c r="D691" s="6"/>
      <c r="E691" s="6"/>
      <c r="F691" s="6"/>
      <c r="G691" s="6"/>
      <c r="H691" s="6"/>
      <c r="I691" s="6"/>
      <c r="J691" s="11"/>
      <c r="K691" s="591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ht="11.25" customHeight="1">
      <c r="A692" s="7"/>
      <c r="B692" s="5"/>
      <c r="C692" s="6"/>
      <c r="D692" s="6"/>
      <c r="E692" s="6"/>
      <c r="F692" s="6"/>
      <c r="G692" s="6"/>
      <c r="H692" s="6"/>
      <c r="I692" s="6"/>
      <c r="J692" s="11"/>
      <c r="K692" s="591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ht="11.25" customHeight="1">
      <c r="A693" s="7"/>
      <c r="B693" s="5"/>
      <c r="C693" s="6"/>
      <c r="D693" s="6"/>
      <c r="E693" s="6"/>
      <c r="F693" s="6"/>
      <c r="G693" s="6"/>
      <c r="H693" s="6"/>
      <c r="I693" s="6"/>
      <c r="J693" s="11"/>
      <c r="K693" s="591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ht="11.25" customHeight="1">
      <c r="A694" s="7"/>
      <c r="B694" s="5"/>
      <c r="C694" s="6"/>
      <c r="D694" s="6"/>
      <c r="E694" s="6"/>
      <c r="F694" s="6"/>
      <c r="G694" s="6"/>
      <c r="H694" s="6"/>
      <c r="I694" s="6"/>
      <c r="J694" s="11"/>
      <c r="K694" s="591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ht="11.25" customHeight="1">
      <c r="A695" s="7"/>
      <c r="B695" s="5"/>
      <c r="C695" s="6"/>
      <c r="D695" s="6"/>
      <c r="E695" s="6"/>
      <c r="F695" s="6"/>
      <c r="G695" s="6"/>
      <c r="H695" s="6"/>
      <c r="I695" s="6"/>
      <c r="J695" s="11"/>
      <c r="K695" s="591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ht="11.25" customHeight="1">
      <c r="A696" s="7"/>
      <c r="B696" s="5"/>
      <c r="C696" s="6"/>
      <c r="D696" s="6"/>
      <c r="E696" s="6"/>
      <c r="F696" s="6"/>
      <c r="G696" s="6"/>
      <c r="H696" s="6"/>
      <c r="I696" s="6"/>
      <c r="J696" s="11"/>
      <c r="K696" s="591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ht="11.25" customHeight="1">
      <c r="A697" s="7"/>
      <c r="B697" s="5"/>
      <c r="C697" s="6"/>
      <c r="D697" s="6"/>
      <c r="E697" s="6"/>
      <c r="F697" s="6"/>
      <c r="G697" s="6"/>
      <c r="H697" s="6"/>
      <c r="I697" s="6"/>
      <c r="J697" s="11"/>
      <c r="K697" s="591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ht="11.25" customHeight="1">
      <c r="A698" s="7"/>
      <c r="B698" s="5"/>
      <c r="C698" s="6"/>
      <c r="D698" s="6"/>
      <c r="E698" s="6"/>
      <c r="F698" s="6"/>
      <c r="G698" s="6"/>
      <c r="H698" s="6"/>
      <c r="I698" s="6"/>
      <c r="J698" s="11"/>
      <c r="K698" s="591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ht="11.25" customHeight="1">
      <c r="A699" s="7"/>
      <c r="B699" s="5"/>
      <c r="C699" s="6"/>
      <c r="D699" s="6"/>
      <c r="E699" s="6"/>
      <c r="F699" s="6"/>
      <c r="G699" s="6"/>
      <c r="H699" s="6"/>
      <c r="I699" s="6"/>
      <c r="J699" s="11"/>
      <c r="K699" s="591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ht="11.25" customHeight="1">
      <c r="A700" s="7"/>
      <c r="B700" s="5"/>
      <c r="C700" s="6"/>
      <c r="D700" s="6"/>
      <c r="E700" s="6"/>
      <c r="F700" s="6"/>
      <c r="G700" s="6"/>
      <c r="H700" s="6"/>
      <c r="I700" s="6"/>
      <c r="J700" s="11"/>
      <c r="K700" s="591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ht="11.25" customHeight="1">
      <c r="A701" s="7"/>
      <c r="B701" s="5"/>
      <c r="C701" s="6"/>
      <c r="D701" s="6"/>
      <c r="E701" s="6"/>
      <c r="F701" s="6"/>
      <c r="G701" s="6"/>
      <c r="H701" s="6"/>
      <c r="I701" s="6"/>
      <c r="J701" s="11"/>
      <c r="K701" s="591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ht="11.25" customHeight="1">
      <c r="A702" s="7"/>
      <c r="B702" s="5"/>
      <c r="C702" s="6"/>
      <c r="D702" s="6"/>
      <c r="E702" s="6"/>
      <c r="F702" s="6"/>
      <c r="G702" s="6"/>
      <c r="H702" s="6"/>
      <c r="I702" s="6"/>
      <c r="J702" s="11"/>
      <c r="K702" s="591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ht="11.25" customHeight="1">
      <c r="A703" s="7"/>
      <c r="B703" s="5"/>
      <c r="C703" s="6"/>
      <c r="D703" s="6"/>
      <c r="E703" s="6"/>
      <c r="F703" s="6"/>
      <c r="G703" s="6"/>
      <c r="H703" s="6"/>
      <c r="I703" s="6"/>
      <c r="J703" s="11"/>
      <c r="K703" s="591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ht="11.25" customHeight="1">
      <c r="A704" s="7"/>
      <c r="B704" s="5"/>
      <c r="C704" s="6"/>
      <c r="D704" s="6"/>
      <c r="E704" s="6"/>
      <c r="F704" s="6"/>
      <c r="G704" s="6"/>
      <c r="H704" s="6"/>
      <c r="I704" s="6"/>
      <c r="J704" s="11"/>
      <c r="K704" s="591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ht="11.25" customHeight="1">
      <c r="A705" s="7"/>
      <c r="B705" s="5"/>
      <c r="C705" s="6"/>
      <c r="D705" s="6"/>
      <c r="E705" s="6"/>
      <c r="F705" s="6"/>
      <c r="G705" s="6"/>
      <c r="H705" s="6"/>
      <c r="I705" s="6"/>
      <c r="J705" s="11"/>
      <c r="K705" s="591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ht="11.25" customHeight="1">
      <c r="A706" s="7"/>
      <c r="B706" s="5"/>
      <c r="C706" s="6"/>
      <c r="D706" s="6"/>
      <c r="E706" s="6"/>
      <c r="F706" s="6"/>
      <c r="G706" s="6"/>
      <c r="H706" s="6"/>
      <c r="I706" s="6"/>
      <c r="J706" s="11"/>
      <c r="K706" s="591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ht="11.25" customHeight="1">
      <c r="A707" s="7"/>
      <c r="B707" s="5"/>
      <c r="C707" s="6"/>
      <c r="D707" s="6"/>
      <c r="E707" s="6"/>
      <c r="F707" s="6"/>
      <c r="G707" s="6"/>
      <c r="H707" s="6"/>
      <c r="I707" s="6"/>
      <c r="J707" s="11"/>
      <c r="K707" s="591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ht="11.25" customHeight="1">
      <c r="A708" s="7"/>
      <c r="B708" s="5"/>
      <c r="C708" s="6"/>
      <c r="D708" s="6"/>
      <c r="E708" s="6"/>
      <c r="F708" s="6"/>
      <c r="G708" s="6"/>
      <c r="H708" s="6"/>
      <c r="I708" s="6"/>
      <c r="J708" s="11"/>
      <c r="K708" s="591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ht="11.25" customHeight="1">
      <c r="A709" s="7"/>
      <c r="B709" s="5"/>
      <c r="C709" s="6"/>
      <c r="D709" s="6"/>
      <c r="E709" s="6"/>
      <c r="F709" s="6"/>
      <c r="G709" s="6"/>
      <c r="H709" s="6"/>
      <c r="I709" s="6"/>
      <c r="J709" s="11"/>
      <c r="K709" s="591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ht="11.25" customHeight="1">
      <c r="A710" s="7"/>
      <c r="B710" s="5"/>
      <c r="C710" s="6"/>
      <c r="D710" s="6"/>
      <c r="E710" s="6"/>
      <c r="F710" s="6"/>
      <c r="G710" s="6"/>
      <c r="H710" s="6"/>
      <c r="I710" s="6"/>
      <c r="J710" s="11"/>
      <c r="K710" s="591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ht="11.25" customHeight="1">
      <c r="A711" s="7"/>
      <c r="B711" s="5"/>
      <c r="C711" s="6"/>
      <c r="D711" s="6"/>
      <c r="E711" s="6"/>
      <c r="F711" s="6"/>
      <c r="G711" s="6"/>
      <c r="H711" s="6"/>
      <c r="I711" s="6"/>
      <c r="J711" s="11"/>
      <c r="K711" s="591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ht="11.25" customHeight="1">
      <c r="A712" s="7"/>
      <c r="B712" s="5"/>
      <c r="C712" s="6"/>
      <c r="D712" s="6"/>
      <c r="E712" s="6"/>
      <c r="F712" s="6"/>
      <c r="G712" s="6"/>
      <c r="H712" s="6"/>
      <c r="I712" s="6"/>
      <c r="J712" s="11"/>
      <c r="K712" s="591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ht="11.25" customHeight="1">
      <c r="A713" s="7"/>
      <c r="B713" s="5"/>
      <c r="C713" s="6"/>
      <c r="D713" s="6"/>
      <c r="E713" s="6"/>
      <c r="F713" s="6"/>
      <c r="G713" s="6"/>
      <c r="H713" s="6"/>
      <c r="I713" s="6"/>
      <c r="J713" s="11"/>
      <c r="K713" s="591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ht="11.25" customHeight="1">
      <c r="A714" s="7"/>
      <c r="B714" s="5"/>
      <c r="C714" s="6"/>
      <c r="D714" s="6"/>
      <c r="E714" s="6"/>
      <c r="F714" s="6"/>
      <c r="G714" s="6"/>
      <c r="H714" s="6"/>
      <c r="I714" s="6"/>
      <c r="J714" s="11"/>
      <c r="K714" s="591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ht="11.25" customHeight="1">
      <c r="A715" s="7"/>
      <c r="B715" s="5"/>
      <c r="C715" s="6"/>
      <c r="D715" s="6"/>
      <c r="E715" s="6"/>
      <c r="F715" s="6"/>
      <c r="G715" s="6"/>
      <c r="H715" s="6"/>
      <c r="I715" s="6"/>
      <c r="J715" s="11"/>
      <c r="K715" s="591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ht="11.25" customHeight="1">
      <c r="A716" s="7"/>
      <c r="B716" s="5"/>
      <c r="C716" s="6"/>
      <c r="D716" s="6"/>
      <c r="E716" s="6"/>
      <c r="F716" s="6"/>
      <c r="G716" s="6"/>
      <c r="H716" s="6"/>
      <c r="I716" s="6"/>
      <c r="J716" s="11"/>
      <c r="K716" s="591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ht="11.25" customHeight="1">
      <c r="A717" s="7"/>
      <c r="B717" s="5"/>
      <c r="C717" s="6"/>
      <c r="D717" s="6"/>
      <c r="E717" s="6"/>
      <c r="F717" s="6"/>
      <c r="G717" s="6"/>
      <c r="H717" s="6"/>
      <c r="I717" s="6"/>
      <c r="J717" s="11"/>
      <c r="K717" s="591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ht="11.25" customHeight="1">
      <c r="A718" s="7"/>
      <c r="B718" s="5"/>
      <c r="C718" s="6"/>
      <c r="D718" s="6"/>
      <c r="E718" s="6"/>
      <c r="F718" s="6"/>
      <c r="G718" s="6"/>
      <c r="H718" s="6"/>
      <c r="I718" s="6"/>
      <c r="J718" s="11"/>
      <c r="K718" s="591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ht="11.25" customHeight="1">
      <c r="A719" s="7"/>
      <c r="B719" s="5"/>
      <c r="C719" s="6"/>
      <c r="D719" s="6"/>
      <c r="E719" s="6"/>
      <c r="F719" s="6"/>
      <c r="G719" s="6"/>
      <c r="H719" s="6"/>
      <c r="I719" s="6"/>
      <c r="J719" s="11"/>
      <c r="K719" s="591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ht="11.25" customHeight="1">
      <c r="A720" s="7"/>
      <c r="B720" s="5"/>
      <c r="C720" s="6"/>
      <c r="D720" s="6"/>
      <c r="E720" s="6"/>
      <c r="F720" s="6"/>
      <c r="G720" s="6"/>
      <c r="H720" s="6"/>
      <c r="I720" s="6"/>
      <c r="J720" s="11"/>
      <c r="K720" s="591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ht="11.25" customHeight="1">
      <c r="A721" s="7"/>
      <c r="B721" s="5"/>
      <c r="C721" s="6"/>
      <c r="D721" s="6"/>
      <c r="E721" s="6"/>
      <c r="F721" s="6"/>
      <c r="G721" s="6"/>
      <c r="H721" s="6"/>
      <c r="I721" s="6"/>
      <c r="J721" s="11"/>
      <c r="K721" s="591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ht="11.25" customHeight="1">
      <c r="A722" s="7"/>
      <c r="B722" s="5"/>
      <c r="C722" s="6"/>
      <c r="D722" s="6"/>
      <c r="E722" s="6"/>
      <c r="F722" s="6"/>
      <c r="G722" s="6"/>
      <c r="H722" s="6"/>
      <c r="I722" s="6"/>
      <c r="J722" s="11"/>
      <c r="K722" s="591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ht="11.25" customHeight="1">
      <c r="A723" s="7"/>
      <c r="B723" s="5"/>
      <c r="C723" s="6"/>
      <c r="D723" s="6"/>
      <c r="E723" s="6"/>
      <c r="F723" s="6"/>
      <c r="G723" s="6"/>
      <c r="H723" s="6"/>
      <c r="I723" s="6"/>
      <c r="J723" s="11"/>
      <c r="K723" s="591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ht="11.25" customHeight="1">
      <c r="A724" s="7"/>
      <c r="B724" s="5"/>
      <c r="C724" s="6"/>
      <c r="D724" s="6"/>
      <c r="E724" s="6"/>
      <c r="F724" s="6"/>
      <c r="G724" s="6"/>
      <c r="H724" s="6"/>
      <c r="I724" s="6"/>
      <c r="J724" s="11"/>
      <c r="K724" s="591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ht="11.25" customHeight="1">
      <c r="A725" s="7"/>
      <c r="B725" s="5"/>
      <c r="C725" s="6"/>
      <c r="D725" s="6"/>
      <c r="E725" s="6"/>
      <c r="F725" s="6"/>
      <c r="G725" s="6"/>
      <c r="H725" s="6"/>
      <c r="I725" s="6"/>
      <c r="J725" s="11"/>
      <c r="K725" s="591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ht="11.25" customHeight="1">
      <c r="A726" s="7"/>
      <c r="B726" s="5"/>
      <c r="C726" s="6"/>
      <c r="D726" s="6"/>
      <c r="E726" s="6"/>
      <c r="F726" s="6"/>
      <c r="G726" s="6"/>
      <c r="H726" s="6"/>
      <c r="I726" s="6"/>
      <c r="J726" s="11"/>
      <c r="K726" s="591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ht="11.25" customHeight="1">
      <c r="A727" s="7"/>
      <c r="B727" s="5"/>
      <c r="C727" s="6"/>
      <c r="D727" s="6"/>
      <c r="E727" s="6"/>
      <c r="F727" s="6"/>
      <c r="G727" s="6"/>
      <c r="H727" s="6"/>
      <c r="I727" s="6"/>
      <c r="J727" s="11"/>
      <c r="K727" s="591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ht="11.25" customHeight="1">
      <c r="A728" s="7"/>
      <c r="B728" s="5"/>
      <c r="C728" s="6"/>
      <c r="D728" s="6"/>
      <c r="E728" s="6"/>
      <c r="F728" s="6"/>
      <c r="G728" s="6"/>
      <c r="H728" s="6"/>
      <c r="I728" s="6"/>
      <c r="J728" s="11"/>
      <c r="K728" s="591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ht="11.25" customHeight="1">
      <c r="A729" s="7"/>
      <c r="B729" s="5"/>
      <c r="C729" s="6"/>
      <c r="D729" s="6"/>
      <c r="E729" s="6"/>
      <c r="F729" s="6"/>
      <c r="G729" s="6"/>
      <c r="H729" s="6"/>
      <c r="I729" s="6"/>
      <c r="J729" s="11"/>
      <c r="K729" s="591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ht="11.25" customHeight="1">
      <c r="A730" s="7"/>
      <c r="B730" s="5"/>
      <c r="C730" s="6"/>
      <c r="D730" s="6"/>
      <c r="E730" s="6"/>
      <c r="F730" s="6"/>
      <c r="G730" s="6"/>
      <c r="H730" s="6"/>
      <c r="I730" s="6"/>
      <c r="J730" s="11"/>
      <c r="K730" s="591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ht="11.25" customHeight="1">
      <c r="A731" s="7"/>
      <c r="B731" s="5"/>
      <c r="C731" s="6"/>
      <c r="D731" s="6"/>
      <c r="E731" s="6"/>
      <c r="F731" s="6"/>
      <c r="G731" s="6"/>
      <c r="H731" s="6"/>
      <c r="I731" s="6"/>
      <c r="J731" s="11"/>
      <c r="K731" s="591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ht="11.25" customHeight="1">
      <c r="A732" s="7"/>
      <c r="B732" s="5"/>
      <c r="C732" s="6"/>
      <c r="D732" s="6"/>
      <c r="E732" s="6"/>
      <c r="F732" s="6"/>
      <c r="G732" s="6"/>
      <c r="H732" s="6"/>
      <c r="I732" s="6"/>
      <c r="J732" s="11"/>
      <c r="K732" s="591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ht="11.25" customHeight="1">
      <c r="A733" s="7"/>
      <c r="B733" s="5"/>
      <c r="C733" s="6"/>
      <c r="D733" s="6"/>
      <c r="E733" s="6"/>
      <c r="F733" s="6"/>
      <c r="G733" s="6"/>
      <c r="H733" s="6"/>
      <c r="I733" s="6"/>
      <c r="J733" s="11"/>
      <c r="K733" s="591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ht="11.25" customHeight="1">
      <c r="A734" s="7"/>
      <c r="B734" s="5"/>
      <c r="C734" s="6"/>
      <c r="D734" s="6"/>
      <c r="E734" s="6"/>
      <c r="F734" s="6"/>
      <c r="G734" s="6"/>
      <c r="H734" s="6"/>
      <c r="I734" s="6"/>
      <c r="J734" s="11"/>
      <c r="K734" s="591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ht="11.25" customHeight="1">
      <c r="A735" s="7"/>
      <c r="B735" s="5"/>
      <c r="C735" s="6"/>
      <c r="D735" s="6"/>
      <c r="E735" s="6"/>
      <c r="F735" s="6"/>
      <c r="G735" s="6"/>
      <c r="H735" s="6"/>
      <c r="I735" s="6"/>
      <c r="J735" s="11"/>
      <c r="K735" s="591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ht="11.25" customHeight="1">
      <c r="A736" s="7"/>
      <c r="B736" s="5"/>
      <c r="C736" s="6"/>
      <c r="D736" s="6"/>
      <c r="E736" s="6"/>
      <c r="F736" s="6"/>
      <c r="G736" s="6"/>
      <c r="H736" s="6"/>
      <c r="I736" s="6"/>
      <c r="J736" s="11"/>
      <c r="K736" s="591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ht="11.25" customHeight="1">
      <c r="A737" s="7"/>
      <c r="B737" s="5"/>
      <c r="C737" s="6"/>
      <c r="D737" s="6"/>
      <c r="E737" s="6"/>
      <c r="F737" s="6"/>
      <c r="G737" s="6"/>
      <c r="H737" s="6"/>
      <c r="I737" s="6"/>
      <c r="J737" s="11"/>
      <c r="K737" s="591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ht="11.25" customHeight="1">
      <c r="A738" s="7"/>
      <c r="B738" s="5"/>
      <c r="C738" s="6"/>
      <c r="D738" s="6"/>
      <c r="E738" s="6"/>
      <c r="F738" s="6"/>
      <c r="G738" s="6"/>
      <c r="H738" s="6"/>
      <c r="I738" s="6"/>
      <c r="J738" s="11"/>
      <c r="K738" s="591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ht="11.25" customHeight="1">
      <c r="A739" s="7"/>
      <c r="B739" s="5"/>
      <c r="C739" s="6"/>
      <c r="D739" s="6"/>
      <c r="E739" s="6"/>
      <c r="F739" s="6"/>
      <c r="G739" s="6"/>
      <c r="H739" s="6"/>
      <c r="I739" s="6"/>
      <c r="J739" s="11"/>
      <c r="K739" s="591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ht="11.25" customHeight="1">
      <c r="A740" s="7"/>
      <c r="B740" s="5"/>
      <c r="C740" s="6"/>
      <c r="D740" s="6"/>
      <c r="E740" s="6"/>
      <c r="F740" s="6"/>
      <c r="G740" s="6"/>
      <c r="H740" s="6"/>
      <c r="I740" s="6"/>
      <c r="J740" s="11"/>
      <c r="K740" s="591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ht="11.25" customHeight="1">
      <c r="A741" s="7"/>
      <c r="B741" s="5"/>
      <c r="C741" s="6"/>
      <c r="D741" s="6"/>
      <c r="E741" s="6"/>
      <c r="F741" s="6"/>
      <c r="G741" s="6"/>
      <c r="H741" s="6"/>
      <c r="I741" s="6"/>
      <c r="J741" s="11"/>
      <c r="K741" s="591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ht="11.25" customHeight="1">
      <c r="A742" s="7"/>
      <c r="B742" s="5"/>
      <c r="C742" s="6"/>
      <c r="D742" s="6"/>
      <c r="E742" s="6"/>
      <c r="F742" s="6"/>
      <c r="G742" s="6"/>
      <c r="H742" s="6"/>
      <c r="I742" s="6"/>
      <c r="J742" s="11"/>
      <c r="K742" s="591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ht="11.25" customHeight="1">
      <c r="A743" s="7"/>
      <c r="B743" s="5"/>
      <c r="C743" s="6"/>
      <c r="D743" s="6"/>
      <c r="E743" s="6"/>
      <c r="F743" s="6"/>
      <c r="G743" s="6"/>
      <c r="H743" s="6"/>
      <c r="I743" s="6"/>
      <c r="J743" s="11"/>
      <c r="K743" s="591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ht="11.25" customHeight="1">
      <c r="A744" s="7"/>
      <c r="B744" s="5"/>
      <c r="C744" s="6"/>
      <c r="D744" s="6"/>
      <c r="E744" s="6"/>
      <c r="F744" s="6"/>
      <c r="G744" s="6"/>
      <c r="H744" s="6"/>
      <c r="I744" s="6"/>
      <c r="J744" s="11"/>
      <c r="K744" s="591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ht="11.25" customHeight="1">
      <c r="A745" s="7"/>
      <c r="B745" s="5"/>
      <c r="C745" s="6"/>
      <c r="D745" s="6"/>
      <c r="E745" s="6"/>
      <c r="F745" s="6"/>
      <c r="G745" s="6"/>
      <c r="H745" s="6"/>
      <c r="I745" s="6"/>
      <c r="J745" s="11"/>
      <c r="K745" s="591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ht="11.25" customHeight="1">
      <c r="A746" s="7"/>
      <c r="B746" s="5"/>
      <c r="C746" s="6"/>
      <c r="D746" s="6"/>
      <c r="E746" s="6"/>
      <c r="F746" s="6"/>
      <c r="G746" s="6"/>
      <c r="H746" s="6"/>
      <c r="I746" s="6"/>
      <c r="J746" s="11"/>
      <c r="K746" s="591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ht="11.25" customHeight="1">
      <c r="A747" s="7"/>
      <c r="B747" s="5"/>
      <c r="C747" s="6"/>
      <c r="D747" s="6"/>
      <c r="E747" s="6"/>
      <c r="F747" s="6"/>
      <c r="G747" s="6"/>
      <c r="H747" s="6"/>
      <c r="I747" s="6"/>
      <c r="J747" s="11"/>
      <c r="K747" s="591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ht="11.25" customHeight="1">
      <c r="A748" s="7"/>
      <c r="B748" s="5"/>
      <c r="C748" s="6"/>
      <c r="D748" s="6"/>
      <c r="E748" s="6"/>
      <c r="F748" s="6"/>
      <c r="G748" s="6"/>
      <c r="H748" s="6"/>
      <c r="I748" s="6"/>
      <c r="J748" s="11"/>
      <c r="K748" s="591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ht="11.25" customHeight="1">
      <c r="A749" s="7"/>
      <c r="B749" s="5"/>
      <c r="C749" s="6"/>
      <c r="D749" s="6"/>
      <c r="E749" s="6"/>
      <c r="F749" s="6"/>
      <c r="G749" s="6"/>
      <c r="H749" s="6"/>
      <c r="I749" s="6"/>
      <c r="J749" s="11"/>
      <c r="K749" s="591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ht="11.25" customHeight="1">
      <c r="A750" s="7"/>
      <c r="B750" s="5"/>
      <c r="C750" s="6"/>
      <c r="D750" s="6"/>
      <c r="E750" s="6"/>
      <c r="F750" s="6"/>
      <c r="G750" s="6"/>
      <c r="H750" s="6"/>
      <c r="I750" s="6"/>
      <c r="J750" s="11"/>
      <c r="K750" s="591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ht="11.25" customHeight="1">
      <c r="A751" s="7"/>
      <c r="B751" s="5"/>
      <c r="C751" s="6"/>
      <c r="D751" s="6"/>
      <c r="E751" s="6"/>
      <c r="F751" s="6"/>
      <c r="G751" s="6"/>
      <c r="H751" s="6"/>
      <c r="I751" s="6"/>
      <c r="J751" s="11"/>
      <c r="K751" s="591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ht="11.25" customHeight="1">
      <c r="A752" s="7"/>
      <c r="B752" s="5"/>
      <c r="C752" s="6"/>
      <c r="D752" s="6"/>
      <c r="E752" s="6"/>
      <c r="F752" s="6"/>
      <c r="G752" s="6"/>
      <c r="H752" s="6"/>
      <c r="I752" s="6"/>
      <c r="J752" s="11"/>
      <c r="K752" s="591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ht="11.25" customHeight="1">
      <c r="A753" s="7"/>
      <c r="B753" s="5"/>
      <c r="C753" s="6"/>
      <c r="D753" s="6"/>
      <c r="E753" s="6"/>
      <c r="F753" s="6"/>
      <c r="G753" s="6"/>
      <c r="H753" s="6"/>
      <c r="I753" s="6"/>
      <c r="J753" s="11"/>
      <c r="K753" s="591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ht="11.25" customHeight="1">
      <c r="A754" s="7"/>
      <c r="B754" s="5"/>
      <c r="C754" s="6"/>
      <c r="D754" s="6"/>
      <c r="E754" s="6"/>
      <c r="F754" s="6"/>
      <c r="G754" s="6"/>
      <c r="H754" s="6"/>
      <c r="I754" s="6"/>
      <c r="J754" s="11"/>
      <c r="K754" s="591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ht="11.25" customHeight="1">
      <c r="A755" s="7"/>
      <c r="B755" s="5"/>
      <c r="C755" s="6"/>
      <c r="D755" s="6"/>
      <c r="E755" s="6"/>
      <c r="F755" s="6"/>
      <c r="G755" s="6"/>
      <c r="H755" s="6"/>
      <c r="I755" s="6"/>
      <c r="J755" s="11"/>
      <c r="K755" s="591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ht="11.25" customHeight="1">
      <c r="A756" s="7"/>
      <c r="B756" s="5"/>
      <c r="C756" s="6"/>
      <c r="D756" s="6"/>
      <c r="E756" s="6"/>
      <c r="F756" s="6"/>
      <c r="G756" s="6"/>
      <c r="H756" s="6"/>
      <c r="I756" s="6"/>
      <c r="J756" s="11"/>
      <c r="K756" s="591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ht="11.25" customHeight="1">
      <c r="A757" s="7"/>
      <c r="B757" s="5"/>
      <c r="C757" s="6"/>
      <c r="D757" s="6"/>
      <c r="E757" s="6"/>
      <c r="F757" s="6"/>
      <c r="G757" s="6"/>
      <c r="H757" s="6"/>
      <c r="I757" s="6"/>
      <c r="J757" s="11"/>
      <c r="K757" s="591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ht="11.25" customHeight="1">
      <c r="A758" s="7"/>
      <c r="B758" s="5"/>
      <c r="C758" s="6"/>
      <c r="D758" s="6"/>
      <c r="E758" s="6"/>
      <c r="F758" s="6"/>
      <c r="G758" s="6"/>
      <c r="H758" s="6"/>
      <c r="I758" s="6"/>
      <c r="J758" s="11"/>
      <c r="K758" s="591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ht="11.25" customHeight="1">
      <c r="A759" s="7"/>
      <c r="B759" s="5"/>
      <c r="C759" s="6"/>
      <c r="D759" s="6"/>
      <c r="E759" s="6"/>
      <c r="F759" s="6"/>
      <c r="G759" s="6"/>
      <c r="H759" s="6"/>
      <c r="I759" s="6"/>
      <c r="J759" s="11"/>
      <c r="K759" s="591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ht="11.25" customHeight="1">
      <c r="A760" s="7"/>
      <c r="B760" s="5"/>
      <c r="C760" s="6"/>
      <c r="D760" s="6"/>
      <c r="E760" s="6"/>
      <c r="F760" s="6"/>
      <c r="G760" s="6"/>
      <c r="H760" s="6"/>
      <c r="I760" s="6"/>
      <c r="J760" s="11"/>
      <c r="K760" s="591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ht="11.25" customHeight="1">
      <c r="A761" s="7"/>
      <c r="B761" s="5"/>
      <c r="C761" s="6"/>
      <c r="D761" s="6"/>
      <c r="E761" s="6"/>
      <c r="F761" s="6"/>
      <c r="G761" s="6"/>
      <c r="H761" s="6"/>
      <c r="I761" s="6"/>
      <c r="J761" s="11"/>
      <c r="K761" s="591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ht="11.25" customHeight="1">
      <c r="A762" s="7"/>
      <c r="B762" s="5"/>
      <c r="C762" s="6"/>
      <c r="D762" s="6"/>
      <c r="E762" s="6"/>
      <c r="F762" s="6"/>
      <c r="G762" s="6"/>
      <c r="H762" s="6"/>
      <c r="I762" s="6"/>
      <c r="J762" s="11"/>
      <c r="K762" s="591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ht="11.25" customHeight="1">
      <c r="A763" s="7"/>
      <c r="B763" s="5"/>
      <c r="C763" s="6"/>
      <c r="D763" s="6"/>
      <c r="E763" s="6"/>
      <c r="F763" s="6"/>
      <c r="G763" s="6"/>
      <c r="H763" s="6"/>
      <c r="I763" s="6"/>
      <c r="J763" s="11"/>
      <c r="K763" s="591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ht="11.25" customHeight="1">
      <c r="A764" s="7"/>
      <c r="B764" s="5"/>
      <c r="C764" s="6"/>
      <c r="D764" s="6"/>
      <c r="E764" s="6"/>
      <c r="F764" s="6"/>
      <c r="G764" s="6"/>
      <c r="H764" s="6"/>
      <c r="I764" s="6"/>
      <c r="J764" s="11"/>
      <c r="K764" s="591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ht="11.25" customHeight="1">
      <c r="A765" s="7"/>
      <c r="B765" s="5"/>
      <c r="C765" s="6"/>
      <c r="D765" s="6"/>
      <c r="E765" s="6"/>
      <c r="F765" s="6"/>
      <c r="G765" s="6"/>
      <c r="H765" s="6"/>
      <c r="I765" s="6"/>
      <c r="J765" s="11"/>
      <c r="K765" s="591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ht="11.25" customHeight="1">
      <c r="A766" s="7"/>
      <c r="B766" s="5"/>
      <c r="C766" s="6"/>
      <c r="D766" s="6"/>
      <c r="E766" s="6"/>
      <c r="F766" s="6"/>
      <c r="G766" s="6"/>
      <c r="H766" s="6"/>
      <c r="I766" s="6"/>
      <c r="J766" s="11"/>
      <c r="K766" s="591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ht="11.25" customHeight="1">
      <c r="A767" s="7"/>
      <c r="B767" s="5"/>
      <c r="C767" s="6"/>
      <c r="D767" s="6"/>
      <c r="E767" s="6"/>
      <c r="F767" s="6"/>
      <c r="G767" s="6"/>
      <c r="H767" s="6"/>
      <c r="I767" s="6"/>
      <c r="J767" s="11"/>
      <c r="K767" s="591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ht="11.25" customHeight="1">
      <c r="A768" s="7"/>
      <c r="B768" s="5"/>
      <c r="C768" s="6"/>
      <c r="D768" s="6"/>
      <c r="E768" s="6"/>
      <c r="F768" s="6"/>
      <c r="G768" s="6"/>
      <c r="H768" s="6"/>
      <c r="I768" s="6"/>
      <c r="J768" s="11"/>
      <c r="K768" s="591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ht="11.25" customHeight="1">
      <c r="A769" s="7"/>
      <c r="B769" s="5"/>
      <c r="C769" s="6"/>
      <c r="D769" s="6"/>
      <c r="E769" s="6"/>
      <c r="F769" s="6"/>
      <c r="G769" s="6"/>
      <c r="H769" s="6"/>
      <c r="I769" s="6"/>
      <c r="J769" s="11"/>
      <c r="K769" s="591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ht="11.25" customHeight="1">
      <c r="A770" s="7"/>
      <c r="B770" s="5"/>
      <c r="C770" s="6"/>
      <c r="D770" s="6"/>
      <c r="E770" s="6"/>
      <c r="F770" s="6"/>
      <c r="G770" s="6"/>
      <c r="H770" s="6"/>
      <c r="I770" s="6"/>
      <c r="J770" s="11"/>
      <c r="K770" s="591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ht="11.25" customHeight="1">
      <c r="A771" s="7"/>
      <c r="B771" s="5"/>
      <c r="C771" s="6"/>
      <c r="D771" s="6"/>
      <c r="E771" s="6"/>
      <c r="F771" s="6"/>
      <c r="G771" s="6"/>
      <c r="H771" s="6"/>
      <c r="I771" s="6"/>
      <c r="J771" s="11"/>
      <c r="K771" s="591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ht="11.25" customHeight="1">
      <c r="A772" s="7"/>
      <c r="B772" s="5"/>
      <c r="C772" s="6"/>
      <c r="D772" s="6"/>
      <c r="E772" s="6"/>
      <c r="F772" s="6"/>
      <c r="G772" s="6"/>
      <c r="H772" s="6"/>
      <c r="I772" s="6"/>
      <c r="J772" s="11"/>
      <c r="K772" s="591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ht="11.25" customHeight="1">
      <c r="A773" s="7"/>
      <c r="B773" s="5"/>
      <c r="C773" s="6"/>
      <c r="D773" s="6"/>
      <c r="E773" s="6"/>
      <c r="F773" s="6"/>
      <c r="G773" s="6"/>
      <c r="H773" s="6"/>
      <c r="I773" s="6"/>
      <c r="J773" s="11"/>
      <c r="K773" s="591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ht="11.25" customHeight="1">
      <c r="A774" s="7"/>
      <c r="B774" s="5"/>
      <c r="C774" s="6"/>
      <c r="D774" s="6"/>
      <c r="E774" s="6"/>
      <c r="F774" s="6"/>
      <c r="G774" s="6"/>
      <c r="H774" s="6"/>
      <c r="I774" s="6"/>
      <c r="J774" s="11"/>
      <c r="K774" s="591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ht="11.25" customHeight="1">
      <c r="A775" s="7"/>
      <c r="B775" s="5"/>
      <c r="C775" s="6"/>
      <c r="D775" s="6"/>
      <c r="E775" s="6"/>
      <c r="F775" s="6"/>
      <c r="G775" s="6"/>
      <c r="H775" s="6"/>
      <c r="I775" s="6"/>
      <c r="J775" s="11"/>
      <c r="K775" s="591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ht="11.25" customHeight="1">
      <c r="A776" s="7"/>
      <c r="B776" s="5"/>
      <c r="C776" s="6"/>
      <c r="D776" s="6"/>
      <c r="E776" s="6"/>
      <c r="F776" s="6"/>
      <c r="G776" s="6"/>
      <c r="H776" s="6"/>
      <c r="I776" s="6"/>
      <c r="J776" s="11"/>
      <c r="K776" s="591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ht="11.25" customHeight="1">
      <c r="A777" s="7"/>
      <c r="B777" s="5"/>
      <c r="C777" s="6"/>
      <c r="D777" s="6"/>
      <c r="E777" s="6"/>
      <c r="F777" s="6"/>
      <c r="G777" s="6"/>
      <c r="H777" s="6"/>
      <c r="I777" s="6"/>
      <c r="J777" s="11"/>
      <c r="K777" s="591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ht="11.25" customHeight="1">
      <c r="A778" s="7"/>
      <c r="B778" s="5"/>
      <c r="C778" s="6"/>
      <c r="D778" s="6"/>
      <c r="E778" s="6"/>
      <c r="F778" s="6"/>
      <c r="G778" s="6"/>
      <c r="H778" s="6"/>
      <c r="I778" s="6"/>
      <c r="J778" s="11"/>
      <c r="K778" s="591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ht="11.25" customHeight="1">
      <c r="A779" s="7"/>
      <c r="B779" s="5"/>
      <c r="C779" s="6"/>
      <c r="D779" s="6"/>
      <c r="E779" s="6"/>
      <c r="F779" s="6"/>
      <c r="G779" s="6"/>
      <c r="H779" s="6"/>
      <c r="I779" s="6"/>
      <c r="J779" s="11"/>
      <c r="K779" s="591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ht="11.25" customHeight="1">
      <c r="A780" s="7"/>
      <c r="B780" s="5"/>
      <c r="C780" s="6"/>
      <c r="D780" s="6"/>
      <c r="E780" s="6"/>
      <c r="F780" s="6"/>
      <c r="G780" s="6"/>
      <c r="H780" s="6"/>
      <c r="I780" s="6"/>
      <c r="J780" s="11"/>
      <c r="K780" s="591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ht="11.25" customHeight="1">
      <c r="A781" s="7"/>
      <c r="B781" s="5"/>
      <c r="C781" s="6"/>
      <c r="D781" s="6"/>
      <c r="E781" s="6"/>
      <c r="F781" s="6"/>
      <c r="G781" s="6"/>
      <c r="H781" s="6"/>
      <c r="I781" s="6"/>
      <c r="J781" s="11"/>
      <c r="K781" s="591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ht="11.25" customHeight="1">
      <c r="A782" s="7"/>
      <c r="B782" s="5"/>
      <c r="C782" s="6"/>
      <c r="D782" s="6"/>
      <c r="E782" s="6"/>
      <c r="F782" s="6"/>
      <c r="G782" s="6"/>
      <c r="H782" s="6"/>
      <c r="I782" s="6"/>
      <c r="J782" s="11"/>
      <c r="K782" s="591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ht="11.25" customHeight="1">
      <c r="A783" s="7"/>
      <c r="B783" s="5"/>
      <c r="C783" s="6"/>
      <c r="D783" s="6"/>
      <c r="E783" s="6"/>
      <c r="F783" s="6"/>
      <c r="G783" s="6"/>
      <c r="H783" s="6"/>
      <c r="I783" s="6"/>
      <c r="J783" s="11"/>
      <c r="K783" s="591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ht="11.25" customHeight="1">
      <c r="A784" s="7"/>
      <c r="B784" s="5"/>
      <c r="C784" s="6"/>
      <c r="D784" s="6"/>
      <c r="E784" s="6"/>
      <c r="F784" s="6"/>
      <c r="G784" s="6"/>
      <c r="H784" s="6"/>
      <c r="I784" s="6"/>
      <c r="J784" s="11"/>
      <c r="K784" s="591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ht="11.25" customHeight="1">
      <c r="A785" s="7"/>
      <c r="B785" s="5"/>
      <c r="C785" s="6"/>
      <c r="D785" s="6"/>
      <c r="E785" s="6"/>
      <c r="F785" s="6"/>
      <c r="G785" s="6"/>
      <c r="H785" s="6"/>
      <c r="I785" s="6"/>
      <c r="J785" s="11"/>
      <c r="K785" s="591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ht="11.25" customHeight="1">
      <c r="A786" s="7"/>
      <c r="B786" s="5"/>
      <c r="C786" s="6"/>
      <c r="D786" s="6"/>
      <c r="E786" s="6"/>
      <c r="F786" s="6"/>
      <c r="G786" s="6"/>
      <c r="H786" s="6"/>
      <c r="I786" s="6"/>
      <c r="J786" s="11"/>
      <c r="K786" s="591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ht="11.25" customHeight="1">
      <c r="A787" s="7"/>
      <c r="B787" s="5"/>
      <c r="C787" s="6"/>
      <c r="D787" s="6"/>
      <c r="E787" s="6"/>
      <c r="F787" s="6"/>
      <c r="G787" s="6"/>
      <c r="H787" s="6"/>
      <c r="I787" s="6"/>
      <c r="J787" s="11"/>
      <c r="K787" s="591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ht="11.25" customHeight="1">
      <c r="A788" s="7"/>
      <c r="B788" s="5"/>
      <c r="C788" s="6"/>
      <c r="D788" s="6"/>
      <c r="E788" s="6"/>
      <c r="F788" s="6"/>
      <c r="G788" s="6"/>
      <c r="H788" s="6"/>
      <c r="I788" s="6"/>
      <c r="J788" s="11"/>
      <c r="K788" s="591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ht="11.25" customHeight="1">
      <c r="A789" s="7"/>
      <c r="B789" s="5"/>
      <c r="C789" s="6"/>
      <c r="D789" s="6"/>
      <c r="E789" s="6"/>
      <c r="F789" s="6"/>
      <c r="G789" s="6"/>
      <c r="H789" s="6"/>
      <c r="I789" s="6"/>
      <c r="J789" s="11"/>
      <c r="K789" s="591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ht="11.25" customHeight="1">
      <c r="A790" s="7"/>
      <c r="B790" s="5"/>
      <c r="C790" s="6"/>
      <c r="D790" s="6"/>
      <c r="E790" s="6"/>
      <c r="F790" s="6"/>
      <c r="G790" s="6"/>
      <c r="H790" s="6"/>
      <c r="I790" s="6"/>
      <c r="J790" s="11"/>
      <c r="K790" s="591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ht="11.25" customHeight="1">
      <c r="A791" s="7"/>
      <c r="B791" s="5"/>
      <c r="C791" s="6"/>
      <c r="D791" s="6"/>
      <c r="E791" s="6"/>
      <c r="F791" s="6"/>
      <c r="G791" s="6"/>
      <c r="H791" s="6"/>
      <c r="I791" s="6"/>
      <c r="J791" s="11"/>
      <c r="K791" s="591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ht="11.25" customHeight="1">
      <c r="A792" s="7"/>
      <c r="B792" s="5"/>
      <c r="C792" s="6"/>
      <c r="D792" s="6"/>
      <c r="E792" s="6"/>
      <c r="F792" s="6"/>
      <c r="G792" s="6"/>
      <c r="H792" s="6"/>
      <c r="I792" s="6"/>
      <c r="J792" s="11"/>
      <c r="K792" s="591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ht="11.25" customHeight="1">
      <c r="A793" s="7"/>
      <c r="B793" s="5"/>
      <c r="C793" s="6"/>
      <c r="D793" s="6"/>
      <c r="E793" s="6"/>
      <c r="F793" s="6"/>
      <c r="G793" s="6"/>
      <c r="H793" s="6"/>
      <c r="I793" s="6"/>
      <c r="J793" s="11"/>
      <c r="K793" s="591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ht="11.25" customHeight="1">
      <c r="A794" s="7"/>
      <c r="B794" s="5"/>
      <c r="C794" s="6"/>
      <c r="D794" s="6"/>
      <c r="E794" s="6"/>
      <c r="F794" s="6"/>
      <c r="G794" s="6"/>
      <c r="H794" s="6"/>
      <c r="I794" s="6"/>
      <c r="J794" s="11"/>
      <c r="K794" s="591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ht="11.25" customHeight="1">
      <c r="A795" s="7"/>
      <c r="B795" s="5"/>
      <c r="C795" s="6"/>
      <c r="D795" s="6"/>
      <c r="E795" s="6"/>
      <c r="F795" s="6"/>
      <c r="G795" s="6"/>
      <c r="H795" s="6"/>
      <c r="I795" s="6"/>
      <c r="J795" s="11"/>
      <c r="K795" s="591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ht="11.25" customHeight="1">
      <c r="A796" s="7"/>
      <c r="B796" s="5"/>
      <c r="C796" s="6"/>
      <c r="D796" s="6"/>
      <c r="E796" s="6"/>
      <c r="F796" s="6"/>
      <c r="G796" s="6"/>
      <c r="H796" s="6"/>
      <c r="I796" s="6"/>
      <c r="J796" s="11"/>
      <c r="K796" s="591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ht="11.25" customHeight="1">
      <c r="A797" s="7"/>
      <c r="B797" s="5"/>
      <c r="C797" s="6"/>
      <c r="D797" s="6"/>
      <c r="E797" s="6"/>
      <c r="F797" s="6"/>
      <c r="G797" s="6"/>
      <c r="H797" s="6"/>
      <c r="I797" s="6"/>
      <c r="J797" s="11"/>
      <c r="K797" s="591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ht="11.25" customHeight="1">
      <c r="A798" s="7"/>
      <c r="B798" s="5"/>
      <c r="C798" s="6"/>
      <c r="D798" s="6"/>
      <c r="E798" s="6"/>
      <c r="F798" s="6"/>
      <c r="G798" s="6"/>
      <c r="H798" s="6"/>
      <c r="I798" s="6"/>
      <c r="J798" s="11"/>
      <c r="K798" s="591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ht="11.25" customHeight="1">
      <c r="A799" s="7"/>
      <c r="B799" s="5"/>
      <c r="C799" s="6"/>
      <c r="D799" s="6"/>
      <c r="E799" s="6"/>
      <c r="F799" s="6"/>
      <c r="G799" s="6"/>
      <c r="H799" s="6"/>
      <c r="I799" s="6"/>
      <c r="J799" s="11"/>
      <c r="K799" s="591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ht="11.25" customHeight="1">
      <c r="A800" s="7"/>
      <c r="B800" s="5"/>
      <c r="C800" s="6"/>
      <c r="D800" s="6"/>
      <c r="E800" s="6"/>
      <c r="F800" s="6"/>
      <c r="G800" s="6"/>
      <c r="H800" s="6"/>
      <c r="I800" s="6"/>
      <c r="J800" s="11"/>
      <c r="K800" s="591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ht="11.25" customHeight="1">
      <c r="A801" s="7"/>
      <c r="B801" s="5"/>
      <c r="C801" s="6"/>
      <c r="D801" s="6"/>
      <c r="E801" s="6"/>
      <c r="F801" s="6"/>
      <c r="G801" s="6"/>
      <c r="H801" s="6"/>
      <c r="I801" s="6"/>
      <c r="J801" s="11"/>
      <c r="K801" s="591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ht="11.25" customHeight="1">
      <c r="A802" s="7"/>
      <c r="B802" s="5"/>
      <c r="C802" s="6"/>
      <c r="D802" s="6"/>
      <c r="E802" s="6"/>
      <c r="F802" s="6"/>
      <c r="G802" s="6"/>
      <c r="H802" s="6"/>
      <c r="I802" s="6"/>
      <c r="J802" s="11"/>
      <c r="K802" s="591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ht="11.25" customHeight="1">
      <c r="A803" s="7"/>
      <c r="B803" s="5"/>
      <c r="C803" s="6"/>
      <c r="D803" s="6"/>
      <c r="E803" s="6"/>
      <c r="F803" s="6"/>
      <c r="G803" s="6"/>
      <c r="H803" s="6"/>
      <c r="I803" s="6"/>
      <c r="J803" s="11"/>
      <c r="K803" s="591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ht="11.25" customHeight="1">
      <c r="A804" s="7"/>
      <c r="B804" s="5"/>
      <c r="C804" s="6"/>
      <c r="D804" s="6"/>
      <c r="E804" s="6"/>
      <c r="F804" s="6"/>
      <c r="G804" s="6"/>
      <c r="H804" s="6"/>
      <c r="I804" s="6"/>
      <c r="J804" s="11"/>
      <c r="K804" s="591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ht="11.25" customHeight="1">
      <c r="A805" s="7"/>
      <c r="B805" s="5"/>
      <c r="C805" s="6"/>
      <c r="D805" s="6"/>
      <c r="E805" s="6"/>
      <c r="F805" s="6"/>
      <c r="G805" s="6"/>
      <c r="H805" s="6"/>
      <c r="I805" s="6"/>
      <c r="J805" s="11"/>
      <c r="K805" s="591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ht="11.25" customHeight="1">
      <c r="A806" s="7"/>
      <c r="B806" s="5"/>
      <c r="C806" s="6"/>
      <c r="D806" s="6"/>
      <c r="E806" s="6"/>
      <c r="F806" s="6"/>
      <c r="G806" s="6"/>
      <c r="H806" s="6"/>
      <c r="I806" s="6"/>
      <c r="J806" s="11"/>
      <c r="K806" s="591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ht="11.25" customHeight="1">
      <c r="A807" s="7"/>
      <c r="B807" s="5"/>
      <c r="C807" s="6"/>
      <c r="D807" s="6"/>
      <c r="E807" s="6"/>
      <c r="F807" s="6"/>
      <c r="G807" s="6"/>
      <c r="H807" s="6"/>
      <c r="I807" s="6"/>
      <c r="J807" s="11"/>
      <c r="K807" s="591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ht="11.25" customHeight="1">
      <c r="A808" s="7"/>
      <c r="B808" s="5"/>
      <c r="C808" s="6"/>
      <c r="D808" s="6"/>
      <c r="E808" s="6"/>
      <c r="F808" s="6"/>
      <c r="G808" s="6"/>
      <c r="H808" s="6"/>
      <c r="I808" s="6"/>
      <c r="J808" s="11"/>
      <c r="K808" s="591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ht="11.25" customHeight="1">
      <c r="A809" s="7"/>
      <c r="B809" s="5"/>
      <c r="C809" s="6"/>
      <c r="D809" s="6"/>
      <c r="E809" s="6"/>
      <c r="F809" s="6"/>
      <c r="G809" s="6"/>
      <c r="H809" s="6"/>
      <c r="I809" s="6"/>
      <c r="J809" s="11"/>
      <c r="K809" s="591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ht="11.25" customHeight="1">
      <c r="A810" s="7"/>
      <c r="B810" s="5"/>
      <c r="C810" s="6"/>
      <c r="D810" s="6"/>
      <c r="E810" s="6"/>
      <c r="F810" s="6"/>
      <c r="G810" s="6"/>
      <c r="H810" s="6"/>
      <c r="I810" s="6"/>
      <c r="J810" s="11"/>
      <c r="K810" s="591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ht="11.25" customHeight="1">
      <c r="A811" s="7"/>
      <c r="B811" s="5"/>
      <c r="C811" s="6"/>
      <c r="D811" s="6"/>
      <c r="E811" s="6"/>
      <c r="F811" s="6"/>
      <c r="G811" s="6"/>
      <c r="H811" s="6"/>
      <c r="I811" s="6"/>
      <c r="J811" s="11"/>
      <c r="K811" s="591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ht="11.25" customHeight="1">
      <c r="A812" s="7"/>
      <c r="B812" s="5"/>
      <c r="C812" s="6"/>
      <c r="D812" s="6"/>
      <c r="E812" s="6"/>
      <c r="F812" s="6"/>
      <c r="G812" s="6"/>
      <c r="H812" s="6"/>
      <c r="I812" s="6"/>
      <c r="J812" s="11"/>
      <c r="K812" s="591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ht="11.25" customHeight="1">
      <c r="A813" s="7"/>
      <c r="B813" s="5"/>
      <c r="C813" s="6"/>
      <c r="D813" s="6"/>
      <c r="E813" s="6"/>
      <c r="F813" s="6"/>
      <c r="G813" s="6"/>
      <c r="H813" s="6"/>
      <c r="I813" s="6"/>
      <c r="J813" s="11"/>
      <c r="K813" s="591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ht="11.25" customHeight="1">
      <c r="A814" s="7"/>
      <c r="B814" s="5"/>
      <c r="C814" s="6"/>
      <c r="D814" s="6"/>
      <c r="E814" s="6"/>
      <c r="F814" s="6"/>
      <c r="G814" s="6"/>
      <c r="H814" s="6"/>
      <c r="I814" s="6"/>
      <c r="J814" s="11"/>
      <c r="K814" s="591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ht="11.25" customHeight="1">
      <c r="A815" s="7"/>
      <c r="B815" s="5"/>
      <c r="C815" s="6"/>
      <c r="D815" s="6"/>
      <c r="E815" s="6"/>
      <c r="F815" s="6"/>
      <c r="G815" s="6"/>
      <c r="H815" s="6"/>
      <c r="I815" s="6"/>
      <c r="J815" s="11"/>
      <c r="K815" s="591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ht="11.25" customHeight="1">
      <c r="A816" s="7"/>
      <c r="B816" s="5"/>
      <c r="C816" s="6"/>
      <c r="D816" s="6"/>
      <c r="E816" s="6"/>
      <c r="F816" s="6"/>
      <c r="G816" s="6"/>
      <c r="H816" s="6"/>
      <c r="I816" s="6"/>
      <c r="J816" s="11"/>
      <c r="K816" s="591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ht="11.25" customHeight="1">
      <c r="A817" s="7"/>
      <c r="B817" s="5"/>
      <c r="C817" s="6"/>
      <c r="D817" s="6"/>
      <c r="E817" s="6"/>
      <c r="F817" s="6"/>
      <c r="G817" s="6"/>
      <c r="H817" s="6"/>
      <c r="I817" s="6"/>
      <c r="J817" s="11"/>
      <c r="K817" s="591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ht="11.25" customHeight="1">
      <c r="A818" s="7"/>
      <c r="B818" s="5"/>
      <c r="C818" s="6"/>
      <c r="D818" s="6"/>
      <c r="E818" s="6"/>
      <c r="F818" s="6"/>
      <c r="G818" s="6"/>
      <c r="H818" s="6"/>
      <c r="I818" s="6"/>
      <c r="J818" s="11"/>
      <c r="K818" s="591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ht="11.25" customHeight="1">
      <c r="A819" s="7"/>
      <c r="B819" s="5"/>
      <c r="C819" s="6"/>
      <c r="D819" s="6"/>
      <c r="E819" s="6"/>
      <c r="F819" s="6"/>
      <c r="G819" s="6"/>
      <c r="H819" s="6"/>
      <c r="I819" s="6"/>
      <c r="J819" s="11"/>
      <c r="K819" s="591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ht="11.25" customHeight="1">
      <c r="A820" s="7"/>
      <c r="B820" s="5"/>
      <c r="C820" s="6"/>
      <c r="D820" s="6"/>
      <c r="E820" s="6"/>
      <c r="F820" s="6"/>
      <c r="G820" s="6"/>
      <c r="H820" s="6"/>
      <c r="I820" s="6"/>
      <c r="J820" s="11"/>
      <c r="K820" s="591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ht="11.25" customHeight="1">
      <c r="A821" s="7"/>
      <c r="B821" s="5"/>
      <c r="C821" s="6"/>
      <c r="D821" s="6"/>
      <c r="E821" s="6"/>
      <c r="F821" s="6"/>
      <c r="G821" s="6"/>
      <c r="H821" s="6"/>
      <c r="I821" s="6"/>
      <c r="J821" s="11"/>
      <c r="K821" s="591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ht="11.25" customHeight="1">
      <c r="A822" s="7"/>
      <c r="B822" s="5"/>
      <c r="C822" s="6"/>
      <c r="D822" s="6"/>
      <c r="E822" s="6"/>
      <c r="F822" s="6"/>
      <c r="G822" s="6"/>
      <c r="H822" s="6"/>
      <c r="I822" s="6"/>
      <c r="J822" s="11"/>
      <c r="K822" s="591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ht="11.25" customHeight="1">
      <c r="A823" s="7"/>
      <c r="B823" s="5"/>
      <c r="C823" s="6"/>
      <c r="D823" s="6"/>
      <c r="E823" s="6"/>
      <c r="F823" s="6"/>
      <c r="G823" s="6"/>
      <c r="H823" s="6"/>
      <c r="I823" s="6"/>
      <c r="J823" s="11"/>
      <c r="K823" s="591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ht="11.25" customHeight="1">
      <c r="A824" s="7"/>
      <c r="B824" s="5"/>
      <c r="C824" s="6"/>
      <c r="D824" s="6"/>
      <c r="E824" s="6"/>
      <c r="F824" s="6"/>
      <c r="G824" s="6"/>
      <c r="H824" s="6"/>
      <c r="I824" s="6"/>
      <c r="J824" s="11"/>
      <c r="K824" s="591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ht="11.25" customHeight="1">
      <c r="A825" s="7"/>
      <c r="B825" s="5"/>
      <c r="C825" s="6"/>
      <c r="D825" s="6"/>
      <c r="E825" s="6"/>
      <c r="F825" s="6"/>
      <c r="G825" s="6"/>
      <c r="H825" s="6"/>
      <c r="I825" s="6"/>
      <c r="J825" s="11"/>
      <c r="K825" s="591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ht="11.25" customHeight="1">
      <c r="A826" s="7"/>
      <c r="B826" s="5"/>
      <c r="C826" s="6"/>
      <c r="D826" s="6"/>
      <c r="E826" s="6"/>
      <c r="F826" s="6"/>
      <c r="G826" s="6"/>
      <c r="H826" s="6"/>
      <c r="I826" s="6"/>
      <c r="J826" s="11"/>
      <c r="K826" s="591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ht="11.25" customHeight="1">
      <c r="A827" s="7"/>
      <c r="B827" s="5"/>
      <c r="C827" s="6"/>
      <c r="D827" s="6"/>
      <c r="E827" s="6"/>
      <c r="F827" s="6"/>
      <c r="G827" s="6"/>
      <c r="H827" s="6"/>
      <c r="I827" s="6"/>
      <c r="J827" s="11"/>
      <c r="K827" s="591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ht="11.25" customHeight="1">
      <c r="A828" s="7"/>
      <c r="B828" s="5"/>
      <c r="C828" s="6"/>
      <c r="D828" s="6"/>
      <c r="E828" s="6"/>
      <c r="F828" s="6"/>
      <c r="G828" s="6"/>
      <c r="H828" s="6"/>
      <c r="I828" s="6"/>
      <c r="J828" s="11"/>
      <c r="K828" s="591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ht="11.25" customHeight="1">
      <c r="A829" s="7"/>
      <c r="B829" s="5"/>
      <c r="C829" s="6"/>
      <c r="D829" s="6"/>
      <c r="E829" s="6"/>
      <c r="F829" s="6"/>
      <c r="G829" s="6"/>
      <c r="H829" s="6"/>
      <c r="I829" s="6"/>
      <c r="J829" s="11"/>
      <c r="K829" s="591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ht="11.25" customHeight="1">
      <c r="A830" s="7"/>
      <c r="B830" s="5"/>
      <c r="C830" s="6"/>
      <c r="D830" s="6"/>
      <c r="E830" s="6"/>
      <c r="F830" s="6"/>
      <c r="G830" s="6"/>
      <c r="H830" s="6"/>
      <c r="I830" s="6"/>
      <c r="J830" s="11"/>
      <c r="K830" s="591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ht="11.25" customHeight="1">
      <c r="A831" s="7"/>
      <c r="B831" s="5"/>
      <c r="C831" s="6"/>
      <c r="D831" s="6"/>
      <c r="E831" s="6"/>
      <c r="F831" s="6"/>
      <c r="G831" s="6"/>
      <c r="H831" s="6"/>
      <c r="I831" s="6"/>
      <c r="J831" s="11"/>
      <c r="K831" s="591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ht="11.25" customHeight="1">
      <c r="A832" s="7"/>
      <c r="B832" s="5"/>
      <c r="C832" s="6"/>
      <c r="D832" s="6"/>
      <c r="E832" s="6"/>
      <c r="F832" s="6"/>
      <c r="G832" s="6"/>
      <c r="H832" s="6"/>
      <c r="I832" s="6"/>
      <c r="J832" s="11"/>
      <c r="K832" s="591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ht="11.25" customHeight="1">
      <c r="A833" s="7"/>
      <c r="B833" s="5"/>
      <c r="C833" s="6"/>
      <c r="D833" s="6"/>
      <c r="E833" s="6"/>
      <c r="F833" s="6"/>
      <c r="G833" s="6"/>
      <c r="H833" s="6"/>
      <c r="I833" s="6"/>
      <c r="J833" s="11"/>
      <c r="K833" s="591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ht="11.25" customHeight="1">
      <c r="A834" s="7"/>
      <c r="B834" s="5"/>
      <c r="C834" s="6"/>
      <c r="D834" s="6"/>
      <c r="E834" s="6"/>
      <c r="F834" s="6"/>
      <c r="G834" s="6"/>
      <c r="H834" s="6"/>
      <c r="I834" s="6"/>
      <c r="J834" s="11"/>
      <c r="K834" s="591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ht="11.25" customHeight="1">
      <c r="A835" s="7"/>
      <c r="B835" s="5"/>
      <c r="C835" s="6"/>
      <c r="D835" s="6"/>
      <c r="E835" s="6"/>
      <c r="F835" s="6"/>
      <c r="G835" s="6"/>
      <c r="H835" s="6"/>
      <c r="I835" s="6"/>
      <c r="J835" s="11"/>
      <c r="K835" s="591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ht="11.25" customHeight="1">
      <c r="A836" s="7"/>
      <c r="B836" s="5"/>
      <c r="C836" s="6"/>
      <c r="D836" s="6"/>
      <c r="E836" s="6"/>
      <c r="F836" s="6"/>
      <c r="G836" s="6"/>
      <c r="H836" s="6"/>
      <c r="I836" s="6"/>
      <c r="J836" s="11"/>
      <c r="K836" s="591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ht="11.25" customHeight="1">
      <c r="A837" s="7"/>
      <c r="B837" s="5"/>
      <c r="C837" s="6"/>
      <c r="D837" s="6"/>
      <c r="E837" s="6"/>
      <c r="F837" s="6"/>
      <c r="G837" s="6"/>
      <c r="H837" s="6"/>
      <c r="I837" s="6"/>
      <c r="J837" s="11"/>
      <c r="K837" s="591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ht="11.25" customHeight="1">
      <c r="A838" s="7"/>
      <c r="B838" s="5"/>
      <c r="C838" s="6"/>
      <c r="D838" s="6"/>
      <c r="E838" s="6"/>
      <c r="F838" s="6"/>
      <c r="G838" s="6"/>
      <c r="H838" s="6"/>
      <c r="I838" s="6"/>
      <c r="J838" s="11"/>
      <c r="K838" s="591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ht="11.25" customHeight="1">
      <c r="A839" s="7"/>
      <c r="B839" s="5"/>
      <c r="C839" s="6"/>
      <c r="D839" s="6"/>
      <c r="E839" s="6"/>
      <c r="F839" s="6"/>
      <c r="G839" s="6"/>
      <c r="H839" s="6"/>
      <c r="I839" s="6"/>
      <c r="J839" s="11"/>
      <c r="K839" s="591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ht="11.25" customHeight="1">
      <c r="A840" s="7"/>
      <c r="B840" s="5"/>
      <c r="C840" s="6"/>
      <c r="D840" s="6"/>
      <c r="E840" s="6"/>
      <c r="F840" s="6"/>
      <c r="G840" s="6"/>
      <c r="H840" s="6"/>
      <c r="I840" s="6"/>
      <c r="J840" s="11"/>
      <c r="K840" s="591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ht="11.25" customHeight="1">
      <c r="A841" s="7"/>
      <c r="B841" s="5"/>
      <c r="C841" s="6"/>
      <c r="D841" s="6"/>
      <c r="E841" s="6"/>
      <c r="F841" s="6"/>
      <c r="G841" s="6"/>
      <c r="H841" s="6"/>
      <c r="I841" s="6"/>
      <c r="J841" s="11"/>
      <c r="K841" s="591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ht="11.25" customHeight="1">
      <c r="A842" s="7"/>
      <c r="B842" s="5"/>
      <c r="C842" s="6"/>
      <c r="D842" s="6"/>
      <c r="E842" s="6"/>
      <c r="F842" s="6"/>
      <c r="G842" s="6"/>
      <c r="H842" s="6"/>
      <c r="I842" s="6"/>
      <c r="J842" s="11"/>
      <c r="K842" s="591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ht="11.25" customHeight="1">
      <c r="A843" s="7"/>
      <c r="B843" s="5"/>
      <c r="C843" s="6"/>
      <c r="D843" s="6"/>
      <c r="E843" s="6"/>
      <c r="F843" s="6"/>
      <c r="G843" s="6"/>
      <c r="H843" s="6"/>
      <c r="I843" s="6"/>
      <c r="J843" s="11"/>
      <c r="K843" s="591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ht="11.25" customHeight="1">
      <c r="A844" s="7"/>
      <c r="B844" s="5"/>
      <c r="C844" s="6"/>
      <c r="D844" s="6"/>
      <c r="E844" s="6"/>
      <c r="F844" s="6"/>
      <c r="G844" s="6"/>
      <c r="H844" s="6"/>
      <c r="I844" s="6"/>
      <c r="J844" s="11"/>
      <c r="K844" s="591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ht="11.25" customHeight="1">
      <c r="A845" s="7"/>
      <c r="B845" s="5"/>
      <c r="C845" s="6"/>
      <c r="D845" s="6"/>
      <c r="E845" s="6"/>
      <c r="F845" s="6"/>
      <c r="G845" s="6"/>
      <c r="H845" s="6"/>
      <c r="I845" s="6"/>
      <c r="J845" s="11"/>
      <c r="K845" s="591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ht="11.25" customHeight="1">
      <c r="A846" s="7"/>
      <c r="B846" s="5"/>
      <c r="C846" s="6"/>
      <c r="D846" s="6"/>
      <c r="E846" s="6"/>
      <c r="F846" s="6"/>
      <c r="G846" s="6"/>
      <c r="H846" s="6"/>
      <c r="I846" s="6"/>
      <c r="J846" s="11"/>
      <c r="K846" s="591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ht="11.25" customHeight="1">
      <c r="A847" s="7"/>
      <c r="B847" s="5"/>
      <c r="C847" s="6"/>
      <c r="D847" s="6"/>
      <c r="E847" s="6"/>
      <c r="F847" s="6"/>
      <c r="G847" s="6"/>
      <c r="H847" s="6"/>
      <c r="I847" s="6"/>
      <c r="J847" s="11"/>
      <c r="K847" s="591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ht="11.25" customHeight="1">
      <c r="A848" s="7"/>
      <c r="B848" s="5"/>
      <c r="C848" s="6"/>
      <c r="D848" s="6"/>
      <c r="E848" s="6"/>
      <c r="F848" s="6"/>
      <c r="G848" s="6"/>
      <c r="H848" s="6"/>
      <c r="I848" s="6"/>
      <c r="J848" s="11"/>
      <c r="K848" s="591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ht="11.25" customHeight="1">
      <c r="A849" s="7"/>
      <c r="B849" s="5"/>
      <c r="C849" s="6"/>
      <c r="D849" s="6"/>
      <c r="E849" s="6"/>
      <c r="F849" s="6"/>
      <c r="G849" s="6"/>
      <c r="H849" s="6"/>
      <c r="I849" s="6"/>
      <c r="J849" s="11"/>
      <c r="K849" s="591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ht="11.25" customHeight="1">
      <c r="A850" s="7"/>
      <c r="B850" s="5"/>
      <c r="C850" s="6"/>
      <c r="D850" s="6"/>
      <c r="E850" s="6"/>
      <c r="F850" s="6"/>
      <c r="G850" s="6"/>
      <c r="H850" s="6"/>
      <c r="I850" s="6"/>
      <c r="J850" s="11"/>
      <c r="K850" s="591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ht="11.25" customHeight="1">
      <c r="A851" s="7"/>
      <c r="B851" s="5"/>
      <c r="C851" s="6"/>
      <c r="D851" s="6"/>
      <c r="E851" s="6"/>
      <c r="F851" s="6"/>
      <c r="G851" s="6"/>
      <c r="H851" s="6"/>
      <c r="I851" s="6"/>
      <c r="J851" s="11"/>
      <c r="K851" s="591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ht="11.25" customHeight="1">
      <c r="A852" s="7"/>
      <c r="B852" s="5"/>
      <c r="C852" s="6"/>
      <c r="D852" s="6"/>
      <c r="E852" s="6"/>
      <c r="F852" s="6"/>
      <c r="G852" s="6"/>
      <c r="H852" s="6"/>
      <c r="I852" s="6"/>
      <c r="J852" s="11"/>
      <c r="K852" s="591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ht="11.25" customHeight="1">
      <c r="A853" s="7"/>
      <c r="B853" s="5"/>
      <c r="C853" s="6"/>
      <c r="D853" s="6"/>
      <c r="E853" s="6"/>
      <c r="F853" s="6"/>
      <c r="G853" s="6"/>
      <c r="H853" s="6"/>
      <c r="I853" s="6"/>
      <c r="J853" s="11"/>
      <c r="K853" s="591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ht="11.25" customHeight="1">
      <c r="A854" s="7"/>
      <c r="B854" s="5"/>
      <c r="C854" s="6"/>
      <c r="D854" s="6"/>
      <c r="E854" s="6"/>
      <c r="F854" s="6"/>
      <c r="G854" s="6"/>
      <c r="H854" s="6"/>
      <c r="I854" s="6"/>
      <c r="J854" s="11"/>
      <c r="K854" s="591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ht="11.25" customHeight="1">
      <c r="A855" s="7"/>
      <c r="B855" s="5"/>
      <c r="C855" s="6"/>
      <c r="D855" s="6"/>
      <c r="E855" s="6"/>
      <c r="F855" s="6"/>
      <c r="G855" s="6"/>
      <c r="H855" s="6"/>
      <c r="I855" s="6"/>
      <c r="J855" s="11"/>
      <c r="K855" s="591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ht="11.25" customHeight="1">
      <c r="A856" s="7"/>
      <c r="B856" s="5"/>
      <c r="C856" s="6"/>
      <c r="D856" s="6"/>
      <c r="E856" s="6"/>
      <c r="F856" s="6"/>
      <c r="G856" s="6"/>
      <c r="H856" s="6"/>
      <c r="I856" s="6"/>
      <c r="J856" s="11"/>
      <c r="K856" s="591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ht="11.25" customHeight="1">
      <c r="A857" s="7"/>
      <c r="B857" s="5"/>
      <c r="C857" s="6"/>
      <c r="D857" s="6"/>
      <c r="E857" s="6"/>
      <c r="F857" s="6"/>
      <c r="G857" s="6"/>
      <c r="H857" s="6"/>
      <c r="I857" s="6"/>
      <c r="J857" s="11"/>
      <c r="K857" s="591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ht="11.25" customHeight="1">
      <c r="A858" s="7"/>
      <c r="B858" s="5"/>
      <c r="C858" s="6"/>
      <c r="D858" s="6"/>
      <c r="E858" s="6"/>
      <c r="F858" s="6"/>
      <c r="G858" s="6"/>
      <c r="H858" s="6"/>
      <c r="I858" s="6"/>
      <c r="J858" s="11"/>
      <c r="K858" s="591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ht="11.25" customHeight="1">
      <c r="A859" s="7"/>
      <c r="B859" s="5"/>
      <c r="C859" s="6"/>
      <c r="D859" s="6"/>
      <c r="E859" s="6"/>
      <c r="F859" s="6"/>
      <c r="G859" s="6"/>
      <c r="H859" s="6"/>
      <c r="I859" s="6"/>
      <c r="J859" s="11"/>
      <c r="K859" s="591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ht="11.25" customHeight="1">
      <c r="A860" s="7"/>
      <c r="B860" s="5"/>
      <c r="C860" s="6"/>
      <c r="D860" s="6"/>
      <c r="E860" s="6"/>
      <c r="F860" s="6"/>
      <c r="G860" s="6"/>
      <c r="H860" s="6"/>
      <c r="I860" s="6"/>
      <c r="J860" s="11"/>
      <c r="K860" s="591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ht="11.25" customHeight="1">
      <c r="A861" s="7"/>
      <c r="B861" s="5"/>
      <c r="C861" s="6"/>
      <c r="D861" s="6"/>
      <c r="E861" s="6"/>
      <c r="F861" s="6"/>
      <c r="G861" s="6"/>
      <c r="H861" s="6"/>
      <c r="I861" s="6"/>
      <c r="J861" s="11"/>
      <c r="K861" s="591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ht="11.25" customHeight="1">
      <c r="A862" s="7"/>
      <c r="B862" s="5"/>
      <c r="C862" s="6"/>
      <c r="D862" s="6"/>
      <c r="E862" s="6"/>
      <c r="F862" s="6"/>
      <c r="G862" s="6"/>
      <c r="H862" s="6"/>
      <c r="I862" s="6"/>
      <c r="J862" s="11"/>
      <c r="K862" s="591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ht="11.25" customHeight="1">
      <c r="A863" s="7"/>
      <c r="B863" s="5"/>
      <c r="C863" s="6"/>
      <c r="D863" s="6"/>
      <c r="E863" s="6"/>
      <c r="F863" s="6"/>
      <c r="G863" s="6"/>
      <c r="H863" s="6"/>
      <c r="I863" s="6"/>
      <c r="J863" s="11"/>
      <c r="K863" s="591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ht="11.25" customHeight="1">
      <c r="A864" s="7"/>
      <c r="B864" s="5"/>
      <c r="C864" s="6"/>
      <c r="D864" s="6"/>
      <c r="E864" s="6"/>
      <c r="F864" s="6"/>
      <c r="G864" s="6"/>
      <c r="H864" s="6"/>
      <c r="I864" s="6"/>
      <c r="J864" s="11"/>
      <c r="K864" s="591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ht="11.25" customHeight="1">
      <c r="A865" s="7"/>
      <c r="B865" s="5"/>
      <c r="C865" s="6"/>
      <c r="D865" s="6"/>
      <c r="E865" s="6"/>
      <c r="F865" s="6"/>
      <c r="G865" s="6"/>
      <c r="H865" s="6"/>
      <c r="I865" s="6"/>
      <c r="J865" s="11"/>
      <c r="K865" s="591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ht="11.25" customHeight="1">
      <c r="A866" s="7"/>
      <c r="B866" s="5"/>
      <c r="C866" s="6"/>
      <c r="D866" s="6"/>
      <c r="E866" s="6"/>
      <c r="F866" s="6"/>
      <c r="G866" s="6"/>
      <c r="H866" s="6"/>
      <c r="I866" s="6"/>
      <c r="J866" s="11"/>
      <c r="K866" s="591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ht="11.25" customHeight="1">
      <c r="A867" s="7"/>
      <c r="B867" s="5"/>
      <c r="C867" s="6"/>
      <c r="D867" s="6"/>
      <c r="E867" s="6"/>
      <c r="F867" s="6"/>
      <c r="G867" s="6"/>
      <c r="H867" s="6"/>
      <c r="I867" s="6"/>
      <c r="J867" s="11"/>
      <c r="K867" s="591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ht="11.25" customHeight="1">
      <c r="A868" s="7"/>
      <c r="B868" s="5"/>
      <c r="C868" s="6"/>
      <c r="D868" s="6"/>
      <c r="E868" s="6"/>
      <c r="F868" s="6"/>
      <c r="G868" s="6"/>
      <c r="H868" s="6"/>
      <c r="I868" s="6"/>
      <c r="J868" s="11"/>
      <c r="K868" s="591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ht="11.25" customHeight="1">
      <c r="A869" s="7"/>
      <c r="B869" s="5"/>
      <c r="C869" s="6"/>
      <c r="D869" s="6"/>
      <c r="E869" s="6"/>
      <c r="F869" s="6"/>
      <c r="G869" s="6"/>
      <c r="H869" s="6"/>
      <c r="I869" s="6"/>
      <c r="J869" s="11"/>
      <c r="K869" s="591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ht="11.25" customHeight="1">
      <c r="A870" s="7"/>
      <c r="B870" s="5"/>
      <c r="C870" s="6"/>
      <c r="D870" s="6"/>
      <c r="E870" s="6"/>
      <c r="F870" s="6"/>
      <c r="G870" s="6"/>
      <c r="H870" s="6"/>
      <c r="I870" s="6"/>
      <c r="J870" s="11"/>
      <c r="K870" s="591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ht="11.25" customHeight="1">
      <c r="A871" s="7"/>
      <c r="B871" s="5"/>
      <c r="C871" s="6"/>
      <c r="D871" s="6"/>
      <c r="E871" s="6"/>
      <c r="F871" s="6"/>
      <c r="G871" s="6"/>
      <c r="H871" s="6"/>
      <c r="I871" s="6"/>
      <c r="J871" s="11"/>
      <c r="K871" s="591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ht="11.25" customHeight="1">
      <c r="A872" s="7"/>
      <c r="B872" s="5"/>
      <c r="C872" s="6"/>
      <c r="D872" s="6"/>
      <c r="E872" s="6"/>
      <c r="F872" s="6"/>
      <c r="G872" s="6"/>
      <c r="H872" s="6"/>
      <c r="I872" s="6"/>
      <c r="J872" s="11"/>
      <c r="K872" s="591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ht="11.25" customHeight="1">
      <c r="A873" s="7"/>
      <c r="B873" s="5"/>
      <c r="C873" s="6"/>
      <c r="D873" s="6"/>
      <c r="E873" s="6"/>
      <c r="F873" s="6"/>
      <c r="G873" s="6"/>
      <c r="H873" s="6"/>
      <c r="I873" s="6"/>
      <c r="J873" s="11"/>
      <c r="K873" s="591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ht="11.25" customHeight="1">
      <c r="A874" s="7"/>
      <c r="B874" s="5"/>
      <c r="C874" s="6"/>
      <c r="D874" s="6"/>
      <c r="E874" s="6"/>
      <c r="F874" s="6"/>
      <c r="G874" s="6"/>
      <c r="H874" s="6"/>
      <c r="I874" s="6"/>
      <c r="J874" s="11"/>
      <c r="K874" s="591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ht="11.25" customHeight="1">
      <c r="A875" s="7"/>
      <c r="B875" s="5"/>
      <c r="C875" s="6"/>
      <c r="D875" s="6"/>
      <c r="E875" s="6"/>
      <c r="F875" s="6"/>
      <c r="G875" s="6"/>
      <c r="H875" s="6"/>
      <c r="I875" s="6"/>
      <c r="J875" s="11"/>
      <c r="K875" s="591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ht="11.25" customHeight="1">
      <c r="A876" s="7"/>
      <c r="B876" s="5"/>
      <c r="C876" s="6"/>
      <c r="D876" s="6"/>
      <c r="E876" s="6"/>
      <c r="F876" s="6"/>
      <c r="G876" s="6"/>
      <c r="H876" s="6"/>
      <c r="I876" s="6"/>
      <c r="J876" s="11"/>
      <c r="K876" s="591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ht="11.25" customHeight="1">
      <c r="A877" s="7"/>
      <c r="B877" s="5"/>
      <c r="C877" s="6"/>
      <c r="D877" s="6"/>
      <c r="E877" s="6"/>
      <c r="F877" s="6"/>
      <c r="G877" s="6"/>
      <c r="H877" s="6"/>
      <c r="I877" s="6"/>
      <c r="J877" s="11"/>
      <c r="K877" s="591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ht="11.25" customHeight="1">
      <c r="A878" s="7"/>
      <c r="B878" s="5"/>
      <c r="C878" s="6"/>
      <c r="D878" s="6"/>
      <c r="E878" s="6"/>
      <c r="F878" s="6"/>
      <c r="G878" s="6"/>
      <c r="H878" s="6"/>
      <c r="I878" s="6"/>
      <c r="J878" s="11"/>
      <c r="K878" s="591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ht="11.25" customHeight="1">
      <c r="A879" s="7"/>
      <c r="B879" s="5"/>
      <c r="C879" s="6"/>
      <c r="D879" s="6"/>
      <c r="E879" s="6"/>
      <c r="F879" s="6"/>
      <c r="G879" s="6"/>
      <c r="H879" s="6"/>
      <c r="I879" s="6"/>
      <c r="J879" s="11"/>
      <c r="K879" s="591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ht="11.25" customHeight="1">
      <c r="A880" s="7"/>
      <c r="B880" s="5"/>
      <c r="C880" s="6"/>
      <c r="D880" s="6"/>
      <c r="E880" s="6"/>
      <c r="F880" s="6"/>
      <c r="G880" s="6"/>
      <c r="H880" s="6"/>
      <c r="I880" s="6"/>
      <c r="J880" s="11"/>
      <c r="K880" s="591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ht="11.25" customHeight="1">
      <c r="A881" s="7"/>
      <c r="B881" s="5"/>
      <c r="C881" s="6"/>
      <c r="D881" s="6"/>
      <c r="E881" s="6"/>
      <c r="F881" s="6"/>
      <c r="G881" s="6"/>
      <c r="H881" s="6"/>
      <c r="I881" s="6"/>
      <c r="J881" s="11"/>
      <c r="K881" s="591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ht="11.25" customHeight="1">
      <c r="A882" s="7"/>
      <c r="B882" s="5"/>
      <c r="C882" s="6"/>
      <c r="D882" s="6"/>
      <c r="E882" s="6"/>
      <c r="F882" s="6"/>
      <c r="G882" s="6"/>
      <c r="H882" s="6"/>
      <c r="I882" s="6"/>
      <c r="J882" s="11"/>
      <c r="K882" s="591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ht="11.25" customHeight="1">
      <c r="A883" s="7"/>
      <c r="B883" s="5"/>
      <c r="C883" s="6"/>
      <c r="D883" s="6"/>
      <c r="E883" s="6"/>
      <c r="F883" s="6"/>
      <c r="G883" s="6"/>
      <c r="H883" s="6"/>
      <c r="I883" s="6"/>
      <c r="J883" s="11"/>
      <c r="K883" s="591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ht="11.25" customHeight="1">
      <c r="A884" s="7"/>
      <c r="B884" s="5"/>
      <c r="C884" s="6"/>
      <c r="D884" s="6"/>
      <c r="E884" s="6"/>
      <c r="F884" s="6"/>
      <c r="G884" s="6"/>
      <c r="H884" s="6"/>
      <c r="I884" s="6"/>
      <c r="J884" s="11"/>
      <c r="K884" s="591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ht="11.25" customHeight="1">
      <c r="A885" s="7"/>
      <c r="B885" s="5"/>
      <c r="C885" s="6"/>
      <c r="D885" s="6"/>
      <c r="E885" s="6"/>
      <c r="F885" s="6"/>
      <c r="G885" s="6"/>
      <c r="H885" s="6"/>
      <c r="I885" s="6"/>
      <c r="J885" s="11"/>
      <c r="K885" s="591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ht="11.25" customHeight="1">
      <c r="A886" s="7"/>
      <c r="B886" s="5"/>
      <c r="C886" s="6"/>
      <c r="D886" s="6"/>
      <c r="E886" s="6"/>
      <c r="F886" s="6"/>
      <c r="G886" s="6"/>
      <c r="H886" s="6"/>
      <c r="I886" s="6"/>
      <c r="J886" s="11"/>
      <c r="K886" s="591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ht="11.25" customHeight="1">
      <c r="A887" s="7"/>
      <c r="B887" s="5"/>
      <c r="C887" s="6"/>
      <c r="D887" s="6"/>
      <c r="E887" s="6"/>
      <c r="F887" s="6"/>
      <c r="G887" s="6"/>
      <c r="H887" s="6"/>
      <c r="I887" s="6"/>
      <c r="J887" s="11"/>
      <c r="K887" s="591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ht="11.25" customHeight="1">
      <c r="A888" s="7"/>
      <c r="B888" s="5"/>
      <c r="C888" s="6"/>
      <c r="D888" s="6"/>
      <c r="E888" s="6"/>
      <c r="F888" s="6"/>
      <c r="G888" s="6"/>
      <c r="H888" s="6"/>
      <c r="I888" s="6"/>
      <c r="J888" s="11"/>
      <c r="K888" s="591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ht="11.25" customHeight="1">
      <c r="A889" s="7"/>
      <c r="B889" s="5"/>
      <c r="C889" s="6"/>
      <c r="D889" s="6"/>
      <c r="E889" s="6"/>
      <c r="F889" s="6"/>
      <c r="G889" s="6"/>
      <c r="H889" s="6"/>
      <c r="I889" s="6"/>
      <c r="J889" s="11"/>
      <c r="K889" s="591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ht="11.25" customHeight="1">
      <c r="A890" s="7"/>
      <c r="B890" s="5"/>
      <c r="C890" s="6"/>
      <c r="D890" s="6"/>
      <c r="E890" s="6"/>
      <c r="F890" s="6"/>
      <c r="G890" s="6"/>
      <c r="H890" s="6"/>
      <c r="I890" s="6"/>
      <c r="J890" s="11"/>
      <c r="K890" s="591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ht="11.25" customHeight="1">
      <c r="A891" s="7"/>
      <c r="B891" s="5"/>
      <c r="C891" s="6"/>
      <c r="D891" s="6"/>
      <c r="E891" s="6"/>
      <c r="F891" s="6"/>
      <c r="G891" s="6"/>
      <c r="H891" s="6"/>
      <c r="I891" s="6"/>
      <c r="J891" s="11"/>
      <c r="K891" s="591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ht="11.25" customHeight="1">
      <c r="A892" s="7"/>
      <c r="B892" s="5"/>
      <c r="C892" s="6"/>
      <c r="D892" s="6"/>
      <c r="E892" s="6"/>
      <c r="F892" s="6"/>
      <c r="G892" s="6"/>
      <c r="H892" s="6"/>
      <c r="I892" s="6"/>
      <c r="J892" s="11"/>
      <c r="K892" s="591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ht="11.25" customHeight="1">
      <c r="A893" s="7"/>
      <c r="B893" s="5"/>
      <c r="C893" s="6"/>
      <c r="D893" s="6"/>
      <c r="E893" s="6"/>
      <c r="F893" s="6"/>
      <c r="G893" s="6"/>
      <c r="H893" s="6"/>
      <c r="I893" s="6"/>
      <c r="J893" s="11"/>
      <c r="K893" s="591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ht="11.25" customHeight="1">
      <c r="A894" s="7"/>
      <c r="B894" s="5"/>
      <c r="C894" s="6"/>
      <c r="D894" s="6"/>
      <c r="E894" s="6"/>
      <c r="F894" s="6"/>
      <c r="G894" s="6"/>
      <c r="H894" s="6"/>
      <c r="I894" s="6"/>
      <c r="J894" s="11"/>
      <c r="K894" s="591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ht="11.25" customHeight="1">
      <c r="A895" s="7"/>
      <c r="B895" s="5"/>
      <c r="C895" s="6"/>
      <c r="D895" s="6"/>
      <c r="E895" s="6"/>
      <c r="F895" s="6"/>
      <c r="G895" s="6"/>
      <c r="H895" s="6"/>
      <c r="I895" s="6"/>
      <c r="J895" s="11"/>
      <c r="K895" s="591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ht="11.25" customHeight="1">
      <c r="A896" s="7"/>
      <c r="B896" s="5"/>
      <c r="C896" s="6"/>
      <c r="D896" s="6"/>
      <c r="E896" s="6"/>
      <c r="F896" s="6"/>
      <c r="G896" s="6"/>
      <c r="H896" s="6"/>
      <c r="I896" s="6"/>
      <c r="J896" s="11"/>
      <c r="K896" s="591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ht="11.25" customHeight="1">
      <c r="A897" s="7"/>
      <c r="B897" s="5"/>
      <c r="C897" s="6"/>
      <c r="D897" s="6"/>
      <c r="E897" s="6"/>
      <c r="F897" s="6"/>
      <c r="G897" s="6"/>
      <c r="H897" s="6"/>
      <c r="I897" s="6"/>
      <c r="J897" s="11"/>
      <c r="K897" s="591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ht="11.25" customHeight="1">
      <c r="A898" s="7"/>
      <c r="B898" s="5"/>
      <c r="C898" s="6"/>
      <c r="D898" s="6"/>
      <c r="E898" s="6"/>
      <c r="F898" s="6"/>
      <c r="G898" s="6"/>
      <c r="H898" s="6"/>
      <c r="I898" s="6"/>
      <c r="J898" s="11"/>
      <c r="K898" s="591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ht="11.25" customHeight="1">
      <c r="A899" s="7"/>
      <c r="B899" s="5"/>
      <c r="C899" s="6"/>
      <c r="D899" s="6"/>
      <c r="E899" s="6"/>
      <c r="F899" s="6"/>
      <c r="G899" s="6"/>
      <c r="H899" s="6"/>
      <c r="I899" s="6"/>
      <c r="J899" s="11"/>
      <c r="K899" s="591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ht="11.25" customHeight="1">
      <c r="A900" s="7"/>
      <c r="B900" s="5"/>
      <c r="C900" s="6"/>
      <c r="D900" s="6"/>
      <c r="E900" s="6"/>
      <c r="F900" s="6"/>
      <c r="G900" s="6"/>
      <c r="H900" s="6"/>
      <c r="I900" s="6"/>
      <c r="J900" s="11"/>
      <c r="K900" s="591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ht="11.25" customHeight="1">
      <c r="A901" s="7"/>
      <c r="B901" s="5"/>
      <c r="C901" s="6"/>
      <c r="D901" s="6"/>
      <c r="E901" s="6"/>
      <c r="F901" s="6"/>
      <c r="G901" s="6"/>
      <c r="H901" s="6"/>
      <c r="I901" s="6"/>
      <c r="J901" s="11"/>
      <c r="K901" s="591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ht="11.25" customHeight="1">
      <c r="A902" s="7"/>
      <c r="B902" s="5"/>
      <c r="C902" s="6"/>
      <c r="D902" s="6"/>
      <c r="E902" s="6"/>
      <c r="F902" s="6"/>
      <c r="G902" s="6"/>
      <c r="H902" s="6"/>
      <c r="I902" s="6"/>
      <c r="J902" s="11"/>
      <c r="K902" s="591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ht="11.25" customHeight="1">
      <c r="A903" s="7"/>
      <c r="B903" s="5"/>
      <c r="C903" s="6"/>
      <c r="D903" s="6"/>
      <c r="E903" s="6"/>
      <c r="F903" s="6"/>
      <c r="G903" s="6"/>
      <c r="H903" s="6"/>
      <c r="I903" s="6"/>
      <c r="J903" s="11"/>
      <c r="K903" s="591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ht="11.25" customHeight="1">
      <c r="A904" s="7"/>
      <c r="B904" s="5"/>
      <c r="C904" s="6"/>
      <c r="D904" s="6"/>
      <c r="E904" s="6"/>
      <c r="F904" s="6"/>
      <c r="G904" s="6"/>
      <c r="H904" s="6"/>
      <c r="I904" s="6"/>
      <c r="J904" s="11"/>
      <c r="K904" s="591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ht="11.25" customHeight="1">
      <c r="A905" s="7"/>
      <c r="B905" s="5"/>
      <c r="C905" s="6"/>
      <c r="D905" s="6"/>
      <c r="E905" s="6"/>
      <c r="F905" s="6"/>
      <c r="G905" s="6"/>
      <c r="H905" s="6"/>
      <c r="I905" s="6"/>
      <c r="J905" s="11"/>
      <c r="K905" s="591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ht="11.25" customHeight="1">
      <c r="A906" s="7"/>
      <c r="B906" s="5"/>
      <c r="C906" s="6"/>
      <c r="D906" s="6"/>
      <c r="E906" s="6"/>
      <c r="F906" s="6"/>
      <c r="G906" s="6"/>
      <c r="H906" s="6"/>
      <c r="I906" s="6"/>
      <c r="J906" s="11"/>
      <c r="K906" s="591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ht="11.25" customHeight="1">
      <c r="A907" s="7"/>
      <c r="B907" s="5"/>
      <c r="C907" s="6"/>
      <c r="D907" s="6"/>
      <c r="E907" s="6"/>
      <c r="F907" s="6"/>
      <c r="G907" s="6"/>
      <c r="H907" s="6"/>
      <c r="I907" s="6"/>
      <c r="J907" s="11"/>
      <c r="K907" s="591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ht="11.25" customHeight="1">
      <c r="A908" s="7"/>
      <c r="B908" s="5"/>
      <c r="C908" s="6"/>
      <c r="D908" s="6"/>
      <c r="E908" s="6"/>
      <c r="F908" s="6"/>
      <c r="G908" s="6"/>
      <c r="H908" s="6"/>
      <c r="I908" s="6"/>
      <c r="J908" s="11"/>
      <c r="K908" s="591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ht="11.25" customHeight="1">
      <c r="A909" s="7"/>
      <c r="B909" s="5"/>
      <c r="C909" s="6"/>
      <c r="D909" s="6"/>
      <c r="E909" s="6"/>
      <c r="F909" s="6"/>
      <c r="G909" s="6"/>
      <c r="H909" s="6"/>
      <c r="I909" s="6"/>
      <c r="J909" s="11"/>
      <c r="K909" s="591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ht="11.25" customHeight="1">
      <c r="A910" s="7"/>
      <c r="B910" s="5"/>
      <c r="C910" s="6"/>
      <c r="D910" s="6"/>
      <c r="E910" s="6"/>
      <c r="F910" s="6"/>
      <c r="G910" s="6"/>
      <c r="H910" s="6"/>
      <c r="I910" s="6"/>
      <c r="J910" s="11"/>
      <c r="K910" s="591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ht="11.25" customHeight="1">
      <c r="A911" s="7"/>
      <c r="B911" s="5"/>
      <c r="C911" s="6"/>
      <c r="D911" s="6"/>
      <c r="E911" s="6"/>
      <c r="F911" s="6"/>
      <c r="G911" s="6"/>
      <c r="H911" s="6"/>
      <c r="I911" s="6"/>
      <c r="J911" s="11"/>
      <c r="K911" s="591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ht="11.25" customHeight="1">
      <c r="A912" s="7"/>
      <c r="B912" s="5"/>
      <c r="C912" s="6"/>
      <c r="D912" s="6"/>
      <c r="E912" s="6"/>
      <c r="F912" s="6"/>
      <c r="G912" s="6"/>
      <c r="H912" s="6"/>
      <c r="I912" s="6"/>
      <c r="J912" s="11"/>
      <c r="K912" s="591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ht="11.25" customHeight="1">
      <c r="A913" s="7"/>
      <c r="B913" s="5"/>
      <c r="C913" s="6"/>
      <c r="D913" s="6"/>
      <c r="E913" s="6"/>
      <c r="F913" s="6"/>
      <c r="G913" s="6"/>
      <c r="H913" s="6"/>
      <c r="I913" s="6"/>
      <c r="J913" s="11"/>
      <c r="K913" s="591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ht="11.25" customHeight="1">
      <c r="A914" s="7"/>
      <c r="B914" s="5"/>
      <c r="C914" s="6"/>
      <c r="D914" s="6"/>
      <c r="E914" s="6"/>
      <c r="F914" s="6"/>
      <c r="G914" s="6"/>
      <c r="H914" s="6"/>
      <c r="I914" s="6"/>
      <c r="J914" s="11"/>
      <c r="K914" s="591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ht="11.25" customHeight="1">
      <c r="A915" s="7"/>
      <c r="B915" s="5"/>
      <c r="C915" s="6"/>
      <c r="D915" s="6"/>
      <c r="E915" s="6"/>
      <c r="F915" s="6"/>
      <c r="G915" s="6"/>
      <c r="H915" s="6"/>
      <c r="I915" s="6"/>
      <c r="J915" s="11"/>
      <c r="K915" s="591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ht="11.25" customHeight="1">
      <c r="A916" s="7"/>
      <c r="B916" s="5"/>
      <c r="C916" s="6"/>
      <c r="D916" s="6"/>
      <c r="E916" s="6"/>
      <c r="F916" s="6"/>
      <c r="G916" s="6"/>
      <c r="H916" s="6"/>
      <c r="I916" s="6"/>
      <c r="J916" s="11"/>
      <c r="K916" s="591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ht="11.25" customHeight="1">
      <c r="A917" s="7"/>
      <c r="B917" s="5"/>
      <c r="C917" s="6"/>
      <c r="D917" s="6"/>
      <c r="E917" s="6"/>
      <c r="F917" s="6"/>
      <c r="G917" s="6"/>
      <c r="H917" s="6"/>
      <c r="I917" s="6"/>
      <c r="J917" s="11"/>
      <c r="K917" s="591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ht="11.25" customHeight="1">
      <c r="A918" s="7"/>
      <c r="B918" s="5"/>
      <c r="C918" s="6"/>
      <c r="D918" s="6"/>
      <c r="E918" s="6"/>
      <c r="F918" s="6"/>
      <c r="G918" s="6"/>
      <c r="H918" s="6"/>
      <c r="I918" s="6"/>
      <c r="J918" s="11"/>
      <c r="K918" s="591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ht="11.25" customHeight="1">
      <c r="A919" s="7"/>
      <c r="B919" s="5"/>
      <c r="C919" s="6"/>
      <c r="D919" s="6"/>
      <c r="E919" s="6"/>
      <c r="F919" s="6"/>
      <c r="G919" s="6"/>
      <c r="H919" s="6"/>
      <c r="I919" s="6"/>
      <c r="J919" s="11"/>
      <c r="K919" s="591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ht="11.25" customHeight="1">
      <c r="A920" s="7"/>
      <c r="B920" s="5"/>
      <c r="C920" s="6"/>
      <c r="D920" s="6"/>
      <c r="E920" s="6"/>
      <c r="F920" s="6"/>
      <c r="G920" s="6"/>
      <c r="H920" s="6"/>
      <c r="I920" s="6"/>
      <c r="J920" s="11"/>
      <c r="K920" s="591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ht="11.25" customHeight="1">
      <c r="A921" s="7"/>
      <c r="B921" s="5"/>
      <c r="C921" s="6"/>
      <c r="D921" s="6"/>
      <c r="E921" s="6"/>
      <c r="F921" s="6"/>
      <c r="G921" s="6"/>
      <c r="H921" s="6"/>
      <c r="I921" s="6"/>
      <c r="J921" s="11"/>
      <c r="K921" s="591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ht="11.25" customHeight="1">
      <c r="A922" s="7"/>
      <c r="B922" s="5"/>
      <c r="C922" s="6"/>
      <c r="D922" s="6"/>
      <c r="E922" s="6"/>
      <c r="F922" s="6"/>
      <c r="G922" s="6"/>
      <c r="H922" s="6"/>
      <c r="I922" s="6"/>
      <c r="J922" s="11"/>
      <c r="K922" s="591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ht="11.25" customHeight="1">
      <c r="A923" s="7"/>
      <c r="B923" s="5"/>
      <c r="C923" s="6"/>
      <c r="D923" s="6"/>
      <c r="E923" s="6"/>
      <c r="F923" s="6"/>
      <c r="G923" s="6"/>
      <c r="H923" s="6"/>
      <c r="I923" s="6"/>
      <c r="J923" s="11"/>
      <c r="K923" s="591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ht="11.25" customHeight="1">
      <c r="A924" s="7"/>
      <c r="B924" s="5"/>
      <c r="C924" s="6"/>
      <c r="D924" s="6"/>
      <c r="E924" s="6"/>
      <c r="F924" s="6"/>
      <c r="G924" s="6"/>
      <c r="H924" s="6"/>
      <c r="I924" s="6"/>
      <c r="J924" s="11"/>
      <c r="K924" s="591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ht="11.25" customHeight="1">
      <c r="A925" s="7"/>
      <c r="B925" s="5"/>
      <c r="C925" s="6"/>
      <c r="D925" s="6"/>
      <c r="E925" s="6"/>
      <c r="F925" s="6"/>
      <c r="G925" s="6"/>
      <c r="H925" s="6"/>
      <c r="I925" s="6"/>
      <c r="J925" s="11"/>
      <c r="K925" s="591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ht="11.25" customHeight="1">
      <c r="A926" s="7"/>
      <c r="B926" s="5"/>
      <c r="C926" s="6"/>
      <c r="D926" s="6"/>
      <c r="E926" s="6"/>
      <c r="F926" s="6"/>
      <c r="G926" s="6"/>
      <c r="H926" s="6"/>
      <c r="I926" s="6"/>
      <c r="J926" s="11"/>
      <c r="K926" s="591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ht="11.25" customHeight="1">
      <c r="A927" s="7"/>
      <c r="B927" s="5"/>
      <c r="C927" s="6"/>
      <c r="D927" s="6"/>
      <c r="E927" s="6"/>
      <c r="F927" s="6"/>
      <c r="G927" s="6"/>
      <c r="H927" s="6"/>
      <c r="I927" s="6"/>
      <c r="J927" s="11"/>
      <c r="K927" s="591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ht="11.25" customHeight="1">
      <c r="A928" s="7"/>
      <c r="B928" s="5"/>
      <c r="C928" s="6"/>
      <c r="D928" s="6"/>
      <c r="E928" s="6"/>
      <c r="F928" s="6"/>
      <c r="G928" s="6"/>
      <c r="H928" s="6"/>
      <c r="I928" s="6"/>
      <c r="J928" s="11"/>
      <c r="K928" s="591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ht="11.25" customHeight="1">
      <c r="A929" s="7"/>
      <c r="B929" s="5"/>
      <c r="C929" s="6"/>
      <c r="D929" s="6"/>
      <c r="E929" s="6"/>
      <c r="F929" s="6"/>
      <c r="G929" s="6"/>
      <c r="H929" s="6"/>
      <c r="I929" s="6"/>
      <c r="J929" s="11"/>
      <c r="K929" s="591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ht="11.25" customHeight="1">
      <c r="A930" s="7"/>
      <c r="B930" s="5"/>
      <c r="C930" s="6"/>
      <c r="D930" s="6"/>
      <c r="E930" s="6"/>
      <c r="F930" s="6"/>
      <c r="G930" s="6"/>
      <c r="H930" s="6"/>
      <c r="I930" s="6"/>
      <c r="J930" s="11"/>
      <c r="K930" s="591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ht="11.25" customHeight="1">
      <c r="A931" s="7"/>
      <c r="B931" s="5"/>
      <c r="C931" s="6"/>
      <c r="D931" s="6"/>
      <c r="E931" s="6"/>
      <c r="F931" s="6"/>
      <c r="G931" s="6"/>
      <c r="H931" s="6"/>
      <c r="I931" s="6"/>
      <c r="J931" s="11"/>
      <c r="K931" s="591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ht="11.25" customHeight="1">
      <c r="A932" s="7"/>
      <c r="B932" s="5"/>
      <c r="C932" s="6"/>
      <c r="D932" s="6"/>
      <c r="E932" s="6"/>
      <c r="F932" s="6"/>
      <c r="G932" s="6"/>
      <c r="H932" s="6"/>
      <c r="I932" s="6"/>
      <c r="J932" s="11"/>
      <c r="K932" s="591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ht="11.25" customHeight="1">
      <c r="A933" s="7"/>
      <c r="B933" s="5"/>
      <c r="C933" s="6"/>
      <c r="D933" s="6"/>
      <c r="E933" s="6"/>
      <c r="F933" s="6"/>
      <c r="G933" s="6"/>
      <c r="H933" s="6"/>
      <c r="I933" s="6"/>
      <c r="J933" s="11"/>
      <c r="K933" s="591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ht="11.25" customHeight="1">
      <c r="A934" s="7"/>
      <c r="B934" s="5"/>
      <c r="C934" s="6"/>
      <c r="D934" s="6"/>
      <c r="E934" s="6"/>
      <c r="F934" s="6"/>
      <c r="G934" s="6"/>
      <c r="H934" s="6"/>
      <c r="I934" s="6"/>
      <c r="J934" s="11"/>
      <c r="K934" s="591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ht="11.25" customHeight="1">
      <c r="A935" s="7"/>
      <c r="B935" s="5"/>
      <c r="C935" s="6"/>
      <c r="D935" s="6"/>
      <c r="E935" s="6"/>
      <c r="F935" s="6"/>
      <c r="G935" s="6"/>
      <c r="H935" s="6"/>
      <c r="I935" s="6"/>
      <c r="J935" s="11"/>
      <c r="K935" s="591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ht="11.25" customHeight="1">
      <c r="A936" s="7"/>
      <c r="B936" s="5"/>
      <c r="C936" s="6"/>
      <c r="D936" s="6"/>
      <c r="E936" s="6"/>
      <c r="F936" s="6"/>
      <c r="G936" s="6"/>
      <c r="H936" s="6"/>
      <c r="I936" s="6"/>
      <c r="J936" s="11"/>
      <c r="K936" s="591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ht="11.25" customHeight="1">
      <c r="A937" s="7"/>
      <c r="B937" s="5"/>
      <c r="C937" s="6"/>
      <c r="D937" s="6"/>
      <c r="E937" s="6"/>
      <c r="F937" s="6"/>
      <c r="G937" s="6"/>
      <c r="H937" s="6"/>
      <c r="I937" s="6"/>
      <c r="J937" s="11"/>
      <c r="K937" s="591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ht="11.25" customHeight="1">
      <c r="A938" s="7"/>
      <c r="B938" s="5"/>
      <c r="C938" s="6"/>
      <c r="D938" s="6"/>
      <c r="E938" s="6"/>
      <c r="F938" s="6"/>
      <c r="G938" s="6"/>
      <c r="H938" s="6"/>
      <c r="I938" s="6"/>
      <c r="J938" s="11"/>
      <c r="K938" s="591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ht="11.25" customHeight="1">
      <c r="A939" s="7"/>
      <c r="B939" s="5"/>
      <c r="C939" s="6"/>
      <c r="D939" s="6"/>
      <c r="E939" s="6"/>
      <c r="F939" s="6"/>
      <c r="G939" s="6"/>
      <c r="H939" s="6"/>
      <c r="I939" s="6"/>
      <c r="J939" s="11"/>
      <c r="K939" s="591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ht="11.25" customHeight="1">
      <c r="A940" s="7"/>
      <c r="B940" s="5"/>
      <c r="C940" s="6"/>
      <c r="D940" s="6"/>
      <c r="E940" s="6"/>
      <c r="F940" s="6"/>
      <c r="G940" s="6"/>
      <c r="H940" s="6"/>
      <c r="I940" s="6"/>
      <c r="J940" s="11"/>
      <c r="K940" s="591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ht="11.25" customHeight="1">
      <c r="A941" s="7"/>
      <c r="B941" s="5"/>
      <c r="C941" s="6"/>
      <c r="D941" s="6"/>
      <c r="E941" s="6"/>
      <c r="F941" s="6"/>
      <c r="G941" s="6"/>
      <c r="H941" s="6"/>
      <c r="I941" s="6"/>
      <c r="J941" s="11"/>
      <c r="K941" s="591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ht="11.25" customHeight="1">
      <c r="A942" s="7"/>
      <c r="B942" s="5"/>
      <c r="C942" s="6"/>
      <c r="D942" s="6"/>
      <c r="E942" s="6"/>
      <c r="F942" s="6"/>
      <c r="G942" s="6"/>
      <c r="H942" s="6"/>
      <c r="I942" s="6"/>
      <c r="J942" s="11"/>
      <c r="K942" s="591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ht="11.25" customHeight="1">
      <c r="A943" s="7"/>
      <c r="B943" s="5"/>
      <c r="C943" s="6"/>
      <c r="D943" s="6"/>
      <c r="E943" s="6"/>
      <c r="F943" s="6"/>
      <c r="G943" s="6"/>
      <c r="H943" s="6"/>
      <c r="I943" s="6"/>
      <c r="J943" s="11"/>
      <c r="K943" s="591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ht="11.25" customHeight="1">
      <c r="A944" s="7"/>
      <c r="B944" s="5"/>
      <c r="C944" s="6"/>
      <c r="D944" s="6"/>
      <c r="E944" s="6"/>
      <c r="F944" s="6"/>
      <c r="G944" s="6"/>
      <c r="H944" s="6"/>
      <c r="I944" s="6"/>
      <c r="J944" s="11"/>
      <c r="K944" s="591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ht="11.25" customHeight="1">
      <c r="A945" s="7"/>
      <c r="B945" s="5"/>
      <c r="C945" s="6"/>
      <c r="D945" s="6"/>
      <c r="E945" s="6"/>
      <c r="F945" s="6"/>
      <c r="G945" s="6"/>
      <c r="H945" s="6"/>
      <c r="I945" s="6"/>
      <c r="J945" s="11"/>
      <c r="K945" s="591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ht="11.25" customHeight="1">
      <c r="A946" s="7"/>
      <c r="B946" s="5"/>
      <c r="C946" s="6"/>
      <c r="D946" s="6"/>
      <c r="E946" s="6"/>
      <c r="F946" s="6"/>
      <c r="G946" s="6"/>
      <c r="H946" s="6"/>
      <c r="I946" s="6"/>
      <c r="J946" s="11"/>
      <c r="K946" s="591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ht="11.25" customHeight="1">
      <c r="A947" s="7"/>
      <c r="B947" s="5"/>
      <c r="C947" s="6"/>
      <c r="D947" s="6"/>
      <c r="E947" s="6"/>
      <c r="F947" s="6"/>
      <c r="G947" s="6"/>
      <c r="H947" s="6"/>
      <c r="I947" s="6"/>
      <c r="J947" s="11"/>
      <c r="K947" s="591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ht="11.25" customHeight="1">
      <c r="A948" s="7"/>
      <c r="B948" s="5"/>
      <c r="C948" s="6"/>
      <c r="D948" s="6"/>
      <c r="E948" s="6"/>
      <c r="F948" s="6"/>
      <c r="G948" s="6"/>
      <c r="H948" s="6"/>
      <c r="I948" s="6"/>
      <c r="J948" s="11"/>
      <c r="K948" s="591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ht="11.25" customHeight="1">
      <c r="A949" s="7"/>
      <c r="B949" s="5"/>
      <c r="C949" s="6"/>
      <c r="D949" s="6"/>
      <c r="E949" s="6"/>
      <c r="F949" s="6"/>
      <c r="G949" s="6"/>
      <c r="H949" s="6"/>
      <c r="I949" s="6"/>
      <c r="J949" s="11"/>
      <c r="K949" s="591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ht="11.25" customHeight="1">
      <c r="A950" s="7"/>
      <c r="B950" s="5"/>
      <c r="C950" s="6"/>
      <c r="D950" s="6"/>
      <c r="E950" s="6"/>
      <c r="F950" s="6"/>
      <c r="G950" s="6"/>
      <c r="H950" s="6"/>
      <c r="I950" s="6"/>
      <c r="J950" s="11"/>
      <c r="K950" s="591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ht="11.25" customHeight="1">
      <c r="A951" s="7"/>
      <c r="B951" s="5"/>
      <c r="C951" s="6"/>
      <c r="D951" s="6"/>
      <c r="E951" s="6"/>
      <c r="F951" s="6"/>
      <c r="G951" s="6"/>
      <c r="H951" s="6"/>
      <c r="I951" s="6"/>
      <c r="J951" s="11"/>
      <c r="K951" s="591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ht="11.25" customHeight="1">
      <c r="A952" s="7"/>
      <c r="B952" s="5"/>
      <c r="C952" s="6"/>
      <c r="D952" s="6"/>
      <c r="E952" s="6"/>
      <c r="F952" s="6"/>
      <c r="G952" s="6"/>
      <c r="H952" s="6"/>
      <c r="I952" s="6"/>
      <c r="J952" s="11"/>
      <c r="K952" s="591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ht="11.25" customHeight="1">
      <c r="A953" s="7"/>
      <c r="B953" s="5"/>
      <c r="C953" s="6"/>
      <c r="D953" s="6"/>
      <c r="E953" s="6"/>
      <c r="F953" s="6"/>
      <c r="G953" s="6"/>
      <c r="H953" s="6"/>
      <c r="I953" s="6"/>
      <c r="J953" s="11"/>
      <c r="K953" s="591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ht="11.25" customHeight="1">
      <c r="A954" s="7"/>
      <c r="B954" s="5"/>
      <c r="C954" s="6"/>
      <c r="D954" s="6"/>
      <c r="E954" s="6"/>
      <c r="F954" s="6"/>
      <c r="G954" s="6"/>
      <c r="H954" s="6"/>
      <c r="I954" s="6"/>
      <c r="J954" s="11"/>
      <c r="K954" s="591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ht="11.25" customHeight="1">
      <c r="A955" s="7"/>
      <c r="B955" s="5"/>
      <c r="C955" s="6"/>
      <c r="D955" s="6"/>
      <c r="E955" s="6"/>
      <c r="F955" s="6"/>
      <c r="G955" s="6"/>
      <c r="H955" s="6"/>
      <c r="I955" s="6"/>
      <c r="J955" s="11"/>
      <c r="K955" s="591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ht="11.25" customHeight="1">
      <c r="A956" s="7"/>
      <c r="B956" s="5"/>
      <c r="C956" s="6"/>
      <c r="D956" s="6"/>
      <c r="E956" s="6"/>
      <c r="F956" s="6"/>
      <c r="G956" s="6"/>
      <c r="H956" s="6"/>
      <c r="I956" s="6"/>
      <c r="J956" s="11"/>
      <c r="K956" s="591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ht="11.25" customHeight="1">
      <c r="A957" s="7"/>
      <c r="B957" s="5"/>
      <c r="C957" s="6"/>
      <c r="D957" s="6"/>
      <c r="E957" s="6"/>
      <c r="F957" s="6"/>
      <c r="G957" s="6"/>
      <c r="H957" s="6"/>
      <c r="I957" s="6"/>
      <c r="J957" s="11"/>
      <c r="K957" s="591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ht="11.25" customHeight="1">
      <c r="A958" s="7"/>
      <c r="B958" s="5"/>
      <c r="C958" s="6"/>
      <c r="D958" s="6"/>
      <c r="E958" s="6"/>
      <c r="F958" s="6"/>
      <c r="G958" s="6"/>
      <c r="H958" s="6"/>
      <c r="I958" s="6"/>
      <c r="J958" s="11"/>
      <c r="K958" s="591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ht="11.25" customHeight="1">
      <c r="A959" s="7"/>
      <c r="B959" s="5"/>
      <c r="C959" s="6"/>
      <c r="D959" s="6"/>
      <c r="E959" s="6"/>
      <c r="F959" s="6"/>
      <c r="G959" s="6"/>
      <c r="H959" s="6"/>
      <c r="I959" s="6"/>
      <c r="J959" s="11"/>
      <c r="K959" s="591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ht="11.25" customHeight="1">
      <c r="A960" s="7"/>
      <c r="B960" s="5"/>
      <c r="C960" s="6"/>
      <c r="D960" s="6"/>
      <c r="E960" s="6"/>
      <c r="F960" s="6"/>
      <c r="G960" s="6"/>
      <c r="H960" s="6"/>
      <c r="I960" s="6"/>
      <c r="J960" s="11"/>
      <c r="K960" s="591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ht="11.25" customHeight="1">
      <c r="A961" s="7"/>
      <c r="B961" s="5"/>
      <c r="C961" s="6"/>
      <c r="D961" s="6"/>
      <c r="E961" s="6"/>
      <c r="F961" s="6"/>
      <c r="G961" s="6"/>
      <c r="H961" s="6"/>
      <c r="I961" s="6"/>
      <c r="J961" s="11"/>
      <c r="K961" s="591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ht="11.25" customHeight="1">
      <c r="A962" s="7"/>
      <c r="B962" s="5"/>
      <c r="C962" s="6"/>
      <c r="D962" s="6"/>
      <c r="E962" s="6"/>
      <c r="F962" s="6"/>
      <c r="G962" s="6"/>
      <c r="H962" s="6"/>
      <c r="I962" s="6"/>
      <c r="J962" s="11"/>
      <c r="K962" s="591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ht="11.25" customHeight="1">
      <c r="A963" s="7"/>
      <c r="B963" s="5"/>
      <c r="C963" s="6"/>
      <c r="D963" s="6"/>
      <c r="E963" s="6"/>
      <c r="F963" s="6"/>
      <c r="G963" s="6"/>
      <c r="H963" s="6"/>
      <c r="I963" s="6"/>
      <c r="J963" s="11"/>
      <c r="K963" s="591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ht="11.25" customHeight="1">
      <c r="A964" s="7"/>
      <c r="B964" s="5"/>
      <c r="C964" s="6"/>
      <c r="D964" s="6"/>
      <c r="E964" s="6"/>
      <c r="F964" s="6"/>
      <c r="G964" s="6"/>
      <c r="H964" s="6"/>
      <c r="I964" s="6"/>
      <c r="J964" s="11"/>
      <c r="K964" s="591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ht="11.25" customHeight="1">
      <c r="A965" s="7"/>
      <c r="B965" s="5"/>
      <c r="C965" s="6"/>
      <c r="D965" s="6"/>
      <c r="E965" s="6"/>
      <c r="F965" s="6"/>
      <c r="G965" s="6"/>
      <c r="H965" s="6"/>
      <c r="I965" s="6"/>
      <c r="J965" s="11"/>
      <c r="K965" s="591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ht="11.25" customHeight="1">
      <c r="A966" s="7"/>
      <c r="B966" s="5"/>
      <c r="C966" s="6"/>
      <c r="D966" s="6"/>
      <c r="E966" s="6"/>
      <c r="F966" s="6"/>
      <c r="G966" s="6"/>
      <c r="H966" s="6"/>
      <c r="I966" s="6"/>
      <c r="J966" s="11"/>
      <c r="K966" s="591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ht="11.25" customHeight="1">
      <c r="A967" s="7"/>
      <c r="B967" s="5"/>
      <c r="C967" s="6"/>
      <c r="D967" s="6"/>
      <c r="E967" s="6"/>
      <c r="F967" s="6"/>
      <c r="G967" s="6"/>
      <c r="H967" s="6"/>
      <c r="I967" s="6"/>
      <c r="J967" s="11"/>
      <c r="K967" s="591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ht="11.25" customHeight="1">
      <c r="A968" s="7"/>
      <c r="B968" s="5"/>
      <c r="C968" s="6"/>
      <c r="D968" s="6"/>
      <c r="E968" s="6"/>
      <c r="F968" s="6"/>
      <c r="G968" s="6"/>
      <c r="H968" s="6"/>
      <c r="I968" s="6"/>
      <c r="J968" s="11"/>
      <c r="K968" s="591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ht="11.25" customHeight="1">
      <c r="A969" s="7"/>
      <c r="B969" s="5"/>
      <c r="C969" s="6"/>
      <c r="D969" s="6"/>
      <c r="E969" s="6"/>
      <c r="F969" s="6"/>
      <c r="G969" s="6"/>
      <c r="H969" s="6"/>
      <c r="I969" s="6"/>
      <c r="J969" s="11"/>
      <c r="K969" s="591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ht="11.25" customHeight="1">
      <c r="A970" s="7"/>
      <c r="B970" s="5"/>
      <c r="C970" s="6"/>
      <c r="D970" s="6"/>
      <c r="E970" s="6"/>
      <c r="F970" s="6"/>
      <c r="G970" s="6"/>
      <c r="H970" s="6"/>
      <c r="I970" s="6"/>
      <c r="J970" s="11"/>
      <c r="K970" s="591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ht="11.25" customHeight="1">
      <c r="A971" s="7"/>
      <c r="B971" s="5"/>
      <c r="C971" s="6"/>
      <c r="D971" s="6"/>
      <c r="E971" s="6"/>
      <c r="F971" s="6"/>
      <c r="G971" s="6"/>
      <c r="H971" s="6"/>
      <c r="I971" s="6"/>
      <c r="J971" s="11"/>
      <c r="K971" s="591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ht="11.25" customHeight="1">
      <c r="A972" s="7"/>
      <c r="B972" s="5"/>
      <c r="C972" s="6"/>
      <c r="D972" s="6"/>
      <c r="E972" s="6"/>
      <c r="F972" s="6"/>
      <c r="G972" s="6"/>
      <c r="H972" s="6"/>
      <c r="I972" s="6"/>
      <c r="J972" s="11"/>
      <c r="K972" s="591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ht="11.25" customHeight="1">
      <c r="A973" s="7"/>
      <c r="B973" s="5"/>
      <c r="C973" s="6"/>
      <c r="D973" s="6"/>
      <c r="E973" s="6"/>
      <c r="F973" s="6"/>
      <c r="G973" s="6"/>
      <c r="H973" s="6"/>
      <c r="I973" s="6"/>
      <c r="J973" s="11"/>
      <c r="K973" s="591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ht="11.25" customHeight="1">
      <c r="A974" s="7"/>
      <c r="B974" s="5"/>
      <c r="C974" s="6"/>
      <c r="D974" s="6"/>
      <c r="E974" s="6"/>
      <c r="F974" s="6"/>
      <c r="G974" s="6"/>
      <c r="H974" s="6"/>
      <c r="I974" s="6"/>
      <c r="J974" s="11"/>
      <c r="K974" s="591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ht="11.25" customHeight="1">
      <c r="A975" s="7"/>
      <c r="B975" s="5"/>
      <c r="C975" s="6"/>
      <c r="D975" s="6"/>
      <c r="E975" s="6"/>
      <c r="F975" s="6"/>
      <c r="G975" s="6"/>
      <c r="H975" s="6"/>
      <c r="I975" s="6"/>
      <c r="J975" s="11"/>
      <c r="K975" s="591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ht="11.25" customHeight="1">
      <c r="A976" s="7"/>
      <c r="B976" s="5"/>
      <c r="C976" s="6"/>
      <c r="D976" s="6"/>
      <c r="E976" s="6"/>
      <c r="F976" s="6"/>
      <c r="G976" s="6"/>
      <c r="H976" s="6"/>
      <c r="I976" s="6"/>
      <c r="J976" s="11"/>
      <c r="K976" s="591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ht="11.25" customHeight="1">
      <c r="A977" s="7"/>
      <c r="B977" s="5"/>
      <c r="C977" s="6"/>
      <c r="D977" s="6"/>
      <c r="E977" s="6"/>
      <c r="F977" s="6"/>
      <c r="G977" s="6"/>
      <c r="H977" s="6"/>
      <c r="I977" s="6"/>
      <c r="J977" s="11"/>
      <c r="K977" s="591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ht="11.25" customHeight="1">
      <c r="A978" s="7"/>
      <c r="B978" s="5"/>
      <c r="C978" s="6"/>
      <c r="D978" s="6"/>
      <c r="E978" s="6"/>
      <c r="F978" s="6"/>
      <c r="G978" s="6"/>
      <c r="H978" s="6"/>
      <c r="I978" s="6"/>
      <c r="J978" s="11"/>
      <c r="K978" s="591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ht="11.25" customHeight="1">
      <c r="A979" s="7"/>
      <c r="B979" s="5"/>
      <c r="C979" s="6"/>
      <c r="D979" s="6"/>
      <c r="E979" s="6"/>
      <c r="F979" s="6"/>
      <c r="G979" s="6"/>
      <c r="H979" s="6"/>
      <c r="I979" s="6"/>
      <c r="J979" s="11"/>
      <c r="K979" s="591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ht="11.25" customHeight="1">
      <c r="A980" s="7"/>
      <c r="B980" s="5"/>
      <c r="C980" s="6"/>
      <c r="D980" s="6"/>
      <c r="E980" s="6"/>
      <c r="F980" s="6"/>
      <c r="G980" s="6"/>
      <c r="H980" s="6"/>
      <c r="I980" s="6"/>
      <c r="J980" s="11"/>
      <c r="K980" s="591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ht="11.25" customHeight="1">
      <c r="A981" s="7"/>
      <c r="B981" s="5"/>
      <c r="C981" s="6"/>
      <c r="D981" s="6"/>
      <c r="E981" s="6"/>
      <c r="F981" s="6"/>
      <c r="G981" s="6"/>
      <c r="H981" s="6"/>
      <c r="I981" s="6"/>
      <c r="J981" s="11"/>
      <c r="K981" s="591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ht="11.25" customHeight="1">
      <c r="A982" s="7"/>
      <c r="B982" s="5"/>
      <c r="C982" s="6"/>
      <c r="D982" s="6"/>
      <c r="E982" s="6"/>
      <c r="F982" s="6"/>
      <c r="G982" s="6"/>
      <c r="H982" s="6"/>
      <c r="I982" s="6"/>
      <c r="J982" s="11"/>
      <c r="K982" s="591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ht="11.25" customHeight="1">
      <c r="A983" s="7"/>
      <c r="B983" s="5"/>
      <c r="C983" s="6"/>
      <c r="D983" s="6"/>
      <c r="E983" s="6"/>
      <c r="F983" s="6"/>
      <c r="G983" s="6"/>
      <c r="H983" s="6"/>
      <c r="I983" s="6"/>
      <c r="J983" s="11"/>
      <c r="K983" s="591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ht="11.25" customHeight="1">
      <c r="A984" s="7"/>
      <c r="B984" s="5"/>
      <c r="C984" s="6"/>
      <c r="D984" s="6"/>
      <c r="E984" s="6"/>
      <c r="F984" s="6"/>
      <c r="G984" s="6"/>
      <c r="H984" s="6"/>
      <c r="I984" s="6"/>
      <c r="J984" s="11"/>
      <c r="K984" s="591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ht="11.25" customHeight="1">
      <c r="A985" s="7"/>
      <c r="B985" s="5"/>
      <c r="C985" s="6"/>
      <c r="D985" s="6"/>
      <c r="E985" s="6"/>
      <c r="F985" s="6"/>
      <c r="G985" s="6"/>
      <c r="H985" s="6"/>
      <c r="I985" s="6"/>
      <c r="J985" s="11"/>
      <c r="K985" s="591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ht="11.25" customHeight="1">
      <c r="A986" s="7"/>
      <c r="B986" s="5"/>
      <c r="C986" s="6"/>
      <c r="D986" s="6"/>
      <c r="E986" s="6"/>
      <c r="F986" s="6"/>
      <c r="G986" s="6"/>
      <c r="H986" s="6"/>
      <c r="I986" s="6"/>
      <c r="J986" s="11"/>
      <c r="K986" s="591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ht="11.25" customHeight="1">
      <c r="A987" s="7"/>
      <c r="B987" s="5"/>
      <c r="C987" s="6"/>
      <c r="D987" s="6"/>
      <c r="E987" s="6"/>
      <c r="F987" s="6"/>
      <c r="G987" s="6"/>
      <c r="H987" s="6"/>
      <c r="I987" s="6"/>
      <c r="J987" s="11"/>
      <c r="K987" s="591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ht="11.25" customHeight="1">
      <c r="A988" s="7"/>
      <c r="B988" s="5"/>
      <c r="C988" s="6"/>
      <c r="D988" s="6"/>
      <c r="E988" s="6"/>
      <c r="F988" s="6"/>
      <c r="G988" s="6"/>
      <c r="H988" s="6"/>
      <c r="I988" s="6"/>
      <c r="J988" s="11"/>
      <c r="K988" s="591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ht="11.25" customHeight="1">
      <c r="A989" s="7"/>
      <c r="B989" s="5"/>
      <c r="C989" s="6"/>
      <c r="D989" s="6"/>
      <c r="E989" s="6"/>
      <c r="F989" s="6"/>
      <c r="G989" s="6"/>
      <c r="H989" s="6"/>
      <c r="I989" s="6"/>
      <c r="J989" s="11"/>
      <c r="K989" s="591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ht="11.25" customHeight="1">
      <c r="A990" s="7"/>
      <c r="B990" s="5"/>
      <c r="C990" s="6"/>
      <c r="D990" s="6"/>
      <c r="E990" s="6"/>
      <c r="F990" s="6"/>
      <c r="G990" s="6"/>
      <c r="H990" s="6"/>
      <c r="I990" s="6"/>
      <c r="J990" s="11"/>
      <c r="K990" s="591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ht="11.25" customHeight="1">
      <c r="A991" s="7"/>
      <c r="B991" s="5"/>
      <c r="C991" s="6"/>
      <c r="D991" s="6"/>
      <c r="E991" s="6"/>
      <c r="F991" s="6"/>
      <c r="G991" s="6"/>
      <c r="H991" s="6"/>
      <c r="I991" s="6"/>
      <c r="J991" s="11"/>
      <c r="K991" s="591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ht="11.25" customHeight="1">
      <c r="A992" s="7"/>
      <c r="B992" s="5"/>
      <c r="C992" s="6"/>
      <c r="D992" s="6"/>
      <c r="E992" s="6"/>
      <c r="F992" s="6"/>
      <c r="G992" s="6"/>
      <c r="H992" s="6"/>
      <c r="I992" s="6"/>
      <c r="J992" s="11"/>
      <c r="K992" s="591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ht="11.25" customHeight="1">
      <c r="A993" s="7"/>
      <c r="B993" s="5"/>
      <c r="C993" s="6"/>
      <c r="D993" s="6"/>
      <c r="E993" s="6"/>
      <c r="F993" s="6"/>
      <c r="G993" s="6"/>
      <c r="H993" s="6"/>
      <c r="I993" s="6"/>
      <c r="J993" s="11"/>
      <c r="K993" s="591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ht="11.25" customHeight="1">
      <c r="A994" s="7"/>
      <c r="B994" s="5"/>
      <c r="C994" s="6"/>
      <c r="D994" s="6"/>
      <c r="E994" s="6"/>
      <c r="F994" s="6"/>
      <c r="G994" s="6"/>
      <c r="H994" s="6"/>
      <c r="I994" s="6"/>
      <c r="J994" s="11"/>
      <c r="K994" s="591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 ht="11.25" customHeight="1">
      <c r="A995" s="7"/>
      <c r="B995" s="5"/>
      <c r="C995" s="6"/>
      <c r="D995" s="6"/>
      <c r="E995" s="6"/>
      <c r="F995" s="6"/>
      <c r="G995" s="6"/>
      <c r="H995" s="6"/>
      <c r="I995" s="6"/>
      <c r="J995" s="11"/>
      <c r="K995" s="591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 ht="11.25" customHeight="1">
      <c r="A996" s="7"/>
      <c r="B996" s="5"/>
      <c r="C996" s="6"/>
      <c r="D996" s="6"/>
      <c r="E996" s="6"/>
      <c r="F996" s="6"/>
      <c r="G996" s="6"/>
      <c r="H996" s="6"/>
      <c r="I996" s="6"/>
      <c r="J996" s="11"/>
      <c r="K996" s="591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 ht="11.25" customHeight="1">
      <c r="A997" s="7"/>
      <c r="B997" s="5"/>
      <c r="C997" s="6"/>
      <c r="D997" s="6"/>
      <c r="E997" s="6"/>
      <c r="F997" s="6"/>
      <c r="G997" s="6"/>
      <c r="H997" s="6"/>
      <c r="I997" s="6"/>
      <c r="J997" s="11"/>
      <c r="K997" s="591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 ht="11.25" customHeight="1">
      <c r="A998" s="7"/>
      <c r="B998" s="5"/>
      <c r="C998" s="6"/>
      <c r="D998" s="6"/>
      <c r="E998" s="6"/>
      <c r="F998" s="6"/>
      <c r="G998" s="6"/>
      <c r="H998" s="6"/>
      <c r="I998" s="6"/>
      <c r="J998" s="11"/>
      <c r="K998" s="591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 ht="11.25" customHeight="1">
      <c r="A999" s="7"/>
      <c r="B999" s="5"/>
      <c r="C999" s="6"/>
      <c r="D999" s="6"/>
      <c r="E999" s="6"/>
      <c r="F999" s="6"/>
      <c r="G999" s="6"/>
      <c r="H999" s="6"/>
      <c r="I999" s="6"/>
      <c r="J999" s="11"/>
      <c r="K999" s="591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 ht="11.25" customHeight="1">
      <c r="A1000" s="7"/>
      <c r="B1000" s="5"/>
      <c r="C1000" s="6"/>
      <c r="D1000" s="6"/>
      <c r="E1000" s="6"/>
      <c r="F1000" s="6"/>
      <c r="G1000" s="6"/>
      <c r="H1000" s="6"/>
      <c r="I1000" s="6"/>
      <c r="J1000" s="11"/>
      <c r="K1000" s="591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conditionalFormatting sqref="I1:I1000 S6:S365">
    <cfRule type="cellIs" dxfId="0" priority="1" operator="lessThan">
      <formula>0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62.63"/>
    <col customWidth="1" min="2" max="4" width="12.63"/>
    <col customWidth="1" min="8" max="10" width="12.63"/>
    <col customWidth="1" min="11" max="11" width="18.88"/>
    <col customWidth="1" min="12" max="13" width="12.63"/>
    <col customWidth="1" min="14" max="14" width="31.38"/>
    <col customWidth="1" min="18" max="18" width="6.38"/>
  </cols>
  <sheetData>
    <row r="1">
      <c r="A1" s="118" t="s">
        <v>37</v>
      </c>
      <c r="B1" s="118" t="s">
        <v>38</v>
      </c>
      <c r="C1" s="624" t="s">
        <v>2196</v>
      </c>
      <c r="D1" s="118" t="s">
        <v>2197</v>
      </c>
      <c r="E1" s="118" t="s">
        <v>2198</v>
      </c>
      <c r="F1" s="118" t="s">
        <v>2199</v>
      </c>
      <c r="G1" s="118" t="s">
        <v>2200</v>
      </c>
      <c r="H1" s="118" t="s">
        <v>2201</v>
      </c>
      <c r="I1" s="118" t="s">
        <v>2202</v>
      </c>
      <c r="J1" s="118" t="s">
        <v>2203</v>
      </c>
      <c r="K1" s="118" t="s">
        <v>2204</v>
      </c>
      <c r="L1" s="118" t="s">
        <v>2205</v>
      </c>
      <c r="M1" s="118" t="s">
        <v>41</v>
      </c>
    </row>
    <row r="2">
      <c r="A2" s="215" t="s">
        <v>1911</v>
      </c>
      <c r="B2" s="204">
        <f t="shared" ref="B2:G2" si="1">SUM(B4:B100)</f>
        <v>816500</v>
      </c>
      <c r="C2" s="204">
        <f t="shared" si="1"/>
        <v>213375</v>
      </c>
      <c r="D2" s="204">
        <f t="shared" si="1"/>
        <v>3610</v>
      </c>
      <c r="E2" s="204">
        <f t="shared" si="1"/>
        <v>1466</v>
      </c>
      <c r="F2" s="204">
        <f t="shared" si="1"/>
        <v>0</v>
      </c>
      <c r="G2" s="204">
        <f t="shared" si="1"/>
        <v>0</v>
      </c>
      <c r="H2" s="204">
        <f>B2/E2</f>
        <v>556.957708</v>
      </c>
      <c r="I2" s="625">
        <v>0.0</v>
      </c>
      <c r="J2" s="626">
        <f>I2/48</f>
        <v>0</v>
      </c>
      <c r="K2" s="204"/>
      <c r="L2" s="204">
        <f>SUM(L4:L402)</f>
        <v>453860</v>
      </c>
      <c r="M2" s="417">
        <f>L2/(B2/100)</f>
        <v>55.58603797</v>
      </c>
      <c r="N2" s="121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7"/>
      <c r="AD2" s="217"/>
      <c r="AE2" s="217"/>
      <c r="AF2" s="217"/>
      <c r="AG2" s="217"/>
      <c r="AH2" s="217"/>
    </row>
    <row r="3">
      <c r="A3" s="205" t="s">
        <v>1923</v>
      </c>
      <c r="C3" s="129"/>
      <c r="J3" s="139"/>
      <c r="K3" s="139"/>
      <c r="L3" s="139"/>
      <c r="M3" s="166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</row>
    <row r="4">
      <c r="A4" s="160" t="s">
        <v>2206</v>
      </c>
      <c r="B4" s="161">
        <v>35000.0</v>
      </c>
      <c r="C4" s="156">
        <f t="shared" ref="C4:C5" si="2">D114</f>
        <v>6250</v>
      </c>
      <c r="D4" s="161">
        <v>225.0</v>
      </c>
      <c r="E4" s="156">
        <v>98.0</v>
      </c>
      <c r="F4" s="162">
        <f>E4*J2</f>
        <v>0</v>
      </c>
      <c r="G4" s="156">
        <f t="shared" ref="G4:G19" si="3">F4*0.375</f>
        <v>0</v>
      </c>
      <c r="H4" s="145"/>
      <c r="I4" s="163">
        <v>44331.0</v>
      </c>
      <c r="J4" s="132"/>
      <c r="K4" s="132"/>
      <c r="L4" s="132"/>
      <c r="M4" s="139"/>
      <c r="N4" s="152"/>
      <c r="O4" s="152"/>
      <c r="P4" s="148"/>
      <c r="Q4" s="129"/>
      <c r="R4" s="149"/>
      <c r="S4" s="149"/>
      <c r="T4" s="167"/>
      <c r="U4" s="168"/>
      <c r="V4" s="168"/>
      <c r="W4" s="148"/>
      <c r="X4" s="149"/>
      <c r="Y4" s="149"/>
      <c r="Z4" s="129"/>
      <c r="AA4" s="129"/>
      <c r="AB4" s="129"/>
      <c r="AC4" s="129"/>
      <c r="AD4" s="129"/>
      <c r="AE4" s="129"/>
      <c r="AF4" s="129"/>
      <c r="AG4" s="129"/>
      <c r="AH4" s="129"/>
    </row>
    <row r="5">
      <c r="A5" s="128" t="s">
        <v>2207</v>
      </c>
      <c r="B5" s="147">
        <v>15000.0</v>
      </c>
      <c r="C5" s="147">
        <f t="shared" si="2"/>
        <v>3125</v>
      </c>
      <c r="D5" s="147">
        <v>120.0</v>
      </c>
      <c r="E5" s="147">
        <v>48.0</v>
      </c>
      <c r="F5" s="148">
        <f>E5*J2</f>
        <v>0</v>
      </c>
      <c r="G5" s="156">
        <f t="shared" si="3"/>
        <v>0</v>
      </c>
      <c r="H5" s="145"/>
      <c r="I5" s="157">
        <v>44311.0</v>
      </c>
      <c r="K5" s="130" t="s">
        <v>2208</v>
      </c>
      <c r="L5" s="124">
        <v>3500.0</v>
      </c>
      <c r="M5" s="18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</row>
    <row r="6">
      <c r="A6" s="128" t="s">
        <v>2207</v>
      </c>
      <c r="B6" s="147">
        <v>15000.0</v>
      </c>
      <c r="C6" s="147">
        <f>D115</f>
        <v>3125</v>
      </c>
      <c r="D6" s="147">
        <v>120.0</v>
      </c>
      <c r="E6" s="147">
        <v>48.0</v>
      </c>
      <c r="F6" s="148">
        <f>E6*J2</f>
        <v>0</v>
      </c>
      <c r="G6" s="156">
        <f t="shared" si="3"/>
        <v>0</v>
      </c>
      <c r="H6" s="627"/>
      <c r="I6" s="157">
        <v>44321.0</v>
      </c>
      <c r="M6" s="13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</row>
    <row r="7">
      <c r="A7" s="128" t="s">
        <v>2209</v>
      </c>
      <c r="B7" s="147">
        <v>15000.0</v>
      </c>
      <c r="C7" s="147">
        <f>D115</f>
        <v>3125</v>
      </c>
      <c r="D7" s="147">
        <v>120.0</v>
      </c>
      <c r="E7" s="147">
        <v>48.0</v>
      </c>
      <c r="F7" s="148">
        <f>E7*J2</f>
        <v>0</v>
      </c>
      <c r="G7" s="156">
        <f t="shared" si="3"/>
        <v>0</v>
      </c>
      <c r="H7" s="145"/>
      <c r="I7" s="157">
        <v>44311.0</v>
      </c>
      <c r="K7" s="130" t="s">
        <v>2210</v>
      </c>
      <c r="L7" s="124">
        <v>28750.0</v>
      </c>
      <c r="M7" s="189"/>
      <c r="N7" s="128"/>
      <c r="O7" s="128"/>
      <c r="P7" s="128"/>
      <c r="Q7" s="129"/>
      <c r="R7" s="129"/>
      <c r="S7" s="129"/>
      <c r="T7" s="169"/>
      <c r="V7" s="170"/>
      <c r="Y7" s="149"/>
    </row>
    <row r="8">
      <c r="A8" s="128" t="s">
        <v>2209</v>
      </c>
      <c r="B8" s="147">
        <v>15000.0</v>
      </c>
      <c r="C8" s="147">
        <f>D115</f>
        <v>3125</v>
      </c>
      <c r="D8" s="147">
        <v>120.0</v>
      </c>
      <c r="E8" s="147">
        <v>48.0</v>
      </c>
      <c r="F8" s="148">
        <f>E8*J2</f>
        <v>0</v>
      </c>
      <c r="G8" s="156">
        <f t="shared" si="3"/>
        <v>0</v>
      </c>
      <c r="H8" s="627"/>
      <c r="I8" s="157">
        <v>44326.0</v>
      </c>
      <c r="M8" s="130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</row>
    <row r="9">
      <c r="A9" s="128" t="s">
        <v>2211</v>
      </c>
      <c r="B9" s="147">
        <v>15000.0</v>
      </c>
      <c r="C9" s="147">
        <f>D115</f>
        <v>3125</v>
      </c>
      <c r="D9" s="147">
        <v>120.0</v>
      </c>
      <c r="E9" s="162">
        <v>48.0</v>
      </c>
      <c r="F9" s="148">
        <f>E9*J2</f>
        <v>0</v>
      </c>
      <c r="G9" s="156">
        <f t="shared" si="3"/>
        <v>0</v>
      </c>
      <c r="H9" s="130"/>
      <c r="I9" s="157">
        <v>44331.0</v>
      </c>
      <c r="K9" s="130" t="s">
        <v>2212</v>
      </c>
      <c r="L9" s="124">
        <v>8000.0</v>
      </c>
      <c r="M9" s="126">
        <f>L9</f>
        <v>8000</v>
      </c>
      <c r="N9" s="128" t="s">
        <v>2213</v>
      </c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</row>
    <row r="10">
      <c r="A10" s="142" t="s">
        <v>2214</v>
      </c>
      <c r="B10" s="147">
        <v>15000.0</v>
      </c>
      <c r="C10" s="147">
        <f>D115</f>
        <v>3125</v>
      </c>
      <c r="D10" s="147">
        <v>120.0</v>
      </c>
      <c r="E10" s="147">
        <v>48.0</v>
      </c>
      <c r="F10" s="148">
        <f>E10*J2</f>
        <v>0</v>
      </c>
      <c r="G10" s="156">
        <f t="shared" si="3"/>
        <v>0</v>
      </c>
      <c r="H10" s="145"/>
      <c r="I10" s="157">
        <v>44428.0</v>
      </c>
      <c r="K10" s="628" t="s">
        <v>2215</v>
      </c>
      <c r="L10" s="629">
        <v>375.0</v>
      </c>
      <c r="M10" s="125">
        <f>SUM(L10:L18)</f>
        <v>3650</v>
      </c>
      <c r="N10" s="123" t="s">
        <v>2216</v>
      </c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</row>
    <row r="11">
      <c r="A11" s="160" t="s">
        <v>2217</v>
      </c>
      <c r="B11" s="156">
        <v>13750.0</v>
      </c>
      <c r="C11" s="156">
        <f>D115</f>
        <v>3125</v>
      </c>
      <c r="D11" s="156">
        <v>120.0</v>
      </c>
      <c r="E11" s="162">
        <v>48.0</v>
      </c>
      <c r="F11" s="162">
        <f>E11*J2</f>
        <v>0</v>
      </c>
      <c r="G11" s="156">
        <f t="shared" si="3"/>
        <v>0</v>
      </c>
      <c r="I11" s="163">
        <v>44270.0</v>
      </c>
      <c r="K11" s="627" t="s">
        <v>2218</v>
      </c>
      <c r="L11" s="474">
        <v>375.0</v>
      </c>
      <c r="M11" s="133">
        <f>M9+M10</f>
        <v>11650</v>
      </c>
      <c r="N11" s="123" t="s">
        <v>2219</v>
      </c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</row>
    <row r="12">
      <c r="A12" s="160" t="s">
        <v>2220</v>
      </c>
      <c r="B12" s="156">
        <v>13750.0</v>
      </c>
      <c r="C12" s="156">
        <f>D115</f>
        <v>3125</v>
      </c>
      <c r="D12" s="156">
        <v>120.0</v>
      </c>
      <c r="E12" s="162">
        <v>48.0</v>
      </c>
      <c r="F12" s="162">
        <f>E12*J2</f>
        <v>0</v>
      </c>
      <c r="G12" s="156">
        <f t="shared" si="3"/>
        <v>0</v>
      </c>
      <c r="H12" s="130"/>
      <c r="I12" s="163">
        <v>44306.0</v>
      </c>
      <c r="K12" s="627" t="s">
        <v>2221</v>
      </c>
      <c r="L12" s="474">
        <v>350.0</v>
      </c>
      <c r="M12" s="189">
        <f>M11/(B2/100)*12</f>
        <v>17.1218616</v>
      </c>
      <c r="N12" s="122" t="s">
        <v>2222</v>
      </c>
      <c r="O12" s="152"/>
      <c r="P12" s="148"/>
      <c r="Q12" s="129"/>
      <c r="R12" s="149"/>
      <c r="S12" s="149"/>
      <c r="T12" s="167"/>
      <c r="U12" s="168"/>
      <c r="V12" s="168"/>
      <c r="W12" s="148"/>
      <c r="X12" s="149"/>
      <c r="Y12" s="149"/>
      <c r="Z12" s="129"/>
      <c r="AA12" s="129"/>
      <c r="AB12" s="129"/>
      <c r="AC12" s="129"/>
      <c r="AD12" s="129"/>
      <c r="AE12" s="129"/>
      <c r="AF12" s="129"/>
      <c r="AG12" s="129"/>
      <c r="AH12" s="129"/>
    </row>
    <row r="13">
      <c r="A13" s="128" t="s">
        <v>2223</v>
      </c>
      <c r="B13" s="147">
        <v>13750.0</v>
      </c>
      <c r="C13" s="147">
        <f t="shared" ref="C13:C16" si="4">D115</f>
        <v>3125</v>
      </c>
      <c r="D13" s="147">
        <v>120.0</v>
      </c>
      <c r="E13" s="162">
        <v>48.0</v>
      </c>
      <c r="F13" s="148">
        <f>E13*J2</f>
        <v>0</v>
      </c>
      <c r="G13" s="156">
        <f t="shared" si="3"/>
        <v>0</v>
      </c>
      <c r="I13" s="157">
        <v>44331.0</v>
      </c>
      <c r="K13" s="627" t="s">
        <v>2224</v>
      </c>
      <c r="L13" s="474">
        <v>350.0</v>
      </c>
      <c r="M13" s="630">
        <f>M12*0.75</f>
        <v>12.8413962</v>
      </c>
      <c r="N13" s="123" t="s">
        <v>2225</v>
      </c>
      <c r="O13" s="152"/>
      <c r="P13" s="148"/>
      <c r="Q13" s="129"/>
      <c r="R13" s="149"/>
      <c r="S13" s="149"/>
      <c r="T13" s="167"/>
      <c r="U13" s="168"/>
      <c r="V13" s="168"/>
      <c r="W13" s="148"/>
      <c r="X13" s="149"/>
      <c r="Y13" s="149"/>
      <c r="Z13" s="129"/>
      <c r="AA13" s="129"/>
      <c r="AB13" s="129"/>
      <c r="AC13" s="129"/>
      <c r="AD13" s="129"/>
      <c r="AE13" s="129"/>
      <c r="AF13" s="129"/>
      <c r="AG13" s="129"/>
      <c r="AH13" s="129"/>
    </row>
    <row r="14">
      <c r="A14" s="123" t="s">
        <v>2226</v>
      </c>
      <c r="B14" s="156">
        <v>13750.0</v>
      </c>
      <c r="C14" s="156">
        <f t="shared" si="4"/>
        <v>3125</v>
      </c>
      <c r="D14" s="156">
        <v>80.0</v>
      </c>
      <c r="E14" s="147">
        <v>32.0</v>
      </c>
      <c r="F14" s="162">
        <f>E14*J2</f>
        <v>0</v>
      </c>
      <c r="G14" s="156">
        <f t="shared" si="3"/>
        <v>0</v>
      </c>
      <c r="H14" s="130"/>
      <c r="I14" s="163">
        <v>44352.0</v>
      </c>
      <c r="K14" s="627" t="s">
        <v>2227</v>
      </c>
      <c r="L14" s="474">
        <v>350.0</v>
      </c>
      <c r="M14" s="631">
        <f>M13/12</f>
        <v>1.07011635</v>
      </c>
      <c r="N14" s="632" t="s">
        <v>2228</v>
      </c>
      <c r="O14" s="128"/>
      <c r="P14" s="129"/>
      <c r="Q14" s="149"/>
      <c r="R14" s="152"/>
      <c r="S14" s="152"/>
      <c r="T14" s="149"/>
      <c r="U14" s="14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</row>
    <row r="15">
      <c r="A15" s="123" t="s">
        <v>2229</v>
      </c>
      <c r="B15" s="147">
        <v>12500.0</v>
      </c>
      <c r="C15" s="147">
        <f t="shared" si="4"/>
        <v>2500</v>
      </c>
      <c r="D15" s="147">
        <v>120.0</v>
      </c>
      <c r="E15" s="147">
        <v>42.0</v>
      </c>
      <c r="F15" s="148">
        <f>E15*J2</f>
        <v>0</v>
      </c>
      <c r="G15" s="156">
        <f t="shared" si="3"/>
        <v>0</v>
      </c>
      <c r="H15" s="145"/>
      <c r="I15" s="157">
        <v>44423.0</v>
      </c>
      <c r="K15" s="627" t="s">
        <v>2230</v>
      </c>
      <c r="L15" s="474">
        <v>550.0</v>
      </c>
      <c r="N15" s="128"/>
      <c r="O15" s="128"/>
      <c r="P15" s="129"/>
      <c r="Q15" s="149"/>
      <c r="R15" s="152"/>
      <c r="S15" s="152"/>
      <c r="T15" s="149"/>
      <c r="U15" s="14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</row>
    <row r="16">
      <c r="A16" s="128" t="s">
        <v>2231</v>
      </c>
      <c r="B16" s="147">
        <v>10000.0</v>
      </c>
      <c r="C16" s="147">
        <f t="shared" si="4"/>
        <v>1875</v>
      </c>
      <c r="D16" s="147">
        <v>80.0</v>
      </c>
      <c r="E16" s="147">
        <v>30.0</v>
      </c>
      <c r="F16" s="148">
        <f>E16*J2</f>
        <v>0</v>
      </c>
      <c r="G16" s="156">
        <f t="shared" si="3"/>
        <v>0</v>
      </c>
      <c r="H16" s="145"/>
      <c r="I16" s="157">
        <v>44413.0</v>
      </c>
      <c r="K16" s="627" t="s">
        <v>2232</v>
      </c>
      <c r="L16" s="474">
        <v>500.0</v>
      </c>
      <c r="N16" s="150"/>
      <c r="O16" s="150"/>
      <c r="P16" s="129"/>
      <c r="Q16" s="129"/>
      <c r="R16" s="150"/>
      <c r="S16" s="150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</row>
    <row r="17">
      <c r="A17" s="128" t="s">
        <v>2231</v>
      </c>
      <c r="B17" s="147">
        <v>10000.0</v>
      </c>
      <c r="C17" s="147">
        <f>D118</f>
        <v>1875</v>
      </c>
      <c r="D17" s="147">
        <v>80.0</v>
      </c>
      <c r="E17" s="147">
        <v>30.0</v>
      </c>
      <c r="F17" s="148">
        <f>E17*J2</f>
        <v>0</v>
      </c>
      <c r="G17" s="156">
        <f t="shared" si="3"/>
        <v>0</v>
      </c>
      <c r="H17" s="145"/>
      <c r="I17" s="157">
        <v>44413.0</v>
      </c>
      <c r="K17" s="627" t="s">
        <v>2233</v>
      </c>
      <c r="L17" s="474">
        <v>375.0</v>
      </c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</row>
    <row r="18">
      <c r="A18" s="128" t="s">
        <v>2234</v>
      </c>
      <c r="B18" s="147">
        <v>10000.0</v>
      </c>
      <c r="C18" s="147">
        <f t="shared" ref="C18:C19" si="5">D118</f>
        <v>1875</v>
      </c>
      <c r="D18" s="147">
        <v>80.0</v>
      </c>
      <c r="E18" s="147">
        <v>32.0</v>
      </c>
      <c r="F18" s="148">
        <f>E18*J2</f>
        <v>0</v>
      </c>
      <c r="G18" s="156">
        <f t="shared" si="3"/>
        <v>0</v>
      </c>
      <c r="H18" s="145"/>
      <c r="I18" s="157">
        <v>44413.0</v>
      </c>
      <c r="K18" s="627" t="s">
        <v>2235</v>
      </c>
      <c r="L18" s="474">
        <v>425.0</v>
      </c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</row>
    <row r="19">
      <c r="A19" s="123" t="s">
        <v>2236</v>
      </c>
      <c r="B19" s="147">
        <v>10000.0</v>
      </c>
      <c r="C19" s="147">
        <f t="shared" si="5"/>
        <v>1875</v>
      </c>
      <c r="D19" s="147">
        <v>80.0</v>
      </c>
      <c r="E19" s="147">
        <v>32.0</v>
      </c>
      <c r="F19" s="148">
        <f>E19*J2</f>
        <v>0</v>
      </c>
      <c r="G19" s="156">
        <f t="shared" si="3"/>
        <v>0</v>
      </c>
      <c r="I19" s="157">
        <v>44352.0</v>
      </c>
      <c r="K19" s="130"/>
      <c r="L19" s="124"/>
      <c r="P19" s="624"/>
      <c r="R19" s="129"/>
      <c r="S19" s="118"/>
      <c r="U19" s="624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</row>
    <row r="20">
      <c r="K20" s="130" t="s">
        <v>2237</v>
      </c>
      <c r="L20" s="124">
        <v>20316.0</v>
      </c>
      <c r="M20" s="126">
        <f>L20</f>
        <v>20316</v>
      </c>
      <c r="N20" s="128" t="s">
        <v>2213</v>
      </c>
      <c r="Q20" s="169"/>
      <c r="R20" s="129"/>
      <c r="T20" s="169"/>
      <c r="V20" s="16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</row>
    <row r="21">
      <c r="A21" s="123" t="s">
        <v>2238</v>
      </c>
      <c r="B21" s="124">
        <v>2500.0</v>
      </c>
      <c r="C21" s="124">
        <v>1250.0</v>
      </c>
      <c r="K21" s="627" t="s">
        <v>2239</v>
      </c>
      <c r="L21" s="474">
        <v>550.0</v>
      </c>
      <c r="M21" s="125">
        <f>SUM(L21:L32)</f>
        <v>9975</v>
      </c>
      <c r="N21" s="123" t="s">
        <v>2216</v>
      </c>
      <c r="Q21" s="170"/>
      <c r="V21" s="170"/>
    </row>
    <row r="22">
      <c r="A22" s="159" t="s">
        <v>2240</v>
      </c>
      <c r="B22" s="147">
        <v>2500.0</v>
      </c>
      <c r="C22" s="147">
        <v>1250.0</v>
      </c>
      <c r="H22" s="627"/>
      <c r="K22" s="627" t="s">
        <v>2241</v>
      </c>
      <c r="L22" s="474">
        <v>350.0</v>
      </c>
      <c r="M22" s="133">
        <f>M20+M21</f>
        <v>30291</v>
      </c>
      <c r="N22" s="123" t="s">
        <v>2219</v>
      </c>
      <c r="Q22" s="170"/>
      <c r="T22" s="170"/>
      <c r="V22" s="170"/>
    </row>
    <row r="23">
      <c r="A23" s="159" t="s">
        <v>2240</v>
      </c>
      <c r="B23" s="147">
        <v>2500.0</v>
      </c>
      <c r="C23" s="132">
        <v>0.0</v>
      </c>
      <c r="D23" s="147"/>
      <c r="E23" s="147"/>
      <c r="F23" s="148"/>
      <c r="G23" s="147"/>
      <c r="H23" s="627"/>
      <c r="I23" s="157"/>
      <c r="K23" s="627" t="s">
        <v>2242</v>
      </c>
      <c r="L23" s="474">
        <v>2150.0</v>
      </c>
      <c r="M23" s="189">
        <f>M22/(B2/100)*12</f>
        <v>44.51830986</v>
      </c>
      <c r="N23" s="122" t="s">
        <v>2222</v>
      </c>
      <c r="Q23" s="170"/>
      <c r="T23" s="170"/>
      <c r="V23" s="170"/>
    </row>
    <row r="24">
      <c r="A24" s="123" t="s">
        <v>2243</v>
      </c>
      <c r="B24" s="147">
        <v>1250.0</v>
      </c>
      <c r="C24" s="147">
        <v>625.0</v>
      </c>
      <c r="D24" s="147"/>
      <c r="H24" s="627"/>
      <c r="I24" s="157"/>
      <c r="K24" s="627" t="s">
        <v>2244</v>
      </c>
      <c r="L24" s="474">
        <v>1125.0</v>
      </c>
      <c r="M24" s="630">
        <f>M23*0.8</f>
        <v>35.61464789</v>
      </c>
      <c r="N24" s="123" t="s">
        <v>2225</v>
      </c>
      <c r="Q24" s="170"/>
      <c r="T24" s="170"/>
      <c r="V24" s="170"/>
    </row>
    <row r="25">
      <c r="A25" s="159" t="s">
        <v>2245</v>
      </c>
      <c r="B25" s="147">
        <v>1750.0</v>
      </c>
      <c r="C25" s="147">
        <v>875.0</v>
      </c>
      <c r="H25" s="627"/>
      <c r="K25" s="627" t="s">
        <v>2246</v>
      </c>
      <c r="L25" s="474">
        <v>1350.0</v>
      </c>
      <c r="M25" s="631">
        <f>M24/12</f>
        <v>2.967887324</v>
      </c>
      <c r="N25" s="632" t="s">
        <v>2247</v>
      </c>
    </row>
    <row r="26">
      <c r="H26" s="627"/>
      <c r="K26" s="627" t="s">
        <v>2248</v>
      </c>
      <c r="L26" s="474">
        <v>1150.0</v>
      </c>
      <c r="P26" s="633"/>
      <c r="Q26" s="170"/>
      <c r="S26" s="633"/>
      <c r="T26" s="170"/>
      <c r="U26" s="633"/>
      <c r="V26" s="170"/>
    </row>
    <row r="27">
      <c r="A27" s="123" t="s">
        <v>2249</v>
      </c>
      <c r="B27" s="124">
        <v>2500.0</v>
      </c>
      <c r="C27" s="124">
        <v>1250.0</v>
      </c>
      <c r="H27" s="627"/>
      <c r="K27" s="627" t="s">
        <v>2250</v>
      </c>
      <c r="L27" s="474">
        <v>1800.0</v>
      </c>
    </row>
    <row r="28">
      <c r="A28" s="128" t="s">
        <v>2251</v>
      </c>
      <c r="B28" s="147">
        <v>2500.0</v>
      </c>
      <c r="C28" s="147">
        <v>1250.0</v>
      </c>
      <c r="D28" s="124"/>
      <c r="H28" s="627"/>
      <c r="K28" s="627" t="s">
        <v>2252</v>
      </c>
      <c r="L28" s="474">
        <v>-800.0</v>
      </c>
    </row>
    <row r="29">
      <c r="A29" s="123" t="s">
        <v>2253</v>
      </c>
      <c r="B29" s="147">
        <v>1250.0</v>
      </c>
      <c r="C29" s="147">
        <v>625.0</v>
      </c>
      <c r="D29" s="147"/>
      <c r="H29" s="627"/>
      <c r="I29" s="157"/>
      <c r="K29" s="627" t="s">
        <v>2252</v>
      </c>
      <c r="L29" s="474">
        <v>200.0</v>
      </c>
    </row>
    <row r="30">
      <c r="A30" s="128" t="s">
        <v>2254</v>
      </c>
      <c r="B30" s="147">
        <v>625.0</v>
      </c>
      <c r="C30" s="147">
        <v>312.5</v>
      </c>
      <c r="D30" s="147"/>
      <c r="K30" s="627" t="s">
        <v>2255</v>
      </c>
      <c r="L30" s="474">
        <v>1500.0</v>
      </c>
      <c r="P30" s="624"/>
      <c r="R30" s="129"/>
      <c r="S30" s="118"/>
      <c r="U30" s="624"/>
    </row>
    <row r="31">
      <c r="K31" s="627" t="s">
        <v>2256</v>
      </c>
      <c r="L31" s="474">
        <v>1500.0</v>
      </c>
      <c r="Q31" s="169"/>
      <c r="R31" s="129"/>
      <c r="T31" s="169"/>
      <c r="V31" s="169"/>
    </row>
    <row r="32">
      <c r="A32" s="123" t="s">
        <v>2238</v>
      </c>
      <c r="B32" s="124">
        <v>2500.0</v>
      </c>
      <c r="C32" s="124">
        <v>1250.0</v>
      </c>
      <c r="D32" s="124"/>
      <c r="H32" s="627"/>
      <c r="I32" s="157"/>
      <c r="K32" s="627" t="s">
        <v>2257</v>
      </c>
      <c r="L32" s="474">
        <v>-900.0</v>
      </c>
      <c r="Q32" s="170"/>
      <c r="V32" s="170"/>
    </row>
    <row r="33">
      <c r="A33" s="159" t="s">
        <v>2240</v>
      </c>
      <c r="B33" s="147">
        <v>2500.0</v>
      </c>
      <c r="C33" s="147">
        <v>1250.0</v>
      </c>
      <c r="D33" s="147"/>
      <c r="H33" s="627"/>
    </row>
    <row r="34">
      <c r="A34" s="123" t="s">
        <v>2258</v>
      </c>
      <c r="B34" s="147">
        <v>1250.0</v>
      </c>
      <c r="C34" s="147">
        <v>625.0</v>
      </c>
      <c r="D34" s="147"/>
      <c r="H34" s="627"/>
      <c r="I34" s="130"/>
      <c r="K34" s="130" t="s">
        <v>2259</v>
      </c>
      <c r="L34" s="124">
        <v>17393.0</v>
      </c>
      <c r="M34" s="126">
        <f>L34</f>
        <v>17393</v>
      </c>
      <c r="N34" s="128" t="s">
        <v>2213</v>
      </c>
    </row>
    <row r="35">
      <c r="A35" s="128" t="s">
        <v>2254</v>
      </c>
      <c r="B35" s="147">
        <v>625.0</v>
      </c>
      <c r="C35" s="147">
        <v>312.5</v>
      </c>
      <c r="D35" s="147"/>
      <c r="H35" s="627"/>
      <c r="K35" s="627" t="s">
        <v>2260</v>
      </c>
      <c r="L35" s="474">
        <v>900.0</v>
      </c>
      <c r="M35" s="125">
        <f>SUM(L35:L46)</f>
        <v>25895</v>
      </c>
      <c r="N35" s="123" t="s">
        <v>2216</v>
      </c>
      <c r="Q35" s="170"/>
      <c r="T35" s="170"/>
      <c r="V35" s="170"/>
    </row>
    <row r="36">
      <c r="K36" s="627" t="s">
        <v>2261</v>
      </c>
      <c r="L36" s="474">
        <v>900.0</v>
      </c>
      <c r="M36" s="133">
        <f>M34+M35</f>
        <v>43288</v>
      </c>
      <c r="N36" s="123" t="s">
        <v>2219</v>
      </c>
      <c r="Q36" s="170"/>
      <c r="T36" s="170"/>
      <c r="V36" s="170"/>
    </row>
    <row r="37">
      <c r="A37" s="123" t="s">
        <v>2238</v>
      </c>
      <c r="B37" s="124">
        <v>2500.0</v>
      </c>
      <c r="C37" s="124">
        <v>1250.0</v>
      </c>
      <c r="K37" s="627" t="s">
        <v>2262</v>
      </c>
      <c r="L37" s="474">
        <v>1900.0</v>
      </c>
      <c r="M37" s="189">
        <f>M36/(B2/100)*12</f>
        <v>63.61984078</v>
      </c>
      <c r="N37" s="122" t="s">
        <v>2222</v>
      </c>
      <c r="Q37" s="170"/>
      <c r="T37" s="170"/>
      <c r="V37" s="170"/>
    </row>
    <row r="38">
      <c r="A38" s="123" t="s">
        <v>2263</v>
      </c>
      <c r="B38" s="147">
        <v>1875.0</v>
      </c>
      <c r="C38" s="147">
        <v>937.5</v>
      </c>
      <c r="K38" s="627" t="s">
        <v>2264</v>
      </c>
      <c r="L38" s="474">
        <v>900.0</v>
      </c>
      <c r="M38" s="630">
        <f>M37*0.8</f>
        <v>50.89587263</v>
      </c>
      <c r="N38" s="123" t="s">
        <v>2225</v>
      </c>
    </row>
    <row r="39">
      <c r="A39" s="123" t="s">
        <v>2265</v>
      </c>
      <c r="B39" s="147">
        <v>1250.0</v>
      </c>
      <c r="C39" s="147">
        <v>625.0</v>
      </c>
      <c r="K39" s="627" t="s">
        <v>2266</v>
      </c>
      <c r="L39" s="474">
        <v>4950.0</v>
      </c>
      <c r="M39" s="631">
        <f>M38/12</f>
        <v>4.241322719</v>
      </c>
      <c r="N39" s="632" t="s">
        <v>2267</v>
      </c>
      <c r="P39" s="633"/>
      <c r="Q39" s="170"/>
      <c r="S39" s="633"/>
      <c r="T39" s="170"/>
      <c r="U39" s="633"/>
      <c r="V39" s="170"/>
    </row>
    <row r="40">
      <c r="A40" s="128" t="s">
        <v>2254</v>
      </c>
      <c r="B40" s="147">
        <v>625.0</v>
      </c>
      <c r="C40" s="147">
        <v>312.5</v>
      </c>
      <c r="K40" s="627" t="s">
        <v>2268</v>
      </c>
      <c r="L40" s="474">
        <v>2375.0</v>
      </c>
      <c r="P40" s="633"/>
      <c r="Q40" s="170"/>
      <c r="S40" s="633"/>
      <c r="T40" s="170"/>
    </row>
    <row r="41">
      <c r="D41" s="147"/>
      <c r="K41" s="627" t="s">
        <v>2269</v>
      </c>
      <c r="L41" s="474">
        <v>7855.0</v>
      </c>
    </row>
    <row r="42">
      <c r="A42" s="205" t="s">
        <v>2270</v>
      </c>
      <c r="K42" s="627" t="s">
        <v>2271</v>
      </c>
      <c r="L42" s="474">
        <v>-1075.0</v>
      </c>
    </row>
    <row r="43">
      <c r="A43" s="123" t="s">
        <v>63</v>
      </c>
      <c r="B43" s="124">
        <v>27500.0</v>
      </c>
      <c r="C43" s="124">
        <f>D127</f>
        <v>6250</v>
      </c>
      <c r="D43" s="147">
        <v>120.0</v>
      </c>
      <c r="E43" s="147">
        <v>48.0</v>
      </c>
      <c r="F43" s="148">
        <f>E43*J2</f>
        <v>0</v>
      </c>
      <c r="G43" s="156">
        <f t="shared" ref="G43:G44" si="6">F43*0.625</f>
        <v>0</v>
      </c>
      <c r="H43" s="145"/>
      <c r="I43" s="157">
        <v>44520.0</v>
      </c>
      <c r="K43" s="627" t="s">
        <v>2271</v>
      </c>
      <c r="L43" s="474">
        <v>2840.0</v>
      </c>
      <c r="M43" s="634"/>
    </row>
    <row r="44">
      <c r="A44" s="123" t="s">
        <v>73</v>
      </c>
      <c r="B44" s="147">
        <v>27500.0</v>
      </c>
      <c r="C44" s="147">
        <f>D127</f>
        <v>6250</v>
      </c>
      <c r="D44" s="147">
        <v>120.0</v>
      </c>
      <c r="E44" s="147">
        <v>48.0</v>
      </c>
      <c r="F44" s="148">
        <f>E44*J2</f>
        <v>0</v>
      </c>
      <c r="G44" s="156">
        <f t="shared" si="6"/>
        <v>0</v>
      </c>
      <c r="H44" s="145"/>
      <c r="I44" s="157">
        <v>44489.0</v>
      </c>
      <c r="K44" s="627" t="s">
        <v>2272</v>
      </c>
      <c r="L44" s="474">
        <v>6350.0</v>
      </c>
      <c r="M44" s="635"/>
    </row>
    <row r="45">
      <c r="A45" s="123" t="s">
        <v>91</v>
      </c>
      <c r="B45" s="124">
        <v>5000.0</v>
      </c>
      <c r="C45" s="147">
        <v>2500.0</v>
      </c>
      <c r="K45" s="627" t="s">
        <v>2272</v>
      </c>
      <c r="L45" s="474">
        <v>-3500.0</v>
      </c>
      <c r="M45" s="635"/>
    </row>
    <row r="46">
      <c r="A46" s="159" t="s">
        <v>65</v>
      </c>
      <c r="B46" s="147">
        <v>3750.0</v>
      </c>
      <c r="C46" s="147">
        <v>1875.0</v>
      </c>
      <c r="K46" s="627" t="s">
        <v>2273</v>
      </c>
      <c r="L46" s="474">
        <v>1500.0</v>
      </c>
      <c r="M46" s="634"/>
    </row>
    <row r="47">
      <c r="A47" s="123" t="s">
        <v>2274</v>
      </c>
      <c r="B47" s="147">
        <v>2500.0</v>
      </c>
      <c r="C47" s="147">
        <v>1250.0</v>
      </c>
      <c r="P47" s="624"/>
      <c r="S47" s="624"/>
    </row>
    <row r="48">
      <c r="A48" s="128" t="s">
        <v>66</v>
      </c>
      <c r="B48" s="147">
        <v>1250.0</v>
      </c>
      <c r="C48" s="147">
        <v>750.0</v>
      </c>
      <c r="I48" s="627"/>
      <c r="J48" s="130"/>
      <c r="K48" s="130" t="s">
        <v>2275</v>
      </c>
      <c r="L48" s="124">
        <v>12000.0</v>
      </c>
      <c r="M48" s="126">
        <f>L48</f>
        <v>12000</v>
      </c>
      <c r="N48" s="128" t="s">
        <v>2213</v>
      </c>
      <c r="O48" s="118"/>
      <c r="Q48" s="636"/>
      <c r="R48" s="118"/>
      <c r="T48" s="636"/>
      <c r="U48" s="118"/>
    </row>
    <row r="49">
      <c r="K49" s="627" t="s">
        <v>2276</v>
      </c>
      <c r="L49" s="474">
        <v>900.0</v>
      </c>
      <c r="M49" s="125">
        <f>SUM(L49:L57)</f>
        <v>22522</v>
      </c>
      <c r="N49" s="123" t="s">
        <v>2216</v>
      </c>
      <c r="O49" s="160"/>
      <c r="Q49" s="637"/>
      <c r="R49" s="160"/>
      <c r="T49" s="637"/>
    </row>
    <row r="50">
      <c r="A50" s="128" t="s">
        <v>75</v>
      </c>
      <c r="B50" s="147">
        <v>27500.0</v>
      </c>
      <c r="C50" s="147">
        <f>D127</f>
        <v>6250</v>
      </c>
      <c r="D50" s="147">
        <v>120.0</v>
      </c>
      <c r="E50" s="147">
        <v>48.0</v>
      </c>
      <c r="F50" s="148">
        <f>E50*J2</f>
        <v>0</v>
      </c>
      <c r="G50" s="156">
        <f t="shared" ref="G50:G52" si="7">F50*0.625</f>
        <v>0</v>
      </c>
      <c r="H50" s="145"/>
      <c r="I50" s="157">
        <v>44484.0</v>
      </c>
      <c r="K50" s="627" t="s">
        <v>2277</v>
      </c>
      <c r="L50" s="474">
        <v>5000.0</v>
      </c>
      <c r="M50" s="133">
        <f>M48+M49</f>
        <v>34522</v>
      </c>
      <c r="N50" s="123" t="s">
        <v>2219</v>
      </c>
      <c r="O50" s="160"/>
      <c r="P50" s="638"/>
      <c r="Q50" s="576"/>
      <c r="R50" s="160"/>
      <c r="S50" s="638"/>
      <c r="T50" s="576"/>
    </row>
    <row r="51">
      <c r="A51" s="128" t="s">
        <v>75</v>
      </c>
      <c r="B51" s="147">
        <v>27500.0</v>
      </c>
      <c r="C51" s="147">
        <f>D127</f>
        <v>6250</v>
      </c>
      <c r="D51" s="147">
        <v>120.0</v>
      </c>
      <c r="E51" s="147">
        <v>48.0</v>
      </c>
      <c r="F51" s="148">
        <f>E51*J2</f>
        <v>0</v>
      </c>
      <c r="G51" s="156">
        <f t="shared" si="7"/>
        <v>0</v>
      </c>
      <c r="H51" s="145"/>
      <c r="I51" s="157">
        <v>44484.0</v>
      </c>
      <c r="K51" s="627" t="s">
        <v>2278</v>
      </c>
      <c r="L51" s="474">
        <v>2300.0</v>
      </c>
      <c r="M51" s="189">
        <f>M50/(B2/100)*12</f>
        <v>50.73655848</v>
      </c>
      <c r="N51" s="122" t="s">
        <v>2222</v>
      </c>
      <c r="O51" s="160"/>
      <c r="Q51" s="576"/>
      <c r="R51" s="160"/>
      <c r="T51" s="576"/>
    </row>
    <row r="52">
      <c r="A52" s="128" t="s">
        <v>75</v>
      </c>
      <c r="B52" s="147">
        <v>27500.0</v>
      </c>
      <c r="C52" s="147">
        <f>D127</f>
        <v>6250</v>
      </c>
      <c r="D52" s="147">
        <v>120.0</v>
      </c>
      <c r="E52" s="147">
        <v>48.0</v>
      </c>
      <c r="F52" s="148">
        <f>E52*J2</f>
        <v>0</v>
      </c>
      <c r="G52" s="156">
        <f t="shared" si="7"/>
        <v>0</v>
      </c>
      <c r="H52" s="145"/>
      <c r="I52" s="157">
        <v>44484.0</v>
      </c>
      <c r="K52" s="627" t="s">
        <v>2279</v>
      </c>
      <c r="L52" s="474">
        <v>7722.0</v>
      </c>
      <c r="M52" s="630">
        <f>M51*0.8</f>
        <v>40.58924679</v>
      </c>
      <c r="N52" s="123" t="s">
        <v>2225</v>
      </c>
      <c r="O52" s="160"/>
      <c r="P52" s="160"/>
      <c r="Q52" s="370"/>
      <c r="R52" s="160"/>
      <c r="S52" s="160"/>
      <c r="T52" s="370"/>
    </row>
    <row r="53">
      <c r="A53" s="123" t="s">
        <v>64</v>
      </c>
      <c r="B53" s="147">
        <v>3500.0</v>
      </c>
      <c r="C53" s="147">
        <v>1750.0</v>
      </c>
      <c r="K53" s="627" t="s">
        <v>2280</v>
      </c>
      <c r="L53" s="474">
        <v>8800.0</v>
      </c>
      <c r="M53" s="631">
        <f>M52/12</f>
        <v>3.382437232</v>
      </c>
      <c r="N53" s="632" t="s">
        <v>2281</v>
      </c>
      <c r="O53" s="160"/>
      <c r="P53" s="638"/>
      <c r="R53" s="160"/>
      <c r="S53" s="160"/>
      <c r="T53" s="370"/>
    </row>
    <row r="54">
      <c r="A54" s="123" t="s">
        <v>74</v>
      </c>
      <c r="B54" s="147">
        <v>3000.0</v>
      </c>
      <c r="C54" s="147">
        <v>1500.0</v>
      </c>
      <c r="K54" s="627" t="s">
        <v>2282</v>
      </c>
      <c r="L54" s="474">
        <v>-2500.0</v>
      </c>
      <c r="O54" s="160"/>
    </row>
    <row r="55">
      <c r="A55" s="151" t="s">
        <v>65</v>
      </c>
      <c r="B55" s="147">
        <v>4500.0</v>
      </c>
      <c r="C55" s="147">
        <v>2250.0</v>
      </c>
      <c r="K55" s="627" t="s">
        <v>2282</v>
      </c>
      <c r="L55" s="474">
        <v>-4000.0</v>
      </c>
      <c r="O55" s="160"/>
      <c r="P55" s="624"/>
      <c r="S55" s="624"/>
    </row>
    <row r="56">
      <c r="A56" s="128" t="s">
        <v>72</v>
      </c>
      <c r="B56" s="147">
        <v>1500.0</v>
      </c>
      <c r="C56" s="147">
        <v>750.0</v>
      </c>
      <c r="K56" s="627" t="s">
        <v>2283</v>
      </c>
      <c r="L56" s="474">
        <v>-1700.0</v>
      </c>
      <c r="Q56" s="636"/>
      <c r="R56" s="118"/>
      <c r="T56" s="636"/>
    </row>
    <row r="57">
      <c r="K57" s="627" t="s">
        <v>2282</v>
      </c>
      <c r="L57" s="474">
        <v>6000.0</v>
      </c>
      <c r="O57" s="160"/>
      <c r="Q57" s="637"/>
      <c r="R57" s="160"/>
      <c r="T57" s="637"/>
    </row>
    <row r="58">
      <c r="A58" s="123" t="s">
        <v>2284</v>
      </c>
      <c r="B58" s="124">
        <v>70000.0</v>
      </c>
      <c r="C58" s="147">
        <f>D122</f>
        <v>12500</v>
      </c>
      <c r="D58" s="161">
        <v>225.0</v>
      </c>
      <c r="E58" s="156">
        <v>98.0</v>
      </c>
      <c r="F58" s="162">
        <f>E58*J2</f>
        <v>0</v>
      </c>
      <c r="G58" s="156">
        <f>F58*0.625</f>
        <v>0</v>
      </c>
      <c r="H58" s="145"/>
      <c r="I58" s="157">
        <v>44280.0</v>
      </c>
      <c r="K58" s="627"/>
      <c r="L58" s="474"/>
      <c r="O58" s="160"/>
      <c r="P58" s="638"/>
      <c r="Q58" s="576"/>
      <c r="R58" s="160"/>
      <c r="S58" s="638"/>
      <c r="T58" s="576"/>
    </row>
    <row r="59">
      <c r="A59" s="128" t="s">
        <v>2285</v>
      </c>
      <c r="B59" s="147">
        <v>7500.0</v>
      </c>
      <c r="C59" s="147">
        <v>3750.0</v>
      </c>
      <c r="H59" s="627"/>
      <c r="K59" s="130" t="s">
        <v>2286</v>
      </c>
      <c r="L59" s="124">
        <v>0.0</v>
      </c>
      <c r="M59" s="126">
        <f>L59</f>
        <v>0</v>
      </c>
      <c r="N59" s="128" t="s">
        <v>2213</v>
      </c>
      <c r="O59" s="639"/>
      <c r="Q59" s="576"/>
      <c r="R59" s="160"/>
      <c r="T59" s="576"/>
    </row>
    <row r="60">
      <c r="A60" s="123" t="s">
        <v>2287</v>
      </c>
      <c r="B60" s="124">
        <v>5000.0</v>
      </c>
      <c r="C60" s="147">
        <v>2500.0</v>
      </c>
      <c r="H60" s="627"/>
      <c r="K60" s="627" t="s">
        <v>2288</v>
      </c>
      <c r="L60" s="474">
        <v>2750.0</v>
      </c>
      <c r="M60" s="125">
        <f>SUM(L60:L69)</f>
        <v>24150</v>
      </c>
      <c r="N60" s="123" t="s">
        <v>2216</v>
      </c>
      <c r="O60" s="160"/>
      <c r="R60" s="160"/>
    </row>
    <row r="61">
      <c r="A61" s="128" t="s">
        <v>2289</v>
      </c>
      <c r="B61" s="147">
        <v>3750.0</v>
      </c>
      <c r="C61" s="147">
        <v>1875.0</v>
      </c>
      <c r="H61" s="627"/>
      <c r="K61" s="627" t="s">
        <v>2290</v>
      </c>
      <c r="L61" s="474">
        <v>3500.0</v>
      </c>
      <c r="M61" s="133">
        <f>M59+M60</f>
        <v>24150</v>
      </c>
      <c r="N61" s="123" t="s">
        <v>2219</v>
      </c>
      <c r="O61" s="160"/>
      <c r="P61" s="160"/>
      <c r="Q61" s="370"/>
      <c r="S61" s="160"/>
      <c r="T61" s="370"/>
    </row>
    <row r="62">
      <c r="A62" s="128" t="s">
        <v>2291</v>
      </c>
      <c r="B62" s="147">
        <v>2500.0</v>
      </c>
      <c r="C62" s="147">
        <v>0.0</v>
      </c>
      <c r="H62" s="627"/>
      <c r="K62" s="627" t="s">
        <v>2292</v>
      </c>
      <c r="L62" s="474">
        <v>6500.0</v>
      </c>
      <c r="M62" s="189">
        <f>M61/(B2/100)*12</f>
        <v>35.49295775</v>
      </c>
      <c r="N62" s="122" t="s">
        <v>2222</v>
      </c>
      <c r="O62" s="160"/>
      <c r="P62" s="160"/>
      <c r="Q62" s="370"/>
      <c r="S62" s="160"/>
      <c r="T62" s="370"/>
    </row>
    <row r="63">
      <c r="A63" s="123" t="s">
        <v>2293</v>
      </c>
      <c r="B63" s="147">
        <v>2500.0</v>
      </c>
      <c r="C63" s="147">
        <v>1250.0</v>
      </c>
      <c r="H63" s="627"/>
      <c r="K63" s="627" t="s">
        <v>2294</v>
      </c>
      <c r="L63" s="474">
        <v>3000.0</v>
      </c>
      <c r="M63" s="630">
        <f>M62*0.8</f>
        <v>28.3943662</v>
      </c>
      <c r="N63" s="123" t="s">
        <v>2225</v>
      </c>
      <c r="O63" s="160"/>
      <c r="P63" s="638"/>
    </row>
    <row r="64">
      <c r="A64" s="128" t="s">
        <v>61</v>
      </c>
      <c r="B64" s="147">
        <v>2500.0</v>
      </c>
      <c r="C64" s="147">
        <v>1250.0</v>
      </c>
      <c r="H64" s="627"/>
      <c r="K64" s="627" t="s">
        <v>2295</v>
      </c>
      <c r="L64" s="474">
        <v>-2500.0</v>
      </c>
      <c r="M64" s="631">
        <f>M63/12</f>
        <v>2.366197183</v>
      </c>
      <c r="N64" s="632" t="s">
        <v>2296</v>
      </c>
      <c r="O64" s="160"/>
      <c r="P64" s="638"/>
    </row>
    <row r="65">
      <c r="A65" s="123" t="s">
        <v>2297</v>
      </c>
      <c r="B65" s="147">
        <v>1250.0</v>
      </c>
      <c r="C65" s="147">
        <v>625.0</v>
      </c>
      <c r="H65" s="627"/>
      <c r="K65" s="627" t="s">
        <v>2298</v>
      </c>
      <c r="L65" s="474">
        <v>2625.0</v>
      </c>
      <c r="O65" s="160"/>
      <c r="P65" s="638"/>
    </row>
    <row r="66">
      <c r="K66" s="627" t="s">
        <v>2298</v>
      </c>
      <c r="L66" s="474">
        <v>-1850.0</v>
      </c>
      <c r="O66" s="160"/>
      <c r="P66" s="638"/>
    </row>
    <row r="67">
      <c r="A67" s="123" t="s">
        <v>63</v>
      </c>
      <c r="B67" s="124">
        <v>27500.0</v>
      </c>
      <c r="C67" s="124">
        <f>D127</f>
        <v>6250</v>
      </c>
      <c r="D67" s="147">
        <v>120.0</v>
      </c>
      <c r="E67" s="147">
        <v>48.0</v>
      </c>
      <c r="F67" s="148">
        <f>E67*J2</f>
        <v>0</v>
      </c>
      <c r="G67" s="156">
        <f t="shared" ref="G67:G70" si="8">F67*0.625</f>
        <v>0</v>
      </c>
      <c r="H67" s="145"/>
      <c r="I67" s="157">
        <v>44505.0</v>
      </c>
      <c r="K67" s="627" t="s">
        <v>2299</v>
      </c>
      <c r="L67" s="474">
        <v>5250.0</v>
      </c>
      <c r="O67" s="160"/>
      <c r="P67" s="638"/>
    </row>
    <row r="68">
      <c r="A68" s="123" t="s">
        <v>63</v>
      </c>
      <c r="B68" s="124">
        <v>27500.0</v>
      </c>
      <c r="C68" s="124">
        <f>D127</f>
        <v>6250</v>
      </c>
      <c r="D68" s="147">
        <v>120.0</v>
      </c>
      <c r="E68" s="147">
        <v>48.0</v>
      </c>
      <c r="F68" s="148">
        <f>E68*J2</f>
        <v>0</v>
      </c>
      <c r="G68" s="156">
        <f t="shared" si="8"/>
        <v>0</v>
      </c>
      <c r="H68" s="145"/>
      <c r="I68" s="157">
        <v>44505.0</v>
      </c>
      <c r="K68" s="627" t="s">
        <v>2300</v>
      </c>
      <c r="L68" s="474">
        <v>3250.0</v>
      </c>
      <c r="O68" s="160"/>
      <c r="P68" s="638"/>
    </row>
    <row r="69">
      <c r="A69" s="123" t="s">
        <v>63</v>
      </c>
      <c r="B69" s="124">
        <v>27500.0</v>
      </c>
      <c r="C69" s="124">
        <f>D127</f>
        <v>6250</v>
      </c>
      <c r="D69" s="147">
        <v>120.0</v>
      </c>
      <c r="E69" s="147">
        <v>48.0</v>
      </c>
      <c r="F69" s="148">
        <f>E69*J2</f>
        <v>0</v>
      </c>
      <c r="G69" s="156">
        <f t="shared" si="8"/>
        <v>0</v>
      </c>
      <c r="H69" s="145"/>
      <c r="I69" s="157">
        <v>44505.0</v>
      </c>
      <c r="K69" s="627" t="s">
        <v>2301</v>
      </c>
      <c r="L69" s="474">
        <v>1625.0</v>
      </c>
      <c r="O69" s="160"/>
      <c r="P69" s="638"/>
    </row>
    <row r="70">
      <c r="A70" s="123" t="s">
        <v>63</v>
      </c>
      <c r="B70" s="124">
        <v>27500.0</v>
      </c>
      <c r="C70" s="124">
        <f>D127</f>
        <v>6250</v>
      </c>
      <c r="D70" s="147">
        <v>120.0</v>
      </c>
      <c r="E70" s="147">
        <v>48.0</v>
      </c>
      <c r="F70" s="148">
        <f>E70*J2</f>
        <v>0</v>
      </c>
      <c r="G70" s="156">
        <f t="shared" si="8"/>
        <v>0</v>
      </c>
      <c r="H70" s="145"/>
      <c r="I70" s="157">
        <v>44505.0</v>
      </c>
      <c r="O70" s="160"/>
      <c r="P70" s="638"/>
    </row>
    <row r="71">
      <c r="A71" s="123" t="s">
        <v>67</v>
      </c>
      <c r="B71" s="124">
        <v>5000.0</v>
      </c>
      <c r="C71" s="124">
        <v>2500.0</v>
      </c>
      <c r="D71" s="147"/>
      <c r="E71" s="147"/>
      <c r="F71" s="148"/>
      <c r="G71" s="156"/>
      <c r="H71" s="145"/>
      <c r="I71" s="157"/>
      <c r="K71" s="130" t="s">
        <v>2302</v>
      </c>
      <c r="L71" s="124">
        <v>0.0</v>
      </c>
      <c r="M71" s="126">
        <f>L71</f>
        <v>0</v>
      </c>
      <c r="N71" s="128" t="s">
        <v>2213</v>
      </c>
      <c r="O71" s="160"/>
      <c r="P71" s="638"/>
    </row>
    <row r="72">
      <c r="A72" s="128" t="s">
        <v>71</v>
      </c>
      <c r="B72" s="147">
        <v>3500.0</v>
      </c>
      <c r="C72" s="147">
        <v>1750.0</v>
      </c>
      <c r="K72" s="627" t="s">
        <v>2303</v>
      </c>
      <c r="L72" s="474">
        <v>1875.0</v>
      </c>
      <c r="M72" s="125">
        <f>SUM(L72:L89)</f>
        <v>47725</v>
      </c>
      <c r="N72" s="123" t="s">
        <v>2216</v>
      </c>
      <c r="O72" s="160"/>
      <c r="P72" s="638"/>
    </row>
    <row r="73">
      <c r="A73" s="128" t="s">
        <v>68</v>
      </c>
      <c r="B73" s="147">
        <v>2500.0</v>
      </c>
      <c r="C73" s="147">
        <v>1250.0</v>
      </c>
      <c r="K73" s="627" t="s">
        <v>2304</v>
      </c>
      <c r="L73" s="474">
        <v>3750.0</v>
      </c>
      <c r="M73" s="133">
        <f>M71+M72</f>
        <v>47725</v>
      </c>
      <c r="N73" s="123" t="s">
        <v>2219</v>
      </c>
    </row>
    <row r="74">
      <c r="A74" s="128" t="s">
        <v>72</v>
      </c>
      <c r="B74" s="147">
        <v>1500.0</v>
      </c>
      <c r="C74" s="147">
        <v>750.0</v>
      </c>
      <c r="K74" s="627" t="s">
        <v>2305</v>
      </c>
      <c r="L74" s="474">
        <v>7500.0</v>
      </c>
      <c r="M74" s="189">
        <f>M73/(B2/100)*12</f>
        <v>70.14084507</v>
      </c>
      <c r="N74" s="122" t="s">
        <v>2222</v>
      </c>
      <c r="O74" s="160"/>
      <c r="P74" s="638"/>
    </row>
    <row r="75">
      <c r="K75" s="627" t="s">
        <v>2306</v>
      </c>
      <c r="L75" s="474">
        <v>4150.0</v>
      </c>
      <c r="M75" s="630">
        <f>M74*0.8</f>
        <v>56.11267606</v>
      </c>
      <c r="N75" s="123" t="s">
        <v>2225</v>
      </c>
    </row>
    <row r="76">
      <c r="A76" s="640" t="s">
        <v>62</v>
      </c>
      <c r="B76" s="124">
        <v>32500.0</v>
      </c>
      <c r="C76" s="124">
        <f>D126</f>
        <v>7500</v>
      </c>
      <c r="D76" s="147">
        <v>120.0</v>
      </c>
      <c r="E76" s="147">
        <v>58.0</v>
      </c>
      <c r="F76" s="148">
        <f>E76*J2</f>
        <v>0</v>
      </c>
      <c r="G76" s="156">
        <f t="shared" ref="G76:G78" si="9">F76*0.625</f>
        <v>0</v>
      </c>
      <c r="H76" s="145"/>
      <c r="I76" s="157">
        <v>44535.0</v>
      </c>
      <c r="K76" s="627" t="s">
        <v>2307</v>
      </c>
      <c r="L76" s="474">
        <v>2900.0</v>
      </c>
      <c r="M76" s="631">
        <f>M75/12</f>
        <v>4.676056338</v>
      </c>
      <c r="N76" s="632" t="s">
        <v>2308</v>
      </c>
      <c r="O76" s="160"/>
      <c r="P76" s="638"/>
    </row>
    <row r="77">
      <c r="A77" s="640" t="s">
        <v>62</v>
      </c>
      <c r="B77" s="124">
        <v>32500.0</v>
      </c>
      <c r="C77" s="124">
        <f>D126</f>
        <v>7500</v>
      </c>
      <c r="D77" s="147">
        <v>120.0</v>
      </c>
      <c r="E77" s="147">
        <v>58.0</v>
      </c>
      <c r="F77" s="148">
        <f>E77*J2</f>
        <v>0</v>
      </c>
      <c r="G77" s="156">
        <f t="shared" si="9"/>
        <v>0</v>
      </c>
      <c r="H77" s="145"/>
      <c r="I77" s="157">
        <v>44535.0</v>
      </c>
      <c r="K77" s="627" t="s">
        <v>2309</v>
      </c>
      <c r="L77" s="474">
        <v>2200.0</v>
      </c>
      <c r="O77" s="160"/>
      <c r="P77" s="638"/>
    </row>
    <row r="78">
      <c r="A78" s="128" t="s">
        <v>70</v>
      </c>
      <c r="B78" s="147">
        <v>30000.0</v>
      </c>
      <c r="C78" s="147">
        <f>D128</f>
        <v>6250</v>
      </c>
      <c r="D78" s="147">
        <v>120.0</v>
      </c>
      <c r="E78" s="147">
        <v>44.0</v>
      </c>
      <c r="F78" s="148">
        <f>E78*J2</f>
        <v>0</v>
      </c>
      <c r="G78" s="156">
        <f t="shared" si="9"/>
        <v>0</v>
      </c>
      <c r="H78" s="145"/>
      <c r="I78" s="157">
        <v>44505.0</v>
      </c>
      <c r="K78" s="627" t="s">
        <v>2310</v>
      </c>
      <c r="L78" s="474">
        <v>9300.0</v>
      </c>
      <c r="O78" s="160"/>
      <c r="P78" s="638"/>
    </row>
    <row r="79">
      <c r="A79" s="123" t="s">
        <v>91</v>
      </c>
      <c r="B79" s="124">
        <v>5000.0</v>
      </c>
      <c r="C79" s="147">
        <v>2500.0</v>
      </c>
      <c r="K79" s="627" t="s">
        <v>2311</v>
      </c>
      <c r="L79" s="474">
        <v>2500.0</v>
      </c>
      <c r="O79" s="160"/>
      <c r="P79" s="638"/>
    </row>
    <row r="80">
      <c r="A80" s="159" t="s">
        <v>92</v>
      </c>
      <c r="B80" s="147">
        <v>5000.0</v>
      </c>
      <c r="C80" s="147">
        <v>2500.0</v>
      </c>
      <c r="K80" s="627" t="s">
        <v>2312</v>
      </c>
      <c r="L80" s="474">
        <v>2300.0</v>
      </c>
      <c r="O80" s="160"/>
      <c r="P80" s="638"/>
    </row>
    <row r="81">
      <c r="A81" s="123" t="s">
        <v>2313</v>
      </c>
      <c r="B81" s="147">
        <v>3750.0</v>
      </c>
      <c r="C81" s="147">
        <v>1875.0</v>
      </c>
      <c r="K81" s="627" t="s">
        <v>2312</v>
      </c>
      <c r="L81" s="474">
        <v>-500.0</v>
      </c>
      <c r="O81" s="160"/>
      <c r="P81" s="638"/>
    </row>
    <row r="82">
      <c r="A82" s="128" t="s">
        <v>2314</v>
      </c>
      <c r="B82" s="147">
        <v>1250.0</v>
      </c>
      <c r="C82" s="147">
        <v>625.0</v>
      </c>
      <c r="K82" s="627" t="s">
        <v>2312</v>
      </c>
      <c r="L82" s="474">
        <v>-4000.0</v>
      </c>
    </row>
    <row r="83">
      <c r="K83" s="627"/>
      <c r="L83" s="474"/>
    </row>
    <row r="84">
      <c r="K84" s="627" t="s">
        <v>2315</v>
      </c>
      <c r="L84" s="474">
        <v>2650.0</v>
      </c>
    </row>
    <row r="85">
      <c r="A85" s="275" t="s">
        <v>75</v>
      </c>
      <c r="B85" s="273">
        <v>27500.0</v>
      </c>
      <c r="C85" s="273">
        <f>D127</f>
        <v>6250</v>
      </c>
      <c r="D85" s="147">
        <v>120.0</v>
      </c>
      <c r="E85" s="147">
        <v>48.0</v>
      </c>
      <c r="F85" s="148">
        <f>E85*J2</f>
        <v>0</v>
      </c>
      <c r="G85" s="156">
        <f>F85*0.625</f>
        <v>0</v>
      </c>
      <c r="H85" s="145"/>
      <c r="I85" s="157">
        <v>44484.0</v>
      </c>
      <c r="K85" s="627" t="s">
        <v>2316</v>
      </c>
      <c r="L85" s="474">
        <v>1550.0</v>
      </c>
      <c r="M85" s="635"/>
    </row>
    <row r="86">
      <c r="A86" s="284" t="s">
        <v>67</v>
      </c>
      <c r="B86" s="273">
        <v>5000.0</v>
      </c>
      <c r="C86" s="273">
        <v>2500.0</v>
      </c>
      <c r="K86" s="627" t="s">
        <v>2315</v>
      </c>
      <c r="L86" s="474">
        <v>-1850.0</v>
      </c>
    </row>
    <row r="87">
      <c r="A87" s="275" t="s">
        <v>69</v>
      </c>
      <c r="B87" s="273">
        <v>4000.0</v>
      </c>
      <c r="C87" s="273">
        <v>2000.0</v>
      </c>
      <c r="K87" s="627" t="s">
        <v>2317</v>
      </c>
      <c r="L87" s="474">
        <v>8500.0</v>
      </c>
    </row>
    <row r="88">
      <c r="A88" s="275" t="s">
        <v>68</v>
      </c>
      <c r="B88" s="273">
        <v>2500.0</v>
      </c>
      <c r="C88" s="273">
        <v>1250.0</v>
      </c>
      <c r="K88" s="627" t="s">
        <v>2318</v>
      </c>
      <c r="L88" s="474">
        <v>2600.0</v>
      </c>
    </row>
    <row r="89">
      <c r="A89" s="275" t="s">
        <v>61</v>
      </c>
      <c r="B89" s="273">
        <v>2500.0</v>
      </c>
      <c r="C89" s="273">
        <v>1250.0</v>
      </c>
      <c r="K89" s="627" t="s">
        <v>2319</v>
      </c>
      <c r="L89" s="474">
        <v>2300.0</v>
      </c>
    </row>
    <row r="90">
      <c r="A90" s="284" t="s">
        <v>2320</v>
      </c>
      <c r="B90" s="284">
        <v>0.0</v>
      </c>
      <c r="C90" s="284">
        <v>0.0</v>
      </c>
    </row>
    <row r="91">
      <c r="A91" s="284" t="s">
        <v>2321</v>
      </c>
      <c r="B91" s="284">
        <v>0.0</v>
      </c>
      <c r="C91" s="284">
        <v>0.0</v>
      </c>
    </row>
    <row r="93">
      <c r="A93" s="128" t="s">
        <v>64</v>
      </c>
      <c r="B93" s="147">
        <v>3500.0</v>
      </c>
      <c r="C93" s="147">
        <v>1750.0</v>
      </c>
      <c r="K93" s="130" t="s">
        <v>2322</v>
      </c>
      <c r="L93" s="124">
        <v>6000.0</v>
      </c>
      <c r="M93" s="126">
        <f>L93</f>
        <v>6000</v>
      </c>
      <c r="N93" s="128" t="s">
        <v>2213</v>
      </c>
      <c r="P93" s="627"/>
      <c r="Q93" s="474"/>
      <c r="R93" s="474"/>
    </row>
    <row r="94">
      <c r="A94" s="128" t="s">
        <v>60</v>
      </c>
      <c r="B94" s="147">
        <v>3500.0</v>
      </c>
      <c r="C94" s="147">
        <v>1750.0</v>
      </c>
      <c r="K94" s="627" t="s">
        <v>2323</v>
      </c>
      <c r="L94" s="474">
        <v>6700.0</v>
      </c>
      <c r="M94" s="125">
        <f>SUM(L94:L110)</f>
        <v>32400</v>
      </c>
      <c r="N94" s="123" t="s">
        <v>2216</v>
      </c>
      <c r="P94" s="627"/>
      <c r="Q94" s="474"/>
    </row>
    <row r="95">
      <c r="A95" s="151" t="s">
        <v>65</v>
      </c>
      <c r="B95" s="147">
        <v>4000.0</v>
      </c>
      <c r="C95" s="147">
        <v>2000.0</v>
      </c>
      <c r="K95" s="627" t="s">
        <v>2324</v>
      </c>
      <c r="L95" s="474">
        <v>3000.0</v>
      </c>
      <c r="M95" s="133">
        <f>M93+M94</f>
        <v>38400</v>
      </c>
      <c r="N95" s="123" t="s">
        <v>2219</v>
      </c>
    </row>
    <row r="96">
      <c r="K96" s="627" t="s">
        <v>2325</v>
      </c>
      <c r="L96" s="474">
        <v>3300.0</v>
      </c>
      <c r="M96" s="630" t="str">
        <f>#REF!*0.8</f>
        <v>#REF!</v>
      </c>
      <c r="N96" s="123" t="s">
        <v>2225</v>
      </c>
    </row>
    <row r="97">
      <c r="A97" s="123" t="s">
        <v>2326</v>
      </c>
      <c r="B97" s="147">
        <v>2500.0</v>
      </c>
      <c r="C97" s="147">
        <v>1250.0</v>
      </c>
      <c r="K97" s="627" t="s">
        <v>2327</v>
      </c>
      <c r="L97" s="474">
        <v>6100.0</v>
      </c>
      <c r="M97" s="631" t="str">
        <f>M96/12</f>
        <v>#REF!</v>
      </c>
      <c r="N97" s="632" t="s">
        <v>2328</v>
      </c>
    </row>
    <row r="98">
      <c r="A98" s="123" t="s">
        <v>2329</v>
      </c>
      <c r="B98" s="147">
        <v>5000.0</v>
      </c>
      <c r="C98" s="147">
        <v>2500.0</v>
      </c>
      <c r="K98" s="627" t="s">
        <v>2330</v>
      </c>
      <c r="L98" s="474">
        <v>3300.0</v>
      </c>
    </row>
    <row r="99">
      <c r="A99" s="123" t="s">
        <v>2331</v>
      </c>
      <c r="B99" s="147">
        <v>1000.0</v>
      </c>
      <c r="C99" s="147">
        <v>500.0</v>
      </c>
      <c r="K99" s="627" t="s">
        <v>2332</v>
      </c>
      <c r="L99" s="474">
        <v>1600.0</v>
      </c>
    </row>
    <row r="100">
      <c r="A100" s="123" t="s">
        <v>2333</v>
      </c>
      <c r="B100" s="132">
        <v>2500.0</v>
      </c>
      <c r="C100" s="147">
        <v>1250.0</v>
      </c>
      <c r="K100" s="627" t="s">
        <v>2334</v>
      </c>
      <c r="L100" s="474">
        <v>2700.0</v>
      </c>
    </row>
    <row r="101">
      <c r="K101" s="627" t="s">
        <v>2335</v>
      </c>
      <c r="L101" s="474">
        <v>700.0</v>
      </c>
    </row>
    <row r="102">
      <c r="A102" s="123" t="s">
        <v>2017</v>
      </c>
      <c r="B102" s="123" t="s">
        <v>2336</v>
      </c>
      <c r="K102" s="627" t="s">
        <v>2337</v>
      </c>
      <c r="L102" s="474">
        <v>325.0</v>
      </c>
    </row>
    <row r="103">
      <c r="A103" s="123" t="s">
        <v>2338</v>
      </c>
      <c r="B103" s="641" t="s">
        <v>2339</v>
      </c>
      <c r="C103" s="129"/>
      <c r="F103" s="170"/>
      <c r="G103" s="170"/>
      <c r="K103" s="627" t="s">
        <v>2340</v>
      </c>
      <c r="L103" s="474">
        <v>3700.0</v>
      </c>
    </row>
    <row r="104">
      <c r="A104" s="123" t="s">
        <v>2341</v>
      </c>
      <c r="B104" s="641" t="s">
        <v>2342</v>
      </c>
      <c r="K104" s="627" t="s">
        <v>2340</v>
      </c>
      <c r="L104" s="474">
        <v>-2225.0</v>
      </c>
    </row>
    <row r="105">
      <c r="A105" s="123" t="s">
        <v>2343</v>
      </c>
      <c r="B105" s="641" t="s">
        <v>2344</v>
      </c>
      <c r="C105" s="129"/>
      <c r="F105" s="170"/>
      <c r="G105" s="170"/>
      <c r="K105" s="627" t="s">
        <v>2345</v>
      </c>
      <c r="L105" s="474">
        <v>2200.0</v>
      </c>
    </row>
    <row r="106">
      <c r="A106" s="123" t="s">
        <v>2346</v>
      </c>
      <c r="B106" s="641" t="s">
        <v>2347</v>
      </c>
      <c r="C106" s="129"/>
      <c r="F106" s="170"/>
      <c r="G106" s="170"/>
      <c r="K106" s="627" t="s">
        <v>2345</v>
      </c>
      <c r="L106" s="474">
        <v>-5300.0</v>
      </c>
    </row>
    <row r="107">
      <c r="A107" s="123" t="s">
        <v>2348</v>
      </c>
      <c r="B107" s="123" t="s">
        <v>2349</v>
      </c>
      <c r="C107" s="129"/>
      <c r="F107" s="170"/>
      <c r="G107" s="170"/>
      <c r="K107" s="627" t="s">
        <v>2350</v>
      </c>
      <c r="L107" s="474">
        <v>475.0</v>
      </c>
    </row>
    <row r="108">
      <c r="A108" s="123" t="s">
        <v>2351</v>
      </c>
      <c r="B108" s="123" t="s">
        <v>2352</v>
      </c>
      <c r="C108" s="129"/>
      <c r="F108" s="170"/>
      <c r="G108" s="170"/>
      <c r="K108" s="627" t="s">
        <v>2353</v>
      </c>
      <c r="L108" s="474">
        <v>500.0</v>
      </c>
    </row>
    <row r="109">
      <c r="C109" s="129"/>
      <c r="F109" s="170"/>
      <c r="G109" s="170"/>
      <c r="K109" s="627" t="s">
        <v>2354</v>
      </c>
      <c r="L109" s="474">
        <v>4825.0</v>
      </c>
    </row>
    <row r="110">
      <c r="A110" s="123" t="s">
        <v>2355</v>
      </c>
      <c r="B110" s="641" t="s">
        <v>2356</v>
      </c>
      <c r="C110" s="129"/>
      <c r="F110" s="170"/>
      <c r="G110" s="170"/>
      <c r="K110" s="627" t="s">
        <v>2357</v>
      </c>
      <c r="L110" s="474">
        <v>500.0</v>
      </c>
    </row>
    <row r="111">
      <c r="A111" s="123" t="s">
        <v>2358</v>
      </c>
      <c r="B111" s="123" t="s">
        <v>1991</v>
      </c>
      <c r="C111" s="129"/>
      <c r="F111" s="170"/>
      <c r="G111" s="170"/>
    </row>
    <row r="112">
      <c r="C112" s="129"/>
      <c r="F112" s="170"/>
      <c r="G112" s="170"/>
      <c r="K112" s="130" t="s">
        <v>2359</v>
      </c>
      <c r="L112" s="124">
        <v>0.0</v>
      </c>
      <c r="M112" s="126">
        <f>L112</f>
        <v>0</v>
      </c>
      <c r="N112" s="128" t="s">
        <v>2213</v>
      </c>
    </row>
    <row r="113">
      <c r="A113" s="122" t="s">
        <v>2360</v>
      </c>
      <c r="B113" s="118" t="s">
        <v>38</v>
      </c>
      <c r="C113" s="642" t="s">
        <v>2361</v>
      </c>
      <c r="D113" s="118" t="s">
        <v>2196</v>
      </c>
      <c r="E113" s="118" t="s">
        <v>2362</v>
      </c>
      <c r="F113" s="118"/>
      <c r="G113" s="118"/>
      <c r="H113" s="118" t="s">
        <v>2363</v>
      </c>
      <c r="I113" s="118" t="s">
        <v>2364</v>
      </c>
      <c r="K113" s="627" t="s">
        <v>2365</v>
      </c>
      <c r="L113" s="474">
        <v>500.0</v>
      </c>
      <c r="M113" s="125">
        <f>SUM(L113:L140)</f>
        <v>37000</v>
      </c>
      <c r="N113" s="123" t="s">
        <v>2216</v>
      </c>
    </row>
    <row r="114">
      <c r="A114" s="123" t="s">
        <v>2366</v>
      </c>
      <c r="B114" s="124">
        <v>35000.0</v>
      </c>
      <c r="C114" s="170">
        <f>B114-(B114*M2%)</f>
        <v>15544.88671</v>
      </c>
      <c r="D114" s="281">
        <v>6250.0</v>
      </c>
      <c r="E114" s="170">
        <f t="shared" ref="E114:E119" si="10">C114-D114</f>
        <v>9294.886712</v>
      </c>
      <c r="F114" s="344"/>
      <c r="G114" s="643"/>
      <c r="H114" s="123">
        <v>1.0</v>
      </c>
      <c r="I114" s="125">
        <f t="shared" ref="I114:I119" si="11">D114*H114</f>
        <v>6250</v>
      </c>
      <c r="K114" s="627" t="s">
        <v>2367</v>
      </c>
      <c r="L114" s="474">
        <v>475.0</v>
      </c>
      <c r="M114" s="133">
        <f>M112+M113</f>
        <v>37000</v>
      </c>
      <c r="N114" s="123" t="s">
        <v>2219</v>
      </c>
    </row>
    <row r="115">
      <c r="A115" s="123" t="s">
        <v>2368</v>
      </c>
      <c r="B115" s="124">
        <f>AVERAGE(B11,B9,B12,B13,B5,B6,B7,B8,B10)</f>
        <v>14583.33333</v>
      </c>
      <c r="C115" s="170">
        <f>B115-(B115*M2%)</f>
        <v>6477.03613</v>
      </c>
      <c r="D115" s="281">
        <v>3125.0</v>
      </c>
      <c r="E115" s="170">
        <f t="shared" si="10"/>
        <v>3352.03613</v>
      </c>
      <c r="F115" s="344"/>
      <c r="G115" s="643"/>
      <c r="H115" s="123">
        <v>9.0</v>
      </c>
      <c r="I115" s="125">
        <f t="shared" si="11"/>
        <v>28125</v>
      </c>
      <c r="K115" s="627" t="s">
        <v>2369</v>
      </c>
      <c r="L115" s="474">
        <v>6375.0</v>
      </c>
      <c r="M115" s="189">
        <f>M114/(B2/100)*12</f>
        <v>54.37844458</v>
      </c>
      <c r="N115" s="122" t="s">
        <v>2222</v>
      </c>
    </row>
    <row r="116">
      <c r="A116" s="123" t="s">
        <v>2370</v>
      </c>
      <c r="B116" s="124">
        <v>13750.0</v>
      </c>
      <c r="C116" s="170">
        <f>B116-(B116*M2%)</f>
        <v>6106.91978</v>
      </c>
      <c r="D116" s="281">
        <v>3125.0</v>
      </c>
      <c r="E116" s="170">
        <f t="shared" si="10"/>
        <v>2981.91978</v>
      </c>
      <c r="F116" s="344"/>
      <c r="G116" s="643"/>
      <c r="H116" s="123">
        <v>1.0</v>
      </c>
      <c r="I116" s="125">
        <f t="shared" si="11"/>
        <v>3125</v>
      </c>
      <c r="K116" s="627" t="s">
        <v>2371</v>
      </c>
      <c r="L116" s="474">
        <v>-1975.0</v>
      </c>
      <c r="M116" s="630">
        <f>M115*0.8</f>
        <v>43.50275566</v>
      </c>
      <c r="N116" s="123" t="s">
        <v>2225</v>
      </c>
    </row>
    <row r="117">
      <c r="A117" s="123" t="s">
        <v>2372</v>
      </c>
      <c r="B117" s="124">
        <v>12500.0</v>
      </c>
      <c r="C117" s="170">
        <f>B117-(B117*M2%)</f>
        <v>5551.745254</v>
      </c>
      <c r="D117" s="281">
        <v>2500.0</v>
      </c>
      <c r="E117" s="170">
        <f t="shared" si="10"/>
        <v>3051.745254</v>
      </c>
      <c r="F117" s="344"/>
      <c r="G117" s="643"/>
      <c r="H117" s="123">
        <v>1.0</v>
      </c>
      <c r="I117" s="125">
        <f t="shared" si="11"/>
        <v>2500</v>
      </c>
      <c r="K117" s="627" t="s">
        <v>2373</v>
      </c>
      <c r="L117" s="474">
        <v>-975.0</v>
      </c>
      <c r="M117" s="631">
        <f>M116/12</f>
        <v>3.625229639</v>
      </c>
      <c r="N117" s="632" t="s">
        <v>2374</v>
      </c>
    </row>
    <row r="118">
      <c r="A118" s="123" t="s">
        <v>2375</v>
      </c>
      <c r="B118" s="124">
        <f>AVERAGE(B16,B17,B18)</f>
        <v>10000</v>
      </c>
      <c r="C118" s="170">
        <f>B118-(B118*M2%)</f>
        <v>4441.396203</v>
      </c>
      <c r="D118" s="281">
        <v>1875.0</v>
      </c>
      <c r="E118" s="170">
        <f t="shared" si="10"/>
        <v>2566.396203</v>
      </c>
      <c r="F118" s="344"/>
      <c r="G118" s="643"/>
      <c r="H118" s="123">
        <v>3.0</v>
      </c>
      <c r="I118" s="125">
        <f t="shared" si="11"/>
        <v>5625</v>
      </c>
      <c r="K118" s="627" t="s">
        <v>2376</v>
      </c>
      <c r="L118" s="474">
        <v>550.0</v>
      </c>
    </row>
    <row r="119">
      <c r="A119" s="123" t="s">
        <v>2377</v>
      </c>
      <c r="B119" s="124">
        <v>10000.0</v>
      </c>
      <c r="C119" s="170">
        <f>B119-(B119*M2%)</f>
        <v>4441.396203</v>
      </c>
      <c r="D119" s="281">
        <v>1875.0</v>
      </c>
      <c r="E119" s="170">
        <f t="shared" si="10"/>
        <v>2566.396203</v>
      </c>
      <c r="F119" s="344"/>
      <c r="G119" s="643"/>
      <c r="H119" s="123">
        <v>1.0</v>
      </c>
      <c r="I119" s="125">
        <f t="shared" si="11"/>
        <v>1875</v>
      </c>
      <c r="K119" s="627" t="s">
        <v>2378</v>
      </c>
      <c r="L119" s="474">
        <v>550.0</v>
      </c>
    </row>
    <row r="120">
      <c r="H120" s="118"/>
      <c r="I120" s="118"/>
      <c r="K120" s="627" t="s">
        <v>2379</v>
      </c>
      <c r="L120" s="474">
        <v>6250.0</v>
      </c>
    </row>
    <row r="121">
      <c r="A121" s="122" t="s">
        <v>2380</v>
      </c>
      <c r="B121" s="118" t="s">
        <v>38</v>
      </c>
      <c r="C121" s="642" t="s">
        <v>2361</v>
      </c>
      <c r="D121" s="118" t="s">
        <v>2196</v>
      </c>
      <c r="E121" s="118" t="s">
        <v>2362</v>
      </c>
      <c r="F121" s="118"/>
      <c r="G121" s="118"/>
      <c r="H121" s="118" t="s">
        <v>2363</v>
      </c>
      <c r="I121" s="118" t="s">
        <v>2364</v>
      </c>
      <c r="K121" s="627" t="s">
        <v>2381</v>
      </c>
      <c r="L121" s="474">
        <v>550.0</v>
      </c>
    </row>
    <row r="122">
      <c r="A122" s="123" t="s">
        <v>2366</v>
      </c>
      <c r="B122" s="124">
        <v>70000.0</v>
      </c>
      <c r="C122" s="170">
        <f>B122-(B122*M2%)</f>
        <v>31089.77342</v>
      </c>
      <c r="D122" s="281">
        <v>12500.0</v>
      </c>
      <c r="E122" s="170">
        <f>C122-D122</f>
        <v>18589.77342</v>
      </c>
      <c r="F122" s="344"/>
      <c r="G122" s="643"/>
      <c r="H122" s="123">
        <v>1.0</v>
      </c>
      <c r="I122" s="125">
        <f>D122*H122</f>
        <v>12500</v>
      </c>
      <c r="K122" s="627" t="s">
        <v>2382</v>
      </c>
      <c r="L122" s="474">
        <v>575.0</v>
      </c>
    </row>
    <row r="123">
      <c r="B123" s="124"/>
      <c r="C123" s="170"/>
      <c r="D123" s="124"/>
      <c r="F123" s="344"/>
      <c r="G123" s="643"/>
      <c r="I123" s="125"/>
      <c r="K123" s="627" t="s">
        <v>2383</v>
      </c>
      <c r="L123" s="474">
        <v>600.0</v>
      </c>
    </row>
    <row r="124">
      <c r="B124" s="124"/>
      <c r="C124" s="170"/>
      <c r="D124" s="124"/>
      <c r="F124" s="344"/>
      <c r="G124" s="643"/>
      <c r="I124" s="125"/>
      <c r="K124" s="627" t="s">
        <v>2383</v>
      </c>
      <c r="L124" s="474">
        <v>575.0</v>
      </c>
    </row>
    <row r="125">
      <c r="B125" s="124"/>
      <c r="C125" s="170"/>
      <c r="D125" s="124"/>
      <c r="F125" s="344"/>
      <c r="G125" s="643"/>
      <c r="I125" s="125"/>
      <c r="K125" s="627" t="s">
        <v>2384</v>
      </c>
      <c r="L125" s="474">
        <v>6700.0</v>
      </c>
    </row>
    <row r="126">
      <c r="A126" s="123" t="s">
        <v>2385</v>
      </c>
      <c r="B126" s="124">
        <f>AVERAGE(B76,B77)</f>
        <v>32500</v>
      </c>
      <c r="C126" s="170">
        <f>B126-(B126*M2%)</f>
        <v>14434.53766</v>
      </c>
      <c r="D126" s="281">
        <v>7500.0</v>
      </c>
      <c r="E126" s="170">
        <f t="shared" ref="E126:E128" si="12">C126-D126</f>
        <v>6934.537661</v>
      </c>
      <c r="F126" s="344"/>
      <c r="G126" s="643"/>
      <c r="H126" s="123">
        <v>2.0</v>
      </c>
      <c r="I126" s="125">
        <f t="shared" ref="I126:I128" si="13">D126*H126</f>
        <v>15000</v>
      </c>
      <c r="K126" s="627" t="s">
        <v>2386</v>
      </c>
      <c r="L126" s="474">
        <v>575.0</v>
      </c>
    </row>
    <row r="127">
      <c r="A127" s="123" t="s">
        <v>2387</v>
      </c>
      <c r="B127" s="124">
        <f>AVERAGE(B44,B44:B52,B67:B70,B43)</f>
        <v>20535.71429</v>
      </c>
      <c r="C127" s="170">
        <f>B127-(B127*M2%)</f>
        <v>9120.724346</v>
      </c>
      <c r="D127" s="281">
        <v>6250.0</v>
      </c>
      <c r="E127" s="170">
        <f t="shared" si="12"/>
        <v>2870.724346</v>
      </c>
      <c r="F127" s="344"/>
      <c r="G127" s="643"/>
      <c r="H127" s="123">
        <v>10.0</v>
      </c>
      <c r="I127" s="125">
        <f t="shared" si="13"/>
        <v>62500</v>
      </c>
      <c r="K127" s="627" t="s">
        <v>2388</v>
      </c>
      <c r="L127" s="474">
        <v>600.0</v>
      </c>
    </row>
    <row r="128">
      <c r="A128" s="123" t="s">
        <v>2372</v>
      </c>
      <c r="B128" s="124">
        <v>30000.0</v>
      </c>
      <c r="C128" s="170">
        <f>B128-(B128*M2%)</f>
        <v>13324.18861</v>
      </c>
      <c r="D128" s="281">
        <v>6250.0</v>
      </c>
      <c r="E128" s="170">
        <f t="shared" si="12"/>
        <v>7074.18861</v>
      </c>
      <c r="F128" s="344"/>
      <c r="G128" s="643"/>
      <c r="H128" s="123">
        <v>1.0</v>
      </c>
      <c r="I128" s="125">
        <f t="shared" si="13"/>
        <v>6250</v>
      </c>
      <c r="K128" s="627" t="s">
        <v>2388</v>
      </c>
      <c r="L128" s="474">
        <v>625.0</v>
      </c>
    </row>
    <row r="129">
      <c r="B129" s="124"/>
      <c r="C129" s="170"/>
      <c r="D129" s="124"/>
      <c r="F129" s="344"/>
      <c r="G129" s="643"/>
      <c r="I129" s="125"/>
      <c r="K129" s="627" t="s">
        <v>2389</v>
      </c>
      <c r="L129" s="474">
        <v>8250.0</v>
      </c>
    </row>
    <row r="130">
      <c r="B130" s="124"/>
      <c r="C130" s="170"/>
      <c r="D130" s="124"/>
      <c r="F130" s="344"/>
      <c r="G130" s="643"/>
      <c r="I130" s="125"/>
      <c r="K130" s="627" t="s">
        <v>2390</v>
      </c>
      <c r="L130" s="474">
        <v>625.0</v>
      </c>
    </row>
    <row r="131">
      <c r="C131" s="129"/>
      <c r="K131" s="627" t="s">
        <v>2373</v>
      </c>
      <c r="L131" s="474">
        <v>-7875.0</v>
      </c>
    </row>
    <row r="132">
      <c r="C132" s="129"/>
      <c r="G132" s="130" t="s">
        <v>57</v>
      </c>
      <c r="H132" s="125">
        <f t="shared" ref="H132:I132" si="14">SUM(H113:H130)</f>
        <v>30</v>
      </c>
      <c r="I132" s="125">
        <f t="shared" si="14"/>
        <v>143750</v>
      </c>
      <c r="K132" s="627" t="s">
        <v>2391</v>
      </c>
      <c r="L132" s="474">
        <v>4050.0</v>
      </c>
    </row>
    <row r="133">
      <c r="C133" s="129"/>
      <c r="G133" s="130" t="s">
        <v>2392</v>
      </c>
      <c r="I133" s="124">
        <v>69750.0</v>
      </c>
      <c r="K133" s="627" t="s">
        <v>2393</v>
      </c>
      <c r="L133" s="474">
        <v>625.0</v>
      </c>
    </row>
    <row r="134">
      <c r="C134" s="129"/>
      <c r="G134" s="644" t="s">
        <v>181</v>
      </c>
      <c r="H134" s="134"/>
      <c r="I134" s="133">
        <f>SUM(I132:I133)</f>
        <v>213500</v>
      </c>
      <c r="K134" s="627" t="s">
        <v>2394</v>
      </c>
      <c r="L134" s="474">
        <v>625.0</v>
      </c>
    </row>
    <row r="135">
      <c r="C135" s="129"/>
      <c r="G135" s="644"/>
      <c r="H135" s="134"/>
      <c r="I135" s="134"/>
      <c r="K135" s="627" t="s">
        <v>2395</v>
      </c>
      <c r="L135" s="474">
        <v>625.0</v>
      </c>
    </row>
    <row r="136">
      <c r="C136" s="129"/>
      <c r="H136" s="581"/>
      <c r="K136" s="627" t="s">
        <v>2396</v>
      </c>
      <c r="L136" s="474">
        <v>650.0</v>
      </c>
    </row>
    <row r="137">
      <c r="A137" s="122" t="s">
        <v>2360</v>
      </c>
      <c r="B137" s="118" t="s">
        <v>38</v>
      </c>
      <c r="C137" s="642" t="s">
        <v>2361</v>
      </c>
      <c r="D137" s="118" t="s">
        <v>2397</v>
      </c>
      <c r="E137" s="118" t="s">
        <v>2398</v>
      </c>
      <c r="F137" s="118"/>
      <c r="G137" s="118"/>
      <c r="H137" s="118" t="s">
        <v>2363</v>
      </c>
      <c r="I137" s="118" t="s">
        <v>2399</v>
      </c>
      <c r="K137" s="627" t="s">
        <v>2400</v>
      </c>
      <c r="L137" s="474">
        <v>4925.0</v>
      </c>
    </row>
    <row r="138">
      <c r="A138" s="123" t="s">
        <v>2366</v>
      </c>
      <c r="B138" s="124">
        <v>35000.0</v>
      </c>
      <c r="C138" s="170">
        <f>B138-(B138*M2%)</f>
        <v>15544.88671</v>
      </c>
      <c r="D138" s="124">
        <f>25000/2</f>
        <v>12500</v>
      </c>
      <c r="E138" s="170">
        <f t="shared" ref="E138:E143" si="15">C138-D138</f>
        <v>3044.886712</v>
      </c>
      <c r="F138" s="344"/>
      <c r="G138" s="643"/>
      <c r="H138" s="123">
        <v>1.0</v>
      </c>
      <c r="I138" s="125">
        <f t="shared" ref="I138:I143" si="16">D138*H138</f>
        <v>12500</v>
      </c>
      <c r="K138" s="627" t="s">
        <v>2401</v>
      </c>
      <c r="L138" s="474">
        <v>650.0</v>
      </c>
    </row>
    <row r="139">
      <c r="A139" s="123" t="s">
        <v>2368</v>
      </c>
      <c r="B139" s="124">
        <f>AVERAGE(B11,B9,B12,B13,B5,B6,B7,B8,B10)</f>
        <v>14583.33333</v>
      </c>
      <c r="C139" s="170">
        <f>B139-(B139*M2%)</f>
        <v>6477.03613</v>
      </c>
      <c r="D139" s="124">
        <f>12500/2</f>
        <v>6250</v>
      </c>
      <c r="E139" s="170">
        <f t="shared" si="15"/>
        <v>227.0361298</v>
      </c>
      <c r="F139" s="344"/>
      <c r="G139" s="643"/>
      <c r="H139" s="123">
        <v>9.0</v>
      </c>
      <c r="I139" s="125">
        <f t="shared" si="16"/>
        <v>56250</v>
      </c>
      <c r="K139" s="627" t="s">
        <v>2402</v>
      </c>
      <c r="L139" s="474">
        <v>625.0</v>
      </c>
    </row>
    <row r="140">
      <c r="A140" s="123" t="s">
        <v>2370</v>
      </c>
      <c r="B140" s="124">
        <v>13750.0</v>
      </c>
      <c r="C140" s="170">
        <f>B140-(B140*M2%)</f>
        <v>6106.91978</v>
      </c>
      <c r="D140" s="124">
        <v>6250.0</v>
      </c>
      <c r="E140" s="170">
        <f t="shared" si="15"/>
        <v>-143.0802205</v>
      </c>
      <c r="F140" s="344"/>
      <c r="G140" s="643"/>
      <c r="H140" s="123">
        <v>1.0</v>
      </c>
      <c r="I140" s="125">
        <f t="shared" si="16"/>
        <v>6250</v>
      </c>
      <c r="K140" s="627" t="s">
        <v>2403</v>
      </c>
      <c r="L140" s="474">
        <v>675.0</v>
      </c>
    </row>
    <row r="141">
      <c r="A141" s="123" t="s">
        <v>2372</v>
      </c>
      <c r="B141" s="124">
        <v>12500.0</v>
      </c>
      <c r="C141" s="170">
        <f>B141-(B141*M2%)</f>
        <v>5551.745254</v>
      </c>
      <c r="D141" s="124">
        <f>10000/2</f>
        <v>5000</v>
      </c>
      <c r="E141" s="170">
        <f t="shared" si="15"/>
        <v>551.7452541</v>
      </c>
      <c r="F141" s="344"/>
      <c r="G141" s="643"/>
      <c r="H141" s="123">
        <v>1.0</v>
      </c>
      <c r="I141" s="125">
        <f t="shared" si="16"/>
        <v>5000</v>
      </c>
    </row>
    <row r="142">
      <c r="A142" s="123" t="s">
        <v>2375</v>
      </c>
      <c r="B142" s="124">
        <f>AVERAGE(B16,B17,B18)</f>
        <v>10000</v>
      </c>
      <c r="C142" s="170">
        <f>B142-(B142*M2%)</f>
        <v>4441.396203</v>
      </c>
      <c r="D142" s="124">
        <f>7500/2</f>
        <v>3750</v>
      </c>
      <c r="E142" s="170">
        <f t="shared" si="15"/>
        <v>691.3962033</v>
      </c>
      <c r="F142" s="344"/>
      <c r="G142" s="643"/>
      <c r="H142" s="123">
        <v>3.0</v>
      </c>
      <c r="I142" s="125">
        <f t="shared" si="16"/>
        <v>11250</v>
      </c>
    </row>
    <row r="143">
      <c r="A143" s="123" t="s">
        <v>2377</v>
      </c>
      <c r="B143" s="124">
        <f>B19</f>
        <v>10000</v>
      </c>
      <c r="C143" s="170">
        <f>B143-(B119*M2%)</f>
        <v>4441.396203</v>
      </c>
      <c r="D143" s="124">
        <f>7500/2</f>
        <v>3750</v>
      </c>
      <c r="E143" s="170">
        <f t="shared" si="15"/>
        <v>691.3962033</v>
      </c>
      <c r="F143" s="344"/>
      <c r="G143" s="643"/>
      <c r="H143" s="123">
        <v>1.0</v>
      </c>
      <c r="I143" s="125">
        <f t="shared" si="16"/>
        <v>3750</v>
      </c>
      <c r="K143" s="130" t="s">
        <v>2404</v>
      </c>
      <c r="L143" s="124">
        <v>0.0</v>
      </c>
      <c r="M143" s="126">
        <f>L143</f>
        <v>0</v>
      </c>
      <c r="N143" s="128" t="s">
        <v>2213</v>
      </c>
    </row>
    <row r="144">
      <c r="A144" s="122"/>
      <c r="B144" s="118"/>
      <c r="C144" s="118"/>
      <c r="D144" s="118"/>
      <c r="E144" s="118"/>
      <c r="F144" s="118"/>
      <c r="G144" s="118"/>
      <c r="H144" s="118"/>
      <c r="I144" s="118"/>
      <c r="K144" s="627" t="s">
        <v>2405</v>
      </c>
      <c r="L144" s="474">
        <v>675.0</v>
      </c>
      <c r="M144" s="125">
        <f>SUM(L144:L176)</f>
        <v>46488</v>
      </c>
      <c r="N144" s="123" t="s">
        <v>2216</v>
      </c>
    </row>
    <row r="145">
      <c r="A145" s="122" t="s">
        <v>2380</v>
      </c>
      <c r="B145" s="118" t="s">
        <v>38</v>
      </c>
      <c r="C145" s="642" t="s">
        <v>2361</v>
      </c>
      <c r="D145" s="118" t="s">
        <v>2397</v>
      </c>
      <c r="E145" s="118" t="s">
        <v>2398</v>
      </c>
      <c r="F145" s="118"/>
      <c r="G145" s="118"/>
      <c r="H145" s="118" t="s">
        <v>2363</v>
      </c>
      <c r="I145" s="118" t="s">
        <v>2399</v>
      </c>
      <c r="K145" s="627" t="s">
        <v>2406</v>
      </c>
      <c r="L145" s="474">
        <v>700.0</v>
      </c>
      <c r="M145" s="133">
        <f>M143+M144</f>
        <v>46488</v>
      </c>
      <c r="N145" s="123" t="s">
        <v>2219</v>
      </c>
    </row>
    <row r="146">
      <c r="A146" s="123" t="s">
        <v>2366</v>
      </c>
      <c r="B146" s="124">
        <v>70000.0</v>
      </c>
      <c r="C146" s="170">
        <f>B146-(B146*M2%)</f>
        <v>31089.77342</v>
      </c>
      <c r="D146" s="124">
        <v>25000.0</v>
      </c>
      <c r="E146" s="170">
        <f>C146-D146</f>
        <v>6089.773423</v>
      </c>
      <c r="F146" s="344"/>
      <c r="G146" s="643"/>
      <c r="H146" s="123">
        <v>1.0</v>
      </c>
      <c r="I146" s="125">
        <f>D146*H146</f>
        <v>25000</v>
      </c>
      <c r="K146" s="627" t="s">
        <v>2407</v>
      </c>
      <c r="L146" s="474">
        <v>5175.0</v>
      </c>
      <c r="M146" s="189">
        <f>M145/(B2/100)*12</f>
        <v>68.3228414</v>
      </c>
      <c r="N146" s="122" t="s">
        <v>2222</v>
      </c>
    </row>
    <row r="147">
      <c r="B147" s="124"/>
      <c r="C147" s="170"/>
      <c r="D147" s="124"/>
      <c r="F147" s="344"/>
      <c r="G147" s="643"/>
      <c r="I147" s="125"/>
      <c r="K147" s="627" t="s">
        <v>2408</v>
      </c>
      <c r="L147" s="474">
        <v>650.0</v>
      </c>
      <c r="M147" s="630">
        <f>M146*0.8</f>
        <v>54.65827312</v>
      </c>
      <c r="N147" s="123" t="s">
        <v>2225</v>
      </c>
    </row>
    <row r="148">
      <c r="B148" s="124"/>
      <c r="C148" s="170"/>
      <c r="D148" s="124"/>
      <c r="F148" s="344"/>
      <c r="G148" s="643"/>
      <c r="I148" s="125"/>
      <c r="K148" s="627" t="s">
        <v>2409</v>
      </c>
      <c r="L148" s="474">
        <v>700.0</v>
      </c>
      <c r="M148" s="631">
        <f>M147/12</f>
        <v>4.554856093</v>
      </c>
      <c r="N148" s="632" t="s">
        <v>2410</v>
      </c>
    </row>
    <row r="149">
      <c r="B149" s="124"/>
      <c r="C149" s="170"/>
      <c r="D149" s="124"/>
      <c r="F149" s="344"/>
      <c r="G149" s="643"/>
      <c r="I149" s="125"/>
      <c r="K149" s="627" t="s">
        <v>2411</v>
      </c>
      <c r="L149" s="474">
        <v>5400.0</v>
      </c>
    </row>
    <row r="150">
      <c r="A150" s="123" t="s">
        <v>2385</v>
      </c>
      <c r="B150" s="124">
        <f>AVERAGE(B76,B77)</f>
        <v>32500</v>
      </c>
      <c r="C150" s="170">
        <f>B150-(B150*M2%)</f>
        <v>14434.53766</v>
      </c>
      <c r="D150" s="124">
        <v>15000.0</v>
      </c>
      <c r="E150" s="170">
        <f t="shared" ref="E150:E152" si="17">C150-D150</f>
        <v>-565.4623393</v>
      </c>
      <c r="F150" s="344"/>
      <c r="G150" s="643"/>
      <c r="H150" s="123">
        <v>2.0</v>
      </c>
      <c r="I150" s="125">
        <f t="shared" ref="I150:I152" si="18">D150*H150</f>
        <v>30000</v>
      </c>
      <c r="K150" s="627" t="s">
        <v>2412</v>
      </c>
      <c r="L150" s="474">
        <v>700.0</v>
      </c>
    </row>
    <row r="151">
      <c r="A151" s="123" t="s">
        <v>2387</v>
      </c>
      <c r="B151" s="124">
        <f>AVERAGE(B44,B44:B52,B67:B70,B43)</f>
        <v>20535.71429</v>
      </c>
      <c r="C151" s="170">
        <f>B151-(B151*M2%)</f>
        <v>9120.724346</v>
      </c>
      <c r="D151" s="124">
        <v>12500.0</v>
      </c>
      <c r="E151" s="170">
        <f t="shared" si="17"/>
        <v>-3379.275654</v>
      </c>
      <c r="F151" s="344"/>
      <c r="G151" s="643"/>
      <c r="H151" s="123">
        <v>10.0</v>
      </c>
      <c r="I151" s="125">
        <f t="shared" si="18"/>
        <v>125000</v>
      </c>
      <c r="K151" s="627" t="s">
        <v>2413</v>
      </c>
      <c r="L151" s="474">
        <v>6800.0</v>
      </c>
    </row>
    <row r="152">
      <c r="A152" s="123" t="s">
        <v>2372</v>
      </c>
      <c r="B152" s="124">
        <v>30000.0</v>
      </c>
      <c r="C152" s="170">
        <f>B152-(B152*M2%)</f>
        <v>13324.18861</v>
      </c>
      <c r="D152" s="124">
        <v>10000.0</v>
      </c>
      <c r="E152" s="170">
        <f t="shared" si="17"/>
        <v>3324.18861</v>
      </c>
      <c r="F152" s="344"/>
      <c r="G152" s="643"/>
      <c r="H152" s="123">
        <v>1.0</v>
      </c>
      <c r="I152" s="125">
        <f t="shared" si="18"/>
        <v>10000</v>
      </c>
      <c r="K152" s="627" t="s">
        <v>2414</v>
      </c>
      <c r="L152" s="474">
        <v>750.0</v>
      </c>
    </row>
    <row r="153">
      <c r="B153" s="124"/>
      <c r="C153" s="170"/>
      <c r="D153" s="124"/>
      <c r="F153" s="344"/>
      <c r="G153" s="643"/>
      <c r="I153" s="125"/>
      <c r="K153" s="627" t="s">
        <v>2415</v>
      </c>
      <c r="L153" s="474">
        <v>675.0</v>
      </c>
    </row>
    <row r="154">
      <c r="B154" s="124"/>
      <c r="C154" s="170"/>
      <c r="D154" s="124"/>
      <c r="F154" s="344"/>
      <c r="G154" s="643"/>
      <c r="I154" s="125"/>
      <c r="K154" s="627" t="s">
        <v>2416</v>
      </c>
      <c r="L154" s="474">
        <v>775.0</v>
      </c>
    </row>
    <row r="155">
      <c r="C155" s="129"/>
      <c r="K155" s="627" t="s">
        <v>2417</v>
      </c>
      <c r="L155" s="474">
        <v>6900.0</v>
      </c>
    </row>
    <row r="156">
      <c r="C156" s="129"/>
      <c r="G156" s="130" t="s">
        <v>57</v>
      </c>
      <c r="H156" s="125">
        <f t="shared" ref="H156:I156" si="19">SUM(H137:H154)</f>
        <v>30</v>
      </c>
      <c r="I156" s="125">
        <f t="shared" si="19"/>
        <v>285000</v>
      </c>
      <c r="K156" s="627" t="s">
        <v>2418</v>
      </c>
      <c r="L156" s="474">
        <v>775.0</v>
      </c>
    </row>
    <row r="157">
      <c r="C157" s="129"/>
      <c r="G157" s="130" t="s">
        <v>2392</v>
      </c>
      <c r="I157" s="124">
        <v>69750.0</v>
      </c>
      <c r="K157" s="627" t="s">
        <v>2419</v>
      </c>
      <c r="L157" s="474">
        <v>800.0</v>
      </c>
    </row>
    <row r="158">
      <c r="C158" s="129"/>
      <c r="G158" s="130" t="s">
        <v>2205</v>
      </c>
      <c r="I158" s="125">
        <f>L2</f>
        <v>453860</v>
      </c>
      <c r="K158" s="627" t="s">
        <v>2420</v>
      </c>
      <c r="L158" s="474">
        <v>625.0</v>
      </c>
    </row>
    <row r="159">
      <c r="C159" s="129"/>
      <c r="G159" s="644" t="s">
        <v>181</v>
      </c>
      <c r="H159" s="134"/>
      <c r="I159" s="133">
        <f>SUM(I156:I158)</f>
        <v>808610</v>
      </c>
      <c r="K159" s="627" t="s">
        <v>2421</v>
      </c>
      <c r="L159" s="474">
        <v>775.0</v>
      </c>
    </row>
    <row r="160">
      <c r="K160" s="627" t="s">
        <v>2422</v>
      </c>
      <c r="L160" s="474">
        <v>1350.0</v>
      </c>
    </row>
    <row r="161">
      <c r="G161" s="130" t="s">
        <v>2423</v>
      </c>
      <c r="I161" s="124">
        <f>B2-I159</f>
        <v>7890</v>
      </c>
      <c r="K161" s="627" t="s">
        <v>2424</v>
      </c>
      <c r="L161" s="474">
        <v>1100.0</v>
      </c>
    </row>
    <row r="162">
      <c r="G162" s="130" t="s">
        <v>2425</v>
      </c>
      <c r="I162" s="344" t="str">
        <f>I161/G2</f>
        <v>#DIV/0!</v>
      </c>
      <c r="K162" s="627" t="s">
        <v>2426</v>
      </c>
      <c r="L162" s="474">
        <v>6550.0</v>
      </c>
    </row>
    <row r="163">
      <c r="G163" s="130" t="s">
        <v>2427</v>
      </c>
      <c r="I163" s="645" t="str">
        <f>I162/30</f>
        <v>#DIV/0!</v>
      </c>
      <c r="K163" s="627" t="s">
        <v>2428</v>
      </c>
      <c r="L163" s="474">
        <v>-3000.0</v>
      </c>
    </row>
    <row r="164">
      <c r="C164" s="129"/>
      <c r="H164" s="581"/>
      <c r="K164" s="627" t="s">
        <v>2429</v>
      </c>
      <c r="L164" s="474">
        <v>750.0</v>
      </c>
    </row>
    <row r="165">
      <c r="C165" s="129"/>
      <c r="H165" s="581"/>
      <c r="K165" s="627" t="s">
        <v>2430</v>
      </c>
      <c r="L165" s="474">
        <v>700.0</v>
      </c>
    </row>
    <row r="166">
      <c r="A166" s="122" t="s">
        <v>2360</v>
      </c>
      <c r="B166" s="118" t="s">
        <v>38</v>
      </c>
      <c r="C166" s="642" t="s">
        <v>2361</v>
      </c>
      <c r="D166" s="118" t="s">
        <v>2431</v>
      </c>
      <c r="E166" s="118" t="s">
        <v>2432</v>
      </c>
      <c r="F166" s="118"/>
      <c r="G166" s="118"/>
      <c r="H166" s="118" t="s">
        <v>2363</v>
      </c>
      <c r="I166" s="118" t="s">
        <v>2433</v>
      </c>
      <c r="K166" s="627" t="s">
        <v>2373</v>
      </c>
      <c r="L166" s="474">
        <v>-7875.0</v>
      </c>
    </row>
    <row r="167">
      <c r="A167" s="123" t="s">
        <v>2366</v>
      </c>
      <c r="B167" s="124">
        <v>35000.0</v>
      </c>
      <c r="C167" s="170">
        <f>B167-(B167*M2%)</f>
        <v>15544.88671</v>
      </c>
      <c r="D167" s="124">
        <f>12500/2</f>
        <v>6250</v>
      </c>
      <c r="E167" s="170">
        <f t="shared" ref="E167:E172" si="20">C167-D167</f>
        <v>9294.886712</v>
      </c>
      <c r="F167" s="344"/>
      <c r="G167" s="643"/>
      <c r="H167" s="123">
        <v>1.0</v>
      </c>
      <c r="I167" s="125">
        <f t="shared" ref="I167:I172" si="21">D167*H167</f>
        <v>6250</v>
      </c>
      <c r="K167" s="627" t="s">
        <v>2434</v>
      </c>
      <c r="L167" s="474">
        <v>700.0</v>
      </c>
    </row>
    <row r="168">
      <c r="A168" s="123" t="s">
        <v>2368</v>
      </c>
      <c r="B168" s="124">
        <f>AVERAGE(B11,B9,B12,B13,B5,B6,B7,B8,B10)</f>
        <v>14583.33333</v>
      </c>
      <c r="C168" s="170">
        <f>B168-(B168*M2%)</f>
        <v>6477.03613</v>
      </c>
      <c r="D168" s="124">
        <f t="shared" ref="D168:D169" si="22">6250/2</f>
        <v>3125</v>
      </c>
      <c r="E168" s="170">
        <f t="shared" si="20"/>
        <v>3352.03613</v>
      </c>
      <c r="F168" s="344"/>
      <c r="G168" s="643"/>
      <c r="H168" s="123">
        <v>9.0</v>
      </c>
      <c r="I168" s="125">
        <f t="shared" si="21"/>
        <v>28125</v>
      </c>
      <c r="K168" s="627" t="s">
        <v>2435</v>
      </c>
      <c r="L168" s="474">
        <v>700.0</v>
      </c>
    </row>
    <row r="169">
      <c r="A169" s="123" t="s">
        <v>2370</v>
      </c>
      <c r="B169" s="124">
        <v>13750.0</v>
      </c>
      <c r="C169" s="170">
        <f>B169-(B169*M2%)</f>
        <v>6106.91978</v>
      </c>
      <c r="D169" s="124">
        <f t="shared" si="22"/>
        <v>3125</v>
      </c>
      <c r="E169" s="170">
        <f t="shared" si="20"/>
        <v>2981.91978</v>
      </c>
      <c r="F169" s="344"/>
      <c r="G169" s="643"/>
      <c r="H169" s="123">
        <v>1.0</v>
      </c>
      <c r="I169" s="125">
        <f t="shared" si="21"/>
        <v>3125</v>
      </c>
      <c r="K169" s="627" t="s">
        <v>2436</v>
      </c>
      <c r="L169" s="474">
        <v>5850.0</v>
      </c>
    </row>
    <row r="170">
      <c r="A170" s="123" t="s">
        <v>2372</v>
      </c>
      <c r="B170" s="124">
        <v>12500.0</v>
      </c>
      <c r="C170" s="170">
        <f>B170-(B170*M2%)</f>
        <v>5551.745254</v>
      </c>
      <c r="D170" s="124">
        <f>5000/2</f>
        <v>2500</v>
      </c>
      <c r="E170" s="170">
        <f t="shared" si="20"/>
        <v>3051.745254</v>
      </c>
      <c r="F170" s="344"/>
      <c r="G170" s="643"/>
      <c r="H170" s="123">
        <v>1.0</v>
      </c>
      <c r="I170" s="125">
        <f t="shared" si="21"/>
        <v>2500</v>
      </c>
      <c r="K170" s="627" t="s">
        <v>2437</v>
      </c>
      <c r="L170" s="474">
        <v>700.0</v>
      </c>
    </row>
    <row r="171">
      <c r="A171" s="123" t="s">
        <v>2375</v>
      </c>
      <c r="B171" s="124">
        <f>AVERAGE(B16,B17,B18)</f>
        <v>10000</v>
      </c>
      <c r="C171" s="170">
        <f>B171-(B171*M2%)</f>
        <v>4441.396203</v>
      </c>
      <c r="D171" s="124">
        <v>1875.0</v>
      </c>
      <c r="E171" s="170">
        <f t="shared" si="20"/>
        <v>2566.396203</v>
      </c>
      <c r="F171" s="344"/>
      <c r="G171" s="643"/>
      <c r="H171" s="123">
        <v>3.0</v>
      </c>
      <c r="I171" s="125">
        <f t="shared" si="21"/>
        <v>5625</v>
      </c>
      <c r="K171" s="627" t="s">
        <v>2438</v>
      </c>
      <c r="L171" s="474">
        <v>1175.0</v>
      </c>
    </row>
    <row r="172">
      <c r="A172" s="123" t="s">
        <v>2377</v>
      </c>
      <c r="B172" s="124">
        <f>B19</f>
        <v>10000</v>
      </c>
      <c r="C172" s="170">
        <f>B172-(B119*M2%)</f>
        <v>4441.396203</v>
      </c>
      <c r="D172" s="124">
        <v>1875.0</v>
      </c>
      <c r="E172" s="170">
        <f t="shared" si="20"/>
        <v>2566.396203</v>
      </c>
      <c r="F172" s="344"/>
      <c r="G172" s="643"/>
      <c r="H172" s="123">
        <v>1.0</v>
      </c>
      <c r="I172" s="125">
        <f t="shared" si="21"/>
        <v>1875</v>
      </c>
      <c r="K172" s="627" t="s">
        <v>2439</v>
      </c>
      <c r="L172" s="474">
        <v>1250.0</v>
      </c>
    </row>
    <row r="173">
      <c r="A173" s="122"/>
      <c r="B173" s="118"/>
      <c r="C173" s="118"/>
      <c r="D173" s="118"/>
      <c r="E173" s="118"/>
      <c r="F173" s="118"/>
      <c r="G173" s="118"/>
      <c r="H173" s="118"/>
      <c r="I173" s="118"/>
      <c r="K173" s="627" t="s">
        <v>2440</v>
      </c>
      <c r="L173" s="474">
        <v>700.0</v>
      </c>
    </row>
    <row r="174">
      <c r="A174" s="122" t="s">
        <v>2380</v>
      </c>
      <c r="B174" s="118" t="s">
        <v>38</v>
      </c>
      <c r="C174" s="642" t="s">
        <v>2361</v>
      </c>
      <c r="D174" s="118" t="s">
        <v>2431</v>
      </c>
      <c r="E174" s="118" t="s">
        <v>2432</v>
      </c>
      <c r="F174" s="118"/>
      <c r="G174" s="118"/>
      <c r="H174" s="118" t="s">
        <v>2363</v>
      </c>
      <c r="I174" s="118" t="s">
        <v>2433</v>
      </c>
      <c r="K174" s="627" t="s">
        <v>2441</v>
      </c>
      <c r="L174" s="474">
        <v>875.0</v>
      </c>
    </row>
    <row r="175">
      <c r="A175" s="123" t="s">
        <v>2366</v>
      </c>
      <c r="B175" s="124">
        <v>70000.0</v>
      </c>
      <c r="C175" s="170">
        <f>B175-(B175*M2%)</f>
        <v>31089.77342</v>
      </c>
      <c r="D175" s="124">
        <v>12500.0</v>
      </c>
      <c r="E175" s="170">
        <f>C175-D175</f>
        <v>18589.77342</v>
      </c>
      <c r="F175" s="344"/>
      <c r="G175" s="643"/>
      <c r="H175" s="123">
        <v>1.0</v>
      </c>
      <c r="I175" s="125">
        <f>D175*H175</f>
        <v>12500</v>
      </c>
      <c r="K175" s="627" t="s">
        <v>2442</v>
      </c>
      <c r="L175" s="474">
        <v>5650.0</v>
      </c>
    </row>
    <row r="176">
      <c r="A176" s="123" t="s">
        <v>1979</v>
      </c>
      <c r="B176" s="124"/>
      <c r="C176" s="170"/>
      <c r="D176" s="124"/>
      <c r="F176" s="344"/>
      <c r="G176" s="643"/>
      <c r="I176" s="125"/>
      <c r="K176" s="627" t="s">
        <v>2443</v>
      </c>
      <c r="L176" s="474">
        <v>-3562.0</v>
      </c>
    </row>
    <row r="177">
      <c r="B177" s="124"/>
      <c r="C177" s="170"/>
      <c r="D177" s="124"/>
      <c r="F177" s="344"/>
      <c r="G177" s="643"/>
      <c r="I177" s="125"/>
    </row>
    <row r="178">
      <c r="A178" s="123" t="s">
        <v>2368</v>
      </c>
      <c r="B178" s="124"/>
      <c r="C178" s="170"/>
      <c r="D178" s="124"/>
      <c r="F178" s="344"/>
      <c r="G178" s="643"/>
      <c r="I178" s="125"/>
      <c r="K178" s="130" t="s">
        <v>2444</v>
      </c>
      <c r="L178" s="124">
        <v>0.0</v>
      </c>
      <c r="M178" s="126">
        <f>L178</f>
        <v>0</v>
      </c>
      <c r="N178" s="128" t="s">
        <v>2213</v>
      </c>
    </row>
    <row r="179">
      <c r="A179" s="123" t="s">
        <v>2385</v>
      </c>
      <c r="B179" s="124">
        <f>AVERAGE(B76,B77)</f>
        <v>32500</v>
      </c>
      <c r="C179" s="170">
        <f>B179-(B179*M2%)</f>
        <v>14434.53766</v>
      </c>
      <c r="D179" s="124">
        <v>7500.0</v>
      </c>
      <c r="E179" s="170">
        <f t="shared" ref="E179:E181" si="23">C179-D179</f>
        <v>6934.537661</v>
      </c>
      <c r="F179" s="344"/>
      <c r="G179" s="643"/>
      <c r="H179" s="123">
        <v>2.0</v>
      </c>
      <c r="I179" s="125">
        <f t="shared" ref="I179:I181" si="24">D179*H179</f>
        <v>15000</v>
      </c>
      <c r="K179" s="627" t="s">
        <v>2445</v>
      </c>
      <c r="L179" s="474">
        <v>825.0</v>
      </c>
      <c r="M179" s="125">
        <f>SUM(L179:L217)</f>
        <v>44555</v>
      </c>
      <c r="N179" s="123" t="s">
        <v>2216</v>
      </c>
    </row>
    <row r="180">
      <c r="A180" s="123" t="s">
        <v>2387</v>
      </c>
      <c r="B180" s="124">
        <f>AVERAGE(B44,B44:B52,B67:B70,B43)</f>
        <v>20535.71429</v>
      </c>
      <c r="C180" s="170">
        <f>B180-(B180*M2%)</f>
        <v>9120.724346</v>
      </c>
      <c r="D180" s="124">
        <v>6250.0</v>
      </c>
      <c r="E180" s="170">
        <f t="shared" si="23"/>
        <v>2870.724346</v>
      </c>
      <c r="F180" s="344"/>
      <c r="G180" s="643"/>
      <c r="H180" s="123">
        <v>10.0</v>
      </c>
      <c r="I180" s="125">
        <f t="shared" si="24"/>
        <v>62500</v>
      </c>
      <c r="K180" s="627" t="s">
        <v>2446</v>
      </c>
      <c r="L180" s="474">
        <v>700.0</v>
      </c>
      <c r="M180" s="133">
        <f>M178+M179</f>
        <v>44555</v>
      </c>
      <c r="N180" s="123" t="s">
        <v>2219</v>
      </c>
    </row>
    <row r="181">
      <c r="A181" s="123" t="s">
        <v>2372</v>
      </c>
      <c r="B181" s="124">
        <v>30000.0</v>
      </c>
      <c r="C181" s="170">
        <f>B181-(B181*M2%)</f>
        <v>13324.18861</v>
      </c>
      <c r="D181" s="124">
        <v>6250.0</v>
      </c>
      <c r="E181" s="170">
        <f t="shared" si="23"/>
        <v>7074.18861</v>
      </c>
      <c r="F181" s="344"/>
      <c r="G181" s="643"/>
      <c r="H181" s="123">
        <v>1.0</v>
      </c>
      <c r="I181" s="125">
        <f t="shared" si="24"/>
        <v>6250</v>
      </c>
      <c r="K181" s="627" t="s">
        <v>2447</v>
      </c>
      <c r="L181" s="474">
        <v>1150.0</v>
      </c>
      <c r="M181" s="189">
        <f>M180/(B2/100)*12</f>
        <v>65.48193509</v>
      </c>
      <c r="N181" s="122" t="s">
        <v>2222</v>
      </c>
    </row>
    <row r="182">
      <c r="A182" s="123" t="s">
        <v>2375</v>
      </c>
      <c r="B182" s="124"/>
      <c r="C182" s="170"/>
      <c r="D182" s="124"/>
      <c r="F182" s="344"/>
      <c r="G182" s="643"/>
      <c r="I182" s="125"/>
      <c r="K182" s="627" t="s">
        <v>2448</v>
      </c>
      <c r="L182" s="474">
        <v>1400.0</v>
      </c>
      <c r="M182" s="630">
        <f>M181*0.8</f>
        <v>52.38554807</v>
      </c>
      <c r="N182" s="123" t="s">
        <v>2225</v>
      </c>
    </row>
    <row r="183">
      <c r="A183" s="123" t="s">
        <v>2377</v>
      </c>
      <c r="B183" s="124"/>
      <c r="C183" s="170"/>
      <c r="D183" s="124"/>
      <c r="F183" s="344"/>
      <c r="G183" s="643"/>
      <c r="I183" s="125"/>
      <c r="K183" s="627" t="s">
        <v>2449</v>
      </c>
      <c r="L183" s="474">
        <v>1325.0</v>
      </c>
      <c r="M183" s="631">
        <f>M182/12</f>
        <v>4.365462339</v>
      </c>
      <c r="N183" s="632" t="s">
        <v>2450</v>
      </c>
    </row>
    <row r="184">
      <c r="C184" s="129"/>
      <c r="K184" s="627" t="s">
        <v>2451</v>
      </c>
      <c r="L184" s="474">
        <v>6200.0</v>
      </c>
    </row>
    <row r="185">
      <c r="C185" s="129"/>
      <c r="G185" s="130" t="s">
        <v>57</v>
      </c>
      <c r="H185" s="125">
        <f t="shared" ref="H185:I185" si="25">SUM(H166:H183)</f>
        <v>30</v>
      </c>
      <c r="I185" s="125">
        <f t="shared" si="25"/>
        <v>143750</v>
      </c>
      <c r="K185" s="627" t="s">
        <v>2452</v>
      </c>
      <c r="L185" s="474">
        <v>775.0</v>
      </c>
    </row>
    <row r="186">
      <c r="C186" s="129"/>
      <c r="G186" s="130" t="s">
        <v>2392</v>
      </c>
      <c r="I186" s="124">
        <v>69750.0</v>
      </c>
      <c r="K186" s="627" t="s">
        <v>2453</v>
      </c>
      <c r="L186" s="474">
        <v>875.0</v>
      </c>
    </row>
    <row r="187">
      <c r="C187" s="129"/>
      <c r="G187" s="130" t="s">
        <v>2205</v>
      </c>
      <c r="I187" s="125">
        <f>L2</f>
        <v>453860</v>
      </c>
      <c r="K187" s="627" t="s">
        <v>2454</v>
      </c>
      <c r="L187" s="474">
        <v>825.0</v>
      </c>
    </row>
    <row r="188">
      <c r="C188" s="129"/>
      <c r="G188" s="644" t="s">
        <v>181</v>
      </c>
      <c r="H188" s="134"/>
      <c r="I188" s="133">
        <f>SUM(I185:I187)</f>
        <v>667360</v>
      </c>
      <c r="K188" s="627" t="s">
        <v>2455</v>
      </c>
      <c r="L188" s="474">
        <v>700.0</v>
      </c>
    </row>
    <row r="189">
      <c r="K189" s="627" t="s">
        <v>2456</v>
      </c>
      <c r="L189" s="474">
        <v>1500.0</v>
      </c>
    </row>
    <row r="190">
      <c r="G190" s="130" t="s">
        <v>2423</v>
      </c>
      <c r="I190" s="124">
        <f>B2-I188</f>
        <v>149140</v>
      </c>
      <c r="K190" s="627" t="s">
        <v>2457</v>
      </c>
      <c r="L190" s="474">
        <v>5700.0</v>
      </c>
    </row>
    <row r="191">
      <c r="G191" s="130" t="s">
        <v>2425</v>
      </c>
      <c r="I191" s="344" t="str">
        <f>I190/G2</f>
        <v>#DIV/0!</v>
      </c>
      <c r="K191" s="627" t="s">
        <v>2458</v>
      </c>
      <c r="L191" s="474">
        <v>1025.0</v>
      </c>
    </row>
    <row r="192">
      <c r="G192" s="130" t="s">
        <v>2427</v>
      </c>
      <c r="I192" s="645" t="str">
        <f>I191/30</f>
        <v>#DIV/0!</v>
      </c>
      <c r="K192" s="627" t="s">
        <v>2459</v>
      </c>
      <c r="L192" s="474">
        <v>1400.0</v>
      </c>
    </row>
    <row r="193">
      <c r="K193" s="627" t="s">
        <v>2460</v>
      </c>
      <c r="L193" s="474">
        <v>875.0</v>
      </c>
    </row>
    <row r="194">
      <c r="K194" s="627" t="s">
        <v>2461</v>
      </c>
      <c r="L194" s="474">
        <v>1250.0</v>
      </c>
    </row>
    <row r="195">
      <c r="K195" s="627" t="s">
        <v>2462</v>
      </c>
      <c r="L195" s="474">
        <v>725.0</v>
      </c>
    </row>
    <row r="196">
      <c r="K196" s="627" t="s">
        <v>2463</v>
      </c>
      <c r="L196" s="474">
        <v>5500.0</v>
      </c>
    </row>
    <row r="197">
      <c r="K197" s="627" t="s">
        <v>2464</v>
      </c>
      <c r="L197" s="474">
        <v>1450.0</v>
      </c>
    </row>
    <row r="198">
      <c r="K198" s="627" t="s">
        <v>2465</v>
      </c>
      <c r="L198" s="474">
        <v>675.0</v>
      </c>
    </row>
    <row r="199">
      <c r="K199" s="627" t="s">
        <v>2466</v>
      </c>
      <c r="L199" s="474">
        <v>1400.0</v>
      </c>
    </row>
    <row r="200">
      <c r="K200" s="627" t="s">
        <v>2467</v>
      </c>
      <c r="L200" s="474">
        <v>700.0</v>
      </c>
    </row>
    <row r="201">
      <c r="K201" s="627" t="s">
        <v>2468</v>
      </c>
      <c r="L201" s="474">
        <v>1325.0</v>
      </c>
    </row>
    <row r="202">
      <c r="K202" s="627" t="s">
        <v>2469</v>
      </c>
      <c r="L202" s="474">
        <v>5200.0</v>
      </c>
    </row>
    <row r="203">
      <c r="K203" s="627" t="s">
        <v>2470</v>
      </c>
      <c r="L203" s="474">
        <v>800.0</v>
      </c>
    </row>
    <row r="204">
      <c r="K204" s="627" t="s">
        <v>2471</v>
      </c>
      <c r="L204" s="474">
        <v>800.0</v>
      </c>
    </row>
    <row r="205">
      <c r="K205" s="627" t="s">
        <v>2472</v>
      </c>
      <c r="L205" s="474">
        <v>650.0</v>
      </c>
    </row>
    <row r="206">
      <c r="C206" s="129"/>
      <c r="H206" s="581"/>
      <c r="K206" s="627" t="s">
        <v>2473</v>
      </c>
      <c r="L206" s="474">
        <v>1325.0</v>
      </c>
    </row>
    <row r="207">
      <c r="C207" s="129"/>
      <c r="H207" s="581"/>
      <c r="K207" s="627" t="s">
        <v>2373</v>
      </c>
      <c r="L207" s="474">
        <v>-7875.0</v>
      </c>
    </row>
    <row r="208">
      <c r="C208" s="129"/>
      <c r="H208" s="581"/>
      <c r="K208" s="627" t="s">
        <v>2428</v>
      </c>
      <c r="L208" s="474">
        <v>-6250.0</v>
      </c>
    </row>
    <row r="209">
      <c r="C209" s="129"/>
      <c r="H209" s="581"/>
      <c r="K209" s="627" t="s">
        <v>2474</v>
      </c>
      <c r="L209" s="474">
        <v>925.0</v>
      </c>
    </row>
    <row r="210">
      <c r="C210" s="129"/>
      <c r="H210" s="581"/>
      <c r="K210" s="627" t="s">
        <v>2475</v>
      </c>
      <c r="L210" s="474">
        <v>5000.0</v>
      </c>
    </row>
    <row r="211">
      <c r="C211" s="129"/>
      <c r="H211" s="581"/>
      <c r="K211" s="627" t="s">
        <v>2476</v>
      </c>
      <c r="L211" s="474">
        <v>675.0</v>
      </c>
    </row>
    <row r="212">
      <c r="C212" s="129"/>
      <c r="H212" s="581"/>
      <c r="K212" s="627" t="s">
        <v>2477</v>
      </c>
      <c r="L212" s="474">
        <v>800.0</v>
      </c>
    </row>
    <row r="213">
      <c r="C213" s="129"/>
      <c r="H213" s="581"/>
      <c r="K213" s="627" t="s">
        <v>2478</v>
      </c>
      <c r="L213" s="474">
        <v>800.0</v>
      </c>
    </row>
    <row r="214">
      <c r="C214" s="129"/>
      <c r="H214" s="581"/>
      <c r="K214" s="627" t="s">
        <v>2479</v>
      </c>
      <c r="L214" s="474">
        <v>875.0</v>
      </c>
    </row>
    <row r="215">
      <c r="C215" s="129"/>
      <c r="H215" s="581"/>
      <c r="K215" s="627" t="s">
        <v>2480</v>
      </c>
      <c r="L215" s="474">
        <v>875.0</v>
      </c>
    </row>
    <row r="216">
      <c r="C216" s="129"/>
      <c r="H216" s="581"/>
      <c r="K216" s="627" t="s">
        <v>2481</v>
      </c>
      <c r="L216" s="474">
        <v>3625.0</v>
      </c>
    </row>
    <row r="217">
      <c r="C217" s="129"/>
      <c r="H217" s="581"/>
      <c r="K217" s="627" t="s">
        <v>2371</v>
      </c>
      <c r="L217" s="474">
        <v>-1970.0</v>
      </c>
    </row>
    <row r="218">
      <c r="C218" s="129"/>
      <c r="H218" s="581"/>
    </row>
    <row r="219">
      <c r="C219" s="129"/>
      <c r="H219" s="581"/>
      <c r="K219" s="130" t="s">
        <v>2482</v>
      </c>
      <c r="L219" s="124">
        <v>0.0</v>
      </c>
      <c r="M219" s="126">
        <f>L219</f>
        <v>0</v>
      </c>
      <c r="N219" s="128" t="s">
        <v>2213</v>
      </c>
    </row>
    <row r="220">
      <c r="C220" s="129"/>
      <c r="H220" s="581"/>
      <c r="K220" s="627" t="s">
        <v>2371</v>
      </c>
      <c r="L220" s="474">
        <v>-1250.0</v>
      </c>
      <c r="M220" s="125">
        <f>SUM(L220:L248)</f>
        <v>19450</v>
      </c>
      <c r="N220" s="123" t="s">
        <v>2216</v>
      </c>
    </row>
    <row r="221">
      <c r="C221" s="129"/>
      <c r="H221" s="581"/>
      <c r="K221" s="627" t="s">
        <v>2483</v>
      </c>
      <c r="L221" s="474">
        <v>2400.0</v>
      </c>
      <c r="M221" s="133">
        <f>M219+M220</f>
        <v>19450</v>
      </c>
      <c r="N221" s="123" t="s">
        <v>2219</v>
      </c>
    </row>
    <row r="222">
      <c r="C222" s="129"/>
      <c r="H222" s="581"/>
      <c r="K222" s="627" t="s">
        <v>2484</v>
      </c>
      <c r="L222" s="474">
        <v>675.0</v>
      </c>
      <c r="M222" s="189">
        <f>M221/(B2/100)*12</f>
        <v>28.5854256</v>
      </c>
      <c r="N222" s="122" t="s">
        <v>2222</v>
      </c>
    </row>
    <row r="223">
      <c r="C223" s="129"/>
      <c r="H223" s="581"/>
      <c r="K223" s="627" t="s">
        <v>2485</v>
      </c>
      <c r="L223" s="474">
        <v>1000.0</v>
      </c>
      <c r="M223" s="630">
        <f>M222*0.8</f>
        <v>22.86834048</v>
      </c>
      <c r="N223" s="123" t="s">
        <v>2225</v>
      </c>
    </row>
    <row r="224">
      <c r="C224" s="129"/>
      <c r="H224" s="581"/>
      <c r="K224" s="627" t="s">
        <v>2486</v>
      </c>
      <c r="L224" s="474">
        <v>1300.0</v>
      </c>
      <c r="M224" s="631">
        <f>M223/12</f>
        <v>1.90569504</v>
      </c>
      <c r="N224" s="632" t="s">
        <v>2487</v>
      </c>
    </row>
    <row r="225">
      <c r="C225" s="129"/>
      <c r="H225" s="581"/>
      <c r="K225" s="627" t="s">
        <v>2488</v>
      </c>
      <c r="L225" s="474">
        <v>1150.0</v>
      </c>
    </row>
    <row r="226">
      <c r="C226" s="129"/>
      <c r="H226" s="581"/>
      <c r="K226" s="627" t="s">
        <v>2489</v>
      </c>
      <c r="L226" s="474">
        <v>1125.0</v>
      </c>
    </row>
    <row r="227">
      <c r="C227" s="129"/>
      <c r="H227" s="581"/>
      <c r="K227" s="627" t="s">
        <v>2490</v>
      </c>
      <c r="L227" s="474">
        <v>3075.0</v>
      </c>
    </row>
    <row r="228">
      <c r="C228" s="129"/>
      <c r="H228" s="581"/>
      <c r="K228" s="627" t="s">
        <v>2491</v>
      </c>
      <c r="L228" s="474">
        <v>1025.0</v>
      </c>
    </row>
    <row r="229">
      <c r="C229" s="129"/>
      <c r="H229" s="581"/>
      <c r="K229" s="627" t="s">
        <v>2492</v>
      </c>
      <c r="L229" s="474">
        <v>975.0</v>
      </c>
    </row>
    <row r="230">
      <c r="C230" s="129"/>
      <c r="H230" s="581"/>
      <c r="K230" s="627" t="s">
        <v>2493</v>
      </c>
      <c r="L230" s="474">
        <v>1075.0</v>
      </c>
    </row>
    <row r="231">
      <c r="C231" s="129"/>
      <c r="H231" s="581"/>
      <c r="K231" s="627" t="s">
        <v>2494</v>
      </c>
      <c r="L231" s="474">
        <v>1225.0</v>
      </c>
    </row>
    <row r="232">
      <c r="C232" s="129"/>
      <c r="H232" s="581"/>
      <c r="K232" s="627" t="s">
        <v>2495</v>
      </c>
      <c r="L232" s="474">
        <v>1725.0</v>
      </c>
    </row>
    <row r="233">
      <c r="C233" s="129"/>
      <c r="H233" s="581"/>
      <c r="K233" s="627" t="s">
        <v>2496</v>
      </c>
      <c r="L233" s="474">
        <v>1325.0</v>
      </c>
    </row>
    <row r="234">
      <c r="C234" s="129"/>
      <c r="H234" s="581"/>
      <c r="K234" s="627" t="s">
        <v>2497</v>
      </c>
      <c r="L234" s="474">
        <v>1050.0</v>
      </c>
    </row>
    <row r="235">
      <c r="C235" s="129"/>
      <c r="H235" s="581"/>
      <c r="K235" s="627" t="s">
        <v>2498</v>
      </c>
      <c r="L235" s="474">
        <v>1050.0</v>
      </c>
    </row>
    <row r="236">
      <c r="C236" s="129"/>
      <c r="H236" s="581"/>
      <c r="K236" s="627" t="s">
        <v>2499</v>
      </c>
      <c r="L236" s="474">
        <v>1175.0</v>
      </c>
    </row>
    <row r="237">
      <c r="C237" s="129"/>
      <c r="H237" s="581"/>
      <c r="K237" s="627" t="s">
        <v>2500</v>
      </c>
      <c r="L237" s="474">
        <v>550.0</v>
      </c>
    </row>
    <row r="238">
      <c r="C238" s="129"/>
      <c r="H238" s="581"/>
      <c r="K238" s="627" t="s">
        <v>2501</v>
      </c>
      <c r="L238" s="474">
        <v>950.0</v>
      </c>
    </row>
    <row r="239">
      <c r="C239" s="129"/>
      <c r="H239" s="581"/>
      <c r="K239" s="627" t="s">
        <v>2502</v>
      </c>
      <c r="L239" s="474">
        <v>1000.0</v>
      </c>
    </row>
    <row r="240">
      <c r="C240" s="129"/>
      <c r="H240" s="581"/>
      <c r="K240" s="627" t="s">
        <v>2428</v>
      </c>
      <c r="L240" s="474">
        <v>-8325.0</v>
      </c>
    </row>
    <row r="241">
      <c r="C241" s="129"/>
      <c r="H241" s="581"/>
      <c r="K241" s="627" t="s">
        <v>2503</v>
      </c>
      <c r="L241" s="474">
        <v>2000.0</v>
      </c>
    </row>
    <row r="242">
      <c r="C242" s="129"/>
      <c r="H242" s="581"/>
      <c r="K242" s="627" t="s">
        <v>2504</v>
      </c>
      <c r="L242" s="474">
        <v>1375.0</v>
      </c>
    </row>
    <row r="243">
      <c r="C243" s="129"/>
      <c r="H243" s="581"/>
      <c r="K243" s="627" t="s">
        <v>2373</v>
      </c>
      <c r="L243" s="474">
        <v>-2500.0</v>
      </c>
    </row>
    <row r="244">
      <c r="C244" s="129"/>
      <c r="H244" s="581"/>
      <c r="K244" s="627" t="s">
        <v>2505</v>
      </c>
      <c r="L244" s="474">
        <v>950.0</v>
      </c>
    </row>
    <row r="245">
      <c r="C245" s="129"/>
      <c r="H245" s="581"/>
      <c r="K245" s="627" t="s">
        <v>2506</v>
      </c>
      <c r="L245" s="474">
        <v>950.0</v>
      </c>
    </row>
    <row r="246">
      <c r="C246" s="129"/>
      <c r="H246" s="581"/>
      <c r="K246" s="627" t="s">
        <v>2507</v>
      </c>
      <c r="L246" s="474">
        <v>1900.0</v>
      </c>
    </row>
    <row r="247">
      <c r="C247" s="129"/>
      <c r="H247" s="581"/>
      <c r="K247" s="627" t="s">
        <v>2508</v>
      </c>
      <c r="L247" s="474">
        <v>1750.0</v>
      </c>
    </row>
    <row r="248">
      <c r="C248" s="129"/>
      <c r="H248" s="581"/>
      <c r="K248" s="627" t="s">
        <v>2371</v>
      </c>
      <c r="L248" s="474">
        <v>-1250.0</v>
      </c>
    </row>
    <row r="249">
      <c r="C249" s="129"/>
      <c r="H249" s="581"/>
      <c r="K249" s="627"/>
      <c r="L249" s="474"/>
    </row>
    <row r="250">
      <c r="C250" s="129"/>
      <c r="H250" s="581"/>
      <c r="K250" s="130" t="s">
        <v>2210</v>
      </c>
      <c r="L250" s="124">
        <v>0.0</v>
      </c>
      <c r="M250" s="126">
        <f>L250</f>
        <v>0</v>
      </c>
      <c r="N250" s="128" t="s">
        <v>2213</v>
      </c>
    </row>
    <row r="251">
      <c r="C251" s="129"/>
      <c r="H251" s="581"/>
      <c r="K251" s="627" t="s">
        <v>2509</v>
      </c>
      <c r="L251" s="474">
        <v>4310.0</v>
      </c>
      <c r="M251" s="125">
        <f>SUM(L251:L267)</f>
        <v>20841</v>
      </c>
      <c r="N251" s="123" t="s">
        <v>2216</v>
      </c>
    </row>
    <row r="252">
      <c r="C252" s="129"/>
      <c r="H252" s="581"/>
      <c r="K252" s="627" t="s">
        <v>2510</v>
      </c>
      <c r="L252" s="474">
        <v>5600.0</v>
      </c>
      <c r="M252" s="133">
        <f>M250+M251</f>
        <v>20841</v>
      </c>
      <c r="N252" s="123" t="s">
        <v>2219</v>
      </c>
    </row>
    <row r="253">
      <c r="C253" s="129"/>
      <c r="H253" s="581"/>
      <c r="K253" s="627" t="s">
        <v>2511</v>
      </c>
      <c r="L253" s="474">
        <v>2275.0</v>
      </c>
      <c r="M253" s="189">
        <f>M252/(B2/100)*12</f>
        <v>30.62976118</v>
      </c>
      <c r="N253" s="122" t="s">
        <v>2222</v>
      </c>
    </row>
    <row r="254">
      <c r="C254" s="129"/>
      <c r="H254" s="581"/>
      <c r="K254" s="627" t="s">
        <v>2512</v>
      </c>
      <c r="L254" s="474">
        <v>1800.0</v>
      </c>
      <c r="M254" s="630">
        <f>M253*0.8</f>
        <v>24.50380894</v>
      </c>
      <c r="N254" s="123" t="s">
        <v>2225</v>
      </c>
    </row>
    <row r="255">
      <c r="C255" s="129"/>
      <c r="H255" s="581"/>
      <c r="K255" s="627" t="s">
        <v>2513</v>
      </c>
      <c r="L255" s="474">
        <v>1950.0</v>
      </c>
      <c r="M255" s="631">
        <f>M254/12</f>
        <v>2.041984078</v>
      </c>
      <c r="N255" s="632" t="s">
        <v>2514</v>
      </c>
    </row>
    <row r="256">
      <c r="C256" s="129"/>
      <c r="H256" s="581"/>
      <c r="K256" s="627" t="s">
        <v>2515</v>
      </c>
      <c r="L256" s="474">
        <v>2250.0</v>
      </c>
    </row>
    <row r="257">
      <c r="C257" s="129"/>
      <c r="H257" s="581"/>
      <c r="K257" s="627" t="s">
        <v>2516</v>
      </c>
      <c r="L257" s="474">
        <v>2000.0</v>
      </c>
    </row>
    <row r="258">
      <c r="C258" s="129"/>
      <c r="H258" s="581"/>
      <c r="K258" s="627" t="s">
        <v>2517</v>
      </c>
      <c r="L258" s="474">
        <v>2000.0</v>
      </c>
    </row>
    <row r="259">
      <c r="C259" s="129"/>
      <c r="H259" s="581"/>
      <c r="K259" s="627" t="s">
        <v>2518</v>
      </c>
      <c r="L259" s="474">
        <v>1946.0</v>
      </c>
    </row>
    <row r="260">
      <c r="C260" s="129"/>
      <c r="H260" s="581"/>
      <c r="K260" s="627" t="s">
        <v>2519</v>
      </c>
      <c r="L260" s="474">
        <v>1750.0</v>
      </c>
    </row>
    <row r="261">
      <c r="C261" s="129"/>
      <c r="H261" s="581"/>
      <c r="K261" s="627" t="s">
        <v>2520</v>
      </c>
      <c r="L261" s="474">
        <v>950.0</v>
      </c>
    </row>
    <row r="262">
      <c r="C262" s="129"/>
      <c r="H262" s="581"/>
      <c r="K262" s="627" t="s">
        <v>2521</v>
      </c>
      <c r="L262" s="474">
        <v>1860.0</v>
      </c>
    </row>
    <row r="263">
      <c r="C263" s="129"/>
      <c r="H263" s="581"/>
      <c r="K263" s="627" t="s">
        <v>2522</v>
      </c>
      <c r="L263" s="474">
        <v>3700.0</v>
      </c>
    </row>
    <row r="264">
      <c r="C264" s="129"/>
      <c r="H264" s="581"/>
      <c r="K264" s="627" t="s">
        <v>2523</v>
      </c>
      <c r="L264" s="474">
        <v>1700.0</v>
      </c>
    </row>
    <row r="265">
      <c r="C265" s="129"/>
      <c r="H265" s="581"/>
      <c r="K265" s="627" t="s">
        <v>2373</v>
      </c>
      <c r="L265" s="474">
        <v>-4000.0</v>
      </c>
    </row>
    <row r="266">
      <c r="C266" s="129"/>
      <c r="H266" s="581"/>
      <c r="K266" s="627" t="s">
        <v>2428</v>
      </c>
      <c r="L266" s="474">
        <v>-8000.0</v>
      </c>
    </row>
    <row r="267">
      <c r="C267" s="129"/>
      <c r="H267" s="581"/>
      <c r="K267" s="627" t="s">
        <v>2371</v>
      </c>
      <c r="L267" s="474">
        <v>-1250.0</v>
      </c>
    </row>
    <row r="268">
      <c r="C268" s="129"/>
      <c r="H268" s="581"/>
      <c r="K268" s="627"/>
      <c r="L268" s="474"/>
    </row>
    <row r="269">
      <c r="C269" s="129"/>
      <c r="H269" s="581"/>
      <c r="K269" s="130" t="s">
        <v>2212</v>
      </c>
      <c r="L269" s="124">
        <v>0.0</v>
      </c>
      <c r="M269" s="126">
        <f>L269</f>
        <v>0</v>
      </c>
      <c r="N269" s="128" t="s">
        <v>2213</v>
      </c>
    </row>
    <row r="270">
      <c r="C270" s="129"/>
      <c r="H270" s="581"/>
      <c r="K270" s="627" t="s">
        <v>2524</v>
      </c>
      <c r="L270" s="474">
        <v>2000.0</v>
      </c>
      <c r="M270" s="125">
        <f>SUM(L270:L281)</f>
        <v>10750</v>
      </c>
      <c r="N270" s="123" t="s">
        <v>2216</v>
      </c>
    </row>
    <row r="271">
      <c r="C271" s="129"/>
      <c r="H271" s="581"/>
      <c r="K271" s="627" t="s">
        <v>2525</v>
      </c>
      <c r="L271" s="474">
        <v>950.0</v>
      </c>
      <c r="M271" s="133">
        <f>M269+M270</f>
        <v>10750</v>
      </c>
      <c r="N271" s="123" t="s">
        <v>2219</v>
      </c>
    </row>
    <row r="272">
      <c r="C272" s="129"/>
      <c r="H272" s="581"/>
      <c r="K272" s="627" t="s">
        <v>2526</v>
      </c>
      <c r="L272" s="474">
        <v>3500.0</v>
      </c>
      <c r="M272" s="189">
        <f>M271/(B2/100)*12</f>
        <v>15.79914268</v>
      </c>
      <c r="N272" s="122" t="s">
        <v>2222</v>
      </c>
    </row>
    <row r="273">
      <c r="C273" s="129"/>
      <c r="H273" s="581"/>
      <c r="K273" s="627" t="s">
        <v>2527</v>
      </c>
      <c r="L273" s="474">
        <v>3200.0</v>
      </c>
      <c r="M273" s="630">
        <f>M272*0.8</f>
        <v>12.63931415</v>
      </c>
      <c r="N273" s="123" t="s">
        <v>2225</v>
      </c>
    </row>
    <row r="274">
      <c r="C274" s="129"/>
      <c r="H274" s="581"/>
      <c r="K274" s="627" t="s">
        <v>2428</v>
      </c>
      <c r="L274" s="474">
        <v>-8900.0</v>
      </c>
      <c r="M274" s="631">
        <f>M273/12</f>
        <v>1.053276179</v>
      </c>
      <c r="N274" s="632" t="s">
        <v>2528</v>
      </c>
    </row>
    <row r="275">
      <c r="C275" s="129"/>
      <c r="H275" s="581"/>
      <c r="K275" s="627" t="s">
        <v>2529</v>
      </c>
      <c r="L275" s="474">
        <v>1350.0</v>
      </c>
    </row>
    <row r="276">
      <c r="C276" s="129"/>
      <c r="H276" s="581"/>
      <c r="K276" s="627" t="s">
        <v>2530</v>
      </c>
      <c r="L276" s="474">
        <v>5250.0</v>
      </c>
    </row>
    <row r="277">
      <c r="C277" s="129"/>
      <c r="H277" s="581"/>
      <c r="K277" s="627" t="s">
        <v>2373</v>
      </c>
      <c r="L277" s="474">
        <v>-5000.0</v>
      </c>
    </row>
    <row r="278">
      <c r="C278" s="129"/>
      <c r="H278" s="581"/>
      <c r="K278" s="627" t="s">
        <v>2531</v>
      </c>
      <c r="L278" s="474">
        <v>3100.0</v>
      </c>
    </row>
    <row r="279">
      <c r="C279" s="129"/>
      <c r="H279" s="581"/>
      <c r="K279" s="627" t="s">
        <v>2532</v>
      </c>
      <c r="L279" s="474">
        <v>3675.0</v>
      </c>
    </row>
    <row r="280">
      <c r="C280" s="129"/>
      <c r="H280" s="581"/>
      <c r="K280" s="627" t="s">
        <v>2533</v>
      </c>
      <c r="L280" s="474">
        <v>2875.0</v>
      </c>
    </row>
    <row r="281">
      <c r="C281" s="129"/>
      <c r="H281" s="581"/>
      <c r="K281" s="627" t="s">
        <v>2371</v>
      </c>
      <c r="L281" s="474">
        <v>-1250.0</v>
      </c>
    </row>
    <row r="282">
      <c r="C282" s="129"/>
      <c r="H282" s="581"/>
      <c r="K282" s="627"/>
      <c r="L282" s="474"/>
    </row>
    <row r="283">
      <c r="C283" s="129"/>
      <c r="H283" s="581"/>
      <c r="K283" s="130" t="s">
        <v>2237</v>
      </c>
      <c r="L283" s="124">
        <v>0.0</v>
      </c>
      <c r="M283" s="126">
        <f>L283</f>
        <v>0</v>
      </c>
      <c r="N283" s="128" t="s">
        <v>2213</v>
      </c>
    </row>
    <row r="284">
      <c r="C284" s="129"/>
      <c r="H284" s="581"/>
      <c r="K284" s="627" t="s">
        <v>2534</v>
      </c>
      <c r="L284" s="474">
        <v>4350.0</v>
      </c>
      <c r="M284" s="125">
        <f>SUM(L284:L295)</f>
        <v>16725</v>
      </c>
      <c r="N284" s="123" t="s">
        <v>2216</v>
      </c>
    </row>
    <row r="285">
      <c r="C285" s="129"/>
      <c r="H285" s="581"/>
      <c r="K285" s="627" t="s">
        <v>2535</v>
      </c>
      <c r="L285" s="474">
        <v>3200.0</v>
      </c>
      <c r="M285" s="133">
        <f>M283+M284</f>
        <v>16725</v>
      </c>
      <c r="N285" s="123" t="s">
        <v>2219</v>
      </c>
    </row>
    <row r="286">
      <c r="C286" s="129"/>
      <c r="H286" s="581"/>
      <c r="K286" s="627" t="s">
        <v>2536</v>
      </c>
      <c r="L286" s="474">
        <v>3800.0</v>
      </c>
      <c r="M286" s="189">
        <f>M285/(B2/100)*12</f>
        <v>24.58052664</v>
      </c>
      <c r="N286" s="122" t="s">
        <v>2222</v>
      </c>
    </row>
    <row r="287">
      <c r="C287" s="129"/>
      <c r="H287" s="581"/>
      <c r="K287" s="627" t="s">
        <v>2428</v>
      </c>
      <c r="L287" s="474">
        <v>-11000.0</v>
      </c>
      <c r="M287" s="630">
        <f>M286*0.8</f>
        <v>19.66442131</v>
      </c>
      <c r="N287" s="123" t="s">
        <v>2225</v>
      </c>
    </row>
    <row r="288">
      <c r="C288" s="129"/>
      <c r="H288" s="581"/>
      <c r="K288" s="627" t="s">
        <v>2537</v>
      </c>
      <c r="L288" s="474">
        <v>3800.0</v>
      </c>
      <c r="M288" s="631">
        <f>M287/12</f>
        <v>1.638701776</v>
      </c>
      <c r="N288" s="632" t="s">
        <v>2538</v>
      </c>
    </row>
    <row r="289">
      <c r="C289" s="129"/>
      <c r="H289" s="581"/>
      <c r="K289" s="627" t="s">
        <v>2539</v>
      </c>
      <c r="L289" s="474">
        <v>4000.0</v>
      </c>
    </row>
    <row r="290">
      <c r="C290" s="129"/>
      <c r="H290" s="581"/>
      <c r="K290" s="627" t="s">
        <v>2540</v>
      </c>
      <c r="L290" s="474">
        <v>3200.0</v>
      </c>
    </row>
    <row r="291">
      <c r="C291" s="129"/>
      <c r="H291" s="581"/>
      <c r="K291" s="627" t="s">
        <v>2541</v>
      </c>
      <c r="L291" s="474">
        <v>1900.0</v>
      </c>
    </row>
    <row r="292">
      <c r="C292" s="129"/>
      <c r="H292" s="581"/>
      <c r="K292" s="627" t="s">
        <v>2373</v>
      </c>
      <c r="L292" s="474">
        <v>-5000.0</v>
      </c>
    </row>
    <row r="293">
      <c r="C293" s="129"/>
      <c r="H293" s="581"/>
      <c r="K293" s="627" t="s">
        <v>2542</v>
      </c>
      <c r="L293" s="474">
        <v>6200.0</v>
      </c>
    </row>
    <row r="294">
      <c r="C294" s="129"/>
      <c r="H294" s="581"/>
      <c r="K294" s="627" t="s">
        <v>2543</v>
      </c>
      <c r="L294" s="474">
        <v>3525.0</v>
      </c>
    </row>
    <row r="295">
      <c r="C295" s="129"/>
      <c r="H295" s="581"/>
      <c r="K295" s="627" t="s">
        <v>2371</v>
      </c>
      <c r="L295" s="474">
        <v>-1250.0</v>
      </c>
    </row>
    <row r="296">
      <c r="C296" s="129"/>
      <c r="H296" s="581"/>
    </row>
    <row r="297">
      <c r="C297" s="129"/>
      <c r="H297" s="581"/>
      <c r="K297" s="130" t="s">
        <v>2259</v>
      </c>
      <c r="L297" s="124">
        <v>0.0</v>
      </c>
      <c r="M297" s="126">
        <f>L297</f>
        <v>0</v>
      </c>
      <c r="N297" s="128" t="s">
        <v>2213</v>
      </c>
    </row>
    <row r="298">
      <c r="C298" s="129"/>
      <c r="H298" s="581"/>
      <c r="K298" s="627" t="s">
        <v>2544</v>
      </c>
      <c r="L298" s="474">
        <v>1750.0</v>
      </c>
      <c r="M298" s="125">
        <f>SUM(L298:L305)</f>
        <v>3250</v>
      </c>
      <c r="N298" s="123" t="s">
        <v>2216</v>
      </c>
    </row>
    <row r="299">
      <c r="C299" s="129"/>
      <c r="H299" s="581"/>
      <c r="K299" s="627" t="s">
        <v>2545</v>
      </c>
      <c r="L299" s="474">
        <v>1750.0</v>
      </c>
      <c r="M299" s="133">
        <f>M297+M298</f>
        <v>3250</v>
      </c>
      <c r="N299" s="123" t="s">
        <v>2219</v>
      </c>
    </row>
    <row r="300">
      <c r="C300" s="129"/>
      <c r="H300" s="581"/>
      <c r="K300" s="627" t="s">
        <v>2428</v>
      </c>
      <c r="L300" s="474">
        <v>-8000.0</v>
      </c>
      <c r="M300" s="189">
        <f>M299/(B2/100)*12</f>
        <v>4.776484997</v>
      </c>
      <c r="N300" s="122" t="s">
        <v>2222</v>
      </c>
    </row>
    <row r="301">
      <c r="C301" s="129"/>
      <c r="H301" s="581"/>
      <c r="K301" s="627" t="s">
        <v>2373</v>
      </c>
      <c r="L301" s="474">
        <v>-3250.0</v>
      </c>
      <c r="M301" s="630">
        <f>M300*0.8</f>
        <v>3.821187998</v>
      </c>
      <c r="N301" s="123" t="s">
        <v>2225</v>
      </c>
    </row>
    <row r="302">
      <c r="C302" s="129"/>
      <c r="H302" s="581"/>
      <c r="K302" s="627" t="s">
        <v>2546</v>
      </c>
      <c r="L302" s="474">
        <v>1950.0</v>
      </c>
      <c r="M302" s="631">
        <f>M301/12</f>
        <v>0.3184323331</v>
      </c>
      <c r="N302" s="632" t="s">
        <v>2547</v>
      </c>
    </row>
    <row r="303">
      <c r="C303" s="129"/>
      <c r="H303" s="581"/>
      <c r="K303" s="627" t="s">
        <v>2548</v>
      </c>
      <c r="L303" s="474">
        <v>9500.0</v>
      </c>
    </row>
    <row r="304">
      <c r="C304" s="129"/>
      <c r="H304" s="581"/>
      <c r="K304" s="627" t="s">
        <v>2549</v>
      </c>
      <c r="L304" s="474">
        <v>800.0</v>
      </c>
    </row>
    <row r="305">
      <c r="C305" s="129"/>
      <c r="H305" s="581"/>
      <c r="K305" s="627" t="s">
        <v>2371</v>
      </c>
      <c r="L305" s="474">
        <v>-1250.0</v>
      </c>
    </row>
    <row r="306">
      <c r="C306" s="129"/>
      <c r="H306" s="581"/>
      <c r="K306" s="627"/>
      <c r="L306" s="474"/>
    </row>
    <row r="307">
      <c r="C307" s="129"/>
      <c r="H307" s="581"/>
      <c r="K307" s="130" t="s">
        <v>2275</v>
      </c>
      <c r="L307" s="124">
        <v>0.0</v>
      </c>
      <c r="M307" s="126">
        <f>L307</f>
        <v>0</v>
      </c>
      <c r="N307" s="128" t="s">
        <v>2213</v>
      </c>
    </row>
    <row r="308">
      <c r="C308" s="129"/>
      <c r="H308" s="581"/>
      <c r="K308" s="627" t="s">
        <v>2550</v>
      </c>
      <c r="L308" s="474">
        <v>3000.0</v>
      </c>
      <c r="M308" s="125">
        <f>SUM(L308:L311)</f>
        <v>-13250</v>
      </c>
      <c r="N308" s="123" t="s">
        <v>2216</v>
      </c>
    </row>
    <row r="309">
      <c r="C309" s="129"/>
      <c r="H309" s="581"/>
      <c r="K309" s="627" t="s">
        <v>2428</v>
      </c>
      <c r="L309" s="474">
        <v>-10000.0</v>
      </c>
      <c r="M309" s="133">
        <f>M307+M308</f>
        <v>-13250</v>
      </c>
      <c r="N309" s="123" t="s">
        <v>2219</v>
      </c>
    </row>
    <row r="310">
      <c r="C310" s="129"/>
      <c r="H310" s="581"/>
      <c r="K310" s="627" t="s">
        <v>2373</v>
      </c>
      <c r="L310" s="474">
        <v>-5000.0</v>
      </c>
      <c r="M310" s="189">
        <f>M309/(B2/100)*12</f>
        <v>-19.47336191</v>
      </c>
      <c r="N310" s="122" t="s">
        <v>2222</v>
      </c>
    </row>
    <row r="311">
      <c r="C311" s="129"/>
      <c r="H311" s="581"/>
      <c r="K311" s="627" t="s">
        <v>2371</v>
      </c>
      <c r="L311" s="474">
        <v>-1250.0</v>
      </c>
      <c r="M311" s="630">
        <f>M310*0.8</f>
        <v>-15.57868953</v>
      </c>
      <c r="N311" s="123" t="s">
        <v>2225</v>
      </c>
    </row>
    <row r="312">
      <c r="C312" s="129"/>
      <c r="H312" s="581"/>
      <c r="K312" s="627"/>
      <c r="L312" s="474"/>
      <c r="M312" s="631">
        <f>M311/12</f>
        <v>-1.298224127</v>
      </c>
      <c r="N312" s="632" t="s">
        <v>2551</v>
      </c>
    </row>
    <row r="313">
      <c r="C313" s="129"/>
      <c r="H313" s="581"/>
      <c r="K313" s="627"/>
      <c r="L313" s="474"/>
    </row>
    <row r="314">
      <c r="C314" s="129"/>
      <c r="H314" s="581"/>
      <c r="K314" s="130" t="s">
        <v>2552</v>
      </c>
      <c r="L314" s="124">
        <v>0.0</v>
      </c>
      <c r="M314" s="126">
        <f>L314</f>
        <v>0</v>
      </c>
      <c r="N314" s="128" t="s">
        <v>2213</v>
      </c>
    </row>
    <row r="315">
      <c r="C315" s="129"/>
      <c r="H315" s="581"/>
      <c r="K315" s="627" t="s">
        <v>2371</v>
      </c>
      <c r="L315" s="474">
        <v>-1250.0</v>
      </c>
      <c r="M315" s="125">
        <f>SUM(L315:L319)</f>
        <v>-1250</v>
      </c>
      <c r="N315" s="123" t="s">
        <v>2216</v>
      </c>
    </row>
    <row r="316">
      <c r="C316" s="129"/>
      <c r="H316" s="581"/>
      <c r="K316" s="627"/>
      <c r="L316" s="474"/>
      <c r="M316" s="133">
        <f>M314+M315</f>
        <v>-1250</v>
      </c>
      <c r="N316" s="123" t="s">
        <v>2219</v>
      </c>
    </row>
    <row r="317">
      <c r="C317" s="129"/>
      <c r="H317" s="581"/>
      <c r="M317" s="189">
        <f>M316/(B2/100)*12</f>
        <v>-1.837109614</v>
      </c>
      <c r="N317" s="122" t="s">
        <v>2222</v>
      </c>
    </row>
    <row r="318">
      <c r="C318" s="129"/>
      <c r="H318" s="581"/>
      <c r="K318" s="627"/>
      <c r="L318" s="474"/>
      <c r="M318" s="630">
        <f>M317*0.8</f>
        <v>-1.469687691</v>
      </c>
      <c r="N318" s="123" t="s">
        <v>2225</v>
      </c>
    </row>
    <row r="319">
      <c r="C319" s="129"/>
      <c r="H319" s="581"/>
      <c r="K319" s="627"/>
      <c r="L319" s="474"/>
      <c r="M319" s="631">
        <f>M318/12</f>
        <v>-0.1224739743</v>
      </c>
      <c r="N319" s="632" t="s">
        <v>2553</v>
      </c>
    </row>
    <row r="320">
      <c r="C320" s="129"/>
      <c r="H320" s="581"/>
    </row>
    <row r="321">
      <c r="C321" s="129"/>
      <c r="H321" s="581"/>
      <c r="K321" s="130" t="s">
        <v>2554</v>
      </c>
      <c r="L321" s="124">
        <v>0.0</v>
      </c>
      <c r="M321" s="126">
        <f>L321</f>
        <v>0</v>
      </c>
      <c r="N321" s="128" t="s">
        <v>2213</v>
      </c>
    </row>
    <row r="322">
      <c r="C322" s="129"/>
      <c r="H322" s="581"/>
      <c r="K322" s="627" t="s">
        <v>2555</v>
      </c>
      <c r="L322" s="474">
        <v>850.0</v>
      </c>
      <c r="M322" s="125">
        <f>SUM(L322:L332)</f>
        <v>5125</v>
      </c>
      <c r="N322" s="123" t="s">
        <v>2216</v>
      </c>
    </row>
    <row r="323">
      <c r="C323" s="129"/>
      <c r="H323" s="581"/>
      <c r="K323" s="627" t="s">
        <v>2556</v>
      </c>
      <c r="L323" s="474">
        <v>2300.0</v>
      </c>
      <c r="M323" s="133">
        <f>M321+M322</f>
        <v>5125</v>
      </c>
      <c r="N323" s="123" t="s">
        <v>2219</v>
      </c>
    </row>
    <row r="324">
      <c r="C324" s="129"/>
      <c r="H324" s="581"/>
      <c r="K324" s="627" t="s">
        <v>2557</v>
      </c>
      <c r="L324" s="474">
        <v>1100.0</v>
      </c>
      <c r="M324" s="189">
        <f>M323/(B2/100)*12</f>
        <v>7.532149418</v>
      </c>
      <c r="N324" s="122" t="s">
        <v>2222</v>
      </c>
    </row>
    <row r="325">
      <c r="C325" s="129"/>
      <c r="H325" s="581"/>
      <c r="K325" s="627" t="s">
        <v>2558</v>
      </c>
      <c r="L325" s="474">
        <v>825.0</v>
      </c>
      <c r="M325" s="630">
        <f>M324*0.8</f>
        <v>6.025719535</v>
      </c>
      <c r="N325" s="123" t="s">
        <v>2225</v>
      </c>
    </row>
    <row r="326">
      <c r="C326" s="129"/>
      <c r="H326" s="581"/>
      <c r="K326" s="627" t="s">
        <v>2428</v>
      </c>
      <c r="L326" s="474">
        <v>-9000.0</v>
      </c>
      <c r="M326" s="631">
        <f>M325/12</f>
        <v>0.5021432945</v>
      </c>
      <c r="N326" s="632" t="s">
        <v>2559</v>
      </c>
    </row>
    <row r="327">
      <c r="C327" s="129"/>
      <c r="H327" s="581"/>
      <c r="K327" s="627" t="s">
        <v>2373</v>
      </c>
      <c r="L327" s="474">
        <v>-3825.0</v>
      </c>
    </row>
    <row r="328">
      <c r="C328" s="129"/>
      <c r="H328" s="581"/>
      <c r="K328" s="627" t="s">
        <v>2560</v>
      </c>
      <c r="L328" s="474">
        <v>850.0</v>
      </c>
    </row>
    <row r="329">
      <c r="C329" s="129"/>
      <c r="H329" s="581"/>
      <c r="K329" s="627" t="s">
        <v>2561</v>
      </c>
      <c r="L329" s="474">
        <v>925.0</v>
      </c>
    </row>
    <row r="330">
      <c r="C330" s="129"/>
      <c r="H330" s="581"/>
      <c r="K330" s="627" t="s">
        <v>2562</v>
      </c>
      <c r="L330" s="474">
        <v>10600.0</v>
      </c>
    </row>
    <row r="331">
      <c r="C331" s="129"/>
      <c r="H331" s="581"/>
      <c r="K331" s="627" t="s">
        <v>2563</v>
      </c>
      <c r="L331" s="474">
        <v>1750.0</v>
      </c>
    </row>
    <row r="332">
      <c r="C332" s="129"/>
      <c r="H332" s="581"/>
      <c r="K332" s="627" t="s">
        <v>2371</v>
      </c>
      <c r="L332" s="474">
        <v>-1250.0</v>
      </c>
    </row>
    <row r="333">
      <c r="C333" s="129"/>
      <c r="H333" s="581"/>
    </row>
    <row r="334">
      <c r="C334" s="129"/>
      <c r="H334" s="581"/>
      <c r="K334" s="130" t="s">
        <v>2322</v>
      </c>
      <c r="L334" s="124">
        <v>0.0</v>
      </c>
      <c r="M334" s="126">
        <f>L334</f>
        <v>0</v>
      </c>
      <c r="N334" s="128" t="s">
        <v>2213</v>
      </c>
    </row>
    <row r="335">
      <c r="C335" s="129"/>
      <c r="H335" s="581"/>
      <c r="K335" s="627" t="s">
        <v>2564</v>
      </c>
      <c r="L335" s="474">
        <v>1625.0</v>
      </c>
      <c r="M335" s="125">
        <f>SUM(L335:L345)</f>
        <v>1900</v>
      </c>
      <c r="N335" s="123" t="s">
        <v>2216</v>
      </c>
    </row>
    <row r="336">
      <c r="C336" s="129"/>
      <c r="H336" s="581"/>
      <c r="K336" s="627" t="s">
        <v>2565</v>
      </c>
      <c r="L336" s="474">
        <v>1025.0</v>
      </c>
      <c r="M336" s="133">
        <f>M334+M335</f>
        <v>1900</v>
      </c>
      <c r="N336" s="123" t="s">
        <v>2219</v>
      </c>
    </row>
    <row r="337">
      <c r="C337" s="129"/>
      <c r="H337" s="581"/>
      <c r="K337" s="627" t="s">
        <v>2566</v>
      </c>
      <c r="L337" s="474">
        <v>1525.0</v>
      </c>
      <c r="M337" s="189">
        <f>M336/(B2/100)*12</f>
        <v>2.792406614</v>
      </c>
      <c r="N337" s="122" t="s">
        <v>2222</v>
      </c>
    </row>
    <row r="338">
      <c r="C338" s="129"/>
      <c r="H338" s="581"/>
      <c r="K338" s="627" t="s">
        <v>2567</v>
      </c>
      <c r="L338" s="474">
        <v>5500.0</v>
      </c>
      <c r="M338" s="630">
        <f>M337*0.8</f>
        <v>2.233925291</v>
      </c>
      <c r="N338" s="123" t="s">
        <v>2225</v>
      </c>
    </row>
    <row r="339">
      <c r="C339" s="129"/>
      <c r="H339" s="581"/>
      <c r="K339" s="627" t="s">
        <v>2428</v>
      </c>
      <c r="L339" s="474">
        <v>-5250.0</v>
      </c>
      <c r="M339" s="631">
        <f>M338/12</f>
        <v>0.1861604409</v>
      </c>
      <c r="N339" s="632" t="s">
        <v>2568</v>
      </c>
    </row>
    <row r="340">
      <c r="C340" s="129"/>
      <c r="H340" s="581"/>
      <c r="K340" s="627" t="s">
        <v>2569</v>
      </c>
      <c r="L340" s="474">
        <v>1700.0</v>
      </c>
    </row>
    <row r="341">
      <c r="C341" s="129"/>
      <c r="H341" s="581"/>
      <c r="K341" s="627" t="s">
        <v>2373</v>
      </c>
      <c r="L341" s="474">
        <v>-4225.0</v>
      </c>
    </row>
    <row r="342">
      <c r="C342" s="129"/>
      <c r="H342" s="581"/>
      <c r="K342" s="627"/>
      <c r="L342" s="474"/>
    </row>
    <row r="343">
      <c r="C343" s="129"/>
      <c r="H343" s="581"/>
      <c r="K343" s="627"/>
      <c r="L343" s="474"/>
    </row>
    <row r="344">
      <c r="C344" s="129"/>
      <c r="H344" s="581"/>
      <c r="K344" s="627"/>
      <c r="L344" s="474"/>
    </row>
    <row r="345">
      <c r="C345" s="129"/>
      <c r="H345" s="581"/>
      <c r="K345" s="627"/>
      <c r="L345" s="474"/>
    </row>
    <row r="346">
      <c r="C346" s="129"/>
      <c r="H346" s="581"/>
    </row>
    <row r="347">
      <c r="C347" s="129"/>
      <c r="H347" s="581"/>
    </row>
    <row r="348">
      <c r="C348" s="129"/>
      <c r="H348" s="581"/>
    </row>
    <row r="349">
      <c r="C349" s="129"/>
      <c r="H349" s="581"/>
    </row>
    <row r="350">
      <c r="C350" s="129"/>
      <c r="H350" s="581"/>
    </row>
    <row r="351">
      <c r="C351" s="129"/>
      <c r="H351" s="581"/>
    </row>
    <row r="352">
      <c r="C352" s="129"/>
      <c r="H352" s="581"/>
    </row>
    <row r="353">
      <c r="C353" s="129"/>
      <c r="H353" s="581"/>
    </row>
    <row r="354">
      <c r="C354" s="129"/>
      <c r="H354" s="581"/>
    </row>
    <row r="355">
      <c r="C355" s="129"/>
      <c r="H355" s="581"/>
    </row>
    <row r="356">
      <c r="C356" s="129"/>
      <c r="H356" s="581"/>
    </row>
    <row r="357">
      <c r="C357" s="129"/>
      <c r="H357" s="581"/>
    </row>
    <row r="358">
      <c r="C358" s="129"/>
      <c r="H358" s="581"/>
    </row>
    <row r="359">
      <c r="C359" s="129"/>
      <c r="H359" s="581"/>
    </row>
    <row r="360">
      <c r="C360" s="129"/>
      <c r="H360" s="581"/>
    </row>
    <row r="361">
      <c r="C361" s="129"/>
      <c r="H361" s="581"/>
    </row>
    <row r="362">
      <c r="C362" s="129"/>
      <c r="H362" s="581"/>
    </row>
    <row r="363">
      <c r="C363" s="129"/>
      <c r="H363" s="581"/>
    </row>
    <row r="364">
      <c r="C364" s="129"/>
      <c r="H364" s="581"/>
    </row>
    <row r="365">
      <c r="C365" s="129"/>
      <c r="H365" s="581"/>
    </row>
    <row r="366">
      <c r="C366" s="129"/>
      <c r="H366" s="581"/>
    </row>
    <row r="367">
      <c r="C367" s="129"/>
      <c r="H367" s="581"/>
    </row>
    <row r="368">
      <c r="C368" s="129"/>
      <c r="H368" s="581"/>
    </row>
    <row r="369">
      <c r="C369" s="129"/>
      <c r="H369" s="581"/>
    </row>
    <row r="370">
      <c r="C370" s="129"/>
      <c r="H370" s="581"/>
    </row>
    <row r="371">
      <c r="C371" s="129"/>
      <c r="H371" s="581"/>
    </row>
    <row r="372">
      <c r="C372" s="129"/>
      <c r="H372" s="581"/>
    </row>
    <row r="373">
      <c r="C373" s="129"/>
      <c r="H373" s="581"/>
    </row>
    <row r="374">
      <c r="C374" s="129"/>
      <c r="H374" s="581"/>
    </row>
    <row r="375">
      <c r="C375" s="129"/>
      <c r="H375" s="581"/>
    </row>
    <row r="376">
      <c r="C376" s="129"/>
      <c r="H376" s="581"/>
    </row>
    <row r="377">
      <c r="C377" s="129"/>
      <c r="H377" s="581"/>
    </row>
    <row r="378">
      <c r="C378" s="129"/>
      <c r="H378" s="581"/>
    </row>
    <row r="379">
      <c r="C379" s="129"/>
      <c r="H379" s="581"/>
    </row>
    <row r="380">
      <c r="C380" s="129"/>
      <c r="H380" s="581"/>
    </row>
    <row r="381">
      <c r="C381" s="129"/>
      <c r="H381" s="581"/>
    </row>
    <row r="382">
      <c r="C382" s="129"/>
      <c r="H382" s="581"/>
    </row>
    <row r="383">
      <c r="C383" s="129"/>
      <c r="H383" s="581"/>
    </row>
    <row r="384">
      <c r="C384" s="129"/>
      <c r="H384" s="581"/>
    </row>
    <row r="385">
      <c r="C385" s="129"/>
      <c r="H385" s="581"/>
    </row>
    <row r="386">
      <c r="C386" s="129"/>
      <c r="H386" s="581"/>
    </row>
    <row r="387">
      <c r="C387" s="129"/>
      <c r="H387" s="581"/>
    </row>
    <row r="388">
      <c r="C388" s="129"/>
      <c r="H388" s="581"/>
    </row>
    <row r="389">
      <c r="C389" s="129"/>
      <c r="H389" s="581"/>
    </row>
    <row r="390">
      <c r="C390" s="129"/>
      <c r="H390" s="581"/>
    </row>
    <row r="391">
      <c r="C391" s="129"/>
      <c r="H391" s="581"/>
    </row>
    <row r="392">
      <c r="C392" s="129"/>
      <c r="H392" s="581"/>
    </row>
    <row r="393">
      <c r="C393" s="129"/>
      <c r="H393" s="581"/>
    </row>
    <row r="394">
      <c r="C394" s="129"/>
      <c r="H394" s="581"/>
    </row>
    <row r="395">
      <c r="C395" s="129"/>
      <c r="H395" s="581"/>
    </row>
    <row r="396">
      <c r="C396" s="129"/>
      <c r="H396" s="581"/>
    </row>
    <row r="397">
      <c r="C397" s="129"/>
      <c r="H397" s="581"/>
    </row>
    <row r="398">
      <c r="C398" s="129"/>
      <c r="H398" s="581"/>
    </row>
    <row r="399">
      <c r="C399" s="129"/>
      <c r="H399" s="581"/>
    </row>
    <row r="400">
      <c r="C400" s="129"/>
      <c r="H400" s="581"/>
    </row>
    <row r="401">
      <c r="C401" s="129"/>
      <c r="H401" s="581"/>
    </row>
    <row r="402">
      <c r="C402" s="129"/>
      <c r="H402" s="581"/>
    </row>
    <row r="403">
      <c r="C403" s="129"/>
      <c r="H403" s="581"/>
    </row>
    <row r="404">
      <c r="C404" s="129"/>
      <c r="H404" s="581"/>
    </row>
    <row r="405">
      <c r="C405" s="129"/>
      <c r="H405" s="581"/>
    </row>
    <row r="406">
      <c r="C406" s="129"/>
      <c r="H406" s="581"/>
    </row>
    <row r="407">
      <c r="C407" s="129"/>
      <c r="H407" s="581"/>
    </row>
    <row r="408">
      <c r="C408" s="129"/>
      <c r="H408" s="581"/>
    </row>
    <row r="409">
      <c r="C409" s="129"/>
      <c r="H409" s="581"/>
    </row>
    <row r="410">
      <c r="C410" s="129"/>
      <c r="H410" s="581"/>
    </row>
    <row r="411">
      <c r="C411" s="129"/>
      <c r="H411" s="581"/>
    </row>
    <row r="412">
      <c r="C412" s="129"/>
      <c r="H412" s="581"/>
    </row>
    <row r="413">
      <c r="C413" s="129"/>
      <c r="H413" s="581"/>
    </row>
    <row r="414">
      <c r="C414" s="129"/>
      <c r="H414" s="581"/>
    </row>
    <row r="415">
      <c r="C415" s="129"/>
      <c r="H415" s="581"/>
    </row>
    <row r="416">
      <c r="C416" s="129"/>
      <c r="H416" s="581"/>
    </row>
    <row r="417">
      <c r="C417" s="129"/>
      <c r="H417" s="581"/>
    </row>
    <row r="418">
      <c r="C418" s="129"/>
      <c r="H418" s="581"/>
    </row>
    <row r="419">
      <c r="C419" s="129"/>
      <c r="H419" s="581"/>
    </row>
    <row r="420">
      <c r="C420" s="129"/>
      <c r="H420" s="581"/>
    </row>
    <row r="421">
      <c r="C421" s="129"/>
      <c r="H421" s="581"/>
    </row>
    <row r="422">
      <c r="C422" s="129"/>
      <c r="H422" s="581"/>
    </row>
    <row r="423">
      <c r="C423" s="129"/>
      <c r="H423" s="581"/>
    </row>
    <row r="424">
      <c r="C424" s="129"/>
      <c r="H424" s="581"/>
    </row>
    <row r="425">
      <c r="C425" s="129"/>
      <c r="H425" s="581"/>
    </row>
    <row r="426">
      <c r="C426" s="129"/>
      <c r="H426" s="581"/>
    </row>
    <row r="427">
      <c r="C427" s="129"/>
      <c r="H427" s="581"/>
    </row>
    <row r="428">
      <c r="C428" s="129"/>
      <c r="H428" s="581"/>
    </row>
    <row r="429">
      <c r="C429" s="129"/>
      <c r="H429" s="581"/>
    </row>
    <row r="430">
      <c r="C430" s="129"/>
      <c r="H430" s="581"/>
    </row>
    <row r="431">
      <c r="C431" s="129"/>
      <c r="H431" s="581"/>
    </row>
    <row r="432">
      <c r="C432" s="129"/>
      <c r="H432" s="581"/>
    </row>
    <row r="433">
      <c r="C433" s="129"/>
      <c r="H433" s="581"/>
    </row>
    <row r="434">
      <c r="C434" s="129"/>
      <c r="H434" s="581"/>
    </row>
    <row r="435">
      <c r="C435" s="129"/>
      <c r="H435" s="581"/>
    </row>
    <row r="436">
      <c r="C436" s="129"/>
      <c r="H436" s="581"/>
    </row>
    <row r="437">
      <c r="C437" s="129"/>
      <c r="H437" s="581"/>
    </row>
    <row r="438">
      <c r="C438" s="129"/>
      <c r="H438" s="581"/>
    </row>
    <row r="439">
      <c r="C439" s="129"/>
      <c r="H439" s="581"/>
    </row>
    <row r="440">
      <c r="C440" s="129"/>
      <c r="H440" s="581"/>
    </row>
    <row r="441">
      <c r="C441" s="129"/>
      <c r="H441" s="581"/>
    </row>
    <row r="442">
      <c r="C442" s="129"/>
      <c r="H442" s="581"/>
    </row>
    <row r="443">
      <c r="C443" s="129"/>
      <c r="H443" s="581"/>
    </row>
    <row r="444">
      <c r="C444" s="129"/>
      <c r="H444" s="581"/>
    </row>
    <row r="445">
      <c r="C445" s="129"/>
      <c r="H445" s="581"/>
    </row>
    <row r="446">
      <c r="C446" s="129"/>
      <c r="H446" s="581"/>
    </row>
    <row r="447">
      <c r="C447" s="129"/>
      <c r="H447" s="581"/>
    </row>
    <row r="448">
      <c r="C448" s="129"/>
      <c r="H448" s="581"/>
    </row>
    <row r="449">
      <c r="C449" s="129"/>
      <c r="H449" s="581"/>
    </row>
    <row r="450">
      <c r="C450" s="129"/>
      <c r="H450" s="581"/>
    </row>
    <row r="451">
      <c r="C451" s="129"/>
      <c r="H451" s="581"/>
    </row>
    <row r="452">
      <c r="C452" s="129"/>
      <c r="H452" s="581"/>
    </row>
    <row r="453">
      <c r="C453" s="129"/>
      <c r="H453" s="581"/>
    </row>
    <row r="454">
      <c r="C454" s="129"/>
      <c r="H454" s="581"/>
    </row>
    <row r="455">
      <c r="C455" s="129"/>
      <c r="H455" s="581"/>
    </row>
    <row r="456">
      <c r="C456" s="129"/>
      <c r="H456" s="581"/>
    </row>
    <row r="457">
      <c r="C457" s="129"/>
      <c r="H457" s="581"/>
    </row>
    <row r="458">
      <c r="C458" s="129"/>
      <c r="H458" s="581"/>
    </row>
    <row r="459">
      <c r="C459" s="129"/>
      <c r="H459" s="581"/>
    </row>
    <row r="460">
      <c r="C460" s="129"/>
      <c r="H460" s="581"/>
    </row>
    <row r="461">
      <c r="C461" s="129"/>
      <c r="H461" s="581"/>
    </row>
    <row r="462">
      <c r="C462" s="129"/>
      <c r="H462" s="581"/>
    </row>
    <row r="463">
      <c r="C463" s="129"/>
      <c r="H463" s="581"/>
    </row>
    <row r="464">
      <c r="C464" s="129"/>
      <c r="H464" s="581"/>
    </row>
    <row r="465">
      <c r="C465" s="129"/>
      <c r="H465" s="581"/>
    </row>
    <row r="466">
      <c r="C466" s="129"/>
      <c r="H466" s="581"/>
    </row>
    <row r="467">
      <c r="C467" s="129"/>
      <c r="H467" s="581"/>
    </row>
    <row r="468">
      <c r="C468" s="129"/>
      <c r="H468" s="581"/>
    </row>
    <row r="469">
      <c r="C469" s="129"/>
      <c r="H469" s="581"/>
    </row>
    <row r="470">
      <c r="C470" s="129"/>
      <c r="H470" s="581"/>
    </row>
    <row r="471">
      <c r="C471" s="129"/>
      <c r="H471" s="581"/>
    </row>
    <row r="472">
      <c r="C472" s="129"/>
      <c r="H472" s="581"/>
    </row>
    <row r="473">
      <c r="C473" s="129"/>
      <c r="H473" s="581"/>
    </row>
    <row r="474">
      <c r="C474" s="129"/>
      <c r="H474" s="581"/>
    </row>
    <row r="475">
      <c r="C475" s="129"/>
      <c r="H475" s="581"/>
    </row>
    <row r="476">
      <c r="C476" s="129"/>
      <c r="H476" s="581"/>
    </row>
    <row r="477">
      <c r="C477" s="129"/>
      <c r="H477" s="581"/>
    </row>
    <row r="478">
      <c r="C478" s="129"/>
      <c r="H478" s="581"/>
    </row>
    <row r="479">
      <c r="C479" s="129"/>
      <c r="H479" s="581"/>
    </row>
    <row r="480">
      <c r="C480" s="129"/>
      <c r="H480" s="581"/>
    </row>
    <row r="481">
      <c r="C481" s="129"/>
      <c r="H481" s="581"/>
    </row>
    <row r="482">
      <c r="C482" s="129"/>
      <c r="H482" s="581"/>
    </row>
    <row r="483">
      <c r="C483" s="129"/>
      <c r="H483" s="581"/>
    </row>
    <row r="484">
      <c r="C484" s="129"/>
      <c r="H484" s="581"/>
    </row>
    <row r="485">
      <c r="C485" s="129"/>
      <c r="H485" s="581"/>
    </row>
    <row r="486">
      <c r="C486" s="129"/>
      <c r="H486" s="581"/>
    </row>
    <row r="487">
      <c r="C487" s="129"/>
      <c r="H487" s="581"/>
    </row>
    <row r="488">
      <c r="C488" s="129"/>
      <c r="H488" s="581"/>
    </row>
    <row r="489">
      <c r="C489" s="129"/>
      <c r="H489" s="581"/>
    </row>
    <row r="490">
      <c r="C490" s="129"/>
      <c r="H490" s="581"/>
    </row>
    <row r="491">
      <c r="C491" s="129"/>
      <c r="H491" s="581"/>
    </row>
    <row r="492">
      <c r="C492" s="129"/>
      <c r="H492" s="581"/>
    </row>
    <row r="493">
      <c r="C493" s="129"/>
      <c r="H493" s="581"/>
    </row>
    <row r="494">
      <c r="C494" s="129"/>
      <c r="H494" s="581"/>
    </row>
    <row r="495">
      <c r="C495" s="129"/>
      <c r="H495" s="581"/>
    </row>
    <row r="496">
      <c r="C496" s="129"/>
      <c r="H496" s="581"/>
    </row>
    <row r="497">
      <c r="C497" s="129"/>
      <c r="H497" s="581"/>
    </row>
    <row r="498">
      <c r="C498" s="129"/>
      <c r="H498" s="581"/>
    </row>
    <row r="499">
      <c r="C499" s="129"/>
      <c r="H499" s="581"/>
    </row>
    <row r="500">
      <c r="C500" s="129"/>
      <c r="H500" s="581"/>
    </row>
    <row r="501">
      <c r="C501" s="129"/>
      <c r="H501" s="581"/>
    </row>
    <row r="502">
      <c r="C502" s="129"/>
      <c r="H502" s="581"/>
    </row>
    <row r="503">
      <c r="C503" s="129"/>
      <c r="H503" s="581"/>
    </row>
    <row r="504">
      <c r="C504" s="129"/>
      <c r="H504" s="581"/>
    </row>
    <row r="505">
      <c r="C505" s="129"/>
      <c r="H505" s="581"/>
    </row>
    <row r="506">
      <c r="C506" s="129"/>
      <c r="H506" s="581"/>
    </row>
    <row r="507">
      <c r="C507" s="129"/>
      <c r="H507" s="581"/>
    </row>
    <row r="508">
      <c r="C508" s="129"/>
      <c r="H508" s="581"/>
    </row>
    <row r="509">
      <c r="C509" s="129"/>
      <c r="H509" s="581"/>
    </row>
    <row r="510">
      <c r="C510" s="129"/>
      <c r="H510" s="581"/>
    </row>
    <row r="511">
      <c r="C511" s="129"/>
      <c r="H511" s="581"/>
    </row>
    <row r="512">
      <c r="C512" s="129"/>
      <c r="H512" s="581"/>
    </row>
    <row r="513">
      <c r="C513" s="129"/>
      <c r="H513" s="581"/>
    </row>
    <row r="514">
      <c r="C514" s="129"/>
      <c r="H514" s="581"/>
    </row>
    <row r="515">
      <c r="C515" s="129"/>
      <c r="H515" s="581"/>
    </row>
    <row r="516">
      <c r="C516" s="129"/>
      <c r="H516" s="581"/>
    </row>
    <row r="517">
      <c r="C517" s="129"/>
      <c r="H517" s="581"/>
    </row>
    <row r="518">
      <c r="C518" s="129"/>
      <c r="H518" s="581"/>
    </row>
    <row r="519">
      <c r="C519" s="129"/>
      <c r="H519" s="581"/>
    </row>
    <row r="520">
      <c r="C520" s="129"/>
      <c r="H520" s="581"/>
    </row>
    <row r="521">
      <c r="C521" s="129"/>
      <c r="H521" s="581"/>
    </row>
    <row r="522">
      <c r="C522" s="129"/>
      <c r="H522" s="581"/>
    </row>
    <row r="523">
      <c r="C523" s="129"/>
      <c r="H523" s="581"/>
    </row>
    <row r="524">
      <c r="C524" s="129"/>
      <c r="H524" s="581"/>
    </row>
    <row r="525">
      <c r="C525" s="129"/>
      <c r="H525" s="581"/>
    </row>
    <row r="526">
      <c r="C526" s="129"/>
      <c r="H526" s="581"/>
    </row>
    <row r="527">
      <c r="C527" s="129"/>
      <c r="H527" s="581"/>
    </row>
    <row r="528">
      <c r="C528" s="129"/>
      <c r="H528" s="581"/>
    </row>
    <row r="529">
      <c r="C529" s="129"/>
      <c r="H529" s="581"/>
    </row>
    <row r="530">
      <c r="C530" s="129"/>
      <c r="H530" s="581"/>
    </row>
    <row r="531">
      <c r="C531" s="129"/>
      <c r="H531" s="581"/>
    </row>
    <row r="532">
      <c r="C532" s="129"/>
      <c r="H532" s="581"/>
    </row>
    <row r="533">
      <c r="C533" s="129"/>
      <c r="H533" s="581"/>
    </row>
    <row r="534">
      <c r="C534" s="129"/>
      <c r="H534" s="581"/>
    </row>
    <row r="535">
      <c r="C535" s="129"/>
      <c r="H535" s="581"/>
    </row>
    <row r="536">
      <c r="C536" s="129"/>
      <c r="H536" s="581"/>
    </row>
    <row r="537">
      <c r="C537" s="129"/>
      <c r="H537" s="581"/>
    </row>
    <row r="538">
      <c r="C538" s="129"/>
      <c r="H538" s="581"/>
    </row>
    <row r="539">
      <c r="C539" s="129"/>
      <c r="H539" s="581"/>
    </row>
    <row r="540">
      <c r="C540" s="129"/>
      <c r="H540" s="581"/>
    </row>
    <row r="541">
      <c r="C541" s="129"/>
      <c r="H541" s="581"/>
    </row>
    <row r="542">
      <c r="C542" s="129"/>
      <c r="H542" s="581"/>
    </row>
    <row r="543">
      <c r="C543" s="129"/>
      <c r="H543" s="581"/>
    </row>
    <row r="544">
      <c r="C544" s="129"/>
      <c r="H544" s="581"/>
    </row>
    <row r="545">
      <c r="C545" s="129"/>
      <c r="H545" s="581"/>
    </row>
    <row r="546">
      <c r="C546" s="129"/>
      <c r="H546" s="581"/>
    </row>
    <row r="547">
      <c r="C547" s="129"/>
      <c r="H547" s="581"/>
    </row>
    <row r="548">
      <c r="C548" s="129"/>
      <c r="H548" s="581"/>
    </row>
    <row r="549">
      <c r="C549" s="129"/>
      <c r="H549" s="581"/>
    </row>
    <row r="550">
      <c r="C550" s="129"/>
      <c r="H550" s="581"/>
    </row>
    <row r="551">
      <c r="C551" s="129"/>
      <c r="H551" s="581"/>
    </row>
    <row r="552">
      <c r="C552" s="129"/>
      <c r="H552" s="581"/>
    </row>
    <row r="553">
      <c r="C553" s="129"/>
      <c r="H553" s="581"/>
    </row>
    <row r="554">
      <c r="C554" s="129"/>
      <c r="H554" s="581"/>
    </row>
    <row r="555">
      <c r="C555" s="129"/>
      <c r="H555" s="581"/>
    </row>
    <row r="556">
      <c r="C556" s="129"/>
      <c r="H556" s="581"/>
    </row>
    <row r="557">
      <c r="C557" s="129"/>
      <c r="H557" s="581"/>
    </row>
    <row r="558">
      <c r="C558" s="129"/>
      <c r="H558" s="581"/>
    </row>
    <row r="559">
      <c r="C559" s="129"/>
      <c r="H559" s="581"/>
    </row>
    <row r="560">
      <c r="C560" s="129"/>
      <c r="H560" s="581"/>
    </row>
    <row r="561">
      <c r="C561" s="129"/>
      <c r="H561" s="581"/>
    </row>
    <row r="562">
      <c r="C562" s="129"/>
      <c r="H562" s="581"/>
    </row>
    <row r="563">
      <c r="C563" s="129"/>
      <c r="H563" s="581"/>
    </row>
    <row r="564">
      <c r="C564" s="129"/>
      <c r="H564" s="581"/>
    </row>
    <row r="565">
      <c r="C565" s="129"/>
      <c r="H565" s="581"/>
    </row>
    <row r="566">
      <c r="C566" s="129"/>
      <c r="H566" s="581"/>
    </row>
    <row r="567">
      <c r="C567" s="129"/>
      <c r="H567" s="581"/>
    </row>
    <row r="568">
      <c r="C568" s="129"/>
      <c r="H568" s="581"/>
    </row>
    <row r="569">
      <c r="C569" s="129"/>
      <c r="H569" s="581"/>
    </row>
    <row r="570">
      <c r="C570" s="129"/>
      <c r="H570" s="581"/>
    </row>
    <row r="571">
      <c r="C571" s="129"/>
      <c r="H571" s="581"/>
    </row>
    <row r="572">
      <c r="C572" s="129"/>
      <c r="H572" s="581"/>
    </row>
    <row r="573">
      <c r="C573" s="129"/>
      <c r="H573" s="581"/>
    </row>
    <row r="574">
      <c r="C574" s="129"/>
      <c r="H574" s="581"/>
    </row>
    <row r="575">
      <c r="C575" s="129"/>
      <c r="H575" s="581"/>
    </row>
    <row r="576">
      <c r="C576" s="129"/>
      <c r="H576" s="581"/>
    </row>
    <row r="577">
      <c r="C577" s="129"/>
      <c r="H577" s="581"/>
    </row>
    <row r="578">
      <c r="C578" s="129"/>
      <c r="H578" s="581"/>
    </row>
    <row r="579">
      <c r="C579" s="129"/>
      <c r="H579" s="581"/>
    </row>
    <row r="580">
      <c r="C580" s="129"/>
      <c r="H580" s="581"/>
    </row>
    <row r="581">
      <c r="C581" s="129"/>
      <c r="H581" s="581"/>
    </row>
    <row r="582">
      <c r="C582" s="129"/>
      <c r="H582" s="581"/>
    </row>
    <row r="583">
      <c r="C583" s="129"/>
      <c r="H583" s="581"/>
    </row>
    <row r="584">
      <c r="C584" s="129"/>
      <c r="H584" s="581"/>
    </row>
    <row r="585">
      <c r="C585" s="129"/>
      <c r="H585" s="581"/>
    </row>
    <row r="586">
      <c r="C586" s="129"/>
      <c r="H586" s="581"/>
    </row>
    <row r="587">
      <c r="C587" s="129"/>
      <c r="H587" s="581"/>
    </row>
    <row r="588">
      <c r="C588" s="129"/>
      <c r="H588" s="581"/>
    </row>
    <row r="589">
      <c r="C589" s="129"/>
      <c r="H589" s="581"/>
    </row>
    <row r="590">
      <c r="C590" s="129"/>
      <c r="H590" s="581"/>
    </row>
    <row r="591">
      <c r="C591" s="129"/>
      <c r="H591" s="581"/>
    </row>
    <row r="592">
      <c r="C592" s="129"/>
      <c r="H592" s="581"/>
    </row>
    <row r="593">
      <c r="C593" s="129"/>
      <c r="H593" s="581"/>
    </row>
    <row r="594">
      <c r="C594" s="129"/>
      <c r="H594" s="581"/>
    </row>
    <row r="595">
      <c r="C595" s="129"/>
      <c r="H595" s="581"/>
    </row>
    <row r="596">
      <c r="C596" s="129"/>
      <c r="H596" s="581"/>
    </row>
    <row r="597">
      <c r="C597" s="129"/>
      <c r="H597" s="581"/>
    </row>
    <row r="598">
      <c r="C598" s="129"/>
      <c r="H598" s="581"/>
    </row>
    <row r="599">
      <c r="C599" s="129"/>
      <c r="H599" s="581"/>
    </row>
    <row r="600">
      <c r="C600" s="129"/>
      <c r="H600" s="581"/>
    </row>
    <row r="601">
      <c r="C601" s="129"/>
      <c r="H601" s="581"/>
    </row>
    <row r="602">
      <c r="C602" s="129"/>
      <c r="H602" s="581"/>
    </row>
    <row r="603">
      <c r="C603" s="129"/>
      <c r="H603" s="581"/>
    </row>
    <row r="604">
      <c r="C604" s="129"/>
      <c r="H604" s="581"/>
    </row>
    <row r="605">
      <c r="C605" s="129"/>
      <c r="H605" s="581"/>
    </row>
    <row r="606">
      <c r="C606" s="129"/>
      <c r="H606" s="581"/>
    </row>
    <row r="607">
      <c r="C607" s="129"/>
      <c r="H607" s="581"/>
    </row>
    <row r="608">
      <c r="C608" s="129"/>
      <c r="H608" s="581"/>
    </row>
    <row r="609">
      <c r="C609" s="129"/>
      <c r="H609" s="581"/>
    </row>
    <row r="610">
      <c r="C610" s="129"/>
      <c r="H610" s="581"/>
    </row>
    <row r="611">
      <c r="C611" s="129"/>
      <c r="H611" s="581"/>
    </row>
    <row r="612">
      <c r="C612" s="129"/>
      <c r="H612" s="581"/>
    </row>
    <row r="613">
      <c r="C613" s="129"/>
      <c r="H613" s="581"/>
    </row>
    <row r="614">
      <c r="C614" s="129"/>
      <c r="H614" s="581"/>
    </row>
    <row r="615">
      <c r="C615" s="129"/>
      <c r="H615" s="581"/>
    </row>
    <row r="616">
      <c r="C616" s="129"/>
      <c r="H616" s="581"/>
    </row>
    <row r="617">
      <c r="C617" s="129"/>
      <c r="H617" s="581"/>
    </row>
    <row r="618">
      <c r="C618" s="129"/>
      <c r="H618" s="581"/>
    </row>
    <row r="619">
      <c r="C619" s="129"/>
      <c r="H619" s="581"/>
    </row>
    <row r="620">
      <c r="C620" s="129"/>
      <c r="H620" s="581"/>
    </row>
    <row r="621">
      <c r="C621" s="129"/>
      <c r="H621" s="581"/>
    </row>
    <row r="622">
      <c r="C622" s="129"/>
      <c r="H622" s="581"/>
    </row>
    <row r="623">
      <c r="C623" s="129"/>
      <c r="H623" s="581"/>
    </row>
    <row r="624">
      <c r="C624" s="129"/>
      <c r="H624" s="581"/>
    </row>
    <row r="625">
      <c r="C625" s="129"/>
      <c r="H625" s="581"/>
    </row>
    <row r="626">
      <c r="C626" s="129"/>
      <c r="H626" s="581"/>
    </row>
    <row r="627">
      <c r="C627" s="129"/>
      <c r="H627" s="581"/>
    </row>
    <row r="628">
      <c r="C628" s="129"/>
      <c r="H628" s="581"/>
    </row>
    <row r="629">
      <c r="C629" s="129"/>
      <c r="H629" s="581"/>
    </row>
    <row r="630">
      <c r="C630" s="129"/>
      <c r="H630" s="581"/>
    </row>
    <row r="631">
      <c r="C631" s="129"/>
      <c r="H631" s="581"/>
    </row>
    <row r="632">
      <c r="C632" s="129"/>
      <c r="H632" s="581"/>
    </row>
    <row r="633">
      <c r="C633" s="129"/>
      <c r="H633" s="581"/>
    </row>
    <row r="634">
      <c r="C634" s="129"/>
      <c r="H634" s="581"/>
    </row>
    <row r="635">
      <c r="C635" s="129"/>
      <c r="H635" s="581"/>
    </row>
    <row r="636">
      <c r="C636" s="129"/>
      <c r="H636" s="581"/>
    </row>
    <row r="637">
      <c r="C637" s="129"/>
      <c r="H637" s="581"/>
    </row>
    <row r="638">
      <c r="C638" s="129"/>
      <c r="H638" s="581"/>
    </row>
    <row r="639">
      <c r="C639" s="129"/>
      <c r="H639" s="581"/>
    </row>
    <row r="640">
      <c r="C640" s="129"/>
      <c r="H640" s="581"/>
    </row>
    <row r="641">
      <c r="C641" s="129"/>
      <c r="H641" s="581"/>
    </row>
    <row r="642">
      <c r="C642" s="129"/>
      <c r="H642" s="581"/>
    </row>
    <row r="643">
      <c r="C643" s="129"/>
      <c r="H643" s="581"/>
    </row>
    <row r="644">
      <c r="C644" s="129"/>
      <c r="H644" s="581"/>
    </row>
    <row r="645">
      <c r="C645" s="129"/>
      <c r="H645" s="581"/>
    </row>
    <row r="646">
      <c r="C646" s="129"/>
      <c r="H646" s="581"/>
    </row>
    <row r="647">
      <c r="C647" s="129"/>
      <c r="H647" s="581"/>
    </row>
    <row r="648">
      <c r="C648" s="129"/>
      <c r="H648" s="581"/>
    </row>
    <row r="649">
      <c r="C649" s="129"/>
      <c r="H649" s="581"/>
    </row>
    <row r="650">
      <c r="C650" s="129"/>
      <c r="H650" s="581"/>
    </row>
    <row r="651">
      <c r="C651" s="129"/>
      <c r="H651" s="581"/>
    </row>
    <row r="652">
      <c r="C652" s="129"/>
      <c r="H652" s="581"/>
    </row>
    <row r="653">
      <c r="C653" s="129"/>
      <c r="H653" s="581"/>
    </row>
    <row r="654">
      <c r="C654" s="129"/>
      <c r="H654" s="581"/>
    </row>
    <row r="655">
      <c r="C655" s="129"/>
      <c r="H655" s="581"/>
    </row>
    <row r="656">
      <c r="C656" s="129"/>
      <c r="H656" s="581"/>
    </row>
    <row r="657">
      <c r="C657" s="129"/>
      <c r="H657" s="581"/>
    </row>
    <row r="658">
      <c r="C658" s="129"/>
      <c r="H658" s="581"/>
    </row>
    <row r="659">
      <c r="C659" s="129"/>
      <c r="H659" s="581"/>
    </row>
    <row r="660">
      <c r="C660" s="129"/>
      <c r="H660" s="581"/>
    </row>
    <row r="661">
      <c r="C661" s="129"/>
      <c r="H661" s="581"/>
    </row>
    <row r="662">
      <c r="C662" s="129"/>
      <c r="H662" s="581"/>
    </row>
    <row r="663">
      <c r="C663" s="129"/>
      <c r="H663" s="581"/>
    </row>
    <row r="664">
      <c r="C664" s="129"/>
      <c r="H664" s="581"/>
    </row>
    <row r="665">
      <c r="C665" s="129"/>
      <c r="H665" s="581"/>
    </row>
    <row r="666">
      <c r="C666" s="129"/>
      <c r="H666" s="581"/>
    </row>
    <row r="667">
      <c r="C667" s="129"/>
      <c r="H667" s="581"/>
    </row>
    <row r="668">
      <c r="C668" s="129"/>
      <c r="H668" s="581"/>
    </row>
    <row r="669">
      <c r="C669" s="129"/>
      <c r="H669" s="581"/>
    </row>
    <row r="670">
      <c r="C670" s="129"/>
      <c r="H670" s="581"/>
    </row>
    <row r="671">
      <c r="C671" s="129"/>
      <c r="H671" s="581"/>
    </row>
    <row r="672">
      <c r="C672" s="129"/>
      <c r="H672" s="581"/>
    </row>
    <row r="673">
      <c r="C673" s="129"/>
      <c r="H673" s="581"/>
    </row>
    <row r="674">
      <c r="C674" s="129"/>
      <c r="H674" s="581"/>
    </row>
    <row r="675">
      <c r="C675" s="129"/>
      <c r="H675" s="581"/>
    </row>
    <row r="676">
      <c r="C676" s="129"/>
      <c r="H676" s="581"/>
    </row>
    <row r="677">
      <c r="C677" s="129"/>
      <c r="H677" s="581"/>
    </row>
    <row r="678">
      <c r="C678" s="129"/>
      <c r="H678" s="581"/>
    </row>
    <row r="679">
      <c r="C679" s="129"/>
      <c r="H679" s="581"/>
    </row>
    <row r="680">
      <c r="C680" s="129"/>
      <c r="H680" s="581"/>
    </row>
    <row r="681">
      <c r="C681" s="129"/>
      <c r="H681" s="581"/>
    </row>
    <row r="682">
      <c r="C682" s="129"/>
      <c r="H682" s="581"/>
    </row>
    <row r="683">
      <c r="C683" s="129"/>
      <c r="H683" s="581"/>
    </row>
    <row r="684">
      <c r="C684" s="129"/>
      <c r="H684" s="581"/>
    </row>
    <row r="685">
      <c r="C685" s="129"/>
      <c r="H685" s="581"/>
    </row>
    <row r="686">
      <c r="C686" s="129"/>
      <c r="H686" s="581"/>
    </row>
    <row r="687">
      <c r="C687" s="129"/>
      <c r="H687" s="581"/>
    </row>
    <row r="688">
      <c r="C688" s="129"/>
      <c r="H688" s="581"/>
    </row>
    <row r="689">
      <c r="C689" s="129"/>
      <c r="H689" s="581"/>
    </row>
    <row r="690">
      <c r="C690" s="129"/>
      <c r="H690" s="581"/>
    </row>
    <row r="691">
      <c r="C691" s="129"/>
      <c r="H691" s="581"/>
    </row>
    <row r="692">
      <c r="C692" s="129"/>
      <c r="H692" s="581"/>
    </row>
    <row r="693">
      <c r="C693" s="129"/>
      <c r="H693" s="581"/>
    </row>
    <row r="694">
      <c r="C694" s="129"/>
      <c r="H694" s="581"/>
    </row>
    <row r="695">
      <c r="C695" s="129"/>
      <c r="H695" s="581"/>
    </row>
    <row r="696">
      <c r="C696" s="129"/>
      <c r="H696" s="581"/>
    </row>
    <row r="697">
      <c r="C697" s="129"/>
      <c r="H697" s="581"/>
    </row>
    <row r="698">
      <c r="C698" s="129"/>
      <c r="H698" s="581"/>
    </row>
    <row r="699">
      <c r="C699" s="129"/>
      <c r="H699" s="581"/>
    </row>
    <row r="700">
      <c r="C700" s="129"/>
      <c r="H700" s="581"/>
    </row>
    <row r="701">
      <c r="C701" s="129"/>
      <c r="H701" s="581"/>
    </row>
    <row r="702">
      <c r="C702" s="129"/>
      <c r="H702" s="581"/>
    </row>
    <row r="703">
      <c r="C703" s="129"/>
      <c r="H703" s="581"/>
    </row>
    <row r="704">
      <c r="C704" s="129"/>
      <c r="H704" s="581"/>
    </row>
    <row r="705">
      <c r="C705" s="129"/>
      <c r="H705" s="581"/>
    </row>
    <row r="706">
      <c r="C706" s="129"/>
      <c r="H706" s="581"/>
    </row>
    <row r="707">
      <c r="C707" s="129"/>
      <c r="H707" s="581"/>
    </row>
    <row r="708">
      <c r="C708" s="129"/>
      <c r="H708" s="581"/>
    </row>
    <row r="709">
      <c r="C709" s="129"/>
      <c r="H709" s="581"/>
    </row>
    <row r="710">
      <c r="C710" s="129"/>
      <c r="H710" s="581"/>
    </row>
    <row r="711">
      <c r="C711" s="129"/>
      <c r="H711" s="581"/>
    </row>
    <row r="712">
      <c r="C712" s="129"/>
      <c r="H712" s="581"/>
    </row>
    <row r="713">
      <c r="C713" s="129"/>
      <c r="H713" s="581"/>
    </row>
    <row r="714">
      <c r="C714" s="129"/>
      <c r="H714" s="581"/>
    </row>
    <row r="715">
      <c r="C715" s="129"/>
      <c r="H715" s="581"/>
    </row>
    <row r="716">
      <c r="C716" s="129"/>
      <c r="H716" s="581"/>
    </row>
    <row r="717">
      <c r="C717" s="129"/>
      <c r="H717" s="581"/>
    </row>
    <row r="718">
      <c r="C718" s="129"/>
      <c r="H718" s="581"/>
    </row>
    <row r="719">
      <c r="C719" s="129"/>
      <c r="H719" s="581"/>
    </row>
    <row r="720">
      <c r="C720" s="129"/>
      <c r="H720" s="581"/>
    </row>
    <row r="721">
      <c r="C721" s="129"/>
      <c r="H721" s="581"/>
    </row>
    <row r="722">
      <c r="C722" s="129"/>
      <c r="H722" s="581"/>
    </row>
    <row r="723">
      <c r="C723" s="129"/>
      <c r="H723" s="581"/>
    </row>
    <row r="724">
      <c r="C724" s="129"/>
      <c r="H724" s="581"/>
    </row>
    <row r="725">
      <c r="C725" s="129"/>
      <c r="H725" s="581"/>
    </row>
    <row r="726">
      <c r="C726" s="129"/>
      <c r="H726" s="581"/>
    </row>
    <row r="727">
      <c r="C727" s="129"/>
      <c r="H727" s="581"/>
    </row>
    <row r="728">
      <c r="C728" s="129"/>
      <c r="H728" s="581"/>
    </row>
    <row r="729">
      <c r="C729" s="129"/>
      <c r="H729" s="581"/>
    </row>
    <row r="730">
      <c r="C730" s="129"/>
      <c r="H730" s="581"/>
    </row>
    <row r="731">
      <c r="C731" s="129"/>
      <c r="H731" s="581"/>
    </row>
    <row r="732">
      <c r="C732" s="129"/>
      <c r="H732" s="581"/>
    </row>
    <row r="733">
      <c r="C733" s="129"/>
      <c r="H733" s="581"/>
    </row>
    <row r="734">
      <c r="C734" s="129"/>
      <c r="H734" s="581"/>
    </row>
    <row r="735">
      <c r="C735" s="129"/>
      <c r="H735" s="581"/>
    </row>
    <row r="736">
      <c r="C736" s="129"/>
      <c r="H736" s="581"/>
    </row>
    <row r="737">
      <c r="C737" s="129"/>
      <c r="H737" s="581"/>
    </row>
    <row r="738">
      <c r="C738" s="129"/>
      <c r="H738" s="581"/>
    </row>
    <row r="739">
      <c r="C739" s="129"/>
      <c r="H739" s="581"/>
    </row>
    <row r="740">
      <c r="C740" s="129"/>
      <c r="H740" s="581"/>
    </row>
    <row r="741">
      <c r="C741" s="129"/>
      <c r="H741" s="581"/>
    </row>
    <row r="742">
      <c r="C742" s="129"/>
      <c r="H742" s="581"/>
    </row>
    <row r="743">
      <c r="C743" s="129"/>
      <c r="H743" s="581"/>
    </row>
    <row r="744">
      <c r="C744" s="129"/>
      <c r="H744" s="581"/>
    </row>
    <row r="745">
      <c r="C745" s="129"/>
      <c r="H745" s="581"/>
    </row>
    <row r="746">
      <c r="C746" s="129"/>
      <c r="H746" s="581"/>
    </row>
    <row r="747">
      <c r="C747" s="129"/>
      <c r="H747" s="581"/>
    </row>
    <row r="748">
      <c r="C748" s="129"/>
      <c r="H748" s="581"/>
    </row>
    <row r="749">
      <c r="C749" s="129"/>
      <c r="H749" s="581"/>
    </row>
    <row r="750">
      <c r="C750" s="129"/>
      <c r="H750" s="581"/>
    </row>
    <row r="751">
      <c r="C751" s="129"/>
      <c r="H751" s="581"/>
    </row>
    <row r="752">
      <c r="C752" s="129"/>
      <c r="H752" s="581"/>
    </row>
    <row r="753">
      <c r="C753" s="129"/>
      <c r="H753" s="581"/>
    </row>
    <row r="754">
      <c r="C754" s="129"/>
      <c r="H754" s="581"/>
    </row>
    <row r="755">
      <c r="C755" s="129"/>
      <c r="H755" s="581"/>
    </row>
    <row r="756">
      <c r="C756" s="129"/>
      <c r="H756" s="581"/>
    </row>
    <row r="757">
      <c r="C757" s="129"/>
      <c r="H757" s="581"/>
    </row>
    <row r="758">
      <c r="C758" s="129"/>
      <c r="H758" s="581"/>
    </row>
    <row r="759">
      <c r="C759" s="129"/>
      <c r="H759" s="581"/>
    </row>
    <row r="760">
      <c r="C760" s="129"/>
      <c r="H760" s="581"/>
    </row>
    <row r="761">
      <c r="C761" s="129"/>
      <c r="H761" s="581"/>
    </row>
    <row r="762">
      <c r="C762" s="129"/>
      <c r="H762" s="581"/>
    </row>
    <row r="763">
      <c r="C763" s="129"/>
      <c r="H763" s="581"/>
    </row>
    <row r="764">
      <c r="C764" s="129"/>
      <c r="H764" s="581"/>
    </row>
    <row r="765">
      <c r="C765" s="129"/>
      <c r="H765" s="581"/>
    </row>
    <row r="766">
      <c r="C766" s="129"/>
      <c r="H766" s="581"/>
    </row>
    <row r="767">
      <c r="C767" s="129"/>
      <c r="H767" s="581"/>
    </row>
    <row r="768">
      <c r="C768" s="129"/>
      <c r="H768" s="581"/>
    </row>
    <row r="769">
      <c r="C769" s="129"/>
      <c r="H769" s="581"/>
    </row>
    <row r="770">
      <c r="C770" s="129"/>
      <c r="H770" s="581"/>
    </row>
    <row r="771">
      <c r="C771" s="129"/>
      <c r="H771" s="581"/>
    </row>
    <row r="772">
      <c r="C772" s="129"/>
      <c r="H772" s="581"/>
    </row>
    <row r="773">
      <c r="C773" s="129"/>
      <c r="H773" s="581"/>
    </row>
    <row r="774">
      <c r="C774" s="129"/>
      <c r="H774" s="581"/>
    </row>
    <row r="775">
      <c r="C775" s="129"/>
      <c r="H775" s="581"/>
    </row>
    <row r="776">
      <c r="C776" s="129"/>
      <c r="H776" s="581"/>
    </row>
    <row r="777">
      <c r="C777" s="129"/>
      <c r="H777" s="581"/>
    </row>
    <row r="778">
      <c r="C778" s="129"/>
      <c r="H778" s="581"/>
    </row>
    <row r="779">
      <c r="C779" s="129"/>
      <c r="H779" s="581"/>
    </row>
    <row r="780">
      <c r="C780" s="129"/>
      <c r="H780" s="581"/>
    </row>
    <row r="781">
      <c r="C781" s="129"/>
      <c r="H781" s="581"/>
    </row>
    <row r="782">
      <c r="C782" s="129"/>
      <c r="H782" s="581"/>
    </row>
    <row r="783">
      <c r="C783" s="129"/>
      <c r="H783" s="581"/>
    </row>
    <row r="784">
      <c r="C784" s="129"/>
      <c r="H784" s="581"/>
    </row>
    <row r="785">
      <c r="C785" s="129"/>
      <c r="H785" s="581"/>
    </row>
    <row r="786">
      <c r="C786" s="129"/>
      <c r="H786" s="581"/>
    </row>
    <row r="787">
      <c r="C787" s="129"/>
      <c r="H787" s="581"/>
    </row>
    <row r="788">
      <c r="C788" s="129"/>
      <c r="H788" s="581"/>
    </row>
    <row r="789">
      <c r="C789" s="129"/>
      <c r="H789" s="581"/>
    </row>
    <row r="790">
      <c r="C790" s="129"/>
      <c r="H790" s="581"/>
    </row>
    <row r="791">
      <c r="C791" s="129"/>
      <c r="H791" s="581"/>
    </row>
    <row r="792">
      <c r="C792" s="129"/>
      <c r="H792" s="581"/>
    </row>
    <row r="793">
      <c r="C793" s="129"/>
      <c r="H793" s="581"/>
    </row>
    <row r="794">
      <c r="C794" s="129"/>
      <c r="H794" s="581"/>
    </row>
    <row r="795">
      <c r="C795" s="129"/>
      <c r="H795" s="581"/>
    </row>
    <row r="796">
      <c r="C796" s="129"/>
      <c r="H796" s="581"/>
    </row>
    <row r="797">
      <c r="C797" s="129"/>
      <c r="H797" s="581"/>
    </row>
    <row r="798">
      <c r="C798" s="129"/>
      <c r="H798" s="581"/>
    </row>
    <row r="799">
      <c r="C799" s="129"/>
      <c r="H799" s="581"/>
    </row>
    <row r="800">
      <c r="C800" s="129"/>
      <c r="H800" s="581"/>
    </row>
    <row r="801">
      <c r="C801" s="129"/>
      <c r="H801" s="581"/>
    </row>
    <row r="802">
      <c r="C802" s="129"/>
      <c r="H802" s="581"/>
    </row>
    <row r="803">
      <c r="C803" s="129"/>
      <c r="H803" s="581"/>
    </row>
    <row r="804">
      <c r="C804" s="129"/>
      <c r="H804" s="581"/>
    </row>
    <row r="805">
      <c r="C805" s="129"/>
      <c r="H805" s="581"/>
    </row>
    <row r="806">
      <c r="C806" s="129"/>
      <c r="H806" s="581"/>
    </row>
    <row r="807">
      <c r="C807" s="129"/>
      <c r="H807" s="581"/>
    </row>
    <row r="808">
      <c r="C808" s="129"/>
      <c r="H808" s="581"/>
    </row>
    <row r="809">
      <c r="C809" s="129"/>
      <c r="H809" s="581"/>
    </row>
    <row r="810">
      <c r="C810" s="129"/>
      <c r="H810" s="581"/>
    </row>
    <row r="811">
      <c r="C811" s="129"/>
      <c r="H811" s="581"/>
    </row>
    <row r="812">
      <c r="C812" s="129"/>
      <c r="H812" s="581"/>
    </row>
    <row r="813">
      <c r="C813" s="129"/>
      <c r="H813" s="581"/>
    </row>
    <row r="814">
      <c r="C814" s="129"/>
      <c r="H814" s="581"/>
    </row>
    <row r="815">
      <c r="C815" s="129"/>
      <c r="H815" s="581"/>
    </row>
    <row r="816">
      <c r="C816" s="129"/>
      <c r="H816" s="581"/>
    </row>
    <row r="817">
      <c r="C817" s="129"/>
      <c r="H817" s="581"/>
    </row>
    <row r="818">
      <c r="C818" s="129"/>
      <c r="H818" s="581"/>
    </row>
    <row r="819">
      <c r="C819" s="129"/>
      <c r="H819" s="581"/>
    </row>
    <row r="820">
      <c r="C820" s="129"/>
      <c r="H820" s="581"/>
    </row>
    <row r="821">
      <c r="C821" s="129"/>
      <c r="H821" s="581"/>
    </row>
    <row r="822">
      <c r="C822" s="129"/>
      <c r="H822" s="581"/>
    </row>
    <row r="823">
      <c r="C823" s="129"/>
      <c r="H823" s="581"/>
    </row>
    <row r="824">
      <c r="C824" s="129"/>
      <c r="H824" s="581"/>
    </row>
    <row r="825">
      <c r="C825" s="129"/>
      <c r="H825" s="581"/>
    </row>
    <row r="826">
      <c r="C826" s="129"/>
      <c r="H826" s="581"/>
    </row>
    <row r="827">
      <c r="C827" s="129"/>
      <c r="H827" s="581"/>
    </row>
    <row r="828">
      <c r="C828" s="129"/>
      <c r="H828" s="581"/>
    </row>
    <row r="829">
      <c r="C829" s="129"/>
      <c r="H829" s="581"/>
    </row>
    <row r="830">
      <c r="C830" s="129"/>
      <c r="H830" s="581"/>
    </row>
    <row r="831">
      <c r="C831" s="129"/>
      <c r="H831" s="581"/>
    </row>
    <row r="832">
      <c r="C832" s="129"/>
      <c r="H832" s="581"/>
    </row>
    <row r="833">
      <c r="C833" s="129"/>
      <c r="H833" s="581"/>
    </row>
    <row r="834">
      <c r="C834" s="129"/>
      <c r="H834" s="581"/>
    </row>
    <row r="835">
      <c r="C835" s="129"/>
      <c r="H835" s="581"/>
    </row>
    <row r="836">
      <c r="C836" s="129"/>
      <c r="H836" s="581"/>
    </row>
    <row r="837">
      <c r="C837" s="129"/>
      <c r="H837" s="581"/>
    </row>
    <row r="838">
      <c r="C838" s="129"/>
      <c r="H838" s="581"/>
    </row>
    <row r="839">
      <c r="C839" s="129"/>
      <c r="H839" s="581"/>
    </row>
    <row r="840">
      <c r="C840" s="129"/>
      <c r="H840" s="581"/>
    </row>
    <row r="841">
      <c r="C841" s="129"/>
      <c r="H841" s="581"/>
    </row>
    <row r="842">
      <c r="C842" s="129"/>
      <c r="H842" s="581"/>
    </row>
    <row r="843">
      <c r="C843" s="129"/>
      <c r="H843" s="581"/>
    </row>
    <row r="844">
      <c r="C844" s="129"/>
      <c r="H844" s="581"/>
    </row>
    <row r="845">
      <c r="C845" s="129"/>
      <c r="H845" s="581"/>
    </row>
    <row r="846">
      <c r="C846" s="129"/>
      <c r="H846" s="581"/>
    </row>
    <row r="847">
      <c r="C847" s="129"/>
      <c r="H847" s="581"/>
    </row>
    <row r="848">
      <c r="C848" s="129"/>
      <c r="H848" s="581"/>
    </row>
    <row r="849">
      <c r="C849" s="129"/>
      <c r="H849" s="581"/>
    </row>
    <row r="850">
      <c r="C850" s="129"/>
      <c r="H850" s="581"/>
    </row>
    <row r="851">
      <c r="C851" s="129"/>
      <c r="H851" s="581"/>
    </row>
    <row r="852">
      <c r="C852" s="129"/>
      <c r="H852" s="581"/>
    </row>
    <row r="853">
      <c r="C853" s="129"/>
      <c r="H853" s="581"/>
    </row>
    <row r="854">
      <c r="C854" s="129"/>
      <c r="H854" s="581"/>
    </row>
    <row r="855">
      <c r="C855" s="129"/>
      <c r="H855" s="581"/>
    </row>
    <row r="856">
      <c r="C856" s="129"/>
      <c r="H856" s="581"/>
    </row>
    <row r="857">
      <c r="C857" s="129"/>
      <c r="H857" s="581"/>
    </row>
    <row r="858">
      <c r="C858" s="129"/>
      <c r="H858" s="581"/>
    </row>
    <row r="859">
      <c r="C859" s="129"/>
      <c r="H859" s="581"/>
    </row>
    <row r="860">
      <c r="C860" s="129"/>
      <c r="H860" s="581"/>
    </row>
    <row r="861">
      <c r="C861" s="129"/>
      <c r="H861" s="581"/>
    </row>
    <row r="862">
      <c r="C862" s="129"/>
      <c r="H862" s="581"/>
    </row>
    <row r="863">
      <c r="C863" s="129"/>
      <c r="H863" s="581"/>
    </row>
    <row r="864">
      <c r="C864" s="129"/>
      <c r="H864" s="581"/>
    </row>
    <row r="865">
      <c r="C865" s="129"/>
      <c r="H865" s="581"/>
    </row>
    <row r="866">
      <c r="C866" s="129"/>
      <c r="H866" s="581"/>
    </row>
    <row r="867">
      <c r="C867" s="129"/>
      <c r="H867" s="581"/>
    </row>
    <row r="868">
      <c r="C868" s="129"/>
      <c r="H868" s="581"/>
    </row>
    <row r="869">
      <c r="C869" s="129"/>
      <c r="H869" s="581"/>
    </row>
    <row r="870">
      <c r="C870" s="129"/>
      <c r="H870" s="581"/>
    </row>
    <row r="871">
      <c r="C871" s="129"/>
      <c r="H871" s="581"/>
    </row>
    <row r="872">
      <c r="C872" s="129"/>
      <c r="H872" s="581"/>
    </row>
    <row r="873">
      <c r="C873" s="129"/>
      <c r="H873" s="581"/>
    </row>
    <row r="874">
      <c r="C874" s="129"/>
      <c r="H874" s="581"/>
    </row>
    <row r="875">
      <c r="C875" s="129"/>
      <c r="H875" s="581"/>
    </row>
    <row r="876">
      <c r="C876" s="129"/>
      <c r="H876" s="581"/>
    </row>
    <row r="877">
      <c r="C877" s="129"/>
      <c r="H877" s="581"/>
    </row>
    <row r="878">
      <c r="C878" s="129"/>
      <c r="H878" s="581"/>
    </row>
    <row r="879">
      <c r="C879" s="129"/>
      <c r="H879" s="581"/>
    </row>
    <row r="880">
      <c r="C880" s="129"/>
      <c r="H880" s="581"/>
    </row>
    <row r="881">
      <c r="C881" s="129"/>
      <c r="H881" s="581"/>
    </row>
    <row r="882">
      <c r="C882" s="129"/>
      <c r="H882" s="581"/>
    </row>
    <row r="883">
      <c r="C883" s="129"/>
      <c r="H883" s="581"/>
    </row>
    <row r="884">
      <c r="C884" s="129"/>
      <c r="H884" s="581"/>
    </row>
    <row r="885">
      <c r="C885" s="129"/>
      <c r="H885" s="581"/>
    </row>
    <row r="886">
      <c r="C886" s="129"/>
      <c r="H886" s="581"/>
    </row>
    <row r="887">
      <c r="C887" s="129"/>
      <c r="H887" s="581"/>
    </row>
    <row r="888">
      <c r="C888" s="129"/>
      <c r="H888" s="581"/>
    </row>
    <row r="889">
      <c r="C889" s="129"/>
      <c r="H889" s="581"/>
    </row>
    <row r="890">
      <c r="C890" s="129"/>
      <c r="H890" s="581"/>
    </row>
    <row r="891">
      <c r="C891" s="129"/>
      <c r="H891" s="581"/>
    </row>
    <row r="892">
      <c r="C892" s="129"/>
      <c r="H892" s="581"/>
    </row>
    <row r="893">
      <c r="C893" s="129"/>
      <c r="H893" s="581"/>
    </row>
    <row r="894">
      <c r="C894" s="129"/>
      <c r="H894" s="581"/>
    </row>
    <row r="895">
      <c r="C895" s="129"/>
      <c r="H895" s="581"/>
    </row>
    <row r="896">
      <c r="C896" s="129"/>
      <c r="H896" s="581"/>
    </row>
    <row r="897">
      <c r="C897" s="129"/>
      <c r="H897" s="581"/>
    </row>
    <row r="898">
      <c r="C898" s="129"/>
      <c r="H898" s="581"/>
    </row>
    <row r="899">
      <c r="C899" s="129"/>
      <c r="H899" s="581"/>
    </row>
    <row r="900">
      <c r="C900" s="129"/>
      <c r="H900" s="581"/>
    </row>
    <row r="901">
      <c r="C901" s="129"/>
      <c r="H901" s="581"/>
    </row>
    <row r="902">
      <c r="C902" s="129"/>
      <c r="H902" s="581"/>
    </row>
    <row r="903">
      <c r="C903" s="129"/>
      <c r="H903" s="581"/>
    </row>
    <row r="904">
      <c r="C904" s="129"/>
      <c r="H904" s="581"/>
    </row>
    <row r="905">
      <c r="C905" s="129"/>
      <c r="H905" s="581"/>
    </row>
    <row r="906">
      <c r="C906" s="129"/>
      <c r="H906" s="581"/>
    </row>
    <row r="907">
      <c r="C907" s="129"/>
      <c r="H907" s="581"/>
    </row>
    <row r="908">
      <c r="C908" s="129"/>
      <c r="H908" s="581"/>
    </row>
    <row r="909">
      <c r="C909" s="129"/>
      <c r="H909" s="581"/>
    </row>
    <row r="910">
      <c r="C910" s="129"/>
      <c r="H910" s="581"/>
    </row>
    <row r="911">
      <c r="C911" s="129"/>
      <c r="H911" s="581"/>
    </row>
    <row r="912">
      <c r="C912" s="129"/>
      <c r="H912" s="581"/>
    </row>
    <row r="913">
      <c r="C913" s="129"/>
      <c r="H913" s="581"/>
    </row>
    <row r="914">
      <c r="C914" s="129"/>
      <c r="H914" s="581"/>
    </row>
    <row r="915">
      <c r="C915" s="129"/>
      <c r="H915" s="581"/>
    </row>
    <row r="916">
      <c r="C916" s="129"/>
      <c r="H916" s="581"/>
    </row>
    <row r="917">
      <c r="C917" s="129"/>
      <c r="H917" s="581"/>
    </row>
    <row r="918">
      <c r="C918" s="129"/>
      <c r="H918" s="581"/>
    </row>
    <row r="919">
      <c r="C919" s="129"/>
      <c r="H919" s="581"/>
    </row>
    <row r="920">
      <c r="C920" s="129"/>
      <c r="H920" s="581"/>
    </row>
    <row r="921">
      <c r="C921" s="129"/>
      <c r="H921" s="581"/>
    </row>
    <row r="922">
      <c r="C922" s="129"/>
      <c r="H922" s="581"/>
    </row>
    <row r="923">
      <c r="C923" s="129"/>
      <c r="H923" s="581"/>
    </row>
    <row r="924">
      <c r="C924" s="129"/>
      <c r="H924" s="581"/>
    </row>
    <row r="925">
      <c r="C925" s="129"/>
      <c r="H925" s="581"/>
    </row>
    <row r="926">
      <c r="C926" s="129"/>
      <c r="H926" s="581"/>
    </row>
    <row r="927">
      <c r="C927" s="129"/>
      <c r="H927" s="581"/>
    </row>
    <row r="928">
      <c r="C928" s="129"/>
      <c r="H928" s="581"/>
    </row>
    <row r="929">
      <c r="C929" s="129"/>
      <c r="H929" s="581"/>
    </row>
    <row r="930">
      <c r="C930" s="129"/>
      <c r="H930" s="581"/>
    </row>
    <row r="931">
      <c r="C931" s="129"/>
      <c r="H931" s="581"/>
    </row>
    <row r="932">
      <c r="C932" s="129"/>
      <c r="H932" s="581"/>
    </row>
    <row r="933">
      <c r="C933" s="129"/>
      <c r="H933" s="581"/>
    </row>
    <row r="934">
      <c r="C934" s="129"/>
      <c r="H934" s="581"/>
    </row>
    <row r="935">
      <c r="C935" s="129"/>
      <c r="H935" s="581"/>
    </row>
    <row r="936">
      <c r="C936" s="129"/>
      <c r="H936" s="581"/>
    </row>
    <row r="937">
      <c r="C937" s="129"/>
      <c r="H937" s="581"/>
    </row>
    <row r="938">
      <c r="C938" s="129"/>
      <c r="H938" s="581"/>
    </row>
    <row r="939">
      <c r="C939" s="129"/>
      <c r="H939" s="581"/>
    </row>
    <row r="940">
      <c r="C940" s="129"/>
      <c r="H940" s="581"/>
    </row>
    <row r="941">
      <c r="C941" s="129"/>
      <c r="H941" s="581"/>
    </row>
    <row r="942">
      <c r="C942" s="129"/>
      <c r="H942" s="581"/>
    </row>
    <row r="943">
      <c r="C943" s="129"/>
      <c r="H943" s="581"/>
    </row>
    <row r="944">
      <c r="C944" s="129"/>
      <c r="H944" s="581"/>
    </row>
    <row r="945">
      <c r="C945" s="129"/>
      <c r="H945" s="581"/>
    </row>
    <row r="946">
      <c r="C946" s="129"/>
      <c r="H946" s="581"/>
    </row>
    <row r="947">
      <c r="C947" s="129"/>
      <c r="H947" s="581"/>
    </row>
  </sheetData>
  <mergeCells count="10">
    <mergeCell ref="P47:Q47"/>
    <mergeCell ref="P55:Q55"/>
    <mergeCell ref="S55:T55"/>
    <mergeCell ref="P19:Q19"/>
    <mergeCell ref="S19:T19"/>
    <mergeCell ref="U19:V19"/>
    <mergeCell ref="P30:Q30"/>
    <mergeCell ref="S30:T30"/>
    <mergeCell ref="U30:V30"/>
    <mergeCell ref="S47:T47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50.5"/>
  </cols>
  <sheetData>
    <row r="1">
      <c r="A1" s="275" t="s">
        <v>75</v>
      </c>
      <c r="B1" s="273">
        <v>6250.0</v>
      </c>
    </row>
    <row r="2">
      <c r="A2" s="284" t="s">
        <v>67</v>
      </c>
      <c r="B2" s="273">
        <v>2500.0</v>
      </c>
    </row>
    <row r="3">
      <c r="A3" s="275" t="s">
        <v>69</v>
      </c>
      <c r="B3" s="273">
        <v>2000.0</v>
      </c>
    </row>
    <row r="4">
      <c r="A4" s="275" t="s">
        <v>68</v>
      </c>
      <c r="B4" s="273">
        <v>1250.0</v>
      </c>
    </row>
    <row r="5">
      <c r="A5" s="275" t="s">
        <v>61</v>
      </c>
      <c r="B5" s="273">
        <v>1250.0</v>
      </c>
    </row>
    <row r="6">
      <c r="A6" s="284" t="s">
        <v>2320</v>
      </c>
      <c r="B6" s="284">
        <v>500.0</v>
      </c>
    </row>
    <row r="7">
      <c r="A7" s="284" t="s">
        <v>2321</v>
      </c>
      <c r="B7" s="284">
        <v>250.0</v>
      </c>
    </row>
    <row r="8">
      <c r="A8" s="283"/>
      <c r="B8" s="283"/>
    </row>
    <row r="9">
      <c r="A9" s="284" t="s">
        <v>2570</v>
      </c>
      <c r="B9" s="282">
        <f>SUM(B1:B8)</f>
        <v>14000</v>
      </c>
    </row>
    <row r="10">
      <c r="A10" s="284" t="s">
        <v>2571</v>
      </c>
      <c r="B10" s="284">
        <v>-4000.0</v>
      </c>
    </row>
    <row r="11">
      <c r="A11" s="646" t="s">
        <v>2572</v>
      </c>
      <c r="B11" s="647">
        <f>SUM(B9:B10)</f>
        <v>10000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31.38"/>
    <col customWidth="1" min="2" max="12" width="12.63"/>
    <col customWidth="1" min="13" max="13" width="31.38"/>
    <col customWidth="1" min="17" max="17" width="6.38"/>
  </cols>
  <sheetData>
    <row r="1">
      <c r="A1" s="648" t="s">
        <v>37</v>
      </c>
      <c r="B1" s="118" t="s">
        <v>2573</v>
      </c>
      <c r="C1" s="118" t="s">
        <v>2574</v>
      </c>
      <c r="D1" s="118" t="s">
        <v>2575</v>
      </c>
      <c r="E1" s="118"/>
      <c r="F1" s="118" t="s">
        <v>2576</v>
      </c>
      <c r="G1" s="118" t="s">
        <v>2577</v>
      </c>
      <c r="H1" s="118" t="s">
        <v>2578</v>
      </c>
      <c r="I1" s="118" t="s">
        <v>2204</v>
      </c>
      <c r="J1" s="118" t="s">
        <v>2579</v>
      </c>
      <c r="K1" s="118" t="s">
        <v>2205</v>
      </c>
      <c r="L1" s="118" t="s">
        <v>41</v>
      </c>
    </row>
    <row r="2">
      <c r="A2" s="215" t="s">
        <v>1876</v>
      </c>
      <c r="B2" s="204">
        <f t="shared" ref="B2:D2" si="1">SUM(B4:B78)</f>
        <v>0</v>
      </c>
      <c r="C2" s="204">
        <f t="shared" si="1"/>
        <v>0</v>
      </c>
      <c r="D2" s="204">
        <f t="shared" si="1"/>
        <v>0</v>
      </c>
      <c r="E2" s="649"/>
      <c r="F2" s="649">
        <v>6.3963E-4</v>
      </c>
      <c r="G2" s="649">
        <v>0.292029</v>
      </c>
      <c r="H2" s="649">
        <v>0.0242096</v>
      </c>
      <c r="I2" s="204"/>
      <c r="J2" s="204"/>
      <c r="K2" s="204">
        <f>SUM(K4:K300)</f>
        <v>80750</v>
      </c>
      <c r="L2" s="417" t="str">
        <f>K2/(D2/100)</f>
        <v>#DIV/0!</v>
      </c>
      <c r="M2" s="121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7"/>
      <c r="AD2" s="217"/>
      <c r="AE2" s="217"/>
      <c r="AF2" s="217"/>
      <c r="AG2" s="217"/>
    </row>
    <row r="3">
      <c r="E3" s="139"/>
      <c r="F3" s="139"/>
      <c r="G3" s="139"/>
      <c r="H3" s="139"/>
      <c r="I3" s="139"/>
      <c r="J3" s="139"/>
      <c r="K3" s="139"/>
      <c r="L3" s="166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</row>
    <row r="4">
      <c r="A4" s="123" t="s">
        <v>2580</v>
      </c>
      <c r="B4" s="124">
        <v>0.0</v>
      </c>
      <c r="C4" s="124">
        <f>B4*F2</f>
        <v>0</v>
      </c>
      <c r="D4" s="124">
        <f t="shared" ref="D4:D6" si="2">C4*35</f>
        <v>0</v>
      </c>
      <c r="E4" s="132"/>
      <c r="F4" s="130"/>
      <c r="G4" s="130"/>
      <c r="H4" s="130"/>
      <c r="I4" s="627" t="s">
        <v>2581</v>
      </c>
      <c r="J4" s="650">
        <v>44434.0</v>
      </c>
      <c r="K4" s="474">
        <v>150.0</v>
      </c>
      <c r="L4" s="125">
        <f>SUM(K4:K13)</f>
        <v>900</v>
      </c>
      <c r="M4" s="128" t="s">
        <v>2582</v>
      </c>
      <c r="N4" s="152"/>
      <c r="O4" s="148"/>
      <c r="P4" s="129"/>
      <c r="Q4" s="149"/>
      <c r="R4" s="149"/>
      <c r="S4" s="167"/>
      <c r="T4" s="168"/>
      <c r="U4" s="168"/>
      <c r="V4" s="148"/>
      <c r="W4" s="149"/>
      <c r="X4" s="149"/>
      <c r="Y4" s="129"/>
      <c r="Z4" s="129"/>
      <c r="AA4" s="129"/>
      <c r="AB4" s="129"/>
      <c r="AC4" s="129"/>
      <c r="AD4" s="129"/>
      <c r="AE4" s="129"/>
      <c r="AF4" s="129"/>
      <c r="AG4" s="129"/>
    </row>
    <row r="5">
      <c r="A5" s="123" t="s">
        <v>2583</v>
      </c>
      <c r="B5" s="124">
        <v>0.0</v>
      </c>
      <c r="C5" s="124">
        <f>B5*F2</f>
        <v>0</v>
      </c>
      <c r="D5" s="124">
        <f t="shared" si="2"/>
        <v>0</v>
      </c>
      <c r="E5" s="132"/>
      <c r="F5" s="627"/>
      <c r="G5" s="627"/>
      <c r="H5" s="627"/>
      <c r="I5" s="627" t="s">
        <v>2584</v>
      </c>
      <c r="J5" s="650">
        <v>44434.0</v>
      </c>
      <c r="K5" s="474">
        <v>75.0</v>
      </c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</row>
    <row r="6">
      <c r="A6" s="123" t="s">
        <v>2585</v>
      </c>
      <c r="B6" s="124">
        <v>0.0</v>
      </c>
      <c r="C6" s="124">
        <f>B6*G2</f>
        <v>0</v>
      </c>
      <c r="D6" s="124">
        <f t="shared" si="2"/>
        <v>0</v>
      </c>
      <c r="F6" s="627"/>
      <c r="G6" s="627"/>
      <c r="H6" s="627"/>
      <c r="I6" s="627" t="s">
        <v>2581</v>
      </c>
      <c r="J6" s="650">
        <v>44435.0</v>
      </c>
      <c r="K6" s="474">
        <v>100.0</v>
      </c>
      <c r="M6" s="128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</row>
    <row r="7">
      <c r="B7" s="125"/>
      <c r="C7" s="125"/>
      <c r="D7" s="124"/>
      <c r="F7" s="627"/>
      <c r="G7" s="627"/>
      <c r="H7" s="627"/>
      <c r="I7" s="627" t="s">
        <v>2584</v>
      </c>
      <c r="J7" s="650">
        <v>44435.0</v>
      </c>
      <c r="K7" s="474">
        <v>75.0</v>
      </c>
      <c r="L7" s="130"/>
      <c r="M7" s="129"/>
      <c r="N7" s="128"/>
      <c r="O7" s="128"/>
      <c r="P7" s="129"/>
      <c r="Q7" s="129"/>
      <c r="R7" s="129"/>
      <c r="S7" s="169"/>
      <c r="U7" s="170"/>
      <c r="X7" s="149"/>
    </row>
    <row r="8">
      <c r="A8" s="123" t="s">
        <v>2586</v>
      </c>
      <c r="B8" s="124">
        <v>0.0</v>
      </c>
      <c r="C8" s="124">
        <v>0.0</v>
      </c>
      <c r="D8" s="124">
        <f t="shared" ref="D8:D9" si="3">C8*35</f>
        <v>0</v>
      </c>
      <c r="F8" s="627"/>
      <c r="G8" s="627"/>
      <c r="H8" s="627"/>
      <c r="I8" s="627" t="s">
        <v>2581</v>
      </c>
      <c r="J8" s="650">
        <v>44436.0</v>
      </c>
      <c r="K8" s="474">
        <v>125.0</v>
      </c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</row>
    <row r="9">
      <c r="A9" s="123" t="s">
        <v>2587</v>
      </c>
      <c r="B9" s="124">
        <v>0.0</v>
      </c>
      <c r="C9" s="124">
        <v>0.0</v>
      </c>
      <c r="D9" s="124">
        <f t="shared" si="3"/>
        <v>0</v>
      </c>
      <c r="I9" s="627" t="s">
        <v>2584</v>
      </c>
      <c r="J9" s="650">
        <v>44436.0</v>
      </c>
      <c r="K9" s="474">
        <v>-50.0</v>
      </c>
      <c r="L9" s="130"/>
      <c r="M9" s="128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</row>
    <row r="10">
      <c r="I10" s="627" t="s">
        <v>2581</v>
      </c>
      <c r="J10" s="650">
        <v>44437.0</v>
      </c>
      <c r="K10" s="474">
        <v>0.0</v>
      </c>
      <c r="L10" s="125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</row>
    <row r="11">
      <c r="C11" s="124"/>
      <c r="D11" s="124"/>
      <c r="F11" s="627"/>
      <c r="G11" s="627"/>
      <c r="H11" s="627"/>
      <c r="I11" s="627" t="s">
        <v>2584</v>
      </c>
      <c r="J11" s="650">
        <v>44437.0</v>
      </c>
      <c r="K11" s="474">
        <v>-100.0</v>
      </c>
      <c r="L11" s="134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</row>
    <row r="12">
      <c r="F12" s="627"/>
      <c r="G12" s="627"/>
      <c r="H12" s="627"/>
      <c r="I12" s="627" t="s">
        <v>2588</v>
      </c>
      <c r="J12" s="650">
        <v>44439.0</v>
      </c>
      <c r="K12" s="474">
        <v>450.0</v>
      </c>
      <c r="L12" s="189"/>
      <c r="M12" s="122"/>
      <c r="N12" s="152"/>
      <c r="O12" s="148"/>
      <c r="P12" s="129"/>
      <c r="Q12" s="149"/>
      <c r="R12" s="149"/>
      <c r="S12" s="167"/>
      <c r="T12" s="168"/>
      <c r="U12" s="168"/>
      <c r="V12" s="148"/>
      <c r="W12" s="149"/>
      <c r="X12" s="149"/>
      <c r="Y12" s="129"/>
      <c r="Z12" s="129"/>
      <c r="AA12" s="129"/>
      <c r="AB12" s="129"/>
      <c r="AC12" s="129"/>
      <c r="AD12" s="129"/>
      <c r="AE12" s="129"/>
      <c r="AF12" s="129"/>
      <c r="AG12" s="129"/>
    </row>
    <row r="13">
      <c r="C13" s="124"/>
      <c r="D13" s="124"/>
      <c r="F13" s="627"/>
      <c r="G13" s="627"/>
      <c r="H13" s="627"/>
      <c r="I13" s="627" t="s">
        <v>2581</v>
      </c>
      <c r="J13" s="650">
        <v>44439.0</v>
      </c>
      <c r="K13" s="474">
        <v>75.0</v>
      </c>
      <c r="L13" s="630"/>
      <c r="N13" s="152"/>
      <c r="O13" s="148"/>
      <c r="P13" s="129"/>
      <c r="Q13" s="149"/>
      <c r="R13" s="149"/>
      <c r="S13" s="167"/>
      <c r="T13" s="168"/>
      <c r="U13" s="168"/>
      <c r="V13" s="148"/>
      <c r="W13" s="149"/>
      <c r="X13" s="149"/>
      <c r="Y13" s="129"/>
      <c r="Z13" s="129"/>
      <c r="AA13" s="129"/>
      <c r="AB13" s="129"/>
      <c r="AC13" s="129"/>
      <c r="AD13" s="129"/>
      <c r="AE13" s="129"/>
      <c r="AF13" s="129"/>
      <c r="AG13" s="129"/>
    </row>
    <row r="14">
      <c r="F14" s="627"/>
      <c r="G14" s="627"/>
      <c r="H14" s="627"/>
      <c r="I14" s="627"/>
      <c r="J14" s="627"/>
      <c r="K14" s="474"/>
      <c r="L14" s="631"/>
      <c r="M14" s="632"/>
      <c r="N14" s="128"/>
      <c r="O14" s="129"/>
      <c r="P14" s="149"/>
      <c r="Q14" s="152"/>
      <c r="R14" s="152"/>
      <c r="S14" s="149"/>
      <c r="T14" s="14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</row>
    <row r="15">
      <c r="C15" s="124"/>
      <c r="D15" s="124"/>
      <c r="F15" s="627"/>
      <c r="G15" s="627"/>
      <c r="H15" s="627"/>
      <c r="I15" s="627" t="s">
        <v>2589</v>
      </c>
      <c r="J15" s="650">
        <v>44440.0</v>
      </c>
      <c r="K15" s="474">
        <v>50.0</v>
      </c>
      <c r="L15" s="125">
        <f>SUM(K15:K48)</f>
        <v>8425</v>
      </c>
      <c r="M15" s="128" t="s">
        <v>2590</v>
      </c>
      <c r="N15" s="128"/>
      <c r="O15" s="129"/>
      <c r="P15" s="149"/>
      <c r="Q15" s="152"/>
      <c r="R15" s="152"/>
      <c r="S15" s="149"/>
      <c r="T15" s="14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</row>
    <row r="16">
      <c r="F16" s="627"/>
      <c r="G16" s="627"/>
      <c r="H16" s="627"/>
      <c r="I16" s="627" t="s">
        <v>2581</v>
      </c>
      <c r="J16" s="650">
        <v>44440.0</v>
      </c>
      <c r="K16" s="474">
        <v>95.0</v>
      </c>
      <c r="M16" s="129"/>
      <c r="N16" s="150"/>
      <c r="O16" s="129"/>
      <c r="P16" s="129"/>
      <c r="Q16" s="150"/>
      <c r="R16" s="150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</row>
    <row r="17">
      <c r="C17" s="124"/>
      <c r="D17" s="124"/>
      <c r="F17" s="627"/>
      <c r="G17" s="627"/>
      <c r="H17" s="627"/>
      <c r="I17" s="627" t="s">
        <v>2591</v>
      </c>
      <c r="J17" s="650">
        <v>44440.0</v>
      </c>
      <c r="K17" s="474">
        <v>185.0</v>
      </c>
      <c r="M17" s="128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</row>
    <row r="18">
      <c r="F18" s="627"/>
      <c r="G18" s="627"/>
      <c r="H18" s="627"/>
      <c r="I18" s="627" t="s">
        <v>2592</v>
      </c>
      <c r="J18" s="650">
        <v>44441.0</v>
      </c>
      <c r="K18" s="474">
        <v>115.0</v>
      </c>
      <c r="L18" s="130"/>
      <c r="M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</row>
    <row r="19">
      <c r="B19" s="125"/>
      <c r="C19" s="125"/>
      <c r="D19" s="125"/>
      <c r="F19" s="130"/>
      <c r="G19" s="130"/>
      <c r="H19" s="130"/>
      <c r="I19" s="627" t="s">
        <v>2589</v>
      </c>
      <c r="J19" s="650">
        <v>44442.0</v>
      </c>
      <c r="K19" s="474">
        <v>25.0</v>
      </c>
      <c r="O19" s="624"/>
      <c r="Q19" s="129"/>
      <c r="R19" s="118"/>
      <c r="T19" s="624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</row>
    <row r="20">
      <c r="F20" s="130"/>
      <c r="G20" s="130"/>
      <c r="H20" s="130"/>
      <c r="I20" s="627" t="s">
        <v>2592</v>
      </c>
      <c r="J20" s="650">
        <v>44442.0</v>
      </c>
      <c r="K20" s="474">
        <v>115.0</v>
      </c>
      <c r="L20" s="130"/>
      <c r="M20" s="128"/>
      <c r="P20" s="169"/>
      <c r="Q20" s="129"/>
      <c r="S20" s="169"/>
      <c r="U20" s="16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</row>
    <row r="21">
      <c r="F21" s="627"/>
      <c r="G21" s="627"/>
      <c r="H21" s="627"/>
      <c r="I21" s="627" t="s">
        <v>2592</v>
      </c>
      <c r="J21" s="650">
        <v>44443.0</v>
      </c>
      <c r="K21" s="474">
        <v>125.0</v>
      </c>
      <c r="L21" s="125"/>
      <c r="P21" s="170"/>
      <c r="U21" s="170"/>
    </row>
    <row r="22">
      <c r="F22" s="627"/>
      <c r="G22" s="627"/>
      <c r="H22" s="627"/>
      <c r="I22" s="627" t="s">
        <v>2592</v>
      </c>
      <c r="J22" s="650">
        <v>44444.0</v>
      </c>
      <c r="K22" s="474">
        <v>220.0</v>
      </c>
      <c r="L22" s="134"/>
      <c r="P22" s="170"/>
      <c r="S22" s="170"/>
      <c r="U22" s="170"/>
    </row>
    <row r="23">
      <c r="F23" s="627"/>
      <c r="G23" s="627"/>
      <c r="H23" s="627"/>
      <c r="I23" s="627" t="s">
        <v>2592</v>
      </c>
      <c r="J23" s="650">
        <v>44445.0</v>
      </c>
      <c r="K23" s="474">
        <v>170.0</v>
      </c>
      <c r="L23" s="189"/>
      <c r="M23" s="122"/>
      <c r="P23" s="170"/>
      <c r="S23" s="170"/>
      <c r="U23" s="170"/>
    </row>
    <row r="24">
      <c r="F24" s="627"/>
      <c r="G24" s="627"/>
      <c r="H24" s="627"/>
      <c r="I24" s="627" t="s">
        <v>2592</v>
      </c>
      <c r="J24" s="650">
        <v>44446.0</v>
      </c>
      <c r="K24" s="474">
        <v>190.0</v>
      </c>
      <c r="L24" s="630"/>
      <c r="P24" s="170"/>
      <c r="S24" s="170"/>
      <c r="U24" s="170"/>
    </row>
    <row r="25">
      <c r="F25" s="627"/>
      <c r="G25" s="627"/>
      <c r="H25" s="627"/>
      <c r="I25" s="627" t="s">
        <v>2592</v>
      </c>
      <c r="J25" s="650">
        <v>44447.0</v>
      </c>
      <c r="K25" s="474">
        <v>180.0</v>
      </c>
      <c r="L25" s="631"/>
      <c r="M25" s="632"/>
    </row>
    <row r="26">
      <c r="F26" s="627"/>
      <c r="G26" s="627"/>
      <c r="H26" s="627"/>
      <c r="I26" s="627" t="s">
        <v>2592</v>
      </c>
      <c r="J26" s="650">
        <v>44448.0</v>
      </c>
      <c r="K26" s="474">
        <v>175.0</v>
      </c>
      <c r="O26" s="633"/>
      <c r="P26" s="170"/>
      <c r="R26" s="633"/>
      <c r="S26" s="170"/>
      <c r="T26" s="633"/>
      <c r="U26" s="170"/>
    </row>
    <row r="27">
      <c r="F27" s="627"/>
      <c r="G27" s="627"/>
      <c r="H27" s="627"/>
      <c r="I27" s="627" t="s">
        <v>2592</v>
      </c>
      <c r="J27" s="650">
        <v>44449.0</v>
      </c>
      <c r="K27" s="474">
        <v>195.0</v>
      </c>
    </row>
    <row r="28">
      <c r="F28" s="627"/>
      <c r="G28" s="627"/>
      <c r="H28" s="627"/>
      <c r="I28" s="627" t="s">
        <v>2592</v>
      </c>
      <c r="J28" s="650">
        <v>44450.0</v>
      </c>
      <c r="K28" s="474">
        <v>185.0</v>
      </c>
    </row>
    <row r="29">
      <c r="F29" s="627"/>
      <c r="G29" s="627"/>
      <c r="H29" s="627"/>
      <c r="I29" s="627" t="s">
        <v>2592</v>
      </c>
      <c r="J29" s="650">
        <v>44451.0</v>
      </c>
      <c r="K29" s="474">
        <v>200.0</v>
      </c>
    </row>
    <row r="30">
      <c r="F30" s="627"/>
      <c r="G30" s="627"/>
      <c r="H30" s="627"/>
      <c r="I30" s="627" t="s">
        <v>2592</v>
      </c>
      <c r="J30" s="650">
        <v>44452.0</v>
      </c>
      <c r="K30" s="474">
        <v>250.0</v>
      </c>
      <c r="O30" s="624"/>
      <c r="Q30" s="129"/>
      <c r="R30" s="118"/>
      <c r="T30" s="624"/>
    </row>
    <row r="31">
      <c r="F31" s="627"/>
      <c r="G31" s="627"/>
      <c r="H31" s="627"/>
      <c r="I31" s="627" t="s">
        <v>2592</v>
      </c>
      <c r="J31" s="650">
        <v>44453.0</v>
      </c>
      <c r="K31" s="474">
        <v>250.0</v>
      </c>
      <c r="P31" s="169"/>
      <c r="Q31" s="129"/>
      <c r="S31" s="169"/>
      <c r="U31" s="169"/>
    </row>
    <row r="32">
      <c r="F32" s="627"/>
      <c r="G32" s="627"/>
      <c r="H32" s="627"/>
      <c r="I32" s="627" t="s">
        <v>2584</v>
      </c>
      <c r="J32" s="650">
        <v>44454.0</v>
      </c>
      <c r="K32" s="474">
        <v>500.0</v>
      </c>
      <c r="P32" s="170"/>
      <c r="U32" s="170"/>
    </row>
    <row r="33">
      <c r="I33" s="627" t="s">
        <v>2592</v>
      </c>
      <c r="J33" s="650">
        <v>44456.0</v>
      </c>
      <c r="K33" s="474">
        <v>525.0</v>
      </c>
    </row>
    <row r="34">
      <c r="F34" s="130"/>
      <c r="G34" s="130"/>
      <c r="H34" s="130"/>
      <c r="I34" s="627" t="s">
        <v>2592</v>
      </c>
      <c r="J34" s="650">
        <v>44457.0</v>
      </c>
      <c r="K34" s="474">
        <v>50.0</v>
      </c>
      <c r="L34" s="130"/>
      <c r="M34" s="128"/>
    </row>
    <row r="35">
      <c r="F35" s="627"/>
      <c r="G35" s="627"/>
      <c r="H35" s="627"/>
      <c r="I35" s="627" t="s">
        <v>2592</v>
      </c>
      <c r="J35" s="650">
        <v>44457.0</v>
      </c>
      <c r="K35" s="474">
        <v>225.0</v>
      </c>
      <c r="L35" s="125"/>
      <c r="P35" s="170"/>
      <c r="S35" s="170"/>
      <c r="U35" s="170"/>
    </row>
    <row r="36">
      <c r="F36" s="627"/>
      <c r="G36" s="627"/>
      <c r="H36" s="627"/>
      <c r="I36" s="627" t="s">
        <v>2592</v>
      </c>
      <c r="J36" s="650">
        <v>44458.0</v>
      </c>
      <c r="K36" s="474">
        <v>215.0</v>
      </c>
      <c r="L36" s="134"/>
      <c r="P36" s="170"/>
      <c r="S36" s="170"/>
      <c r="U36" s="170"/>
    </row>
    <row r="37">
      <c r="F37" s="627"/>
      <c r="G37" s="627"/>
      <c r="H37" s="627"/>
      <c r="I37" s="627" t="s">
        <v>2592</v>
      </c>
      <c r="J37" s="650">
        <v>44459.0</v>
      </c>
      <c r="K37" s="474">
        <v>175.0</v>
      </c>
      <c r="L37" s="189"/>
      <c r="M37" s="122"/>
      <c r="P37" s="170"/>
      <c r="S37" s="170"/>
      <c r="U37" s="170"/>
    </row>
    <row r="38">
      <c r="F38" s="627"/>
      <c r="G38" s="627"/>
      <c r="H38" s="627"/>
      <c r="I38" s="627" t="s">
        <v>2592</v>
      </c>
      <c r="J38" s="650">
        <v>44460.0</v>
      </c>
      <c r="K38" s="474">
        <v>185.0</v>
      </c>
      <c r="L38" s="630"/>
    </row>
    <row r="39">
      <c r="F39" s="627"/>
      <c r="G39" s="627"/>
      <c r="H39" s="627"/>
      <c r="I39" s="627" t="s">
        <v>2592</v>
      </c>
      <c r="J39" s="650">
        <v>44461.0</v>
      </c>
      <c r="K39" s="474">
        <v>185.0</v>
      </c>
      <c r="L39" s="631"/>
      <c r="M39" s="632"/>
      <c r="O39" s="633"/>
      <c r="P39" s="170"/>
      <c r="R39" s="633"/>
      <c r="S39" s="170"/>
      <c r="T39" s="633"/>
      <c r="U39" s="170"/>
    </row>
    <row r="40">
      <c r="F40" s="627"/>
      <c r="G40" s="627"/>
      <c r="H40" s="627"/>
      <c r="I40" s="627" t="s">
        <v>2592</v>
      </c>
      <c r="J40" s="650">
        <v>44462.0</v>
      </c>
      <c r="K40" s="474">
        <v>255.0</v>
      </c>
      <c r="O40" s="633"/>
      <c r="P40" s="170"/>
      <c r="R40" s="633"/>
      <c r="S40" s="170"/>
    </row>
    <row r="41">
      <c r="F41" s="627"/>
      <c r="G41" s="627"/>
      <c r="H41" s="627"/>
      <c r="I41" s="627" t="s">
        <v>2592</v>
      </c>
      <c r="J41" s="650">
        <v>44463.0</v>
      </c>
      <c r="K41" s="474">
        <v>260.0</v>
      </c>
    </row>
    <row r="42">
      <c r="B42" s="147"/>
      <c r="C42" s="147"/>
      <c r="D42" s="147"/>
      <c r="F42" s="627"/>
      <c r="G42" s="627"/>
      <c r="H42" s="627"/>
      <c r="I42" s="627" t="s">
        <v>2592</v>
      </c>
      <c r="J42" s="650">
        <v>44464.0</v>
      </c>
      <c r="K42" s="474">
        <v>270.0</v>
      </c>
    </row>
    <row r="43">
      <c r="A43" s="128"/>
      <c r="B43" s="147"/>
      <c r="C43" s="147"/>
      <c r="D43" s="147"/>
      <c r="F43" s="627"/>
      <c r="G43" s="627"/>
      <c r="H43" s="627"/>
      <c r="I43" s="627" t="s">
        <v>2592</v>
      </c>
      <c r="J43" s="650">
        <v>44465.0</v>
      </c>
      <c r="K43" s="474">
        <v>295.0</v>
      </c>
      <c r="L43" s="634"/>
    </row>
    <row r="44">
      <c r="B44" s="147"/>
      <c r="C44" s="147"/>
      <c r="D44" s="147"/>
      <c r="F44" s="627"/>
      <c r="G44" s="627"/>
      <c r="H44" s="627"/>
      <c r="I44" s="627" t="s">
        <v>2592</v>
      </c>
      <c r="J44" s="650">
        <v>44466.0</v>
      </c>
      <c r="K44" s="474">
        <v>285.0</v>
      </c>
      <c r="L44" s="635"/>
    </row>
    <row r="45">
      <c r="F45" s="627"/>
      <c r="G45" s="627"/>
      <c r="H45" s="627"/>
      <c r="I45" s="627" t="s">
        <v>2592</v>
      </c>
      <c r="J45" s="650">
        <v>44467.0</v>
      </c>
      <c r="K45" s="474">
        <v>300.0</v>
      </c>
      <c r="L45" s="635"/>
    </row>
    <row r="46">
      <c r="A46" s="128"/>
      <c r="B46" s="147"/>
      <c r="C46" s="147"/>
      <c r="D46" s="147"/>
      <c r="F46" s="627"/>
      <c r="G46" s="627"/>
      <c r="H46" s="627"/>
      <c r="I46" s="627" t="s">
        <v>2592</v>
      </c>
      <c r="J46" s="650">
        <v>44468.0</v>
      </c>
      <c r="K46" s="474">
        <v>450.0</v>
      </c>
      <c r="L46" s="635"/>
    </row>
    <row r="47">
      <c r="A47" s="128"/>
      <c r="B47" s="147"/>
      <c r="C47" s="147"/>
      <c r="D47" s="147"/>
      <c r="F47" s="627"/>
      <c r="G47" s="627"/>
      <c r="H47" s="627"/>
      <c r="I47" s="627" t="s">
        <v>2584</v>
      </c>
      <c r="J47" s="650">
        <v>44468.0</v>
      </c>
      <c r="K47" s="474">
        <v>1100.0</v>
      </c>
      <c r="L47" s="634"/>
    </row>
    <row r="48">
      <c r="A48" s="128"/>
      <c r="B48" s="147"/>
      <c r="C48" s="147"/>
      <c r="D48" s="147"/>
      <c r="I48" s="627" t="s">
        <v>2592</v>
      </c>
      <c r="J48" s="650">
        <v>44469.0</v>
      </c>
      <c r="K48" s="474">
        <v>425.0</v>
      </c>
      <c r="O48" s="624"/>
      <c r="R48" s="624"/>
    </row>
    <row r="49">
      <c r="A49" s="128"/>
      <c r="B49" s="147"/>
      <c r="C49" s="147"/>
      <c r="D49" s="147"/>
      <c r="E49" s="130"/>
      <c r="F49" s="130"/>
      <c r="G49" s="130"/>
      <c r="H49" s="130"/>
      <c r="I49" s="130"/>
      <c r="J49" s="130"/>
      <c r="K49" s="124"/>
      <c r="L49" s="130"/>
      <c r="M49" s="128"/>
      <c r="N49" s="118"/>
      <c r="P49" s="636"/>
      <c r="Q49" s="118"/>
      <c r="S49" s="636"/>
      <c r="T49" s="118"/>
    </row>
    <row r="50">
      <c r="A50" s="159"/>
      <c r="B50" s="147"/>
      <c r="C50" s="147"/>
      <c r="D50" s="147"/>
      <c r="F50" s="627"/>
      <c r="G50" s="627"/>
      <c r="H50" s="627"/>
      <c r="I50" s="627" t="s">
        <v>2592</v>
      </c>
      <c r="J50" s="650">
        <v>44470.0</v>
      </c>
      <c r="K50" s="474">
        <v>425.0</v>
      </c>
      <c r="L50" s="125">
        <f>SUM(K50:K90)</f>
        <v>10725</v>
      </c>
      <c r="M50" s="128" t="s">
        <v>2593</v>
      </c>
      <c r="N50" s="160"/>
      <c r="P50" s="637"/>
      <c r="Q50" s="160"/>
      <c r="S50" s="637"/>
    </row>
    <row r="51">
      <c r="A51" s="123"/>
      <c r="B51" s="124"/>
      <c r="C51" s="124"/>
      <c r="D51" s="124"/>
      <c r="F51" s="627"/>
      <c r="G51" s="627"/>
      <c r="H51" s="627"/>
      <c r="I51" s="627" t="s">
        <v>2592</v>
      </c>
      <c r="J51" s="650">
        <v>44471.0</v>
      </c>
      <c r="K51" s="474">
        <v>400.0</v>
      </c>
      <c r="L51" s="134"/>
      <c r="N51" s="160"/>
      <c r="O51" s="638"/>
      <c r="P51" s="576"/>
      <c r="Q51" s="160"/>
      <c r="R51" s="638"/>
      <c r="S51" s="576"/>
    </row>
    <row r="52">
      <c r="A52" s="123"/>
      <c r="B52" s="147"/>
      <c r="C52" s="147"/>
      <c r="D52" s="147"/>
      <c r="F52" s="627"/>
      <c r="G52" s="627"/>
      <c r="H52" s="627"/>
      <c r="I52" s="627" t="s">
        <v>2592</v>
      </c>
      <c r="J52" s="650">
        <v>44472.0</v>
      </c>
      <c r="K52" s="474">
        <v>400.0</v>
      </c>
      <c r="L52" s="189"/>
      <c r="M52" s="122"/>
      <c r="N52" s="160"/>
      <c r="P52" s="576"/>
      <c r="Q52" s="160"/>
      <c r="S52" s="576"/>
    </row>
    <row r="53">
      <c r="A53" s="128"/>
      <c r="B53" s="147"/>
      <c r="C53" s="147"/>
      <c r="D53" s="147"/>
      <c r="F53" s="627"/>
      <c r="G53" s="627"/>
      <c r="H53" s="627"/>
      <c r="I53" s="627" t="s">
        <v>2592</v>
      </c>
      <c r="J53" s="650">
        <v>44473.0</v>
      </c>
      <c r="K53" s="474">
        <v>425.0</v>
      </c>
      <c r="L53" s="630"/>
      <c r="N53" s="160"/>
      <c r="O53" s="160"/>
      <c r="P53" s="370"/>
      <c r="Q53" s="160"/>
      <c r="R53" s="160"/>
      <c r="S53" s="370"/>
    </row>
    <row r="54">
      <c r="F54" s="627"/>
      <c r="G54" s="627"/>
      <c r="H54" s="627"/>
      <c r="I54" s="627" t="s">
        <v>2592</v>
      </c>
      <c r="J54" s="650">
        <v>44474.0</v>
      </c>
      <c r="K54" s="474">
        <v>350.0</v>
      </c>
      <c r="L54" s="631"/>
      <c r="M54" s="632"/>
      <c r="N54" s="160"/>
      <c r="O54" s="638"/>
      <c r="Q54" s="160"/>
      <c r="R54" s="160"/>
      <c r="S54" s="370"/>
    </row>
    <row r="55">
      <c r="A55" s="142"/>
      <c r="B55" s="147"/>
      <c r="C55" s="147"/>
      <c r="D55" s="147"/>
      <c r="F55" s="627"/>
      <c r="G55" s="627"/>
      <c r="H55" s="627"/>
      <c r="I55" s="627" t="s">
        <v>2592</v>
      </c>
      <c r="J55" s="650">
        <v>44475.0</v>
      </c>
      <c r="K55" s="474">
        <v>425.0</v>
      </c>
      <c r="N55" s="160"/>
    </row>
    <row r="56">
      <c r="A56" s="128"/>
      <c r="B56" s="147"/>
      <c r="C56" s="147"/>
      <c r="D56" s="147"/>
      <c r="F56" s="627"/>
      <c r="G56" s="627"/>
      <c r="H56" s="627"/>
      <c r="I56" s="627" t="s">
        <v>2592</v>
      </c>
      <c r="J56" s="650">
        <v>44476.0</v>
      </c>
      <c r="K56" s="474">
        <v>175.0</v>
      </c>
      <c r="N56" s="160"/>
      <c r="O56" s="624"/>
      <c r="R56" s="624"/>
    </row>
    <row r="57">
      <c r="A57" s="128"/>
      <c r="B57" s="147"/>
      <c r="C57" s="147"/>
      <c r="D57" s="147"/>
      <c r="F57" s="627"/>
      <c r="G57" s="627"/>
      <c r="H57" s="627"/>
      <c r="I57" s="627" t="s">
        <v>2592</v>
      </c>
      <c r="J57" s="650">
        <v>44477.0</v>
      </c>
      <c r="K57" s="474">
        <v>175.0</v>
      </c>
      <c r="P57" s="636"/>
      <c r="Q57" s="118"/>
      <c r="S57" s="636"/>
    </row>
    <row r="58">
      <c r="A58" s="128"/>
      <c r="B58" s="147"/>
      <c r="C58" s="147"/>
      <c r="D58" s="147"/>
      <c r="F58" s="627"/>
      <c r="G58" s="627"/>
      <c r="H58" s="627"/>
      <c r="I58" s="627" t="s">
        <v>2592</v>
      </c>
      <c r="J58" s="650">
        <v>44478.0</v>
      </c>
      <c r="K58" s="474">
        <v>175.0</v>
      </c>
      <c r="N58" s="160"/>
      <c r="P58" s="637"/>
      <c r="Q58" s="160"/>
      <c r="S58" s="637"/>
    </row>
    <row r="59">
      <c r="A59" s="123"/>
      <c r="B59" s="124"/>
      <c r="C59" s="124"/>
      <c r="D59" s="124"/>
      <c r="F59" s="627"/>
      <c r="G59" s="627"/>
      <c r="H59" s="627"/>
      <c r="I59" s="627" t="s">
        <v>2592</v>
      </c>
      <c r="J59" s="650">
        <v>44479.0</v>
      </c>
      <c r="K59" s="474">
        <v>250.0</v>
      </c>
      <c r="N59" s="160"/>
      <c r="O59" s="638"/>
      <c r="P59" s="576"/>
      <c r="Q59" s="160"/>
      <c r="R59" s="638"/>
      <c r="S59" s="576"/>
    </row>
    <row r="60">
      <c r="A60" s="123"/>
      <c r="B60" s="147"/>
      <c r="C60" s="147"/>
      <c r="D60" s="147"/>
      <c r="F60" s="130"/>
      <c r="G60" s="130"/>
      <c r="H60" s="130"/>
      <c r="I60" s="627" t="s">
        <v>2592</v>
      </c>
      <c r="J60" s="650">
        <v>44480.0</v>
      </c>
      <c r="K60" s="474">
        <v>250.0</v>
      </c>
      <c r="L60" s="130"/>
      <c r="M60" s="128"/>
      <c r="N60" s="639"/>
      <c r="P60" s="576"/>
      <c r="Q60" s="160"/>
      <c r="S60" s="576"/>
    </row>
    <row r="61">
      <c r="A61" s="123"/>
      <c r="B61" s="147"/>
      <c r="C61" s="147"/>
      <c r="D61" s="147"/>
      <c r="F61" s="627"/>
      <c r="G61" s="627"/>
      <c r="H61" s="627"/>
      <c r="I61" s="627" t="s">
        <v>2592</v>
      </c>
      <c r="J61" s="650">
        <v>44481.0</v>
      </c>
      <c r="K61" s="474">
        <v>225.0</v>
      </c>
      <c r="L61" s="125"/>
      <c r="N61" s="160"/>
      <c r="Q61" s="160"/>
    </row>
    <row r="62">
      <c r="A62" s="128"/>
      <c r="B62" s="147"/>
      <c r="C62" s="147"/>
      <c r="D62" s="147"/>
      <c r="F62" s="627"/>
      <c r="G62" s="627"/>
      <c r="H62" s="627"/>
      <c r="I62" s="627" t="s">
        <v>2592</v>
      </c>
      <c r="J62" s="650">
        <v>44482.0</v>
      </c>
      <c r="K62" s="474">
        <v>225.0</v>
      </c>
      <c r="L62" s="134"/>
      <c r="N62" s="160"/>
      <c r="O62" s="160"/>
      <c r="P62" s="370"/>
      <c r="R62" s="160"/>
      <c r="S62" s="370"/>
    </row>
    <row r="63">
      <c r="F63" s="627"/>
      <c r="G63" s="627"/>
      <c r="H63" s="627"/>
      <c r="I63" s="627" t="s">
        <v>2592</v>
      </c>
      <c r="J63" s="650">
        <v>44483.0</v>
      </c>
      <c r="K63" s="474">
        <v>225.0</v>
      </c>
      <c r="L63" s="189"/>
      <c r="M63" s="122"/>
      <c r="N63" s="160"/>
      <c r="O63" s="160"/>
      <c r="P63" s="370"/>
      <c r="R63" s="160"/>
      <c r="S63" s="370"/>
    </row>
    <row r="64">
      <c r="B64" s="124"/>
      <c r="C64" s="124"/>
      <c r="D64" s="124"/>
      <c r="F64" s="627"/>
      <c r="G64" s="627"/>
      <c r="H64" s="627"/>
      <c r="I64" s="627" t="s">
        <v>2592</v>
      </c>
      <c r="J64" s="650">
        <v>44483.0</v>
      </c>
      <c r="K64" s="474">
        <v>225.0</v>
      </c>
      <c r="L64" s="630"/>
      <c r="N64" s="160"/>
      <c r="O64" s="638"/>
    </row>
    <row r="65">
      <c r="A65" s="142"/>
      <c r="B65" s="147"/>
      <c r="C65" s="147"/>
      <c r="D65" s="147"/>
      <c r="F65" s="627"/>
      <c r="G65" s="627"/>
      <c r="H65" s="627"/>
      <c r="I65" s="627" t="s">
        <v>2594</v>
      </c>
      <c r="J65" s="650">
        <v>44487.0</v>
      </c>
      <c r="K65" s="474">
        <v>150.0</v>
      </c>
      <c r="L65" s="631"/>
      <c r="M65" s="632"/>
      <c r="N65" s="160"/>
      <c r="O65" s="638"/>
    </row>
    <row r="66">
      <c r="B66" s="147"/>
      <c r="C66" s="147"/>
      <c r="D66" s="147"/>
      <c r="F66" s="627"/>
      <c r="G66" s="627"/>
      <c r="H66" s="627"/>
      <c r="I66" s="627" t="s">
        <v>2594</v>
      </c>
      <c r="J66" s="650">
        <v>44488.0</v>
      </c>
      <c r="K66" s="474">
        <v>225.0</v>
      </c>
      <c r="N66" s="160"/>
      <c r="O66" s="638"/>
    </row>
    <row r="67">
      <c r="B67" s="147"/>
      <c r="C67" s="147"/>
      <c r="D67" s="147"/>
      <c r="F67" s="627"/>
      <c r="G67" s="627"/>
      <c r="H67" s="627"/>
      <c r="I67" s="627" t="s">
        <v>2594</v>
      </c>
      <c r="J67" s="650">
        <v>44489.0</v>
      </c>
      <c r="K67" s="474">
        <v>175.0</v>
      </c>
      <c r="N67" s="160"/>
      <c r="O67" s="638"/>
    </row>
    <row r="68">
      <c r="B68" s="147"/>
      <c r="C68" s="147"/>
      <c r="D68" s="147"/>
      <c r="F68" s="627"/>
      <c r="G68" s="627"/>
      <c r="H68" s="627"/>
      <c r="I68" s="627" t="s">
        <v>2594</v>
      </c>
      <c r="J68" s="650">
        <v>44490.0</v>
      </c>
      <c r="K68" s="474">
        <v>175.0</v>
      </c>
      <c r="N68" s="160"/>
      <c r="O68" s="638"/>
    </row>
    <row r="69">
      <c r="F69" s="627"/>
      <c r="G69" s="627"/>
      <c r="H69" s="627"/>
      <c r="I69" s="627" t="s">
        <v>2595</v>
      </c>
      <c r="J69" s="650">
        <v>44490.0</v>
      </c>
      <c r="K69" s="474">
        <v>50.0</v>
      </c>
      <c r="N69" s="160"/>
      <c r="O69" s="638"/>
    </row>
    <row r="70">
      <c r="B70" s="124"/>
      <c r="C70" s="124"/>
      <c r="D70" s="124"/>
      <c r="F70" s="627"/>
      <c r="G70" s="627"/>
      <c r="H70" s="627"/>
      <c r="I70" s="627" t="s">
        <v>2594</v>
      </c>
      <c r="J70" s="650">
        <v>44491.0</v>
      </c>
      <c r="K70" s="474">
        <v>250.0</v>
      </c>
      <c r="N70" s="160"/>
      <c r="O70" s="638"/>
    </row>
    <row r="71">
      <c r="A71" s="159"/>
      <c r="B71" s="147"/>
      <c r="C71" s="147"/>
      <c r="D71" s="147"/>
      <c r="I71" s="627" t="s">
        <v>2595</v>
      </c>
      <c r="J71" s="650">
        <v>44491.0</v>
      </c>
      <c r="K71" s="474">
        <v>50.0</v>
      </c>
      <c r="N71" s="160"/>
      <c r="O71" s="638"/>
    </row>
    <row r="72">
      <c r="B72" s="147"/>
      <c r="C72" s="147"/>
      <c r="D72" s="147"/>
      <c r="F72" s="130"/>
      <c r="G72" s="130"/>
      <c r="H72" s="130"/>
      <c r="I72" s="627" t="s">
        <v>2594</v>
      </c>
      <c r="J72" s="650">
        <v>44492.0</v>
      </c>
      <c r="K72" s="474">
        <v>275.0</v>
      </c>
      <c r="L72" s="130"/>
      <c r="M72" s="128"/>
      <c r="N72" s="160"/>
      <c r="O72" s="638"/>
    </row>
    <row r="73">
      <c r="A73" s="128"/>
      <c r="B73" s="147"/>
      <c r="C73" s="147"/>
      <c r="D73" s="147"/>
      <c r="F73" s="627"/>
      <c r="G73" s="627"/>
      <c r="H73" s="627"/>
      <c r="I73" s="627" t="s">
        <v>2595</v>
      </c>
      <c r="J73" s="650">
        <v>44492.0</v>
      </c>
      <c r="K73" s="474">
        <v>50.0</v>
      </c>
      <c r="L73" s="125"/>
      <c r="N73" s="160"/>
      <c r="O73" s="638"/>
    </row>
    <row r="74">
      <c r="F74" s="627"/>
      <c r="G74" s="627"/>
      <c r="H74" s="627"/>
      <c r="I74" s="627" t="s">
        <v>2594</v>
      </c>
      <c r="J74" s="650">
        <v>44493.0</v>
      </c>
      <c r="K74" s="474">
        <v>300.0</v>
      </c>
      <c r="L74" s="134"/>
    </row>
    <row r="75">
      <c r="B75" s="147"/>
      <c r="C75" s="147"/>
      <c r="D75" s="147"/>
      <c r="F75" s="627"/>
      <c r="G75" s="627"/>
      <c r="H75" s="627"/>
      <c r="I75" s="627" t="s">
        <v>2595</v>
      </c>
      <c r="J75" s="650">
        <v>44493.0</v>
      </c>
      <c r="K75" s="474">
        <v>50.0</v>
      </c>
      <c r="L75" s="189"/>
      <c r="M75" s="122"/>
      <c r="N75" s="160"/>
      <c r="O75" s="638"/>
    </row>
    <row r="76">
      <c r="B76" s="147"/>
      <c r="C76" s="147"/>
      <c r="D76" s="147"/>
      <c r="F76" s="627"/>
      <c r="G76" s="627"/>
      <c r="H76" s="627"/>
      <c r="I76" s="627" t="s">
        <v>2594</v>
      </c>
      <c r="J76" s="650">
        <v>44494.0</v>
      </c>
      <c r="K76" s="474">
        <v>300.0</v>
      </c>
      <c r="L76" s="630"/>
    </row>
    <row r="77">
      <c r="F77" s="627"/>
      <c r="G77" s="627"/>
      <c r="H77" s="627"/>
      <c r="I77" s="627" t="s">
        <v>2595</v>
      </c>
      <c r="J77" s="650">
        <v>44494.0</v>
      </c>
      <c r="K77" s="474">
        <v>50.0</v>
      </c>
      <c r="L77" s="631"/>
      <c r="M77" s="632"/>
      <c r="N77" s="160"/>
      <c r="O77" s="638"/>
    </row>
    <row r="78">
      <c r="F78" s="627"/>
      <c r="G78" s="627"/>
      <c r="H78" s="627"/>
      <c r="I78" s="627" t="s">
        <v>2594</v>
      </c>
      <c r="J78" s="650">
        <v>44495.0</v>
      </c>
      <c r="K78" s="474">
        <v>300.0</v>
      </c>
      <c r="N78" s="160"/>
      <c r="O78" s="638"/>
    </row>
    <row r="79">
      <c r="F79" s="627"/>
      <c r="G79" s="627"/>
      <c r="H79" s="627"/>
      <c r="I79" s="627" t="s">
        <v>2595</v>
      </c>
      <c r="J79" s="650">
        <v>44495.0</v>
      </c>
      <c r="K79" s="474">
        <v>75.0</v>
      </c>
      <c r="N79" s="160"/>
      <c r="O79" s="638"/>
    </row>
    <row r="80">
      <c r="B80" s="641"/>
      <c r="C80" s="641"/>
      <c r="D80" s="641"/>
      <c r="F80" s="627"/>
      <c r="G80" s="627"/>
      <c r="H80" s="627"/>
      <c r="I80" s="627" t="s">
        <v>2594</v>
      </c>
      <c r="J80" s="650">
        <v>44496.0</v>
      </c>
      <c r="K80" s="474">
        <v>275.0</v>
      </c>
      <c r="N80" s="160"/>
      <c r="O80" s="638"/>
    </row>
    <row r="81">
      <c r="B81" s="641"/>
      <c r="C81" s="641"/>
      <c r="D81" s="641"/>
      <c r="F81" s="627"/>
      <c r="G81" s="627"/>
      <c r="H81" s="627"/>
      <c r="I81" s="627" t="s">
        <v>2592</v>
      </c>
      <c r="J81" s="650">
        <v>44496.0</v>
      </c>
      <c r="K81" s="474">
        <v>100.0</v>
      </c>
      <c r="N81" s="160"/>
      <c r="O81" s="638"/>
    </row>
    <row r="82">
      <c r="B82" s="641"/>
      <c r="C82" s="641"/>
      <c r="D82" s="641"/>
      <c r="F82" s="627"/>
      <c r="G82" s="627"/>
      <c r="H82" s="627"/>
      <c r="I82" s="627" t="s">
        <v>2594</v>
      </c>
      <c r="J82" s="650">
        <v>44497.0</v>
      </c>
      <c r="K82" s="474">
        <v>250.0</v>
      </c>
      <c r="N82" s="160"/>
      <c r="O82" s="638"/>
    </row>
    <row r="83">
      <c r="F83" s="627"/>
      <c r="G83" s="627"/>
      <c r="H83" s="627"/>
      <c r="I83" s="627" t="s">
        <v>2592</v>
      </c>
      <c r="J83" s="650">
        <v>44497.0</v>
      </c>
      <c r="K83" s="474">
        <v>100.0</v>
      </c>
    </row>
    <row r="84">
      <c r="F84" s="627"/>
      <c r="G84" s="627"/>
      <c r="H84" s="627"/>
      <c r="I84" s="627" t="s">
        <v>2596</v>
      </c>
      <c r="J84" s="650">
        <v>44497.0</v>
      </c>
      <c r="K84" s="474">
        <v>2000.0</v>
      </c>
    </row>
    <row r="85">
      <c r="F85" s="627"/>
      <c r="G85" s="627"/>
      <c r="H85" s="627"/>
      <c r="I85" s="627" t="s">
        <v>2594</v>
      </c>
      <c r="J85" s="650">
        <v>44498.0</v>
      </c>
      <c r="K85" s="474">
        <v>275.0</v>
      </c>
    </row>
    <row r="86">
      <c r="B86" s="641"/>
      <c r="C86" s="641"/>
      <c r="D86" s="641"/>
      <c r="F86" s="627"/>
      <c r="G86" s="627"/>
      <c r="H86" s="627"/>
      <c r="I86" s="627" t="s">
        <v>2592</v>
      </c>
      <c r="J86" s="650">
        <v>44498.0</v>
      </c>
      <c r="K86" s="474">
        <v>100.0</v>
      </c>
    </row>
    <row r="87">
      <c r="F87" s="627"/>
      <c r="G87" s="627"/>
      <c r="H87" s="627"/>
      <c r="I87" s="627" t="s">
        <v>2594</v>
      </c>
      <c r="J87" s="650">
        <v>44499.0</v>
      </c>
      <c r="K87" s="474">
        <v>350.0</v>
      </c>
    </row>
    <row r="88">
      <c r="F88" s="627"/>
      <c r="G88" s="627"/>
      <c r="H88" s="627"/>
      <c r="I88" s="627" t="s">
        <v>2592</v>
      </c>
      <c r="J88" s="650">
        <v>44499.0</v>
      </c>
      <c r="K88" s="474">
        <v>50.0</v>
      </c>
    </row>
    <row r="89">
      <c r="A89" s="122"/>
      <c r="B89" s="118"/>
      <c r="C89" s="118"/>
      <c r="D89" s="118"/>
      <c r="I89" s="627" t="s">
        <v>2594</v>
      </c>
      <c r="J89" s="650">
        <v>44500.0</v>
      </c>
      <c r="K89" s="474">
        <v>350.0</v>
      </c>
    </row>
    <row r="90">
      <c r="B90" s="124"/>
      <c r="C90" s="124"/>
      <c r="D90" s="124"/>
      <c r="F90" s="130"/>
      <c r="G90" s="130"/>
      <c r="H90" s="130"/>
      <c r="I90" s="627" t="s">
        <v>2592</v>
      </c>
      <c r="J90" s="650">
        <v>44500.0</v>
      </c>
      <c r="K90" s="474">
        <v>50.0</v>
      </c>
      <c r="L90" s="130"/>
      <c r="M90" s="128"/>
      <c r="O90" s="627"/>
      <c r="P90" s="474"/>
      <c r="Q90" s="474"/>
    </row>
    <row r="91">
      <c r="B91" s="124"/>
      <c r="C91" s="124"/>
      <c r="D91" s="124"/>
      <c r="F91" s="627"/>
      <c r="G91" s="627"/>
      <c r="H91" s="627"/>
      <c r="I91" s="627"/>
      <c r="J91" s="627"/>
      <c r="K91" s="474"/>
      <c r="L91" s="125"/>
      <c r="O91" s="627"/>
      <c r="P91" s="474"/>
    </row>
    <row r="92">
      <c r="B92" s="124"/>
      <c r="C92" s="124"/>
      <c r="D92" s="124"/>
      <c r="F92" s="627"/>
      <c r="G92" s="627"/>
      <c r="H92" s="627"/>
      <c r="I92" s="627" t="s">
        <v>2594</v>
      </c>
      <c r="J92" s="650">
        <v>44501.0</v>
      </c>
      <c r="K92" s="474">
        <v>300.0</v>
      </c>
      <c r="L92" s="125">
        <f>SUM(K92:K140)</f>
        <v>10700</v>
      </c>
      <c r="M92" s="128" t="s">
        <v>2597</v>
      </c>
    </row>
    <row r="93">
      <c r="B93" s="124"/>
      <c r="C93" s="124"/>
      <c r="D93" s="124"/>
      <c r="F93" s="627"/>
      <c r="G93" s="627"/>
      <c r="H93" s="627"/>
      <c r="I93" s="627" t="s">
        <v>2592</v>
      </c>
      <c r="J93" s="650">
        <v>44501.0</v>
      </c>
      <c r="K93" s="474">
        <v>100.0</v>
      </c>
      <c r="L93" s="134"/>
    </row>
    <row r="94">
      <c r="A94" s="122"/>
      <c r="B94" s="118"/>
      <c r="C94" s="118"/>
      <c r="D94" s="118"/>
      <c r="F94" s="627"/>
      <c r="G94" s="627"/>
      <c r="H94" s="627"/>
      <c r="I94" s="627" t="s">
        <v>2594</v>
      </c>
      <c r="J94" s="650">
        <v>44502.0</v>
      </c>
      <c r="K94" s="474">
        <v>300.0</v>
      </c>
      <c r="L94" s="189"/>
      <c r="M94" s="122"/>
    </row>
    <row r="95">
      <c r="B95" s="124"/>
      <c r="C95" s="124"/>
      <c r="D95" s="124"/>
      <c r="F95" s="627"/>
      <c r="G95" s="627"/>
      <c r="H95" s="627"/>
      <c r="I95" s="627" t="s">
        <v>2592</v>
      </c>
      <c r="J95" s="650">
        <v>44502.0</v>
      </c>
      <c r="K95" s="474">
        <v>100.0</v>
      </c>
      <c r="L95" s="630"/>
    </row>
    <row r="96">
      <c r="B96" s="124"/>
      <c r="C96" s="124"/>
      <c r="D96" s="124"/>
      <c r="F96" s="627"/>
      <c r="G96" s="627"/>
      <c r="H96" s="627"/>
      <c r="I96" s="627" t="s">
        <v>2594</v>
      </c>
      <c r="J96" s="650">
        <v>44503.0</v>
      </c>
      <c r="K96" s="474">
        <v>325.0</v>
      </c>
      <c r="L96" s="631"/>
      <c r="M96" s="632"/>
    </row>
    <row r="97">
      <c r="B97" s="124"/>
      <c r="C97" s="124"/>
      <c r="D97" s="124"/>
      <c r="F97" s="627"/>
      <c r="G97" s="627"/>
      <c r="H97" s="627"/>
      <c r="I97" s="627" t="s">
        <v>2592</v>
      </c>
      <c r="J97" s="650">
        <v>44503.0</v>
      </c>
      <c r="K97" s="474">
        <v>100.0</v>
      </c>
    </row>
    <row r="98">
      <c r="B98" s="124"/>
      <c r="C98" s="124"/>
      <c r="D98" s="124"/>
      <c r="F98" s="627"/>
      <c r="G98" s="627"/>
      <c r="H98" s="627"/>
      <c r="I98" s="627" t="s">
        <v>2594</v>
      </c>
      <c r="J98" s="650">
        <v>44504.0</v>
      </c>
      <c r="K98" s="474">
        <v>400.0</v>
      </c>
    </row>
    <row r="99">
      <c r="B99" s="124"/>
      <c r="C99" s="124"/>
      <c r="D99" s="124"/>
      <c r="F99" s="627"/>
      <c r="G99" s="627"/>
      <c r="H99" s="627"/>
      <c r="I99" s="627" t="s">
        <v>2592</v>
      </c>
      <c r="J99" s="650">
        <v>44504.0</v>
      </c>
      <c r="K99" s="474">
        <v>75.0</v>
      </c>
    </row>
    <row r="100">
      <c r="B100" s="124"/>
      <c r="C100" s="124"/>
      <c r="D100" s="124"/>
      <c r="F100" s="627"/>
      <c r="G100" s="627"/>
      <c r="H100" s="627"/>
      <c r="I100" s="627" t="s">
        <v>2594</v>
      </c>
      <c r="J100" s="650">
        <v>44505.0</v>
      </c>
      <c r="K100" s="474">
        <v>350.0</v>
      </c>
    </row>
    <row r="101">
      <c r="B101" s="124"/>
      <c r="C101" s="124"/>
      <c r="D101" s="124"/>
      <c r="F101" s="627"/>
      <c r="G101" s="627"/>
      <c r="H101" s="627"/>
      <c r="I101" s="627" t="s">
        <v>2592</v>
      </c>
      <c r="J101" s="650">
        <v>44505.0</v>
      </c>
      <c r="K101" s="474">
        <v>100.0</v>
      </c>
    </row>
    <row r="102">
      <c r="F102" s="627"/>
      <c r="G102" s="627"/>
      <c r="H102" s="627"/>
      <c r="I102" s="627" t="s">
        <v>2594</v>
      </c>
      <c r="J102" s="650">
        <v>44506.0</v>
      </c>
      <c r="K102" s="474">
        <v>350.0</v>
      </c>
      <c r="L102" s="130"/>
      <c r="M102" s="128"/>
    </row>
    <row r="103">
      <c r="F103" s="627"/>
      <c r="G103" s="627"/>
      <c r="H103" s="627"/>
      <c r="I103" s="627" t="s">
        <v>2592</v>
      </c>
      <c r="J103" s="650">
        <v>44506.0</v>
      </c>
      <c r="K103" s="474">
        <v>100.0</v>
      </c>
      <c r="L103" s="125"/>
    </row>
    <row r="104">
      <c r="F104" s="627"/>
      <c r="G104" s="627"/>
      <c r="H104" s="627"/>
      <c r="I104" s="627" t="s">
        <v>2594</v>
      </c>
      <c r="J104" s="650">
        <v>44507.0</v>
      </c>
      <c r="K104" s="474">
        <v>425.0</v>
      </c>
      <c r="L104" s="134"/>
    </row>
    <row r="105">
      <c r="F105" s="627"/>
      <c r="G105" s="627"/>
      <c r="H105" s="627"/>
      <c r="I105" s="627" t="s">
        <v>2592</v>
      </c>
      <c r="J105" s="650">
        <v>44507.0</v>
      </c>
      <c r="K105" s="474">
        <v>50.0</v>
      </c>
      <c r="L105" s="189"/>
      <c r="M105" s="122"/>
    </row>
    <row r="106">
      <c r="F106" s="627"/>
      <c r="G106" s="627"/>
      <c r="H106" s="627"/>
      <c r="I106" s="627" t="s">
        <v>2594</v>
      </c>
      <c r="J106" s="650">
        <v>44508.0</v>
      </c>
      <c r="K106" s="474">
        <v>425.0</v>
      </c>
      <c r="L106" s="630"/>
    </row>
    <row r="107">
      <c r="I107" s="627" t="s">
        <v>2592</v>
      </c>
      <c r="J107" s="650">
        <v>44508.0</v>
      </c>
      <c r="K107" s="474">
        <v>100.0</v>
      </c>
      <c r="L107" s="631"/>
      <c r="M107" s="632"/>
    </row>
    <row r="108">
      <c r="A108" s="122"/>
      <c r="B108" s="118"/>
      <c r="C108" s="118"/>
      <c r="D108" s="118"/>
      <c r="I108" s="627" t="s">
        <v>2594</v>
      </c>
      <c r="J108" s="650">
        <v>44509.0</v>
      </c>
      <c r="K108" s="474">
        <v>475.0</v>
      </c>
    </row>
    <row r="109">
      <c r="B109" s="124"/>
      <c r="C109" s="124"/>
      <c r="D109" s="124"/>
      <c r="I109" s="627" t="s">
        <v>2592</v>
      </c>
      <c r="J109" s="650">
        <v>44509.0</v>
      </c>
      <c r="K109" s="474">
        <v>100.0</v>
      </c>
    </row>
    <row r="110">
      <c r="B110" s="124"/>
      <c r="C110" s="124"/>
      <c r="D110" s="124"/>
      <c r="I110" s="627" t="s">
        <v>2594</v>
      </c>
      <c r="J110" s="650">
        <v>44510.0</v>
      </c>
      <c r="K110" s="474">
        <v>425.0</v>
      </c>
    </row>
    <row r="111">
      <c r="B111" s="124"/>
      <c r="C111" s="124"/>
      <c r="D111" s="124"/>
      <c r="I111" s="627" t="s">
        <v>2592</v>
      </c>
      <c r="J111" s="650">
        <v>44510.0</v>
      </c>
      <c r="K111" s="474">
        <v>100.0</v>
      </c>
    </row>
    <row r="112">
      <c r="B112" s="124"/>
      <c r="C112" s="124"/>
      <c r="D112" s="124"/>
      <c r="I112" s="627" t="s">
        <v>2594</v>
      </c>
      <c r="J112" s="650">
        <v>44511.0</v>
      </c>
      <c r="K112" s="474">
        <v>450.0</v>
      </c>
    </row>
    <row r="113">
      <c r="A113" s="122"/>
      <c r="B113" s="118"/>
      <c r="C113" s="118"/>
      <c r="D113" s="118"/>
      <c r="I113" s="627" t="s">
        <v>2592</v>
      </c>
      <c r="J113" s="650">
        <v>44511.0</v>
      </c>
      <c r="K113" s="474">
        <v>100.0</v>
      </c>
    </row>
    <row r="114">
      <c r="B114" s="124"/>
      <c r="C114" s="124"/>
      <c r="D114" s="124"/>
      <c r="I114" s="627" t="s">
        <v>2594</v>
      </c>
      <c r="J114" s="650">
        <v>44512.0</v>
      </c>
      <c r="K114" s="474">
        <v>475.0</v>
      </c>
      <c r="L114" s="130"/>
      <c r="M114" s="128"/>
    </row>
    <row r="115">
      <c r="B115" s="124"/>
      <c r="C115" s="124"/>
      <c r="D115" s="124"/>
      <c r="I115" s="627" t="s">
        <v>2592</v>
      </c>
      <c r="J115" s="650">
        <v>44512.0</v>
      </c>
      <c r="K115" s="474">
        <v>75.0</v>
      </c>
      <c r="L115" s="125"/>
    </row>
    <row r="116">
      <c r="B116" s="124"/>
      <c r="C116" s="124"/>
      <c r="D116" s="124"/>
      <c r="I116" s="627" t="s">
        <v>2594</v>
      </c>
      <c r="J116" s="650">
        <v>44513.0</v>
      </c>
      <c r="K116" s="474">
        <v>425.0</v>
      </c>
      <c r="L116" s="134"/>
    </row>
    <row r="117">
      <c r="B117" s="124"/>
      <c r="C117" s="124"/>
      <c r="D117" s="124"/>
      <c r="I117" s="627" t="s">
        <v>2592</v>
      </c>
      <c r="J117" s="650">
        <v>44513.0</v>
      </c>
      <c r="K117" s="474">
        <v>100.0</v>
      </c>
      <c r="L117" s="189"/>
      <c r="M117" s="122"/>
    </row>
    <row r="118">
      <c r="B118" s="124"/>
      <c r="C118" s="124"/>
      <c r="D118" s="124"/>
      <c r="I118" s="627" t="s">
        <v>2594</v>
      </c>
      <c r="J118" s="650">
        <v>44514.0</v>
      </c>
      <c r="K118" s="474">
        <v>350.0</v>
      </c>
      <c r="L118" s="630"/>
    </row>
    <row r="119">
      <c r="B119" s="124"/>
      <c r="C119" s="124"/>
      <c r="D119" s="124"/>
      <c r="I119" s="627" t="s">
        <v>2592</v>
      </c>
      <c r="J119" s="650">
        <v>44514.0</v>
      </c>
      <c r="K119" s="474">
        <v>100.0</v>
      </c>
      <c r="L119" s="631"/>
      <c r="M119" s="632"/>
    </row>
    <row r="120">
      <c r="B120" s="124"/>
      <c r="C120" s="124"/>
      <c r="D120" s="124"/>
      <c r="I120" s="627" t="s">
        <v>2594</v>
      </c>
      <c r="J120" s="650">
        <v>44515.0</v>
      </c>
      <c r="K120" s="474">
        <v>500.0</v>
      </c>
    </row>
    <row r="121">
      <c r="I121" s="627" t="s">
        <v>2592</v>
      </c>
      <c r="J121" s="650">
        <v>44515.0</v>
      </c>
      <c r="K121" s="474">
        <v>75.0</v>
      </c>
    </row>
    <row r="122">
      <c r="I122" s="627" t="s">
        <v>2594</v>
      </c>
      <c r="J122" s="650">
        <v>44516.0</v>
      </c>
      <c r="K122" s="474">
        <v>450.0</v>
      </c>
    </row>
    <row r="123">
      <c r="I123" s="627" t="s">
        <v>2592</v>
      </c>
      <c r="J123" s="650">
        <v>44516.0</v>
      </c>
      <c r="K123" s="474">
        <v>75.0</v>
      </c>
    </row>
    <row r="124">
      <c r="I124" s="627" t="s">
        <v>2594</v>
      </c>
      <c r="J124" s="650">
        <v>44517.0</v>
      </c>
      <c r="K124" s="474">
        <v>450.0</v>
      </c>
    </row>
    <row r="125">
      <c r="I125" s="627" t="s">
        <v>2592</v>
      </c>
      <c r="J125" s="650">
        <v>44517.0</v>
      </c>
      <c r="K125" s="474">
        <v>100.0</v>
      </c>
    </row>
    <row r="126">
      <c r="I126" s="627" t="s">
        <v>2592</v>
      </c>
      <c r="J126" s="650">
        <v>44518.0</v>
      </c>
      <c r="K126" s="474">
        <v>75.0</v>
      </c>
    </row>
    <row r="127">
      <c r="I127" s="627" t="s">
        <v>2592</v>
      </c>
      <c r="J127" s="650">
        <v>44519.0</v>
      </c>
      <c r="K127" s="474">
        <v>100.0</v>
      </c>
    </row>
    <row r="128">
      <c r="I128" s="627" t="s">
        <v>2592</v>
      </c>
      <c r="J128" s="650">
        <v>44520.0</v>
      </c>
      <c r="K128" s="474">
        <v>100.0</v>
      </c>
    </row>
    <row r="129">
      <c r="I129" s="627" t="s">
        <v>2592</v>
      </c>
      <c r="J129" s="650">
        <v>44521.0</v>
      </c>
      <c r="K129" s="474">
        <v>100.0</v>
      </c>
    </row>
    <row r="130">
      <c r="I130" s="627" t="s">
        <v>2592</v>
      </c>
      <c r="J130" s="650">
        <v>44522.0</v>
      </c>
      <c r="K130" s="474">
        <v>100.0</v>
      </c>
    </row>
    <row r="131">
      <c r="I131" s="627" t="s">
        <v>2592</v>
      </c>
      <c r="J131" s="650">
        <v>44523.0</v>
      </c>
      <c r="K131" s="474">
        <v>100.0</v>
      </c>
    </row>
    <row r="132">
      <c r="I132" s="627" t="s">
        <v>2592</v>
      </c>
      <c r="J132" s="650">
        <v>44524.0</v>
      </c>
      <c r="K132" s="474">
        <v>100.0</v>
      </c>
      <c r="L132" s="130"/>
      <c r="M132" s="128"/>
    </row>
    <row r="133">
      <c r="I133" s="627" t="s">
        <v>2592</v>
      </c>
      <c r="J133" s="650">
        <v>44530.0</v>
      </c>
      <c r="K133" s="474">
        <v>700.0</v>
      </c>
    </row>
    <row r="135">
      <c r="I135" s="627" t="s">
        <v>2592</v>
      </c>
      <c r="J135" s="650">
        <v>44531.0</v>
      </c>
      <c r="K135" s="474">
        <v>175.0</v>
      </c>
      <c r="L135" s="125">
        <f>SUM(K135:K183)</f>
        <v>13650</v>
      </c>
      <c r="M135" s="128" t="s">
        <v>2598</v>
      </c>
    </row>
    <row r="136">
      <c r="I136" s="627" t="s">
        <v>2592</v>
      </c>
      <c r="J136" s="650">
        <v>44532.0</v>
      </c>
      <c r="K136" s="474">
        <v>100.0</v>
      </c>
      <c r="L136" s="134"/>
    </row>
    <row r="137">
      <c r="I137" s="627" t="s">
        <v>2592</v>
      </c>
      <c r="J137" s="650">
        <v>44533.0</v>
      </c>
      <c r="K137" s="474">
        <v>125.0</v>
      </c>
      <c r="L137" s="189"/>
      <c r="M137" s="122"/>
    </row>
    <row r="138">
      <c r="I138" s="627" t="s">
        <v>2592</v>
      </c>
      <c r="J138" s="650">
        <v>44534.0</v>
      </c>
      <c r="K138" s="474">
        <v>125.0</v>
      </c>
      <c r="L138" s="630"/>
    </row>
    <row r="139">
      <c r="I139" s="627" t="s">
        <v>2592</v>
      </c>
      <c r="J139" s="650">
        <v>44535.0</v>
      </c>
      <c r="K139" s="474">
        <v>200.0</v>
      </c>
      <c r="L139" s="631"/>
      <c r="M139" s="632"/>
    </row>
    <row r="140">
      <c r="I140" s="627" t="s">
        <v>2592</v>
      </c>
      <c r="J140" s="650">
        <v>44536.0</v>
      </c>
      <c r="K140" s="474">
        <v>175.0</v>
      </c>
    </row>
    <row r="141">
      <c r="I141" s="627" t="s">
        <v>2592</v>
      </c>
      <c r="J141" s="650">
        <v>44537.0</v>
      </c>
      <c r="K141" s="474">
        <v>225.0</v>
      </c>
    </row>
    <row r="142">
      <c r="I142" s="627" t="s">
        <v>2594</v>
      </c>
      <c r="J142" s="650">
        <v>44537.0</v>
      </c>
      <c r="K142" s="474">
        <v>2300.0</v>
      </c>
    </row>
    <row r="143">
      <c r="I143" s="627" t="s">
        <v>2594</v>
      </c>
      <c r="J143" s="650">
        <v>44538.0</v>
      </c>
      <c r="K143" s="474">
        <v>525.0</v>
      </c>
    </row>
    <row r="144">
      <c r="I144" s="627" t="s">
        <v>2592</v>
      </c>
      <c r="J144" s="650">
        <v>44538.0</v>
      </c>
      <c r="K144" s="474">
        <v>400.0</v>
      </c>
    </row>
    <row r="145">
      <c r="I145" s="627" t="s">
        <v>2594</v>
      </c>
      <c r="J145" s="650">
        <v>44539.0</v>
      </c>
      <c r="K145" s="474">
        <v>525.0</v>
      </c>
      <c r="L145" s="130"/>
      <c r="M145" s="128"/>
    </row>
    <row r="146">
      <c r="I146" s="627" t="s">
        <v>2592</v>
      </c>
      <c r="J146" s="650">
        <v>44539.0</v>
      </c>
      <c r="K146" s="474">
        <v>300.0</v>
      </c>
      <c r="L146" s="125"/>
    </row>
    <row r="147">
      <c r="I147" s="627" t="s">
        <v>2594</v>
      </c>
      <c r="J147" s="650">
        <v>44540.0</v>
      </c>
      <c r="K147" s="474">
        <v>425.0</v>
      </c>
      <c r="L147" s="134"/>
    </row>
    <row r="148">
      <c r="I148" s="627" t="s">
        <v>2592</v>
      </c>
      <c r="J148" s="650">
        <v>44540.0</v>
      </c>
      <c r="K148" s="474">
        <v>225.0</v>
      </c>
      <c r="L148" s="189"/>
      <c r="M148" s="122"/>
    </row>
    <row r="149">
      <c r="I149" s="627" t="s">
        <v>2594</v>
      </c>
      <c r="J149" s="650">
        <v>44541.0</v>
      </c>
      <c r="K149" s="474">
        <v>250.0</v>
      </c>
      <c r="L149" s="630"/>
    </row>
    <row r="150">
      <c r="I150" s="627" t="s">
        <v>2592</v>
      </c>
      <c r="J150" s="650">
        <v>44541.0</v>
      </c>
      <c r="K150" s="474">
        <v>200.0</v>
      </c>
      <c r="L150" s="631"/>
      <c r="M150" s="632"/>
    </row>
    <row r="151">
      <c r="I151" s="627" t="s">
        <v>2594</v>
      </c>
      <c r="J151" s="650">
        <v>44542.0</v>
      </c>
      <c r="K151" s="474">
        <v>250.0</v>
      </c>
    </row>
    <row r="152">
      <c r="I152" s="627" t="s">
        <v>2592</v>
      </c>
      <c r="J152" s="650">
        <v>44542.0</v>
      </c>
      <c r="K152" s="474">
        <v>150.0</v>
      </c>
    </row>
    <row r="153">
      <c r="I153" s="627" t="s">
        <v>2594</v>
      </c>
      <c r="J153" s="650">
        <v>44543.0</v>
      </c>
      <c r="K153" s="474">
        <v>250.0</v>
      </c>
    </row>
    <row r="154">
      <c r="I154" s="627" t="s">
        <v>2592</v>
      </c>
      <c r="J154" s="650">
        <v>44543.0</v>
      </c>
      <c r="K154" s="474">
        <v>200.0</v>
      </c>
    </row>
    <row r="155">
      <c r="I155" s="627" t="s">
        <v>2594</v>
      </c>
      <c r="J155" s="650">
        <v>44544.0</v>
      </c>
      <c r="K155" s="474">
        <v>200.0</v>
      </c>
    </row>
    <row r="156">
      <c r="I156" s="627" t="s">
        <v>2592</v>
      </c>
      <c r="J156" s="650">
        <v>44544.0</v>
      </c>
      <c r="K156" s="474">
        <v>200.0</v>
      </c>
    </row>
    <row r="157">
      <c r="I157" s="627" t="s">
        <v>2594</v>
      </c>
      <c r="J157" s="650">
        <v>44545.0</v>
      </c>
      <c r="K157" s="474">
        <v>200.0</v>
      </c>
      <c r="L157" s="130"/>
      <c r="M157" s="128"/>
    </row>
    <row r="158">
      <c r="I158" s="627" t="s">
        <v>2592</v>
      </c>
      <c r="J158" s="650">
        <v>44545.0</v>
      </c>
      <c r="K158" s="474">
        <v>250.0</v>
      </c>
      <c r="L158" s="125"/>
    </row>
    <row r="159">
      <c r="I159" s="627" t="s">
        <v>2594</v>
      </c>
      <c r="J159" s="650">
        <v>44546.0</v>
      </c>
      <c r="K159" s="474">
        <v>225.0</v>
      </c>
      <c r="L159" s="134"/>
    </row>
    <row r="160">
      <c r="I160" s="627" t="s">
        <v>2592</v>
      </c>
      <c r="J160" s="650">
        <v>44546.0</v>
      </c>
      <c r="K160" s="474">
        <v>275.0</v>
      </c>
      <c r="L160" s="125"/>
      <c r="M160" s="122"/>
    </row>
    <row r="161">
      <c r="I161" s="627" t="s">
        <v>2594</v>
      </c>
      <c r="J161" s="650">
        <v>44547.0</v>
      </c>
      <c r="K161" s="474">
        <v>200.0</v>
      </c>
      <c r="L161" s="630"/>
    </row>
    <row r="162">
      <c r="I162" s="627" t="s">
        <v>2592</v>
      </c>
      <c r="J162" s="650">
        <v>44547.0</v>
      </c>
      <c r="K162" s="474">
        <v>225.0</v>
      </c>
      <c r="L162" s="631"/>
      <c r="M162" s="632"/>
    </row>
    <row r="163">
      <c r="I163" s="627" t="s">
        <v>2594</v>
      </c>
      <c r="J163" s="650">
        <v>44548.0</v>
      </c>
      <c r="K163" s="474">
        <v>175.0</v>
      </c>
    </row>
    <row r="164">
      <c r="I164" s="627" t="s">
        <v>2592</v>
      </c>
      <c r="J164" s="650">
        <v>44548.0</v>
      </c>
      <c r="K164" s="474">
        <v>300.0</v>
      </c>
    </row>
    <row r="165">
      <c r="I165" s="627" t="s">
        <v>2594</v>
      </c>
      <c r="J165" s="650">
        <v>44549.0</v>
      </c>
      <c r="K165" s="474">
        <v>175.0</v>
      </c>
    </row>
    <row r="166">
      <c r="I166" s="627" t="s">
        <v>2592</v>
      </c>
      <c r="J166" s="650">
        <v>44549.0</v>
      </c>
      <c r="K166" s="474">
        <v>325.0</v>
      </c>
    </row>
    <row r="167">
      <c r="I167" s="627" t="s">
        <v>2594</v>
      </c>
      <c r="J167" s="650">
        <v>44550.0</v>
      </c>
      <c r="K167" s="474">
        <v>150.0</v>
      </c>
    </row>
    <row r="168">
      <c r="I168" s="627" t="s">
        <v>2592</v>
      </c>
      <c r="J168" s="650">
        <v>44550.0</v>
      </c>
      <c r="K168" s="474">
        <v>275.0</v>
      </c>
    </row>
    <row r="169">
      <c r="I169" s="627" t="s">
        <v>2594</v>
      </c>
      <c r="J169" s="650">
        <v>44551.0</v>
      </c>
      <c r="K169" s="474">
        <v>125.0</v>
      </c>
    </row>
    <row r="170">
      <c r="I170" s="627" t="s">
        <v>2592</v>
      </c>
      <c r="J170" s="650">
        <v>44551.0</v>
      </c>
      <c r="K170" s="474">
        <v>350.0</v>
      </c>
    </row>
    <row r="171">
      <c r="I171" s="627" t="s">
        <v>2594</v>
      </c>
      <c r="J171" s="650">
        <v>44552.0</v>
      </c>
      <c r="K171" s="474">
        <v>125.0</v>
      </c>
    </row>
    <row r="172">
      <c r="I172" s="627" t="s">
        <v>2592</v>
      </c>
      <c r="J172" s="650">
        <v>44552.0</v>
      </c>
      <c r="K172" s="474">
        <v>325.0</v>
      </c>
    </row>
    <row r="173">
      <c r="I173" s="627" t="s">
        <v>2594</v>
      </c>
      <c r="J173" s="650">
        <v>44553.0</v>
      </c>
      <c r="K173" s="474">
        <v>125.0</v>
      </c>
    </row>
    <row r="174">
      <c r="I174" s="627" t="s">
        <v>2592</v>
      </c>
      <c r="J174" s="650">
        <v>44553.0</v>
      </c>
      <c r="K174" s="474">
        <v>175.0</v>
      </c>
    </row>
    <row r="175">
      <c r="I175" s="627" t="s">
        <v>2594</v>
      </c>
      <c r="J175" s="650">
        <v>44554.0</v>
      </c>
      <c r="K175" s="474">
        <v>125.0</v>
      </c>
      <c r="L175" s="130"/>
      <c r="M175" s="128"/>
    </row>
    <row r="176">
      <c r="I176" s="627" t="s">
        <v>2592</v>
      </c>
      <c r="J176" s="650">
        <v>44554.0</v>
      </c>
      <c r="K176" s="474">
        <v>275.0</v>
      </c>
    </row>
    <row r="177">
      <c r="I177" s="627" t="s">
        <v>2594</v>
      </c>
      <c r="J177" s="650">
        <v>44555.0</v>
      </c>
      <c r="K177" s="474">
        <v>125.0</v>
      </c>
    </row>
    <row r="178">
      <c r="I178" s="627" t="s">
        <v>2592</v>
      </c>
      <c r="J178" s="650">
        <v>44556.0</v>
      </c>
      <c r="K178" s="474">
        <v>575.0</v>
      </c>
    </row>
    <row r="179">
      <c r="I179" s="627" t="s">
        <v>2592</v>
      </c>
      <c r="J179" s="650">
        <v>44557.0</v>
      </c>
      <c r="K179" s="474">
        <v>275.0</v>
      </c>
    </row>
    <row r="180">
      <c r="I180" s="627" t="s">
        <v>2592</v>
      </c>
      <c r="J180" s="650">
        <v>44558.0</v>
      </c>
      <c r="K180" s="474">
        <v>325.0</v>
      </c>
    </row>
    <row r="181">
      <c r="I181" s="627" t="s">
        <v>2592</v>
      </c>
      <c r="J181" s="650">
        <v>44559.0</v>
      </c>
      <c r="K181" s="474">
        <v>150.0</v>
      </c>
    </row>
    <row r="182">
      <c r="I182" s="627" t="s">
        <v>2592</v>
      </c>
      <c r="J182" s="650">
        <v>44560.0</v>
      </c>
      <c r="K182" s="474">
        <v>125.0</v>
      </c>
    </row>
    <row r="183">
      <c r="I183" s="627" t="s">
        <v>2592</v>
      </c>
      <c r="J183" s="650">
        <v>44560.0</v>
      </c>
      <c r="K183" s="474">
        <v>150.0</v>
      </c>
    </row>
    <row r="185">
      <c r="I185" s="627" t="s">
        <v>2592</v>
      </c>
      <c r="J185" s="650">
        <v>44562.0</v>
      </c>
      <c r="K185" s="474">
        <v>250.0</v>
      </c>
      <c r="L185" s="125">
        <f>SUM(K185:K195)</f>
        <v>8425</v>
      </c>
      <c r="M185" s="128" t="s">
        <v>2599</v>
      </c>
    </row>
    <row r="186">
      <c r="I186" s="627" t="s">
        <v>2592</v>
      </c>
      <c r="J186" s="650">
        <v>44563.0</v>
      </c>
      <c r="K186" s="474">
        <v>250.0</v>
      </c>
      <c r="L186" s="189"/>
      <c r="M186" s="122"/>
    </row>
    <row r="187">
      <c r="I187" s="627" t="s">
        <v>2592</v>
      </c>
      <c r="J187" s="650">
        <v>44574.0</v>
      </c>
      <c r="K187" s="474">
        <v>325.0</v>
      </c>
      <c r="L187" s="630"/>
    </row>
    <row r="188">
      <c r="I188" s="627" t="s">
        <v>2594</v>
      </c>
      <c r="J188" s="650">
        <v>44575.0</v>
      </c>
      <c r="K188" s="474">
        <v>575.0</v>
      </c>
      <c r="L188" s="631"/>
      <c r="M188" s="632"/>
    </row>
    <row r="189">
      <c r="I189" s="627" t="s">
        <v>2592</v>
      </c>
      <c r="J189" s="650">
        <v>44575.0</v>
      </c>
      <c r="K189" s="474">
        <v>250.0</v>
      </c>
    </row>
    <row r="190">
      <c r="I190" s="627" t="s">
        <v>2592</v>
      </c>
      <c r="J190" s="650">
        <v>44577.0</v>
      </c>
      <c r="K190" s="474">
        <v>75.0</v>
      </c>
    </row>
    <row r="191">
      <c r="I191" s="627" t="s">
        <v>2600</v>
      </c>
      <c r="J191" s="650">
        <v>44582.0</v>
      </c>
      <c r="K191" s="474">
        <v>5200.0</v>
      </c>
    </row>
    <row r="192">
      <c r="I192" s="627" t="s">
        <v>2601</v>
      </c>
      <c r="J192" s="650">
        <v>44585.0</v>
      </c>
      <c r="K192" s="474">
        <v>275.0</v>
      </c>
    </row>
    <row r="193">
      <c r="I193" s="627" t="s">
        <v>2601</v>
      </c>
      <c r="J193" s="650">
        <v>44588.0</v>
      </c>
      <c r="K193" s="474">
        <v>400.0</v>
      </c>
    </row>
    <row r="194">
      <c r="I194" s="627" t="s">
        <v>2601</v>
      </c>
      <c r="J194" s="650">
        <v>44590.0</v>
      </c>
      <c r="K194" s="474">
        <v>350.0</v>
      </c>
      <c r="L194" s="130"/>
      <c r="M194" s="128"/>
    </row>
    <row r="195">
      <c r="I195" s="627" t="s">
        <v>2601</v>
      </c>
      <c r="J195" s="650">
        <v>44592.0</v>
      </c>
      <c r="K195" s="474">
        <v>475.0</v>
      </c>
      <c r="L195" s="125"/>
    </row>
    <row r="196">
      <c r="L196" s="134"/>
    </row>
    <row r="197">
      <c r="I197" s="627" t="s">
        <v>2601</v>
      </c>
      <c r="J197" s="650">
        <v>44593.0</v>
      </c>
      <c r="K197" s="474">
        <v>350.0</v>
      </c>
      <c r="L197" s="125">
        <f>SUM(K197:K236)</f>
        <v>21975</v>
      </c>
      <c r="M197" s="128" t="s">
        <v>2602</v>
      </c>
    </row>
    <row r="198">
      <c r="I198" s="627" t="s">
        <v>2603</v>
      </c>
      <c r="J198" s="650">
        <v>44594.0</v>
      </c>
      <c r="K198" s="474">
        <v>2200.0</v>
      </c>
      <c r="L198" s="630"/>
    </row>
    <row r="199">
      <c r="I199" s="627" t="s">
        <v>2601</v>
      </c>
      <c r="J199" s="650">
        <v>44594.0</v>
      </c>
      <c r="K199" s="474">
        <v>350.0</v>
      </c>
      <c r="L199" s="631"/>
      <c r="M199" s="632"/>
    </row>
    <row r="200">
      <c r="I200" s="627" t="s">
        <v>2601</v>
      </c>
      <c r="J200" s="650">
        <v>44596.0</v>
      </c>
      <c r="K200" s="474">
        <v>350.0</v>
      </c>
    </row>
    <row r="201">
      <c r="I201" s="627" t="s">
        <v>2604</v>
      </c>
      <c r="J201" s="650">
        <v>44597.0</v>
      </c>
      <c r="K201" s="474">
        <v>1000.0</v>
      </c>
    </row>
    <row r="202">
      <c r="I202" s="627" t="s">
        <v>2601</v>
      </c>
      <c r="J202" s="650">
        <v>44598.0</v>
      </c>
      <c r="K202" s="474">
        <v>400.0</v>
      </c>
    </row>
    <row r="203">
      <c r="I203" s="627" t="s">
        <v>2601</v>
      </c>
      <c r="J203" s="650">
        <v>44600.0</v>
      </c>
      <c r="K203" s="474">
        <v>325.0</v>
      </c>
    </row>
    <row r="204">
      <c r="I204" s="627" t="s">
        <v>2601</v>
      </c>
      <c r="J204" s="650">
        <v>44602.0</v>
      </c>
      <c r="K204" s="474">
        <v>300.0</v>
      </c>
    </row>
    <row r="205">
      <c r="I205" s="627" t="s">
        <v>2604</v>
      </c>
      <c r="J205" s="650">
        <v>44602.0</v>
      </c>
      <c r="K205" s="474">
        <v>1000.0</v>
      </c>
    </row>
    <row r="206">
      <c r="I206" s="627" t="s">
        <v>2605</v>
      </c>
      <c r="J206" s="650">
        <v>44603.0</v>
      </c>
      <c r="K206" s="474">
        <v>1000.0</v>
      </c>
      <c r="L206" s="130"/>
      <c r="M206" s="128"/>
    </row>
    <row r="207">
      <c r="I207" s="627" t="s">
        <v>2601</v>
      </c>
      <c r="J207" s="650">
        <v>44603.0</v>
      </c>
      <c r="K207" s="474">
        <v>175.0</v>
      </c>
      <c r="L207" s="125"/>
    </row>
    <row r="208">
      <c r="I208" s="627" t="s">
        <v>2603</v>
      </c>
      <c r="J208" s="650">
        <v>44604.0</v>
      </c>
      <c r="K208" s="474">
        <v>2700.0</v>
      </c>
      <c r="L208" s="134"/>
    </row>
    <row r="209">
      <c r="I209" s="627" t="s">
        <v>2594</v>
      </c>
      <c r="J209" s="650">
        <v>44604.0</v>
      </c>
      <c r="K209" s="474">
        <v>400.0</v>
      </c>
      <c r="L209" s="125"/>
      <c r="M209" s="122"/>
    </row>
    <row r="210">
      <c r="I210" s="627" t="s">
        <v>2601</v>
      </c>
      <c r="J210" s="650">
        <v>44605.0</v>
      </c>
      <c r="K210" s="474">
        <v>175.0</v>
      </c>
      <c r="L210" s="630"/>
    </row>
    <row r="211">
      <c r="I211" s="627" t="s">
        <v>2601</v>
      </c>
      <c r="J211" s="650">
        <v>44606.0</v>
      </c>
      <c r="K211" s="474">
        <v>300.0</v>
      </c>
      <c r="L211" s="631"/>
      <c r="M211" s="632"/>
    </row>
    <row r="212">
      <c r="I212" s="627" t="s">
        <v>2592</v>
      </c>
      <c r="J212" s="650">
        <v>44606.0</v>
      </c>
      <c r="K212" s="474">
        <v>125.0</v>
      </c>
    </row>
    <row r="213">
      <c r="I213" s="627" t="s">
        <v>2606</v>
      </c>
      <c r="J213" s="650">
        <v>44606.0</v>
      </c>
      <c r="K213" s="474">
        <v>525.0</v>
      </c>
    </row>
    <row r="214">
      <c r="I214" s="627" t="s">
        <v>2606</v>
      </c>
      <c r="J214" s="650">
        <v>44607.0</v>
      </c>
      <c r="K214" s="474">
        <v>300.0</v>
      </c>
    </row>
    <row r="215">
      <c r="I215" s="627" t="s">
        <v>2601</v>
      </c>
      <c r="J215" s="650">
        <v>44607.0</v>
      </c>
      <c r="K215" s="474">
        <v>250.0</v>
      </c>
    </row>
    <row r="216">
      <c r="I216" s="627" t="s">
        <v>2604</v>
      </c>
      <c r="J216" s="650">
        <v>44607.0</v>
      </c>
      <c r="K216" s="474">
        <v>1625.0</v>
      </c>
    </row>
    <row r="217">
      <c r="I217" s="627" t="s">
        <v>2606</v>
      </c>
      <c r="J217" s="650">
        <v>44608.0</v>
      </c>
      <c r="K217" s="474">
        <v>275.0</v>
      </c>
    </row>
    <row r="218">
      <c r="I218" s="627" t="s">
        <v>2606</v>
      </c>
      <c r="J218" s="650">
        <v>44609.0</v>
      </c>
      <c r="K218" s="474">
        <v>650.0</v>
      </c>
    </row>
    <row r="219">
      <c r="I219" s="627" t="s">
        <v>2601</v>
      </c>
      <c r="J219" s="650">
        <v>44609.0</v>
      </c>
      <c r="K219" s="474">
        <v>250.0</v>
      </c>
    </row>
    <row r="220">
      <c r="I220" s="627" t="s">
        <v>2606</v>
      </c>
      <c r="J220" s="650">
        <v>44610.0</v>
      </c>
      <c r="K220" s="474">
        <v>450.0</v>
      </c>
    </row>
    <row r="221">
      <c r="I221" s="627" t="s">
        <v>2601</v>
      </c>
      <c r="J221" s="650">
        <v>44611.0</v>
      </c>
      <c r="K221" s="474">
        <v>200.0</v>
      </c>
    </row>
    <row r="222">
      <c r="I222" s="627" t="s">
        <v>2606</v>
      </c>
      <c r="J222" s="650">
        <v>44611.0</v>
      </c>
      <c r="K222" s="474">
        <v>275.0</v>
      </c>
    </row>
    <row r="223">
      <c r="I223" s="627" t="s">
        <v>2606</v>
      </c>
      <c r="J223" s="650">
        <v>44612.0</v>
      </c>
      <c r="K223" s="474">
        <v>300.0</v>
      </c>
    </row>
    <row r="224">
      <c r="I224" s="627" t="s">
        <v>2604</v>
      </c>
      <c r="J224" s="650">
        <v>44612.0</v>
      </c>
      <c r="K224" s="474">
        <v>200.0</v>
      </c>
      <c r="L224" s="130"/>
      <c r="M224" s="128"/>
    </row>
    <row r="225">
      <c r="I225" s="627" t="s">
        <v>2601</v>
      </c>
      <c r="J225" s="650">
        <v>44612.0</v>
      </c>
      <c r="K225" s="474">
        <v>175.0</v>
      </c>
    </row>
    <row r="226">
      <c r="I226" s="627" t="s">
        <v>2606</v>
      </c>
      <c r="J226" s="650">
        <v>44614.0</v>
      </c>
      <c r="K226" s="474">
        <v>400.0</v>
      </c>
    </row>
    <row r="227">
      <c r="I227" s="627" t="s">
        <v>2601</v>
      </c>
      <c r="J227" s="650">
        <v>44614.0</v>
      </c>
      <c r="K227" s="474">
        <v>125.0</v>
      </c>
    </row>
    <row r="228">
      <c r="I228" s="627" t="s">
        <v>2603</v>
      </c>
      <c r="J228" s="650">
        <v>44616.0</v>
      </c>
      <c r="K228" s="474">
        <v>3250.0</v>
      </c>
    </row>
    <row r="229">
      <c r="I229" s="627" t="s">
        <v>2601</v>
      </c>
      <c r="J229" s="650">
        <v>44616.0</v>
      </c>
      <c r="K229" s="474">
        <v>100.0</v>
      </c>
    </row>
    <row r="230">
      <c r="I230" s="627" t="s">
        <v>2606</v>
      </c>
      <c r="J230" s="650">
        <v>44616.0</v>
      </c>
      <c r="K230" s="474">
        <v>400.0</v>
      </c>
    </row>
    <row r="231">
      <c r="I231" s="627" t="s">
        <v>2606</v>
      </c>
      <c r="J231" s="650">
        <v>44617.0</v>
      </c>
      <c r="K231" s="474">
        <v>75.0</v>
      </c>
    </row>
    <row r="232">
      <c r="I232" s="627" t="s">
        <v>2601</v>
      </c>
      <c r="J232" s="650">
        <v>44618.0</v>
      </c>
      <c r="K232" s="474">
        <v>150.0</v>
      </c>
    </row>
    <row r="233">
      <c r="I233" s="627" t="s">
        <v>2606</v>
      </c>
      <c r="J233" s="650">
        <v>44618.0</v>
      </c>
      <c r="K233" s="474">
        <v>350.0</v>
      </c>
    </row>
    <row r="234">
      <c r="I234" s="627" t="s">
        <v>2606</v>
      </c>
      <c r="J234" s="650">
        <v>44619.0</v>
      </c>
      <c r="K234" s="474">
        <v>200.0</v>
      </c>
    </row>
    <row r="235">
      <c r="I235" s="627" t="s">
        <v>2606</v>
      </c>
      <c r="J235" s="650">
        <v>44620.0</v>
      </c>
      <c r="K235" s="474">
        <v>200.0</v>
      </c>
    </row>
    <row r="236">
      <c r="I236" s="627" t="s">
        <v>2601</v>
      </c>
      <c r="J236" s="650">
        <v>44620.0</v>
      </c>
      <c r="K236" s="474">
        <v>100.0</v>
      </c>
    </row>
    <row r="238">
      <c r="I238" s="627" t="s">
        <v>2606</v>
      </c>
      <c r="J238" s="650">
        <v>44622.0</v>
      </c>
      <c r="K238" s="474">
        <v>325.0</v>
      </c>
      <c r="L238" s="125">
        <f>SUM(K238:K259)</f>
        <v>6850</v>
      </c>
      <c r="M238" s="128" t="s">
        <v>2607</v>
      </c>
    </row>
    <row r="239">
      <c r="I239" s="627" t="s">
        <v>2601</v>
      </c>
      <c r="J239" s="650">
        <v>44622.0</v>
      </c>
      <c r="K239" s="474">
        <v>75.0</v>
      </c>
    </row>
    <row r="240">
      <c r="I240" s="627" t="s">
        <v>2606</v>
      </c>
      <c r="J240" s="650">
        <v>44623.0</v>
      </c>
      <c r="K240" s="474">
        <v>150.0</v>
      </c>
    </row>
    <row r="241">
      <c r="I241" s="627" t="s">
        <v>2601</v>
      </c>
      <c r="J241" s="650">
        <v>44624.0</v>
      </c>
      <c r="K241" s="474">
        <v>50.0</v>
      </c>
    </row>
    <row r="242">
      <c r="I242" s="627" t="s">
        <v>2606</v>
      </c>
      <c r="J242" s="650">
        <v>44624.0</v>
      </c>
      <c r="K242" s="474">
        <v>100.0</v>
      </c>
    </row>
    <row r="243">
      <c r="I243" s="627" t="s">
        <v>2606</v>
      </c>
      <c r="J243" s="650">
        <v>44625.0</v>
      </c>
      <c r="K243" s="474">
        <v>100.0</v>
      </c>
    </row>
    <row r="244">
      <c r="I244" s="627" t="s">
        <v>2603</v>
      </c>
      <c r="J244" s="650">
        <v>44625.0</v>
      </c>
      <c r="K244" s="474">
        <v>1300.0</v>
      </c>
    </row>
    <row r="245">
      <c r="I245" s="627" t="s">
        <v>1923</v>
      </c>
      <c r="J245" s="650">
        <v>44625.0</v>
      </c>
      <c r="K245" s="474">
        <v>500.0</v>
      </c>
    </row>
    <row r="246">
      <c r="I246" s="627" t="s">
        <v>2270</v>
      </c>
      <c r="J246" s="650">
        <v>44625.0</v>
      </c>
      <c r="K246" s="474">
        <v>1000.0</v>
      </c>
    </row>
    <row r="247">
      <c r="I247" s="627" t="s">
        <v>2601</v>
      </c>
      <c r="J247" s="650">
        <v>44626.0</v>
      </c>
      <c r="K247" s="474">
        <v>50.0</v>
      </c>
    </row>
    <row r="248">
      <c r="I248" s="627" t="s">
        <v>2606</v>
      </c>
      <c r="J248" s="650">
        <v>44626.0</v>
      </c>
      <c r="K248" s="474">
        <v>75.0</v>
      </c>
    </row>
    <row r="249">
      <c r="I249" s="627" t="s">
        <v>2606</v>
      </c>
      <c r="J249" s="650">
        <v>44627.0</v>
      </c>
      <c r="K249" s="474">
        <v>100.0</v>
      </c>
    </row>
    <row r="250">
      <c r="I250" s="627" t="s">
        <v>2601</v>
      </c>
      <c r="J250" s="650">
        <v>44627.0</v>
      </c>
      <c r="K250" s="474">
        <v>50.0</v>
      </c>
    </row>
    <row r="251">
      <c r="I251" s="627" t="s">
        <v>2606</v>
      </c>
      <c r="J251" s="650">
        <v>44632.0</v>
      </c>
      <c r="K251" s="474">
        <v>125.0</v>
      </c>
    </row>
    <row r="252">
      <c r="I252" s="627" t="s">
        <v>2601</v>
      </c>
      <c r="J252" s="650">
        <v>44632.0</v>
      </c>
      <c r="K252" s="474">
        <v>100.0</v>
      </c>
    </row>
    <row r="253">
      <c r="I253" s="627" t="s">
        <v>2606</v>
      </c>
      <c r="J253" s="650">
        <v>44634.0</v>
      </c>
      <c r="K253" s="474">
        <v>50.0</v>
      </c>
    </row>
    <row r="254">
      <c r="I254" s="627" t="s">
        <v>2601</v>
      </c>
      <c r="J254" s="650">
        <v>44634.0</v>
      </c>
      <c r="K254" s="474">
        <v>25.0</v>
      </c>
    </row>
    <row r="255">
      <c r="I255" s="627" t="s">
        <v>2603</v>
      </c>
      <c r="J255" s="650">
        <v>44638.0</v>
      </c>
      <c r="K255" s="474">
        <v>1025.0</v>
      </c>
    </row>
    <row r="256">
      <c r="I256" s="627" t="s">
        <v>1923</v>
      </c>
      <c r="J256" s="650">
        <v>44640.0</v>
      </c>
      <c r="K256" s="474">
        <v>500.0</v>
      </c>
    </row>
    <row r="257">
      <c r="I257" s="627" t="s">
        <v>2270</v>
      </c>
      <c r="J257" s="650">
        <v>44644.0</v>
      </c>
      <c r="K257" s="474">
        <v>550.0</v>
      </c>
    </row>
    <row r="258">
      <c r="I258" s="627" t="s">
        <v>2606</v>
      </c>
      <c r="J258" s="650">
        <v>44650.0</v>
      </c>
      <c r="K258" s="474">
        <v>250.0</v>
      </c>
    </row>
    <row r="259">
      <c r="I259" s="627" t="s">
        <v>2603</v>
      </c>
      <c r="J259" s="650">
        <v>44650.0</v>
      </c>
      <c r="K259" s="474">
        <v>350.0</v>
      </c>
    </row>
    <row r="260">
      <c r="I260" s="627"/>
      <c r="J260" s="650"/>
      <c r="K260" s="474"/>
    </row>
    <row r="261">
      <c r="I261" s="627"/>
      <c r="J261" s="650"/>
      <c r="K261" s="474"/>
      <c r="L261" s="125"/>
      <c r="M261" s="128"/>
    </row>
    <row r="262">
      <c r="I262" s="627"/>
      <c r="J262" s="650"/>
      <c r="K262" s="474"/>
    </row>
    <row r="263">
      <c r="I263" s="627"/>
      <c r="J263" s="650"/>
      <c r="K263" s="474"/>
    </row>
    <row r="264">
      <c r="I264" s="627"/>
      <c r="J264" s="650"/>
      <c r="K264" s="474"/>
    </row>
    <row r="265">
      <c r="I265" s="627"/>
      <c r="J265" s="650"/>
      <c r="K265" s="474"/>
    </row>
    <row r="266">
      <c r="I266" s="627"/>
      <c r="J266" s="650"/>
      <c r="K266" s="474"/>
    </row>
    <row r="267">
      <c r="I267" s="627"/>
      <c r="J267" s="650"/>
      <c r="K267" s="474"/>
    </row>
    <row r="268">
      <c r="I268" s="627"/>
      <c r="J268" s="650"/>
      <c r="K268" s="474"/>
    </row>
    <row r="269">
      <c r="I269" s="627"/>
      <c r="J269" s="650"/>
      <c r="K269" s="474"/>
    </row>
    <row r="270">
      <c r="I270" s="627"/>
      <c r="J270" s="650"/>
      <c r="K270" s="474"/>
    </row>
    <row r="271">
      <c r="I271" s="627"/>
      <c r="J271" s="650"/>
      <c r="K271" s="474"/>
    </row>
    <row r="272">
      <c r="I272" s="627"/>
      <c r="J272" s="650"/>
      <c r="K272" s="474"/>
    </row>
    <row r="273">
      <c r="I273" s="627"/>
      <c r="J273" s="650"/>
      <c r="K273" s="474"/>
    </row>
    <row r="274">
      <c r="I274" s="627"/>
      <c r="J274" s="650"/>
      <c r="K274" s="474"/>
    </row>
    <row r="275">
      <c r="I275" s="627"/>
      <c r="J275" s="650"/>
      <c r="K275" s="474"/>
    </row>
    <row r="276">
      <c r="I276" s="627"/>
      <c r="J276" s="650"/>
      <c r="K276" s="474"/>
    </row>
    <row r="277">
      <c r="I277" s="627"/>
      <c r="J277" s="650"/>
      <c r="K277" s="474"/>
    </row>
    <row r="278">
      <c r="I278" s="627"/>
      <c r="J278" s="650"/>
      <c r="K278" s="474"/>
    </row>
  </sheetData>
  <mergeCells count="10">
    <mergeCell ref="O48:P48"/>
    <mergeCell ref="O56:P56"/>
    <mergeCell ref="R56:S56"/>
    <mergeCell ref="O19:P19"/>
    <mergeCell ref="R19:S19"/>
    <mergeCell ref="T19:U19"/>
    <mergeCell ref="O30:P30"/>
    <mergeCell ref="R30:S30"/>
    <mergeCell ref="T30:U30"/>
    <mergeCell ref="R48:S48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2.75"/>
  <cols>
    <col customWidth="1" min="1" max="1" width="22.0"/>
    <col customWidth="1" min="2" max="2" width="4.88"/>
    <col customWidth="1" min="3" max="4" width="11.38"/>
    <col customWidth="1" min="5" max="5" width="10.75"/>
    <col customWidth="1" min="6" max="6" width="13.13"/>
    <col customWidth="1" min="7" max="7" width="12.75"/>
    <col customWidth="1" min="8" max="8" width="12.5"/>
    <col customWidth="1" min="9" max="9" width="13.38"/>
    <col customWidth="1" min="10" max="10" width="10.25"/>
    <col customWidth="1" min="11" max="11" width="8.0"/>
    <col customWidth="1" min="12" max="12" width="3.13"/>
    <col customWidth="1" min="13" max="13" width="21.25"/>
    <col customWidth="1" min="14" max="14" width="7.0"/>
    <col customWidth="1" min="15" max="15" width="14.38"/>
    <col customWidth="1" min="16" max="16" width="7.0"/>
    <col customWidth="1" min="17" max="17" width="12.63"/>
    <col customWidth="1" min="18" max="19" width="7.0"/>
  </cols>
  <sheetData>
    <row r="1" ht="13.5" customHeight="1">
      <c r="A1" s="7"/>
      <c r="B1" s="5"/>
      <c r="C1" s="6"/>
      <c r="D1" s="6"/>
      <c r="E1" s="589" t="s">
        <v>2175</v>
      </c>
      <c r="F1" s="590"/>
      <c r="G1" s="6"/>
      <c r="H1" s="6"/>
      <c r="I1" s="6"/>
      <c r="J1" s="11"/>
      <c r="K1" s="591"/>
      <c r="L1" s="6"/>
      <c r="M1" s="6"/>
      <c r="N1" s="6"/>
      <c r="O1" s="6"/>
      <c r="P1" s="6"/>
      <c r="Q1" s="6"/>
      <c r="R1" s="6"/>
      <c r="S1" s="6"/>
    </row>
    <row r="2" ht="12.0" customHeight="1">
      <c r="A2" s="7"/>
      <c r="B2" s="5"/>
      <c r="C2" s="6"/>
      <c r="D2" s="6"/>
      <c r="E2" s="6"/>
      <c r="F2" s="6"/>
      <c r="G2" s="6"/>
      <c r="H2" s="6"/>
      <c r="I2" s="6"/>
      <c r="J2" s="11"/>
      <c r="K2" s="591"/>
      <c r="L2" s="6"/>
      <c r="M2" s="6"/>
      <c r="N2" s="6"/>
      <c r="O2" s="6"/>
      <c r="P2" s="6"/>
      <c r="Q2" s="6"/>
      <c r="R2" s="6"/>
      <c r="S2" s="6"/>
    </row>
    <row r="3" ht="12.0" customHeight="1">
      <c r="A3" s="7"/>
      <c r="B3" s="5"/>
      <c r="C3" s="6"/>
      <c r="D3" s="592" t="s">
        <v>2176</v>
      </c>
      <c r="E3" s="593">
        <v>0.0</v>
      </c>
      <c r="F3" s="594" t="s">
        <v>2608</v>
      </c>
      <c r="G3" s="595" t="s">
        <v>2177</v>
      </c>
      <c r="H3" s="596">
        <f>-PMT(6.875%/12,12*J3,E3)</f>
        <v>0</v>
      </c>
      <c r="I3" s="597" t="s">
        <v>2178</v>
      </c>
      <c r="J3" s="598">
        <v>30.0</v>
      </c>
      <c r="K3" s="591"/>
      <c r="L3" s="6"/>
      <c r="M3" s="6"/>
      <c r="N3" s="6"/>
      <c r="O3" s="6"/>
      <c r="P3" s="6"/>
      <c r="Q3" s="6"/>
      <c r="R3" s="6"/>
      <c r="S3" s="6"/>
    </row>
    <row r="4" ht="12.0" customHeight="1">
      <c r="A4" s="7"/>
      <c r="B4" s="5"/>
      <c r="C4" s="6"/>
      <c r="D4" s="6"/>
      <c r="E4" s="6"/>
      <c r="F4" s="6"/>
      <c r="G4" s="6"/>
      <c r="H4" s="6"/>
      <c r="I4" s="6"/>
      <c r="J4" s="11"/>
      <c r="K4" s="591"/>
      <c r="L4" s="6"/>
      <c r="M4" s="6"/>
      <c r="N4" s="6"/>
      <c r="O4" s="6"/>
      <c r="P4" s="6"/>
      <c r="Q4" s="6"/>
      <c r="R4" s="6"/>
      <c r="S4" s="6"/>
    </row>
    <row r="5" ht="12.0" customHeight="1">
      <c r="A5" s="12" t="s">
        <v>16</v>
      </c>
      <c r="B5" s="599" t="s">
        <v>17</v>
      </c>
      <c r="C5" s="600" t="s">
        <v>2179</v>
      </c>
      <c r="D5" s="601" t="s">
        <v>2180</v>
      </c>
      <c r="E5" s="602" t="s">
        <v>2181</v>
      </c>
      <c r="F5" s="602" t="s">
        <v>21</v>
      </c>
      <c r="G5" s="602" t="s">
        <v>2182</v>
      </c>
      <c r="H5" s="602" t="s">
        <v>2183</v>
      </c>
      <c r="I5" s="603" t="s">
        <v>2184</v>
      </c>
      <c r="J5" s="604" t="s">
        <v>2185</v>
      </c>
      <c r="K5" s="591"/>
      <c r="L5" s="6"/>
      <c r="M5" s="6"/>
      <c r="N5" s="6"/>
      <c r="O5" s="6"/>
      <c r="P5" s="6"/>
      <c r="Q5" s="6"/>
      <c r="R5" s="6"/>
      <c r="S5" s="6"/>
    </row>
    <row r="6" ht="11.25" customHeight="1">
      <c r="A6" s="606">
        <v>1.0</v>
      </c>
      <c r="B6" s="24">
        <v>1.0</v>
      </c>
      <c r="C6" s="40">
        <v>20000.0</v>
      </c>
      <c r="D6" s="608">
        <f>(E3*J6%)/12</f>
        <v>0</v>
      </c>
      <c r="E6" s="608">
        <f t="shared" ref="E6:E365" si="1">C6-D6</f>
        <v>20000</v>
      </c>
      <c r="F6" s="608">
        <f>E6</f>
        <v>20000</v>
      </c>
      <c r="G6" s="608">
        <f>D6</f>
        <v>0</v>
      </c>
      <c r="H6" s="608">
        <f>C6</f>
        <v>20000</v>
      </c>
      <c r="I6" s="609">
        <f>E3-E6</f>
        <v>-20000</v>
      </c>
      <c r="J6" s="610">
        <v>0.0</v>
      </c>
      <c r="K6" s="591"/>
      <c r="L6" s="6"/>
      <c r="M6" s="9" t="s">
        <v>2609</v>
      </c>
      <c r="N6" s="651">
        <v>0.01</v>
      </c>
      <c r="O6" s="652">
        <v>47900.0</v>
      </c>
      <c r="P6" s="6"/>
      <c r="Q6" s="6"/>
      <c r="R6" s="6"/>
      <c r="S6" s="6"/>
    </row>
    <row r="7" ht="11.25" customHeight="1">
      <c r="A7" s="38"/>
      <c r="B7" s="39">
        <f t="shared" ref="B7:B53" si="2">B6+1</f>
        <v>2</v>
      </c>
      <c r="C7" s="40">
        <v>50000.0</v>
      </c>
      <c r="D7" s="79">
        <f t="shared" ref="D7:D53" si="3">(I6*J7%)/12</f>
        <v>0</v>
      </c>
      <c r="E7" s="79">
        <f t="shared" si="1"/>
        <v>50000</v>
      </c>
      <c r="F7" s="79">
        <f t="shared" ref="F7:F365" si="4">F6+E7</f>
        <v>70000</v>
      </c>
      <c r="G7" s="79">
        <f t="shared" ref="G7:G365" si="5">G6+D7</f>
        <v>0</v>
      </c>
      <c r="H7" s="79">
        <f t="shared" ref="H7:H365" si="6">H6+C7</f>
        <v>70000</v>
      </c>
      <c r="I7" s="611">
        <f t="shared" ref="I7:I365" si="7">I6-E7</f>
        <v>-70000</v>
      </c>
      <c r="J7" s="610">
        <v>0.0</v>
      </c>
      <c r="K7" s="591"/>
      <c r="L7" s="6"/>
      <c r="M7" s="9" t="s">
        <v>2610</v>
      </c>
      <c r="N7" s="651">
        <v>0.01</v>
      </c>
      <c r="O7" s="652">
        <v>47900.0</v>
      </c>
      <c r="P7" s="6"/>
      <c r="Q7" s="6"/>
      <c r="R7" s="6"/>
      <c r="S7" s="6"/>
    </row>
    <row r="8" ht="11.25" customHeight="1">
      <c r="A8" s="54">
        <v>43831.0</v>
      </c>
      <c r="B8" s="39">
        <f t="shared" si="2"/>
        <v>3</v>
      </c>
      <c r="C8" s="40">
        <v>10923.0</v>
      </c>
      <c r="D8" s="79">
        <f t="shared" si="3"/>
        <v>0</v>
      </c>
      <c r="E8" s="79">
        <f t="shared" si="1"/>
        <v>10923</v>
      </c>
      <c r="F8" s="79">
        <f t="shared" si="4"/>
        <v>80923</v>
      </c>
      <c r="G8" s="79">
        <f t="shared" si="5"/>
        <v>0</v>
      </c>
      <c r="H8" s="79">
        <f t="shared" si="6"/>
        <v>80923</v>
      </c>
      <c r="I8" s="611">
        <f t="shared" si="7"/>
        <v>-80923</v>
      </c>
      <c r="J8" s="610">
        <v>0.0</v>
      </c>
      <c r="K8" s="591"/>
      <c r="L8" s="6"/>
      <c r="M8" s="9" t="s">
        <v>2611</v>
      </c>
      <c r="N8" s="6"/>
      <c r="O8" s="652">
        <v>21000.0</v>
      </c>
      <c r="P8" s="6"/>
      <c r="Q8" s="6"/>
      <c r="R8" s="6"/>
      <c r="S8" s="6"/>
    </row>
    <row r="9" ht="11.25" customHeight="1">
      <c r="A9" s="38"/>
      <c r="B9" s="39">
        <f t="shared" si="2"/>
        <v>4</v>
      </c>
      <c r="C9" s="40">
        <v>10923.0</v>
      </c>
      <c r="D9" s="79">
        <f t="shared" si="3"/>
        <v>0</v>
      </c>
      <c r="E9" s="79">
        <f t="shared" si="1"/>
        <v>10923</v>
      </c>
      <c r="F9" s="79">
        <f t="shared" si="4"/>
        <v>91846</v>
      </c>
      <c r="G9" s="79">
        <f t="shared" si="5"/>
        <v>0</v>
      </c>
      <c r="H9" s="79">
        <f t="shared" si="6"/>
        <v>91846</v>
      </c>
      <c r="I9" s="611">
        <f t="shared" si="7"/>
        <v>-91846</v>
      </c>
      <c r="J9" s="610">
        <v>0.0</v>
      </c>
      <c r="K9" s="591"/>
      <c r="L9" s="6"/>
      <c r="M9" s="9" t="s">
        <v>2612</v>
      </c>
      <c r="N9" s="6"/>
      <c r="O9" s="652">
        <v>17500.0</v>
      </c>
      <c r="P9" s="6"/>
      <c r="Q9" s="6"/>
      <c r="R9" s="6"/>
      <c r="S9" s="6"/>
    </row>
    <row r="10" ht="11.25" customHeight="1">
      <c r="A10" s="38"/>
      <c r="B10" s="39">
        <f t="shared" si="2"/>
        <v>5</v>
      </c>
      <c r="C10" s="40">
        <v>10923.0</v>
      </c>
      <c r="D10" s="79">
        <f t="shared" si="3"/>
        <v>0</v>
      </c>
      <c r="E10" s="79">
        <f t="shared" si="1"/>
        <v>10923</v>
      </c>
      <c r="F10" s="79">
        <f t="shared" si="4"/>
        <v>102769</v>
      </c>
      <c r="G10" s="79">
        <f t="shared" si="5"/>
        <v>0</v>
      </c>
      <c r="H10" s="79">
        <f t="shared" si="6"/>
        <v>102769</v>
      </c>
      <c r="I10" s="611">
        <f t="shared" si="7"/>
        <v>-102769</v>
      </c>
      <c r="J10" s="610">
        <v>0.0</v>
      </c>
      <c r="K10" s="591"/>
      <c r="L10" s="6"/>
      <c r="M10" s="9" t="s">
        <v>2613</v>
      </c>
      <c r="N10" s="6"/>
      <c r="O10" s="652">
        <v>5000.0</v>
      </c>
      <c r="P10" s="6"/>
      <c r="Q10" s="6"/>
      <c r="R10" s="6"/>
      <c r="S10" s="6"/>
    </row>
    <row r="11" ht="11.25" customHeight="1">
      <c r="A11" s="38"/>
      <c r="B11" s="39">
        <f t="shared" si="2"/>
        <v>6</v>
      </c>
      <c r="C11" s="40">
        <v>10923.0</v>
      </c>
      <c r="D11" s="79">
        <f t="shared" si="3"/>
        <v>0</v>
      </c>
      <c r="E11" s="79">
        <f t="shared" si="1"/>
        <v>10923</v>
      </c>
      <c r="F11" s="79">
        <f t="shared" si="4"/>
        <v>113692</v>
      </c>
      <c r="G11" s="79">
        <f t="shared" si="5"/>
        <v>0</v>
      </c>
      <c r="H11" s="79">
        <f t="shared" si="6"/>
        <v>113692</v>
      </c>
      <c r="I11" s="611">
        <f t="shared" si="7"/>
        <v>-113692</v>
      </c>
      <c r="J11" s="610">
        <v>0.0</v>
      </c>
      <c r="K11" s="591"/>
      <c r="L11" s="6"/>
      <c r="M11" s="9" t="s">
        <v>2614</v>
      </c>
      <c r="N11" s="6"/>
      <c r="O11" s="652">
        <v>5000.0</v>
      </c>
      <c r="P11" s="6"/>
      <c r="Q11" s="6"/>
      <c r="R11" s="6"/>
      <c r="S11" s="6"/>
    </row>
    <row r="12" ht="11.25" customHeight="1">
      <c r="A12" s="38"/>
      <c r="B12" s="39">
        <f t="shared" si="2"/>
        <v>7</v>
      </c>
      <c r="C12" s="40">
        <v>10923.0</v>
      </c>
      <c r="D12" s="79">
        <f t="shared" si="3"/>
        <v>0</v>
      </c>
      <c r="E12" s="79">
        <f t="shared" si="1"/>
        <v>10923</v>
      </c>
      <c r="F12" s="79">
        <f t="shared" si="4"/>
        <v>124615</v>
      </c>
      <c r="G12" s="79">
        <f t="shared" si="5"/>
        <v>0</v>
      </c>
      <c r="H12" s="79">
        <f t="shared" si="6"/>
        <v>124615</v>
      </c>
      <c r="I12" s="611">
        <f t="shared" si="7"/>
        <v>-124615</v>
      </c>
      <c r="J12" s="610">
        <v>0.0</v>
      </c>
      <c r="K12" s="591"/>
      <c r="L12" s="6"/>
      <c r="M12" s="9" t="s">
        <v>2615</v>
      </c>
      <c r="N12" s="6"/>
      <c r="O12" s="652">
        <v>5000.0</v>
      </c>
      <c r="P12" s="6"/>
      <c r="Q12" s="6"/>
      <c r="R12" s="6"/>
      <c r="S12" s="6"/>
    </row>
    <row r="13" ht="11.25" customHeight="1">
      <c r="A13" s="38"/>
      <c r="B13" s="39">
        <f t="shared" si="2"/>
        <v>8</v>
      </c>
      <c r="C13" s="40">
        <v>10923.0</v>
      </c>
      <c r="D13" s="79">
        <f t="shared" si="3"/>
        <v>0</v>
      </c>
      <c r="E13" s="79">
        <f t="shared" si="1"/>
        <v>10923</v>
      </c>
      <c r="F13" s="79">
        <f t="shared" si="4"/>
        <v>135538</v>
      </c>
      <c r="G13" s="79">
        <f t="shared" si="5"/>
        <v>0</v>
      </c>
      <c r="H13" s="79">
        <f t="shared" si="6"/>
        <v>135538</v>
      </c>
      <c r="I13" s="611">
        <f t="shared" si="7"/>
        <v>-135538</v>
      </c>
      <c r="J13" s="610">
        <v>0.0</v>
      </c>
      <c r="K13" s="591"/>
      <c r="L13" s="6"/>
      <c r="N13" s="6"/>
      <c r="O13" s="653"/>
      <c r="P13" s="6"/>
      <c r="Q13" s="6"/>
      <c r="R13" s="6"/>
      <c r="S13" s="6"/>
    </row>
    <row r="14" ht="11.25" customHeight="1">
      <c r="A14" s="38"/>
      <c r="B14" s="39">
        <f t="shared" si="2"/>
        <v>9</v>
      </c>
      <c r="C14" s="40">
        <v>10923.0</v>
      </c>
      <c r="D14" s="79">
        <f t="shared" si="3"/>
        <v>0</v>
      </c>
      <c r="E14" s="79">
        <f t="shared" si="1"/>
        <v>10923</v>
      </c>
      <c r="F14" s="79">
        <f t="shared" si="4"/>
        <v>146461</v>
      </c>
      <c r="G14" s="79">
        <f t="shared" si="5"/>
        <v>0</v>
      </c>
      <c r="H14" s="79">
        <f t="shared" si="6"/>
        <v>146461</v>
      </c>
      <c r="I14" s="611">
        <f t="shared" si="7"/>
        <v>-146461</v>
      </c>
      <c r="J14" s="610">
        <v>0.0</v>
      </c>
      <c r="K14" s="591"/>
      <c r="L14" s="6"/>
      <c r="M14" s="9" t="s">
        <v>2616</v>
      </c>
      <c r="O14" s="654">
        <f>SUM(O6:O13)</f>
        <v>149300</v>
      </c>
      <c r="P14" s="6"/>
      <c r="Q14" s="6"/>
      <c r="R14" s="6"/>
      <c r="S14" s="6"/>
    </row>
    <row r="15" ht="11.25" customHeight="1">
      <c r="A15" s="38"/>
      <c r="B15" s="39">
        <f t="shared" si="2"/>
        <v>10</v>
      </c>
      <c r="C15" s="40">
        <v>10923.0</v>
      </c>
      <c r="D15" s="79">
        <f t="shared" si="3"/>
        <v>0</v>
      </c>
      <c r="E15" s="79">
        <f t="shared" si="1"/>
        <v>10923</v>
      </c>
      <c r="F15" s="79">
        <f t="shared" si="4"/>
        <v>157384</v>
      </c>
      <c r="G15" s="79">
        <f t="shared" si="5"/>
        <v>0</v>
      </c>
      <c r="H15" s="79">
        <f t="shared" si="6"/>
        <v>157384</v>
      </c>
      <c r="I15" s="611">
        <f t="shared" si="7"/>
        <v>-157384</v>
      </c>
      <c r="J15" s="610">
        <v>0.0</v>
      </c>
      <c r="K15" s="591"/>
      <c r="L15" s="6"/>
      <c r="M15" s="9" t="s">
        <v>2617</v>
      </c>
      <c r="N15" s="6"/>
      <c r="O15" s="652">
        <v>262500.0</v>
      </c>
      <c r="P15" s="6"/>
      <c r="Q15" s="6"/>
      <c r="R15" s="6"/>
      <c r="S15" s="6"/>
    </row>
    <row r="16" ht="11.25" customHeight="1">
      <c r="A16" s="38"/>
      <c r="B16" s="39">
        <f t="shared" si="2"/>
        <v>11</v>
      </c>
      <c r="C16" s="40">
        <v>10923.0</v>
      </c>
      <c r="D16" s="79">
        <f t="shared" si="3"/>
        <v>0</v>
      </c>
      <c r="E16" s="79">
        <f t="shared" si="1"/>
        <v>10923</v>
      </c>
      <c r="F16" s="79">
        <f t="shared" si="4"/>
        <v>168307</v>
      </c>
      <c r="G16" s="79">
        <f t="shared" si="5"/>
        <v>0</v>
      </c>
      <c r="H16" s="79">
        <f t="shared" si="6"/>
        <v>168307</v>
      </c>
      <c r="I16" s="611">
        <f t="shared" si="7"/>
        <v>-168307</v>
      </c>
      <c r="J16" s="610">
        <v>0.0</v>
      </c>
      <c r="K16" s="591"/>
      <c r="L16" s="6"/>
      <c r="M16" s="122" t="s">
        <v>2618</v>
      </c>
      <c r="N16" s="134"/>
      <c r="O16" s="652">
        <v>550459.0</v>
      </c>
      <c r="P16" s="6"/>
      <c r="Q16" s="9"/>
      <c r="R16" s="6"/>
      <c r="S16" s="6"/>
    </row>
    <row r="17" ht="11.25" customHeight="1">
      <c r="A17" s="47"/>
      <c r="B17" s="48">
        <f t="shared" si="2"/>
        <v>12</v>
      </c>
      <c r="C17" s="40">
        <v>10923.0</v>
      </c>
      <c r="D17" s="90">
        <f t="shared" si="3"/>
        <v>0</v>
      </c>
      <c r="E17" s="90">
        <f t="shared" si="1"/>
        <v>10923</v>
      </c>
      <c r="F17" s="90">
        <f t="shared" si="4"/>
        <v>179230</v>
      </c>
      <c r="G17" s="90">
        <f t="shared" si="5"/>
        <v>0</v>
      </c>
      <c r="H17" s="90">
        <f t="shared" si="6"/>
        <v>179230</v>
      </c>
      <c r="I17" s="613">
        <f t="shared" si="7"/>
        <v>-179230</v>
      </c>
      <c r="J17" s="610">
        <v>0.0</v>
      </c>
      <c r="K17" s="591"/>
      <c r="L17" s="6"/>
      <c r="M17" s="9" t="s">
        <v>2619</v>
      </c>
      <c r="N17" s="6"/>
      <c r="O17" s="652">
        <v>4025882.0</v>
      </c>
      <c r="P17" s="6"/>
      <c r="Q17" s="6"/>
      <c r="R17" s="6"/>
      <c r="S17" s="6"/>
    </row>
    <row r="18" ht="11.25" customHeight="1">
      <c r="A18" s="623">
        <v>2.0</v>
      </c>
      <c r="B18" s="39">
        <f t="shared" si="2"/>
        <v>13</v>
      </c>
      <c r="C18" s="40">
        <v>10923.0</v>
      </c>
      <c r="D18" s="79">
        <f t="shared" si="3"/>
        <v>0</v>
      </c>
      <c r="E18" s="79">
        <f t="shared" si="1"/>
        <v>10923</v>
      </c>
      <c r="F18" s="79">
        <f t="shared" si="4"/>
        <v>190153</v>
      </c>
      <c r="G18" s="79">
        <f t="shared" si="5"/>
        <v>0</v>
      </c>
      <c r="H18" s="79">
        <f t="shared" si="6"/>
        <v>190153</v>
      </c>
      <c r="I18" s="611">
        <f t="shared" si="7"/>
        <v>-190153</v>
      </c>
      <c r="J18" s="610">
        <v>0.0</v>
      </c>
      <c r="K18" s="591"/>
      <c r="L18" s="6"/>
      <c r="M18" s="9" t="s">
        <v>57</v>
      </c>
      <c r="N18" s="6"/>
      <c r="O18" s="653">
        <f>SUM(O14:O17)</f>
        <v>4988141</v>
      </c>
      <c r="P18" s="9"/>
      <c r="Q18" s="9"/>
      <c r="R18" s="6"/>
      <c r="S18" s="6"/>
    </row>
    <row r="19" ht="11.25" customHeight="1">
      <c r="A19" s="54"/>
      <c r="B19" s="39">
        <f t="shared" si="2"/>
        <v>14</v>
      </c>
      <c r="C19" s="40">
        <v>10923.0</v>
      </c>
      <c r="D19" s="79">
        <f t="shared" si="3"/>
        <v>0</v>
      </c>
      <c r="E19" s="79">
        <f t="shared" si="1"/>
        <v>10923</v>
      </c>
      <c r="F19" s="79">
        <f t="shared" si="4"/>
        <v>201076</v>
      </c>
      <c r="G19" s="79">
        <f t="shared" si="5"/>
        <v>0</v>
      </c>
      <c r="H19" s="79">
        <f t="shared" si="6"/>
        <v>201076</v>
      </c>
      <c r="I19" s="611">
        <f t="shared" si="7"/>
        <v>-201076</v>
      </c>
      <c r="J19" s="610">
        <v>0.0</v>
      </c>
      <c r="K19" s="591"/>
      <c r="L19" s="6"/>
      <c r="M19" s="6"/>
      <c r="N19" s="6"/>
      <c r="O19" s="6"/>
      <c r="P19" s="9"/>
      <c r="Q19" s="6"/>
      <c r="R19" s="6"/>
      <c r="S19" s="6"/>
    </row>
    <row r="20" ht="11.25" customHeight="1">
      <c r="A20" s="54">
        <v>44197.0</v>
      </c>
      <c r="B20" s="39">
        <f t="shared" si="2"/>
        <v>15</v>
      </c>
      <c r="C20" s="40">
        <v>10923.0</v>
      </c>
      <c r="D20" s="79">
        <f t="shared" si="3"/>
        <v>0</v>
      </c>
      <c r="E20" s="79">
        <f t="shared" si="1"/>
        <v>10923</v>
      </c>
      <c r="F20" s="79">
        <f t="shared" si="4"/>
        <v>211999</v>
      </c>
      <c r="G20" s="79">
        <f t="shared" si="5"/>
        <v>0</v>
      </c>
      <c r="H20" s="79">
        <f t="shared" si="6"/>
        <v>211999</v>
      </c>
      <c r="I20" s="611">
        <f t="shared" si="7"/>
        <v>-211999</v>
      </c>
      <c r="J20" s="610">
        <v>0.0</v>
      </c>
      <c r="K20" s="591"/>
      <c r="L20" s="6"/>
      <c r="M20" s="6"/>
      <c r="N20" s="6"/>
      <c r="O20" s="9">
        <v>4690000.0</v>
      </c>
      <c r="P20" s="9"/>
      <c r="Q20" s="6"/>
      <c r="R20" s="6"/>
      <c r="S20" s="6"/>
    </row>
    <row r="21" ht="11.25" customHeight="1">
      <c r="A21" s="38"/>
      <c r="B21" s="39">
        <f t="shared" si="2"/>
        <v>16</v>
      </c>
      <c r="C21" s="40">
        <v>10923.0</v>
      </c>
      <c r="D21" s="79">
        <f t="shared" si="3"/>
        <v>0</v>
      </c>
      <c r="E21" s="79">
        <f t="shared" si="1"/>
        <v>10923</v>
      </c>
      <c r="F21" s="79">
        <f t="shared" si="4"/>
        <v>222922</v>
      </c>
      <c r="G21" s="79">
        <f t="shared" si="5"/>
        <v>0</v>
      </c>
      <c r="H21" s="79">
        <f t="shared" si="6"/>
        <v>222922</v>
      </c>
      <c r="I21" s="611">
        <f t="shared" si="7"/>
        <v>-222922</v>
      </c>
      <c r="J21" s="610">
        <v>0.0</v>
      </c>
      <c r="K21" s="591"/>
      <c r="L21" s="6"/>
      <c r="M21" s="6"/>
      <c r="N21" s="6"/>
      <c r="O21" s="9">
        <v>4587278.0</v>
      </c>
      <c r="Q21" s="9"/>
      <c r="R21" s="6"/>
      <c r="S21" s="6"/>
    </row>
    <row r="22" ht="11.25" customHeight="1">
      <c r="A22" s="38"/>
      <c r="B22" s="39">
        <f t="shared" si="2"/>
        <v>17</v>
      </c>
      <c r="C22" s="40">
        <v>10923.0</v>
      </c>
      <c r="D22" s="79">
        <f t="shared" si="3"/>
        <v>0</v>
      </c>
      <c r="E22" s="79">
        <f t="shared" si="1"/>
        <v>10923</v>
      </c>
      <c r="F22" s="79">
        <f t="shared" si="4"/>
        <v>233845</v>
      </c>
      <c r="G22" s="79">
        <f t="shared" si="5"/>
        <v>0</v>
      </c>
      <c r="H22" s="79">
        <f t="shared" si="6"/>
        <v>233845</v>
      </c>
      <c r="I22" s="611">
        <f t="shared" si="7"/>
        <v>-233845</v>
      </c>
      <c r="J22" s="610">
        <v>0.0</v>
      </c>
      <c r="K22" s="591"/>
      <c r="L22" s="6"/>
      <c r="M22" s="6"/>
      <c r="N22" s="6"/>
      <c r="O22" s="6"/>
      <c r="P22" s="9"/>
      <c r="Q22" s="6"/>
      <c r="R22" s="6"/>
      <c r="S22" s="6"/>
    </row>
    <row r="23" ht="11.25" customHeight="1">
      <c r="A23" s="38"/>
      <c r="B23" s="39">
        <f t="shared" si="2"/>
        <v>18</v>
      </c>
      <c r="C23" s="40">
        <v>10923.0</v>
      </c>
      <c r="D23" s="79">
        <f t="shared" si="3"/>
        <v>0</v>
      </c>
      <c r="E23" s="79">
        <f t="shared" si="1"/>
        <v>10923</v>
      </c>
      <c r="F23" s="79">
        <f t="shared" si="4"/>
        <v>244768</v>
      </c>
      <c r="G23" s="79">
        <f t="shared" si="5"/>
        <v>0</v>
      </c>
      <c r="H23" s="79">
        <f t="shared" si="6"/>
        <v>244768</v>
      </c>
      <c r="I23" s="611">
        <f t="shared" si="7"/>
        <v>-244768</v>
      </c>
      <c r="J23" s="610">
        <v>0.0</v>
      </c>
      <c r="K23" s="591"/>
      <c r="L23" s="6"/>
      <c r="M23" s="6"/>
      <c r="N23" s="6"/>
      <c r="O23" s="9">
        <f>664118-550459</f>
        <v>113659</v>
      </c>
      <c r="P23" s="6"/>
      <c r="Q23" s="6"/>
      <c r="R23" s="6"/>
      <c r="S23" s="6"/>
    </row>
    <row r="24" ht="11.25" customHeight="1">
      <c r="A24" s="38"/>
      <c r="B24" s="39">
        <f t="shared" si="2"/>
        <v>19</v>
      </c>
      <c r="C24" s="40">
        <v>10923.0</v>
      </c>
      <c r="D24" s="79">
        <f t="shared" si="3"/>
        <v>0</v>
      </c>
      <c r="E24" s="79">
        <f t="shared" si="1"/>
        <v>10923</v>
      </c>
      <c r="F24" s="79">
        <f t="shared" si="4"/>
        <v>255691</v>
      </c>
      <c r="G24" s="79">
        <f t="shared" si="5"/>
        <v>0</v>
      </c>
      <c r="H24" s="79">
        <f t="shared" si="6"/>
        <v>255691</v>
      </c>
      <c r="I24" s="611">
        <f t="shared" si="7"/>
        <v>-255691</v>
      </c>
      <c r="J24" s="610">
        <v>0.0</v>
      </c>
      <c r="K24" s="591"/>
      <c r="L24" s="6"/>
      <c r="M24" s="6"/>
      <c r="N24" s="6"/>
      <c r="O24" s="6">
        <f>O23/(550459/100)</f>
        <v>20.648041</v>
      </c>
      <c r="P24" s="6"/>
      <c r="Q24" s="6"/>
      <c r="R24" s="6"/>
      <c r="S24" s="6"/>
    </row>
    <row r="25" ht="11.25" customHeight="1">
      <c r="A25" s="38"/>
      <c r="B25" s="39">
        <f t="shared" si="2"/>
        <v>20</v>
      </c>
      <c r="C25" s="40">
        <v>10923.0</v>
      </c>
      <c r="D25" s="79">
        <f t="shared" si="3"/>
        <v>0</v>
      </c>
      <c r="E25" s="79">
        <f t="shared" si="1"/>
        <v>10923</v>
      </c>
      <c r="F25" s="79">
        <f t="shared" si="4"/>
        <v>266614</v>
      </c>
      <c r="G25" s="79">
        <f t="shared" si="5"/>
        <v>0</v>
      </c>
      <c r="H25" s="79">
        <f t="shared" si="6"/>
        <v>266614</v>
      </c>
      <c r="I25" s="611">
        <f t="shared" si="7"/>
        <v>-266614</v>
      </c>
      <c r="J25" s="610">
        <v>0.0</v>
      </c>
      <c r="K25" s="591"/>
      <c r="L25" s="6"/>
      <c r="M25" s="6"/>
      <c r="N25" s="6"/>
      <c r="O25" s="6"/>
      <c r="P25" s="6"/>
      <c r="Q25" s="6"/>
      <c r="R25" s="6"/>
      <c r="S25" s="6"/>
    </row>
    <row r="26" ht="11.25" customHeight="1">
      <c r="A26" s="38"/>
      <c r="B26" s="39">
        <f t="shared" si="2"/>
        <v>21</v>
      </c>
      <c r="C26" s="40">
        <v>10923.0</v>
      </c>
      <c r="D26" s="79">
        <f t="shared" si="3"/>
        <v>0</v>
      </c>
      <c r="E26" s="79">
        <f t="shared" si="1"/>
        <v>10923</v>
      </c>
      <c r="F26" s="79">
        <f t="shared" si="4"/>
        <v>277537</v>
      </c>
      <c r="G26" s="79">
        <f t="shared" si="5"/>
        <v>0</v>
      </c>
      <c r="H26" s="79">
        <f t="shared" si="6"/>
        <v>277537</v>
      </c>
      <c r="I26" s="611">
        <f t="shared" si="7"/>
        <v>-277537</v>
      </c>
      <c r="J26" s="610">
        <v>0.0</v>
      </c>
      <c r="K26" s="591"/>
      <c r="L26" s="6"/>
      <c r="M26" s="6"/>
      <c r="N26" s="6"/>
      <c r="O26" s="6"/>
      <c r="P26" s="6"/>
      <c r="Q26" s="6"/>
      <c r="R26" s="6"/>
      <c r="S26" s="6"/>
    </row>
    <row r="27" ht="11.25" customHeight="1">
      <c r="A27" s="38"/>
      <c r="B27" s="39">
        <f t="shared" si="2"/>
        <v>22</v>
      </c>
      <c r="C27" s="40">
        <v>10923.0</v>
      </c>
      <c r="D27" s="79">
        <f t="shared" si="3"/>
        <v>0</v>
      </c>
      <c r="E27" s="79">
        <f t="shared" si="1"/>
        <v>10923</v>
      </c>
      <c r="F27" s="79">
        <f t="shared" si="4"/>
        <v>288460</v>
      </c>
      <c r="G27" s="79">
        <f t="shared" si="5"/>
        <v>0</v>
      </c>
      <c r="H27" s="79">
        <f t="shared" si="6"/>
        <v>288460</v>
      </c>
      <c r="I27" s="611">
        <f t="shared" si="7"/>
        <v>-288460</v>
      </c>
      <c r="J27" s="610">
        <v>0.0</v>
      </c>
      <c r="K27" s="591"/>
      <c r="L27" s="6"/>
      <c r="M27" s="6"/>
      <c r="N27" s="6"/>
      <c r="O27" s="6"/>
      <c r="P27" s="6"/>
      <c r="Q27" s="6"/>
      <c r="R27" s="6"/>
      <c r="S27" s="6"/>
    </row>
    <row r="28" ht="11.25" customHeight="1">
      <c r="A28" s="56"/>
      <c r="B28" s="39">
        <f t="shared" si="2"/>
        <v>23</v>
      </c>
      <c r="C28" s="40">
        <v>10923.0</v>
      </c>
      <c r="D28" s="79">
        <f t="shared" si="3"/>
        <v>0</v>
      </c>
      <c r="E28" s="79">
        <f t="shared" si="1"/>
        <v>10923</v>
      </c>
      <c r="F28" s="79">
        <f t="shared" si="4"/>
        <v>299383</v>
      </c>
      <c r="G28" s="79">
        <f t="shared" si="5"/>
        <v>0</v>
      </c>
      <c r="H28" s="79">
        <f t="shared" si="6"/>
        <v>299383</v>
      </c>
      <c r="I28" s="611">
        <f t="shared" si="7"/>
        <v>-299383</v>
      </c>
      <c r="J28" s="610">
        <v>0.0</v>
      </c>
      <c r="K28" s="591"/>
      <c r="L28" s="6"/>
      <c r="M28" s="6"/>
      <c r="N28" s="6"/>
      <c r="O28" s="6"/>
      <c r="P28" s="6"/>
      <c r="Q28" s="6"/>
      <c r="R28" s="6"/>
      <c r="S28" s="6"/>
    </row>
    <row r="29" ht="11.25" customHeight="1">
      <c r="A29" s="57"/>
      <c r="B29" s="48">
        <f t="shared" si="2"/>
        <v>24</v>
      </c>
      <c r="C29" s="40">
        <v>10923.0</v>
      </c>
      <c r="D29" s="90">
        <f t="shared" si="3"/>
        <v>0</v>
      </c>
      <c r="E29" s="90">
        <f t="shared" si="1"/>
        <v>10923</v>
      </c>
      <c r="F29" s="90">
        <f t="shared" si="4"/>
        <v>310306</v>
      </c>
      <c r="G29" s="90">
        <f t="shared" si="5"/>
        <v>0</v>
      </c>
      <c r="H29" s="90">
        <f t="shared" si="6"/>
        <v>310306</v>
      </c>
      <c r="I29" s="613">
        <f t="shared" si="7"/>
        <v>-310306</v>
      </c>
      <c r="J29" s="610">
        <v>0.0</v>
      </c>
      <c r="K29" s="591"/>
      <c r="L29" s="6"/>
      <c r="M29" s="6"/>
      <c r="N29" s="6"/>
      <c r="O29" s="6"/>
      <c r="P29" s="6"/>
      <c r="Q29" s="6"/>
      <c r="R29" s="6"/>
      <c r="S29" s="6"/>
    </row>
    <row r="30" ht="11.25" customHeight="1">
      <c r="A30" s="623">
        <v>3.0</v>
      </c>
      <c r="B30" s="39">
        <f t="shared" si="2"/>
        <v>25</v>
      </c>
      <c r="C30" s="40">
        <v>10923.0</v>
      </c>
      <c r="D30" s="79">
        <f t="shared" si="3"/>
        <v>0</v>
      </c>
      <c r="E30" s="79">
        <f t="shared" si="1"/>
        <v>10923</v>
      </c>
      <c r="F30" s="79">
        <f t="shared" si="4"/>
        <v>321229</v>
      </c>
      <c r="G30" s="79">
        <f t="shared" si="5"/>
        <v>0</v>
      </c>
      <c r="H30" s="79">
        <f t="shared" si="6"/>
        <v>321229</v>
      </c>
      <c r="I30" s="611">
        <f t="shared" si="7"/>
        <v>-321229</v>
      </c>
      <c r="J30" s="610">
        <v>0.0</v>
      </c>
      <c r="K30" s="591"/>
      <c r="L30" s="6"/>
      <c r="M30" s="6"/>
      <c r="N30" s="6"/>
      <c r="O30" s="6"/>
      <c r="P30" s="6"/>
      <c r="Q30" s="6"/>
      <c r="R30" s="6"/>
      <c r="S30" s="6"/>
    </row>
    <row r="31" ht="11.25" customHeight="1">
      <c r="A31" s="54"/>
      <c r="B31" s="39">
        <f t="shared" si="2"/>
        <v>26</v>
      </c>
      <c r="C31" s="40">
        <v>10923.0</v>
      </c>
      <c r="D31" s="79">
        <f t="shared" si="3"/>
        <v>0</v>
      </c>
      <c r="E31" s="79">
        <f t="shared" si="1"/>
        <v>10923</v>
      </c>
      <c r="F31" s="79">
        <f t="shared" si="4"/>
        <v>332152</v>
      </c>
      <c r="G31" s="79">
        <f t="shared" si="5"/>
        <v>0</v>
      </c>
      <c r="H31" s="79">
        <f t="shared" si="6"/>
        <v>332152</v>
      </c>
      <c r="I31" s="611">
        <f t="shared" si="7"/>
        <v>-332152</v>
      </c>
      <c r="J31" s="610">
        <v>0.0</v>
      </c>
      <c r="K31" s="591"/>
      <c r="L31" s="6"/>
      <c r="M31" s="6"/>
      <c r="N31" s="6"/>
      <c r="O31" s="6"/>
      <c r="P31" s="6"/>
      <c r="Q31" s="6"/>
      <c r="R31" s="6"/>
      <c r="S31" s="6"/>
    </row>
    <row r="32" ht="11.25" customHeight="1">
      <c r="A32" s="54">
        <v>44562.0</v>
      </c>
      <c r="B32" s="63">
        <f t="shared" si="2"/>
        <v>27</v>
      </c>
      <c r="C32" s="40">
        <v>10923.0</v>
      </c>
      <c r="D32" s="79">
        <f t="shared" si="3"/>
        <v>0</v>
      </c>
      <c r="E32" s="79">
        <f t="shared" si="1"/>
        <v>10923</v>
      </c>
      <c r="F32" s="79">
        <f t="shared" si="4"/>
        <v>343075</v>
      </c>
      <c r="G32" s="79">
        <f t="shared" si="5"/>
        <v>0</v>
      </c>
      <c r="H32" s="79">
        <f t="shared" si="6"/>
        <v>343075</v>
      </c>
      <c r="I32" s="611">
        <f t="shared" si="7"/>
        <v>-343075</v>
      </c>
      <c r="J32" s="610">
        <v>0.0</v>
      </c>
      <c r="K32" s="591"/>
      <c r="L32" s="6"/>
      <c r="M32" s="6"/>
      <c r="N32" s="6"/>
      <c r="O32" s="6"/>
      <c r="P32" s="6"/>
      <c r="Q32" s="6"/>
      <c r="R32" s="6"/>
      <c r="S32" s="6"/>
    </row>
    <row r="33" ht="11.25" customHeight="1">
      <c r="A33" s="38"/>
      <c r="B33" s="39">
        <f t="shared" si="2"/>
        <v>28</v>
      </c>
      <c r="C33" s="40">
        <v>10923.0</v>
      </c>
      <c r="D33" s="79">
        <f t="shared" si="3"/>
        <v>0</v>
      </c>
      <c r="E33" s="79">
        <f t="shared" si="1"/>
        <v>10923</v>
      </c>
      <c r="F33" s="79">
        <f t="shared" si="4"/>
        <v>353998</v>
      </c>
      <c r="G33" s="79">
        <f t="shared" si="5"/>
        <v>0</v>
      </c>
      <c r="H33" s="79">
        <f t="shared" si="6"/>
        <v>353998</v>
      </c>
      <c r="I33" s="611">
        <f t="shared" si="7"/>
        <v>-353998</v>
      </c>
      <c r="J33" s="610">
        <v>0.0</v>
      </c>
      <c r="K33" s="591"/>
      <c r="L33" s="6"/>
      <c r="M33" s="6"/>
      <c r="N33" s="6"/>
      <c r="O33" s="6"/>
      <c r="P33" s="6"/>
      <c r="Q33" s="6"/>
      <c r="R33" s="6"/>
      <c r="S33" s="6"/>
    </row>
    <row r="34" ht="11.25" customHeight="1">
      <c r="A34" s="38"/>
      <c r="B34" s="39">
        <f t="shared" si="2"/>
        <v>29</v>
      </c>
      <c r="C34" s="40">
        <v>10923.0</v>
      </c>
      <c r="D34" s="79">
        <f t="shared" si="3"/>
        <v>0</v>
      </c>
      <c r="E34" s="79">
        <f t="shared" si="1"/>
        <v>10923</v>
      </c>
      <c r="F34" s="79">
        <f t="shared" si="4"/>
        <v>364921</v>
      </c>
      <c r="G34" s="79">
        <f t="shared" si="5"/>
        <v>0</v>
      </c>
      <c r="H34" s="79">
        <f t="shared" si="6"/>
        <v>364921</v>
      </c>
      <c r="I34" s="611">
        <f t="shared" si="7"/>
        <v>-364921</v>
      </c>
      <c r="J34" s="610">
        <v>0.0</v>
      </c>
      <c r="K34" s="591"/>
      <c r="L34" s="6"/>
      <c r="M34" s="6"/>
      <c r="N34" s="6"/>
      <c r="O34" s="6"/>
      <c r="P34" s="6"/>
      <c r="Q34" s="6"/>
      <c r="R34" s="6"/>
      <c r="S34" s="6"/>
    </row>
    <row r="35" ht="11.25" customHeight="1">
      <c r="A35" s="38"/>
      <c r="B35" s="39">
        <f t="shared" si="2"/>
        <v>30</v>
      </c>
      <c r="C35" s="40">
        <v>10923.0</v>
      </c>
      <c r="D35" s="79">
        <f t="shared" si="3"/>
        <v>0</v>
      </c>
      <c r="E35" s="79">
        <f t="shared" si="1"/>
        <v>10923</v>
      </c>
      <c r="F35" s="79">
        <f t="shared" si="4"/>
        <v>375844</v>
      </c>
      <c r="G35" s="79">
        <f t="shared" si="5"/>
        <v>0</v>
      </c>
      <c r="H35" s="79">
        <f t="shared" si="6"/>
        <v>375844</v>
      </c>
      <c r="I35" s="611">
        <f t="shared" si="7"/>
        <v>-375844</v>
      </c>
      <c r="J35" s="610">
        <v>0.0</v>
      </c>
      <c r="K35" s="591"/>
      <c r="L35" s="6"/>
      <c r="M35" s="6"/>
      <c r="N35" s="6"/>
      <c r="O35" s="6"/>
      <c r="P35" s="6"/>
      <c r="Q35" s="6"/>
      <c r="R35" s="6"/>
      <c r="S35" s="6"/>
    </row>
    <row r="36" ht="11.25" customHeight="1">
      <c r="A36" s="38"/>
      <c r="B36" s="39">
        <f t="shared" si="2"/>
        <v>31</v>
      </c>
      <c r="C36" s="40">
        <v>10923.0</v>
      </c>
      <c r="D36" s="79">
        <f t="shared" si="3"/>
        <v>0</v>
      </c>
      <c r="E36" s="79">
        <f t="shared" si="1"/>
        <v>10923</v>
      </c>
      <c r="F36" s="79">
        <f t="shared" si="4"/>
        <v>386767</v>
      </c>
      <c r="G36" s="79">
        <f t="shared" si="5"/>
        <v>0</v>
      </c>
      <c r="H36" s="79">
        <f t="shared" si="6"/>
        <v>386767</v>
      </c>
      <c r="I36" s="611">
        <f t="shared" si="7"/>
        <v>-386767</v>
      </c>
      <c r="J36" s="610">
        <v>0.0</v>
      </c>
      <c r="K36" s="591"/>
      <c r="L36" s="6"/>
      <c r="M36" s="6"/>
      <c r="N36" s="6"/>
      <c r="O36" s="6"/>
      <c r="P36" s="6"/>
      <c r="Q36" s="6"/>
      <c r="R36" s="6"/>
      <c r="S36" s="6"/>
    </row>
    <row r="37" ht="11.25" customHeight="1">
      <c r="A37" s="38"/>
      <c r="B37" s="39">
        <f t="shared" si="2"/>
        <v>32</v>
      </c>
      <c r="C37" s="40">
        <v>10923.0</v>
      </c>
      <c r="D37" s="79">
        <f t="shared" si="3"/>
        <v>0</v>
      </c>
      <c r="E37" s="79">
        <f t="shared" si="1"/>
        <v>10923</v>
      </c>
      <c r="F37" s="79">
        <f t="shared" si="4"/>
        <v>397690</v>
      </c>
      <c r="G37" s="79">
        <f t="shared" si="5"/>
        <v>0</v>
      </c>
      <c r="H37" s="79">
        <f t="shared" si="6"/>
        <v>397690</v>
      </c>
      <c r="I37" s="611">
        <f t="shared" si="7"/>
        <v>-397690</v>
      </c>
      <c r="J37" s="610">
        <v>0.0</v>
      </c>
      <c r="K37" s="591"/>
      <c r="L37" s="6"/>
      <c r="M37" s="6"/>
      <c r="N37" s="6"/>
      <c r="O37" s="6"/>
      <c r="P37" s="6"/>
      <c r="Q37" s="6"/>
      <c r="R37" s="6"/>
      <c r="S37" s="6"/>
    </row>
    <row r="38" ht="11.25" customHeight="1">
      <c r="A38" s="38"/>
      <c r="B38" s="39">
        <f t="shared" si="2"/>
        <v>33</v>
      </c>
      <c r="C38" s="40">
        <v>10923.0</v>
      </c>
      <c r="D38" s="79">
        <f t="shared" si="3"/>
        <v>0</v>
      </c>
      <c r="E38" s="79">
        <f t="shared" si="1"/>
        <v>10923</v>
      </c>
      <c r="F38" s="79">
        <f t="shared" si="4"/>
        <v>408613</v>
      </c>
      <c r="G38" s="79">
        <f t="shared" si="5"/>
        <v>0</v>
      </c>
      <c r="H38" s="79">
        <f t="shared" si="6"/>
        <v>408613</v>
      </c>
      <c r="I38" s="611">
        <f t="shared" si="7"/>
        <v>-408613</v>
      </c>
      <c r="J38" s="610">
        <v>0.0</v>
      </c>
      <c r="K38" s="591"/>
      <c r="L38" s="6"/>
      <c r="M38" s="6"/>
      <c r="N38" s="6"/>
      <c r="O38" s="6"/>
      <c r="P38" s="6"/>
      <c r="Q38" s="6"/>
      <c r="R38" s="6"/>
      <c r="S38" s="6"/>
    </row>
    <row r="39" ht="11.25" customHeight="1">
      <c r="A39" s="38"/>
      <c r="B39" s="39">
        <f t="shared" si="2"/>
        <v>34</v>
      </c>
      <c r="C39" s="40">
        <v>10923.0</v>
      </c>
      <c r="D39" s="79">
        <f t="shared" si="3"/>
        <v>0</v>
      </c>
      <c r="E39" s="79">
        <f t="shared" si="1"/>
        <v>10923</v>
      </c>
      <c r="F39" s="79">
        <f t="shared" si="4"/>
        <v>419536</v>
      </c>
      <c r="G39" s="79">
        <f t="shared" si="5"/>
        <v>0</v>
      </c>
      <c r="H39" s="79">
        <f t="shared" si="6"/>
        <v>419536</v>
      </c>
      <c r="I39" s="611">
        <f t="shared" si="7"/>
        <v>-419536</v>
      </c>
      <c r="J39" s="610">
        <v>0.0</v>
      </c>
      <c r="K39" s="591"/>
      <c r="L39" s="6"/>
      <c r="M39" s="6"/>
      <c r="N39" s="6"/>
      <c r="O39" s="6"/>
      <c r="P39" s="6"/>
      <c r="Q39" s="6"/>
      <c r="R39" s="6"/>
      <c r="S39" s="6"/>
    </row>
    <row r="40" ht="11.25" customHeight="1">
      <c r="A40" s="64"/>
      <c r="B40" s="39">
        <f t="shared" si="2"/>
        <v>35</v>
      </c>
      <c r="C40" s="40">
        <v>10923.0</v>
      </c>
      <c r="D40" s="79">
        <f t="shared" si="3"/>
        <v>0</v>
      </c>
      <c r="E40" s="79">
        <f t="shared" si="1"/>
        <v>10923</v>
      </c>
      <c r="F40" s="79">
        <f t="shared" si="4"/>
        <v>430459</v>
      </c>
      <c r="G40" s="79">
        <f t="shared" si="5"/>
        <v>0</v>
      </c>
      <c r="H40" s="79">
        <f t="shared" si="6"/>
        <v>430459</v>
      </c>
      <c r="I40" s="611">
        <f t="shared" si="7"/>
        <v>-430459</v>
      </c>
      <c r="J40" s="610">
        <v>0.0</v>
      </c>
      <c r="K40" s="591"/>
      <c r="L40" s="6"/>
      <c r="M40" s="6"/>
      <c r="N40" s="6"/>
      <c r="O40" s="6"/>
      <c r="P40" s="6"/>
      <c r="Q40" s="6"/>
      <c r="R40" s="6"/>
      <c r="S40" s="6"/>
    </row>
    <row r="41" ht="11.25" customHeight="1">
      <c r="A41" s="57"/>
      <c r="B41" s="48">
        <f t="shared" si="2"/>
        <v>36</v>
      </c>
      <c r="C41" s="40">
        <v>40000.0</v>
      </c>
      <c r="D41" s="90">
        <f t="shared" si="3"/>
        <v>0</v>
      </c>
      <c r="E41" s="90">
        <f t="shared" si="1"/>
        <v>40000</v>
      </c>
      <c r="F41" s="90">
        <f t="shared" si="4"/>
        <v>470459</v>
      </c>
      <c r="G41" s="90">
        <f t="shared" si="5"/>
        <v>0</v>
      </c>
      <c r="H41" s="90">
        <f t="shared" si="6"/>
        <v>470459</v>
      </c>
      <c r="I41" s="613">
        <f t="shared" si="7"/>
        <v>-470459</v>
      </c>
      <c r="J41" s="610">
        <v>0.0</v>
      </c>
      <c r="K41" s="591"/>
      <c r="L41" s="6"/>
      <c r="M41" s="6"/>
      <c r="N41" s="6"/>
      <c r="O41" s="6"/>
      <c r="P41" s="6"/>
      <c r="Q41" s="6"/>
      <c r="R41" s="6"/>
      <c r="S41" s="6"/>
    </row>
    <row r="42" ht="11.25" customHeight="1">
      <c r="A42" s="655">
        <v>4.0</v>
      </c>
      <c r="B42" s="39">
        <f t="shared" si="2"/>
        <v>37</v>
      </c>
      <c r="C42" s="40">
        <v>40000.0</v>
      </c>
      <c r="D42" s="79">
        <f t="shared" si="3"/>
        <v>0</v>
      </c>
      <c r="E42" s="79">
        <f t="shared" si="1"/>
        <v>40000</v>
      </c>
      <c r="F42" s="79">
        <f t="shared" si="4"/>
        <v>510459</v>
      </c>
      <c r="G42" s="79">
        <f t="shared" si="5"/>
        <v>0</v>
      </c>
      <c r="H42" s="79">
        <f t="shared" si="6"/>
        <v>510459</v>
      </c>
      <c r="I42" s="611">
        <f t="shared" si="7"/>
        <v>-510459</v>
      </c>
      <c r="J42" s="610">
        <v>0.0</v>
      </c>
      <c r="K42" s="591"/>
      <c r="L42" s="6"/>
      <c r="M42" s="6"/>
      <c r="N42" s="6"/>
      <c r="O42" s="6"/>
      <c r="P42" s="6"/>
      <c r="Q42" s="6"/>
      <c r="R42" s="6"/>
      <c r="S42" s="6"/>
    </row>
    <row r="43" ht="11.25" customHeight="1">
      <c r="A43" s="54">
        <v>44896.0</v>
      </c>
      <c r="B43" s="39">
        <f t="shared" si="2"/>
        <v>38</v>
      </c>
      <c r="C43" s="40">
        <v>40000.0</v>
      </c>
      <c r="D43" s="79">
        <f t="shared" si="3"/>
        <v>0</v>
      </c>
      <c r="E43" s="79">
        <f t="shared" si="1"/>
        <v>40000</v>
      </c>
      <c r="F43" s="79">
        <f t="shared" si="4"/>
        <v>550459</v>
      </c>
      <c r="G43" s="79">
        <f t="shared" si="5"/>
        <v>0</v>
      </c>
      <c r="H43" s="79">
        <f t="shared" si="6"/>
        <v>550459</v>
      </c>
      <c r="I43" s="611">
        <f t="shared" si="7"/>
        <v>-550459</v>
      </c>
      <c r="J43" s="610">
        <v>0.0</v>
      </c>
      <c r="K43" s="591"/>
      <c r="L43" s="6"/>
      <c r="M43" s="6"/>
      <c r="N43" s="6"/>
      <c r="O43" s="6"/>
      <c r="P43" s="6"/>
      <c r="Q43" s="6"/>
      <c r="R43" s="6"/>
      <c r="S43" s="6"/>
    </row>
    <row r="44" ht="11.25" customHeight="1">
      <c r="B44" s="63">
        <f t="shared" si="2"/>
        <v>39</v>
      </c>
      <c r="C44" s="607"/>
      <c r="D44" s="79">
        <f t="shared" si="3"/>
        <v>0</v>
      </c>
      <c r="E44" s="79">
        <f t="shared" si="1"/>
        <v>0</v>
      </c>
      <c r="F44" s="79">
        <f t="shared" si="4"/>
        <v>550459</v>
      </c>
      <c r="G44" s="79">
        <f t="shared" si="5"/>
        <v>0</v>
      </c>
      <c r="H44" s="79">
        <f t="shared" si="6"/>
        <v>550459</v>
      </c>
      <c r="I44" s="611">
        <f t="shared" si="7"/>
        <v>-550459</v>
      </c>
      <c r="J44" s="610">
        <v>0.0</v>
      </c>
      <c r="K44" s="591"/>
      <c r="L44" s="6"/>
      <c r="M44" s="6"/>
      <c r="N44" s="6"/>
      <c r="O44" s="6"/>
      <c r="P44" s="6"/>
      <c r="Q44" s="6"/>
      <c r="R44" s="6"/>
      <c r="S44" s="6"/>
    </row>
    <row r="45" ht="11.25" customHeight="1">
      <c r="A45" s="38"/>
      <c r="B45" s="39">
        <f t="shared" si="2"/>
        <v>40</v>
      </c>
      <c r="C45" s="607"/>
      <c r="D45" s="79">
        <f t="shared" si="3"/>
        <v>0</v>
      </c>
      <c r="E45" s="79">
        <f t="shared" si="1"/>
        <v>0</v>
      </c>
      <c r="F45" s="79">
        <f t="shared" si="4"/>
        <v>550459</v>
      </c>
      <c r="G45" s="79">
        <f t="shared" si="5"/>
        <v>0</v>
      </c>
      <c r="H45" s="79">
        <f t="shared" si="6"/>
        <v>550459</v>
      </c>
      <c r="I45" s="611">
        <f t="shared" si="7"/>
        <v>-550459</v>
      </c>
      <c r="J45" s="610">
        <v>0.0</v>
      </c>
      <c r="K45" s="591"/>
      <c r="L45" s="6"/>
      <c r="M45" s="6"/>
      <c r="N45" s="6"/>
      <c r="O45" s="6"/>
      <c r="P45" s="6"/>
      <c r="Q45" s="6"/>
      <c r="R45" s="6"/>
      <c r="S45" s="6"/>
    </row>
    <row r="46" ht="11.25" customHeight="1">
      <c r="A46" s="56"/>
      <c r="B46" s="39">
        <f t="shared" si="2"/>
        <v>41</v>
      </c>
      <c r="C46" s="607"/>
      <c r="D46" s="79">
        <f t="shared" si="3"/>
        <v>0</v>
      </c>
      <c r="E46" s="79">
        <f t="shared" si="1"/>
        <v>0</v>
      </c>
      <c r="F46" s="79">
        <f t="shared" si="4"/>
        <v>550459</v>
      </c>
      <c r="G46" s="79">
        <f t="shared" si="5"/>
        <v>0</v>
      </c>
      <c r="H46" s="79">
        <f t="shared" si="6"/>
        <v>550459</v>
      </c>
      <c r="I46" s="611">
        <f t="shared" si="7"/>
        <v>-550459</v>
      </c>
      <c r="J46" s="610">
        <v>0.0</v>
      </c>
      <c r="K46" s="591"/>
      <c r="L46" s="6"/>
      <c r="M46" s="6"/>
      <c r="N46" s="6"/>
      <c r="O46" s="6"/>
      <c r="P46" s="6"/>
      <c r="Q46" s="6"/>
      <c r="R46" s="6"/>
      <c r="S46" s="6"/>
    </row>
    <row r="47" ht="11.25" customHeight="1">
      <c r="A47" s="38"/>
      <c r="B47" s="39">
        <f t="shared" si="2"/>
        <v>42</v>
      </c>
      <c r="C47" s="607"/>
      <c r="D47" s="79">
        <f t="shared" si="3"/>
        <v>0</v>
      </c>
      <c r="E47" s="79">
        <f t="shared" si="1"/>
        <v>0</v>
      </c>
      <c r="F47" s="79">
        <f t="shared" si="4"/>
        <v>550459</v>
      </c>
      <c r="G47" s="79">
        <f t="shared" si="5"/>
        <v>0</v>
      </c>
      <c r="H47" s="79">
        <f t="shared" si="6"/>
        <v>550459</v>
      </c>
      <c r="I47" s="611">
        <f t="shared" si="7"/>
        <v>-550459</v>
      </c>
      <c r="J47" s="610">
        <v>0.0</v>
      </c>
      <c r="K47" s="591"/>
      <c r="L47" s="6"/>
      <c r="M47" s="6"/>
      <c r="N47" s="6"/>
      <c r="O47" s="6"/>
      <c r="P47" s="6"/>
      <c r="Q47" s="6"/>
      <c r="R47" s="6"/>
      <c r="S47" s="6"/>
    </row>
    <row r="48" ht="11.25" customHeight="1">
      <c r="A48" s="38"/>
      <c r="B48" s="39">
        <f t="shared" si="2"/>
        <v>43</v>
      </c>
      <c r="C48" s="607"/>
      <c r="D48" s="79">
        <f t="shared" si="3"/>
        <v>0</v>
      </c>
      <c r="E48" s="79">
        <f t="shared" si="1"/>
        <v>0</v>
      </c>
      <c r="F48" s="79">
        <f t="shared" si="4"/>
        <v>550459</v>
      </c>
      <c r="G48" s="79">
        <f t="shared" si="5"/>
        <v>0</v>
      </c>
      <c r="H48" s="79">
        <f t="shared" si="6"/>
        <v>550459</v>
      </c>
      <c r="I48" s="611">
        <f t="shared" si="7"/>
        <v>-550459</v>
      </c>
      <c r="J48" s="610">
        <v>0.0</v>
      </c>
      <c r="K48" s="591"/>
      <c r="L48" s="6"/>
      <c r="M48" s="6"/>
      <c r="N48" s="6"/>
      <c r="O48" s="6"/>
      <c r="P48" s="6"/>
      <c r="Q48" s="6"/>
      <c r="R48" s="6"/>
      <c r="S48" s="6"/>
    </row>
    <row r="49" ht="11.25" customHeight="1">
      <c r="A49" s="38"/>
      <c r="B49" s="39">
        <f t="shared" si="2"/>
        <v>44</v>
      </c>
      <c r="C49" s="607"/>
      <c r="D49" s="79">
        <f t="shared" si="3"/>
        <v>0</v>
      </c>
      <c r="E49" s="79">
        <f t="shared" si="1"/>
        <v>0</v>
      </c>
      <c r="F49" s="79">
        <f t="shared" si="4"/>
        <v>550459</v>
      </c>
      <c r="G49" s="79">
        <f t="shared" si="5"/>
        <v>0</v>
      </c>
      <c r="H49" s="79">
        <f t="shared" si="6"/>
        <v>550459</v>
      </c>
      <c r="I49" s="611">
        <f t="shared" si="7"/>
        <v>-550459</v>
      </c>
      <c r="J49" s="610">
        <v>0.0</v>
      </c>
      <c r="K49" s="591"/>
      <c r="L49" s="6"/>
      <c r="M49" s="6"/>
      <c r="N49" s="6"/>
      <c r="O49" s="6"/>
      <c r="P49" s="6"/>
      <c r="Q49" s="6"/>
      <c r="R49" s="6"/>
      <c r="S49" s="6"/>
    </row>
    <row r="50" ht="11.25" customHeight="1">
      <c r="A50" s="56"/>
      <c r="B50" s="39">
        <f t="shared" si="2"/>
        <v>45</v>
      </c>
      <c r="C50" s="607"/>
      <c r="D50" s="79">
        <f t="shared" si="3"/>
        <v>0</v>
      </c>
      <c r="E50" s="79">
        <f t="shared" si="1"/>
        <v>0</v>
      </c>
      <c r="F50" s="79">
        <f t="shared" si="4"/>
        <v>550459</v>
      </c>
      <c r="G50" s="79">
        <f t="shared" si="5"/>
        <v>0</v>
      </c>
      <c r="H50" s="79">
        <f t="shared" si="6"/>
        <v>550459</v>
      </c>
      <c r="I50" s="611">
        <f t="shared" si="7"/>
        <v>-550459</v>
      </c>
      <c r="J50" s="610">
        <v>0.0</v>
      </c>
      <c r="K50" s="591"/>
      <c r="L50" s="6"/>
      <c r="M50" s="6"/>
      <c r="N50" s="6"/>
      <c r="O50" s="6"/>
      <c r="P50" s="6"/>
      <c r="Q50" s="6"/>
      <c r="R50" s="6"/>
      <c r="S50" s="6"/>
    </row>
    <row r="51" ht="11.25" customHeight="1">
      <c r="A51" s="38"/>
      <c r="B51" s="39">
        <f t="shared" si="2"/>
        <v>46</v>
      </c>
      <c r="C51" s="607"/>
      <c r="D51" s="79">
        <f t="shared" si="3"/>
        <v>0</v>
      </c>
      <c r="E51" s="79">
        <f t="shared" si="1"/>
        <v>0</v>
      </c>
      <c r="F51" s="79">
        <f t="shared" si="4"/>
        <v>550459</v>
      </c>
      <c r="G51" s="79">
        <f t="shared" si="5"/>
        <v>0</v>
      </c>
      <c r="H51" s="79">
        <f t="shared" si="6"/>
        <v>550459</v>
      </c>
      <c r="I51" s="614">
        <f t="shared" si="7"/>
        <v>-550459</v>
      </c>
      <c r="J51" s="610">
        <v>0.0</v>
      </c>
      <c r="K51" s="591"/>
      <c r="L51" s="6"/>
      <c r="M51" s="6"/>
      <c r="N51" s="6"/>
      <c r="O51" s="6"/>
      <c r="P51" s="6"/>
      <c r="Q51" s="6"/>
      <c r="R51" s="6"/>
      <c r="S51" s="6"/>
    </row>
    <row r="52" ht="11.25" customHeight="1">
      <c r="A52" s="38"/>
      <c r="B52" s="39">
        <f t="shared" si="2"/>
        <v>47</v>
      </c>
      <c r="C52" s="607"/>
      <c r="D52" s="79">
        <f t="shared" si="3"/>
        <v>0</v>
      </c>
      <c r="E52" s="79">
        <f t="shared" si="1"/>
        <v>0</v>
      </c>
      <c r="F52" s="79">
        <f t="shared" si="4"/>
        <v>550459</v>
      </c>
      <c r="G52" s="79">
        <f t="shared" si="5"/>
        <v>0</v>
      </c>
      <c r="H52" s="615">
        <f t="shared" si="6"/>
        <v>550459</v>
      </c>
      <c r="I52" s="614">
        <f t="shared" si="7"/>
        <v>-550459</v>
      </c>
      <c r="J52" s="610">
        <v>0.0</v>
      </c>
      <c r="K52" s="591"/>
      <c r="L52" s="6"/>
      <c r="M52" s="6"/>
      <c r="N52" s="6"/>
      <c r="O52" s="6"/>
      <c r="P52" s="6"/>
      <c r="Q52" s="6"/>
      <c r="R52" s="6"/>
      <c r="S52" s="6"/>
    </row>
    <row r="53" ht="11.25" customHeight="1">
      <c r="A53" s="57"/>
      <c r="B53" s="48">
        <f t="shared" si="2"/>
        <v>48</v>
      </c>
      <c r="C53" s="607"/>
      <c r="D53" s="90">
        <f t="shared" si="3"/>
        <v>0</v>
      </c>
      <c r="E53" s="90">
        <f t="shared" si="1"/>
        <v>0</v>
      </c>
      <c r="F53" s="90">
        <f t="shared" si="4"/>
        <v>550459</v>
      </c>
      <c r="G53" s="90">
        <f t="shared" si="5"/>
        <v>0</v>
      </c>
      <c r="H53" s="616">
        <f t="shared" si="6"/>
        <v>550459</v>
      </c>
      <c r="I53" s="614">
        <f t="shared" si="7"/>
        <v>-550459</v>
      </c>
      <c r="J53" s="610">
        <v>0.0</v>
      </c>
      <c r="K53" s="591"/>
      <c r="L53" s="6"/>
      <c r="M53" s="6"/>
      <c r="N53" s="6"/>
      <c r="O53" s="6"/>
      <c r="P53" s="6"/>
      <c r="Q53" s="6"/>
      <c r="R53" s="6"/>
      <c r="S53" s="6"/>
    </row>
    <row r="54" ht="11.25" customHeight="1">
      <c r="A54" s="100">
        <v>5.0</v>
      </c>
      <c r="B54" s="66">
        <f t="shared" ref="B54:B365" si="8">B53+1</f>
        <v>49</v>
      </c>
      <c r="C54" s="607"/>
      <c r="D54" s="617">
        <f t="shared" ref="D54:D365" si="9">(I53*J54%)/12</f>
        <v>0</v>
      </c>
      <c r="E54" s="617">
        <f t="shared" si="1"/>
        <v>0</v>
      </c>
      <c r="F54" s="617">
        <f t="shared" si="4"/>
        <v>550459</v>
      </c>
      <c r="G54" s="617">
        <f t="shared" si="5"/>
        <v>0</v>
      </c>
      <c r="H54" s="617">
        <f t="shared" si="6"/>
        <v>550459</v>
      </c>
      <c r="I54" s="617">
        <f t="shared" si="7"/>
        <v>-550459</v>
      </c>
      <c r="J54" s="610">
        <v>0.0</v>
      </c>
      <c r="K54" s="591"/>
      <c r="L54" s="6"/>
      <c r="M54" s="6"/>
      <c r="N54" s="6"/>
      <c r="O54" s="6"/>
      <c r="P54" s="6"/>
      <c r="Q54" s="6"/>
      <c r="R54" s="6"/>
      <c r="S54" s="6"/>
    </row>
    <row r="55" ht="11.25" customHeight="1">
      <c r="A55" s="618"/>
      <c r="B55" s="68">
        <f t="shared" si="8"/>
        <v>50</v>
      </c>
      <c r="C55" s="607"/>
      <c r="D55" s="6">
        <f t="shared" si="9"/>
        <v>0</v>
      </c>
      <c r="E55" s="6">
        <f t="shared" si="1"/>
        <v>0</v>
      </c>
      <c r="F55" s="6">
        <f t="shared" si="4"/>
        <v>550459</v>
      </c>
      <c r="G55" s="6">
        <f t="shared" si="5"/>
        <v>0</v>
      </c>
      <c r="H55" s="6">
        <f t="shared" si="6"/>
        <v>550459</v>
      </c>
      <c r="I55" s="6">
        <f t="shared" si="7"/>
        <v>-550459</v>
      </c>
      <c r="J55" s="610">
        <v>0.0</v>
      </c>
      <c r="K55" s="591"/>
      <c r="L55" s="6"/>
      <c r="M55" s="6"/>
      <c r="N55" s="6"/>
      <c r="O55" s="6"/>
      <c r="P55" s="6"/>
      <c r="Q55" s="6"/>
      <c r="R55" s="6"/>
      <c r="S55" s="6"/>
    </row>
    <row r="56" ht="11.25" customHeight="1">
      <c r="A56" s="7"/>
      <c r="B56" s="68">
        <f t="shared" si="8"/>
        <v>51</v>
      </c>
      <c r="C56" s="607"/>
      <c r="D56" s="6">
        <f t="shared" si="9"/>
        <v>0</v>
      </c>
      <c r="E56" s="6">
        <f t="shared" si="1"/>
        <v>0</v>
      </c>
      <c r="F56" s="6">
        <f t="shared" si="4"/>
        <v>550459</v>
      </c>
      <c r="G56" s="6">
        <f t="shared" si="5"/>
        <v>0</v>
      </c>
      <c r="H56" s="6">
        <f t="shared" si="6"/>
        <v>550459</v>
      </c>
      <c r="I56" s="6">
        <f t="shared" si="7"/>
        <v>-550459</v>
      </c>
      <c r="J56" s="610">
        <v>0.0</v>
      </c>
      <c r="K56" s="591"/>
      <c r="L56" s="6"/>
      <c r="M56" s="6"/>
      <c r="N56" s="6"/>
      <c r="O56" s="6"/>
      <c r="P56" s="6"/>
      <c r="Q56" s="6"/>
      <c r="R56" s="6"/>
      <c r="S56" s="6"/>
    </row>
    <row r="57" ht="11.25" customHeight="1">
      <c r="A57" s="7"/>
      <c r="B57" s="68">
        <f t="shared" si="8"/>
        <v>52</v>
      </c>
      <c r="C57" s="607"/>
      <c r="D57" s="6">
        <f t="shared" si="9"/>
        <v>0</v>
      </c>
      <c r="E57" s="6">
        <f t="shared" si="1"/>
        <v>0</v>
      </c>
      <c r="F57" s="6">
        <f t="shared" si="4"/>
        <v>550459</v>
      </c>
      <c r="G57" s="6">
        <f t="shared" si="5"/>
        <v>0</v>
      </c>
      <c r="H57" s="6">
        <f t="shared" si="6"/>
        <v>550459</v>
      </c>
      <c r="I57" s="6">
        <f t="shared" si="7"/>
        <v>-550459</v>
      </c>
      <c r="J57" s="610">
        <v>0.0</v>
      </c>
      <c r="K57" s="591"/>
      <c r="L57" s="6"/>
      <c r="M57" s="6"/>
      <c r="N57" s="6"/>
      <c r="O57" s="6"/>
      <c r="P57" s="6"/>
      <c r="Q57" s="6"/>
      <c r="R57" s="6"/>
      <c r="S57" s="6"/>
    </row>
    <row r="58" ht="11.25" customHeight="1">
      <c r="A58" s="7"/>
      <c r="B58" s="68">
        <f t="shared" si="8"/>
        <v>53</v>
      </c>
      <c r="C58" s="607"/>
      <c r="D58" s="6">
        <f t="shared" si="9"/>
        <v>0</v>
      </c>
      <c r="E58" s="6">
        <f t="shared" si="1"/>
        <v>0</v>
      </c>
      <c r="F58" s="6">
        <f t="shared" si="4"/>
        <v>550459</v>
      </c>
      <c r="G58" s="6">
        <f t="shared" si="5"/>
        <v>0</v>
      </c>
      <c r="H58" s="6">
        <f t="shared" si="6"/>
        <v>550459</v>
      </c>
      <c r="I58" s="6">
        <f t="shared" si="7"/>
        <v>-550459</v>
      </c>
      <c r="J58" s="610">
        <v>0.0</v>
      </c>
      <c r="K58" s="591"/>
      <c r="L58" s="6"/>
      <c r="M58" s="6"/>
      <c r="N58" s="6"/>
      <c r="O58" s="6"/>
      <c r="P58" s="6"/>
      <c r="Q58" s="6"/>
      <c r="R58" s="6"/>
      <c r="S58" s="6"/>
    </row>
    <row r="59" ht="11.25" customHeight="1">
      <c r="A59" s="7"/>
      <c r="B59" s="68">
        <f t="shared" si="8"/>
        <v>54</v>
      </c>
      <c r="C59" s="607"/>
      <c r="D59" s="6">
        <f t="shared" si="9"/>
        <v>0</v>
      </c>
      <c r="E59" s="6">
        <f t="shared" si="1"/>
        <v>0</v>
      </c>
      <c r="F59" s="6">
        <f t="shared" si="4"/>
        <v>550459</v>
      </c>
      <c r="G59" s="6">
        <f t="shared" si="5"/>
        <v>0</v>
      </c>
      <c r="H59" s="6">
        <f t="shared" si="6"/>
        <v>550459</v>
      </c>
      <c r="I59" s="6">
        <f t="shared" si="7"/>
        <v>-550459</v>
      </c>
      <c r="J59" s="610">
        <v>0.0</v>
      </c>
      <c r="K59" s="591"/>
      <c r="L59" s="6"/>
      <c r="M59" s="6"/>
      <c r="N59" s="6"/>
      <c r="O59" s="6"/>
      <c r="P59" s="6"/>
      <c r="Q59" s="6"/>
      <c r="R59" s="6"/>
      <c r="S59" s="6"/>
    </row>
    <row r="60" ht="11.25" customHeight="1">
      <c r="A60" s="7"/>
      <c r="B60" s="68">
        <f t="shared" si="8"/>
        <v>55</v>
      </c>
      <c r="C60" s="607"/>
      <c r="D60" s="6">
        <f t="shared" si="9"/>
        <v>0</v>
      </c>
      <c r="E60" s="6">
        <f t="shared" si="1"/>
        <v>0</v>
      </c>
      <c r="F60" s="6">
        <f t="shared" si="4"/>
        <v>550459</v>
      </c>
      <c r="G60" s="6">
        <f t="shared" si="5"/>
        <v>0</v>
      </c>
      <c r="H60" s="6">
        <f t="shared" si="6"/>
        <v>550459</v>
      </c>
      <c r="I60" s="6">
        <f t="shared" si="7"/>
        <v>-550459</v>
      </c>
      <c r="J60" s="610">
        <v>0.0</v>
      </c>
      <c r="K60" s="591"/>
      <c r="L60" s="6"/>
      <c r="M60" s="6"/>
      <c r="N60" s="6"/>
      <c r="O60" s="6"/>
      <c r="P60" s="6"/>
      <c r="Q60" s="6"/>
      <c r="R60" s="6"/>
      <c r="S60" s="6"/>
    </row>
    <row r="61" ht="11.25" customHeight="1">
      <c r="A61" s="7"/>
      <c r="B61" s="68">
        <f t="shared" si="8"/>
        <v>56</v>
      </c>
      <c r="C61" s="607"/>
      <c r="D61" s="6">
        <f t="shared" si="9"/>
        <v>0</v>
      </c>
      <c r="E61" s="6">
        <f t="shared" si="1"/>
        <v>0</v>
      </c>
      <c r="F61" s="6">
        <f t="shared" si="4"/>
        <v>550459</v>
      </c>
      <c r="G61" s="6">
        <f t="shared" si="5"/>
        <v>0</v>
      </c>
      <c r="H61" s="6">
        <f t="shared" si="6"/>
        <v>550459</v>
      </c>
      <c r="I61" s="6">
        <f t="shared" si="7"/>
        <v>-550459</v>
      </c>
      <c r="J61" s="610">
        <v>0.0</v>
      </c>
      <c r="K61" s="591"/>
      <c r="L61" s="6"/>
      <c r="M61" s="6"/>
      <c r="N61" s="6"/>
      <c r="O61" s="6"/>
      <c r="P61" s="6"/>
      <c r="Q61" s="6"/>
      <c r="R61" s="6"/>
      <c r="S61" s="6"/>
    </row>
    <row r="62" ht="11.25" customHeight="1">
      <c r="A62" s="7"/>
      <c r="B62" s="68">
        <f t="shared" si="8"/>
        <v>57</v>
      </c>
      <c r="C62" s="607"/>
      <c r="D62" s="6">
        <f t="shared" si="9"/>
        <v>0</v>
      </c>
      <c r="E62" s="6">
        <f t="shared" si="1"/>
        <v>0</v>
      </c>
      <c r="F62" s="6">
        <f t="shared" si="4"/>
        <v>550459</v>
      </c>
      <c r="G62" s="6">
        <f t="shared" si="5"/>
        <v>0</v>
      </c>
      <c r="H62" s="6">
        <f t="shared" si="6"/>
        <v>550459</v>
      </c>
      <c r="I62" s="6">
        <f t="shared" si="7"/>
        <v>-550459</v>
      </c>
      <c r="J62" s="610">
        <v>0.0</v>
      </c>
      <c r="K62" s="591"/>
      <c r="L62" s="6"/>
      <c r="M62" s="6"/>
      <c r="N62" s="6"/>
      <c r="O62" s="6"/>
      <c r="P62" s="6"/>
      <c r="Q62" s="6"/>
      <c r="R62" s="6"/>
      <c r="S62" s="6"/>
    </row>
    <row r="63" ht="11.25" customHeight="1">
      <c r="A63" s="7"/>
      <c r="B63" s="68">
        <f t="shared" si="8"/>
        <v>58</v>
      </c>
      <c r="C63" s="607"/>
      <c r="D63" s="6">
        <f t="shared" si="9"/>
        <v>0</v>
      </c>
      <c r="E63" s="6">
        <f t="shared" si="1"/>
        <v>0</v>
      </c>
      <c r="F63" s="6">
        <f t="shared" si="4"/>
        <v>550459</v>
      </c>
      <c r="G63" s="6">
        <f t="shared" si="5"/>
        <v>0</v>
      </c>
      <c r="H63" s="6">
        <f t="shared" si="6"/>
        <v>550459</v>
      </c>
      <c r="I63" s="6">
        <f t="shared" si="7"/>
        <v>-550459</v>
      </c>
      <c r="J63" s="610">
        <v>0.0</v>
      </c>
      <c r="K63" s="591"/>
      <c r="L63" s="6"/>
      <c r="M63" s="6"/>
      <c r="N63" s="6"/>
      <c r="O63" s="6"/>
      <c r="P63" s="6"/>
      <c r="Q63" s="6"/>
      <c r="R63" s="6"/>
      <c r="S63" s="6"/>
    </row>
    <row r="64" ht="11.25" customHeight="1">
      <c r="A64" s="7"/>
      <c r="B64" s="68">
        <f t="shared" si="8"/>
        <v>59</v>
      </c>
      <c r="C64" s="607"/>
      <c r="D64" s="6">
        <f t="shared" si="9"/>
        <v>0</v>
      </c>
      <c r="E64" s="6">
        <f t="shared" si="1"/>
        <v>0</v>
      </c>
      <c r="F64" s="6">
        <f t="shared" si="4"/>
        <v>550459</v>
      </c>
      <c r="G64" s="6">
        <f t="shared" si="5"/>
        <v>0</v>
      </c>
      <c r="H64" s="6">
        <f t="shared" si="6"/>
        <v>550459</v>
      </c>
      <c r="I64" s="6">
        <f t="shared" si="7"/>
        <v>-550459</v>
      </c>
      <c r="J64" s="610">
        <v>0.0</v>
      </c>
      <c r="K64" s="591"/>
      <c r="L64" s="6"/>
      <c r="M64" s="6"/>
      <c r="N64" s="6"/>
      <c r="O64" s="6"/>
      <c r="P64" s="6"/>
      <c r="Q64" s="6"/>
      <c r="R64" s="6"/>
      <c r="S64" s="6"/>
    </row>
    <row r="65" ht="11.25" customHeight="1">
      <c r="A65" s="71"/>
      <c r="B65" s="72">
        <f t="shared" si="8"/>
        <v>60</v>
      </c>
      <c r="C65" s="607"/>
      <c r="D65" s="10">
        <f t="shared" si="9"/>
        <v>0</v>
      </c>
      <c r="E65" s="10">
        <f t="shared" si="1"/>
        <v>0</v>
      </c>
      <c r="F65" s="10">
        <f t="shared" si="4"/>
        <v>550459</v>
      </c>
      <c r="G65" s="10">
        <f t="shared" si="5"/>
        <v>0</v>
      </c>
      <c r="H65" s="10">
        <f t="shared" si="6"/>
        <v>550459</v>
      </c>
      <c r="I65" s="10">
        <f t="shared" si="7"/>
        <v>-550459</v>
      </c>
      <c r="J65" s="610">
        <v>0.0</v>
      </c>
      <c r="K65" s="591"/>
      <c r="L65" s="6"/>
      <c r="M65" s="6"/>
      <c r="N65" s="6"/>
      <c r="O65" s="6"/>
      <c r="P65" s="6"/>
      <c r="Q65" s="6"/>
      <c r="R65" s="6"/>
      <c r="S65" s="6"/>
    </row>
    <row r="66" ht="11.25" customHeight="1">
      <c r="A66" s="619">
        <v>6.0</v>
      </c>
      <c r="B66" s="66">
        <f t="shared" si="8"/>
        <v>61</v>
      </c>
      <c r="C66" s="607"/>
      <c r="D66" s="617">
        <f t="shared" si="9"/>
        <v>0</v>
      </c>
      <c r="E66" s="617">
        <f t="shared" si="1"/>
        <v>0</v>
      </c>
      <c r="F66" s="617">
        <f t="shared" si="4"/>
        <v>550459</v>
      </c>
      <c r="G66" s="617">
        <f t="shared" si="5"/>
        <v>0</v>
      </c>
      <c r="H66" s="617">
        <f t="shared" si="6"/>
        <v>550459</v>
      </c>
      <c r="I66" s="617">
        <f t="shared" si="7"/>
        <v>-550459</v>
      </c>
      <c r="J66" s="610">
        <v>0.0</v>
      </c>
      <c r="K66" s="591"/>
      <c r="L66" s="6"/>
      <c r="M66" s="6"/>
      <c r="N66" s="6"/>
      <c r="O66" s="6"/>
      <c r="P66" s="6"/>
      <c r="Q66" s="6"/>
      <c r="R66" s="6"/>
      <c r="S66" s="6"/>
    </row>
    <row r="67" ht="11.25" customHeight="1">
      <c r="A67" s="54"/>
      <c r="B67" s="68">
        <f t="shared" si="8"/>
        <v>62</v>
      </c>
      <c r="C67" s="607"/>
      <c r="D67" s="6">
        <f t="shared" si="9"/>
        <v>0</v>
      </c>
      <c r="E67" s="6">
        <f t="shared" si="1"/>
        <v>0</v>
      </c>
      <c r="F67" s="6">
        <f t="shared" si="4"/>
        <v>550459</v>
      </c>
      <c r="G67" s="6">
        <f t="shared" si="5"/>
        <v>0</v>
      </c>
      <c r="H67" s="6">
        <f t="shared" si="6"/>
        <v>550459</v>
      </c>
      <c r="I67" s="6">
        <f t="shared" si="7"/>
        <v>-550459</v>
      </c>
      <c r="J67" s="610">
        <v>0.0</v>
      </c>
      <c r="K67" s="591"/>
      <c r="L67" s="6"/>
      <c r="M67" s="6"/>
      <c r="N67" s="6"/>
      <c r="O67" s="6"/>
      <c r="P67" s="6"/>
      <c r="Q67" s="6"/>
      <c r="R67" s="6"/>
      <c r="S67" s="6"/>
    </row>
    <row r="68" ht="11.25" customHeight="1">
      <c r="A68" s="7"/>
      <c r="B68" s="68">
        <f t="shared" si="8"/>
        <v>63</v>
      </c>
      <c r="C68" s="607"/>
      <c r="D68" s="6">
        <f t="shared" si="9"/>
        <v>0</v>
      </c>
      <c r="E68" s="6">
        <f t="shared" si="1"/>
        <v>0</v>
      </c>
      <c r="F68" s="6">
        <f t="shared" si="4"/>
        <v>550459</v>
      </c>
      <c r="G68" s="6">
        <f t="shared" si="5"/>
        <v>0</v>
      </c>
      <c r="H68" s="6">
        <f t="shared" si="6"/>
        <v>550459</v>
      </c>
      <c r="I68" s="6">
        <f t="shared" si="7"/>
        <v>-550459</v>
      </c>
      <c r="J68" s="610">
        <v>0.0</v>
      </c>
      <c r="K68" s="591"/>
      <c r="L68" s="6"/>
      <c r="M68" s="6"/>
      <c r="N68" s="6"/>
      <c r="O68" s="6"/>
      <c r="P68" s="6"/>
      <c r="Q68" s="6"/>
      <c r="R68" s="6"/>
      <c r="S68" s="6"/>
    </row>
    <row r="69" ht="11.25" customHeight="1">
      <c r="A69" s="7"/>
      <c r="B69" s="68">
        <f t="shared" si="8"/>
        <v>64</v>
      </c>
      <c r="C69" s="607"/>
      <c r="D69" s="6">
        <f t="shared" si="9"/>
        <v>0</v>
      </c>
      <c r="E69" s="6">
        <f t="shared" si="1"/>
        <v>0</v>
      </c>
      <c r="F69" s="6">
        <f t="shared" si="4"/>
        <v>550459</v>
      </c>
      <c r="G69" s="6">
        <f t="shared" si="5"/>
        <v>0</v>
      </c>
      <c r="H69" s="6">
        <f t="shared" si="6"/>
        <v>550459</v>
      </c>
      <c r="I69" s="6">
        <f t="shared" si="7"/>
        <v>-550459</v>
      </c>
      <c r="J69" s="610">
        <v>0.0</v>
      </c>
      <c r="K69" s="591"/>
      <c r="L69" s="6"/>
      <c r="M69" s="6"/>
      <c r="N69" s="6"/>
      <c r="O69" s="6"/>
      <c r="P69" s="6"/>
      <c r="Q69" s="6"/>
      <c r="R69" s="6"/>
      <c r="S69" s="6"/>
    </row>
    <row r="70" ht="11.25" customHeight="1">
      <c r="A70" s="7"/>
      <c r="B70" s="68">
        <f t="shared" si="8"/>
        <v>65</v>
      </c>
      <c r="C70" s="607"/>
      <c r="D70" s="6">
        <f t="shared" si="9"/>
        <v>0</v>
      </c>
      <c r="E70" s="6">
        <f t="shared" si="1"/>
        <v>0</v>
      </c>
      <c r="F70" s="6">
        <f t="shared" si="4"/>
        <v>550459</v>
      </c>
      <c r="G70" s="6">
        <f t="shared" si="5"/>
        <v>0</v>
      </c>
      <c r="H70" s="6">
        <f t="shared" si="6"/>
        <v>550459</v>
      </c>
      <c r="I70" s="6">
        <f t="shared" si="7"/>
        <v>-550459</v>
      </c>
      <c r="J70" s="610">
        <v>0.0</v>
      </c>
      <c r="K70" s="591"/>
      <c r="L70" s="6"/>
      <c r="M70" s="6"/>
      <c r="N70" s="6"/>
      <c r="O70" s="6"/>
      <c r="P70" s="6"/>
      <c r="Q70" s="6"/>
      <c r="R70" s="6"/>
      <c r="S70" s="6"/>
    </row>
    <row r="71" ht="11.25" customHeight="1">
      <c r="A71" s="7"/>
      <c r="B71" s="68">
        <f t="shared" si="8"/>
        <v>66</v>
      </c>
      <c r="C71" s="607"/>
      <c r="D71" s="6">
        <f t="shared" si="9"/>
        <v>0</v>
      </c>
      <c r="E71" s="6">
        <f t="shared" si="1"/>
        <v>0</v>
      </c>
      <c r="F71" s="6">
        <f t="shared" si="4"/>
        <v>550459</v>
      </c>
      <c r="G71" s="6">
        <f t="shared" si="5"/>
        <v>0</v>
      </c>
      <c r="H71" s="6">
        <f t="shared" si="6"/>
        <v>550459</v>
      </c>
      <c r="I71" s="6">
        <f t="shared" si="7"/>
        <v>-550459</v>
      </c>
      <c r="J71" s="610">
        <v>0.0</v>
      </c>
      <c r="K71" s="591"/>
      <c r="L71" s="6"/>
      <c r="M71" s="6"/>
      <c r="N71" s="6"/>
      <c r="O71" s="6"/>
      <c r="P71" s="6"/>
      <c r="Q71" s="6"/>
      <c r="R71" s="6"/>
      <c r="S71" s="6"/>
    </row>
    <row r="72" ht="11.25" customHeight="1">
      <c r="A72" s="7"/>
      <c r="B72" s="68">
        <f t="shared" si="8"/>
        <v>67</v>
      </c>
      <c r="C72" s="607"/>
      <c r="D72" s="6">
        <f t="shared" si="9"/>
        <v>0</v>
      </c>
      <c r="E72" s="6">
        <f t="shared" si="1"/>
        <v>0</v>
      </c>
      <c r="F72" s="6">
        <f t="shared" si="4"/>
        <v>550459</v>
      </c>
      <c r="G72" s="6">
        <f t="shared" si="5"/>
        <v>0</v>
      </c>
      <c r="H72" s="6">
        <f t="shared" si="6"/>
        <v>550459</v>
      </c>
      <c r="I72" s="6">
        <f t="shared" si="7"/>
        <v>-550459</v>
      </c>
      <c r="J72" s="610">
        <v>0.0</v>
      </c>
      <c r="K72" s="591"/>
      <c r="L72" s="6"/>
      <c r="M72" s="6"/>
      <c r="N72" s="6"/>
      <c r="O72" s="6"/>
      <c r="P72" s="6"/>
      <c r="Q72" s="6"/>
      <c r="R72" s="6"/>
      <c r="S72" s="6"/>
    </row>
    <row r="73" ht="11.25" customHeight="1">
      <c r="A73" s="7"/>
      <c r="B73" s="68">
        <f t="shared" si="8"/>
        <v>68</v>
      </c>
      <c r="C73" s="607"/>
      <c r="D73" s="6">
        <f t="shared" si="9"/>
        <v>0</v>
      </c>
      <c r="E73" s="6">
        <f t="shared" si="1"/>
        <v>0</v>
      </c>
      <c r="F73" s="6">
        <f t="shared" si="4"/>
        <v>550459</v>
      </c>
      <c r="G73" s="6">
        <f t="shared" si="5"/>
        <v>0</v>
      </c>
      <c r="H73" s="6">
        <f t="shared" si="6"/>
        <v>550459</v>
      </c>
      <c r="I73" s="6">
        <f t="shared" si="7"/>
        <v>-550459</v>
      </c>
      <c r="J73" s="610">
        <v>0.0</v>
      </c>
      <c r="K73" s="591"/>
      <c r="L73" s="6"/>
      <c r="M73" s="6"/>
      <c r="N73" s="6"/>
      <c r="O73" s="6"/>
      <c r="P73" s="6"/>
      <c r="Q73" s="6"/>
      <c r="R73" s="6"/>
      <c r="S73" s="6"/>
    </row>
    <row r="74" ht="11.25" customHeight="1">
      <c r="A74" s="7"/>
      <c r="B74" s="68">
        <f t="shared" si="8"/>
        <v>69</v>
      </c>
      <c r="C74" s="607"/>
      <c r="D74" s="6">
        <f t="shared" si="9"/>
        <v>0</v>
      </c>
      <c r="E74" s="6">
        <f t="shared" si="1"/>
        <v>0</v>
      </c>
      <c r="F74" s="6">
        <f t="shared" si="4"/>
        <v>550459</v>
      </c>
      <c r="G74" s="6">
        <f t="shared" si="5"/>
        <v>0</v>
      </c>
      <c r="H74" s="6">
        <f t="shared" si="6"/>
        <v>550459</v>
      </c>
      <c r="I74" s="6">
        <f t="shared" si="7"/>
        <v>-550459</v>
      </c>
      <c r="J74" s="610">
        <v>0.0</v>
      </c>
      <c r="K74" s="591"/>
      <c r="L74" s="6"/>
      <c r="M74" s="6"/>
      <c r="N74" s="6"/>
      <c r="O74" s="6"/>
      <c r="P74" s="6"/>
      <c r="Q74" s="6"/>
      <c r="R74" s="6"/>
      <c r="S74" s="6"/>
    </row>
    <row r="75" ht="11.25" customHeight="1">
      <c r="A75" s="7"/>
      <c r="B75" s="68">
        <f t="shared" si="8"/>
        <v>70</v>
      </c>
      <c r="C75" s="607"/>
      <c r="D75" s="6">
        <f t="shared" si="9"/>
        <v>0</v>
      </c>
      <c r="E75" s="6">
        <f t="shared" si="1"/>
        <v>0</v>
      </c>
      <c r="F75" s="6">
        <f t="shared" si="4"/>
        <v>550459</v>
      </c>
      <c r="G75" s="6">
        <f t="shared" si="5"/>
        <v>0</v>
      </c>
      <c r="H75" s="6">
        <f t="shared" si="6"/>
        <v>550459</v>
      </c>
      <c r="I75" s="6">
        <f t="shared" si="7"/>
        <v>-550459</v>
      </c>
      <c r="J75" s="610">
        <v>0.0</v>
      </c>
      <c r="K75" s="591"/>
      <c r="L75" s="6"/>
      <c r="M75" s="6"/>
      <c r="N75" s="6"/>
      <c r="O75" s="6"/>
      <c r="P75" s="6"/>
      <c r="Q75" s="6"/>
      <c r="R75" s="6"/>
      <c r="S75" s="6"/>
    </row>
    <row r="76" ht="11.25" customHeight="1">
      <c r="A76" s="7"/>
      <c r="B76" s="68">
        <f t="shared" si="8"/>
        <v>71</v>
      </c>
      <c r="C76" s="607"/>
      <c r="D76" s="6">
        <f t="shared" si="9"/>
        <v>0</v>
      </c>
      <c r="E76" s="6">
        <f t="shared" si="1"/>
        <v>0</v>
      </c>
      <c r="F76" s="6">
        <f t="shared" si="4"/>
        <v>550459</v>
      </c>
      <c r="G76" s="6">
        <f t="shared" si="5"/>
        <v>0</v>
      </c>
      <c r="H76" s="6">
        <f t="shared" si="6"/>
        <v>550459</v>
      </c>
      <c r="I76" s="6">
        <f t="shared" si="7"/>
        <v>-550459</v>
      </c>
      <c r="J76" s="610">
        <v>0.0</v>
      </c>
      <c r="K76" s="591"/>
      <c r="L76" s="6"/>
      <c r="M76" s="6"/>
      <c r="N76" s="6"/>
      <c r="O76" s="6"/>
      <c r="P76" s="6"/>
      <c r="Q76" s="6"/>
      <c r="R76" s="6"/>
      <c r="S76" s="6"/>
    </row>
    <row r="77" ht="11.25" customHeight="1">
      <c r="A77" s="71"/>
      <c r="B77" s="72">
        <f t="shared" si="8"/>
        <v>72</v>
      </c>
      <c r="C77" s="607"/>
      <c r="D77" s="10">
        <f t="shared" si="9"/>
        <v>0</v>
      </c>
      <c r="E77" s="10">
        <f t="shared" si="1"/>
        <v>0</v>
      </c>
      <c r="F77" s="10">
        <f t="shared" si="4"/>
        <v>550459</v>
      </c>
      <c r="G77" s="10">
        <f t="shared" si="5"/>
        <v>0</v>
      </c>
      <c r="H77" s="10">
        <f t="shared" si="6"/>
        <v>550459</v>
      </c>
      <c r="I77" s="10">
        <f t="shared" si="7"/>
        <v>-550459</v>
      </c>
      <c r="J77" s="610">
        <v>0.0</v>
      </c>
      <c r="K77" s="591"/>
      <c r="L77" s="6"/>
      <c r="M77" s="6"/>
      <c r="N77" s="6"/>
      <c r="O77" s="6"/>
      <c r="P77" s="6"/>
      <c r="Q77" s="6"/>
      <c r="R77" s="6"/>
      <c r="S77" s="6"/>
    </row>
    <row r="78" ht="11.25" customHeight="1">
      <c r="A78" s="619">
        <v>7.0</v>
      </c>
      <c r="B78" s="66">
        <f t="shared" si="8"/>
        <v>73</v>
      </c>
      <c r="C78" s="607"/>
      <c r="D78" s="617">
        <f t="shared" si="9"/>
        <v>0</v>
      </c>
      <c r="E78" s="617">
        <f t="shared" si="1"/>
        <v>0</v>
      </c>
      <c r="F78" s="617">
        <f t="shared" si="4"/>
        <v>550459</v>
      </c>
      <c r="G78" s="617">
        <f t="shared" si="5"/>
        <v>0</v>
      </c>
      <c r="H78" s="617">
        <f t="shared" si="6"/>
        <v>550459</v>
      </c>
      <c r="I78" s="617">
        <f t="shared" si="7"/>
        <v>-550459</v>
      </c>
      <c r="J78" s="610">
        <v>0.0</v>
      </c>
      <c r="K78" s="591"/>
      <c r="L78" s="6"/>
      <c r="M78" s="6"/>
      <c r="N78" s="6"/>
      <c r="O78" s="6"/>
      <c r="P78" s="6"/>
      <c r="Q78" s="6"/>
      <c r="R78" s="6"/>
      <c r="S78" s="6"/>
    </row>
    <row r="79" ht="11.25" customHeight="1">
      <c r="A79" s="54"/>
      <c r="B79" s="68">
        <f t="shared" si="8"/>
        <v>74</v>
      </c>
      <c r="C79" s="607"/>
      <c r="D79" s="6">
        <f t="shared" si="9"/>
        <v>0</v>
      </c>
      <c r="E79" s="6">
        <f t="shared" si="1"/>
        <v>0</v>
      </c>
      <c r="F79" s="6">
        <f t="shared" si="4"/>
        <v>550459</v>
      </c>
      <c r="G79" s="6">
        <f t="shared" si="5"/>
        <v>0</v>
      </c>
      <c r="H79" s="6">
        <f t="shared" si="6"/>
        <v>550459</v>
      </c>
      <c r="I79" s="6">
        <f t="shared" si="7"/>
        <v>-550459</v>
      </c>
      <c r="J79" s="610">
        <v>0.0</v>
      </c>
      <c r="K79" s="591"/>
      <c r="L79" s="6"/>
      <c r="M79" s="6"/>
      <c r="N79" s="6"/>
      <c r="O79" s="6"/>
      <c r="P79" s="6"/>
      <c r="Q79" s="6"/>
      <c r="R79" s="6"/>
      <c r="S79" s="6"/>
    </row>
    <row r="80" ht="11.25" customHeight="1">
      <c r="A80" s="7"/>
      <c r="B80" s="68">
        <f t="shared" si="8"/>
        <v>75</v>
      </c>
      <c r="C80" s="607"/>
      <c r="D80" s="6">
        <f t="shared" si="9"/>
        <v>0</v>
      </c>
      <c r="E80" s="6">
        <f t="shared" si="1"/>
        <v>0</v>
      </c>
      <c r="F80" s="6">
        <f t="shared" si="4"/>
        <v>550459</v>
      </c>
      <c r="G80" s="6">
        <f t="shared" si="5"/>
        <v>0</v>
      </c>
      <c r="H80" s="6">
        <f t="shared" si="6"/>
        <v>550459</v>
      </c>
      <c r="I80" s="6">
        <f t="shared" si="7"/>
        <v>-550459</v>
      </c>
      <c r="J80" s="610">
        <v>0.0</v>
      </c>
      <c r="K80" s="591"/>
      <c r="L80" s="6"/>
      <c r="M80" s="6"/>
      <c r="N80" s="6"/>
      <c r="O80" s="6"/>
      <c r="P80" s="6"/>
      <c r="Q80" s="6"/>
      <c r="R80" s="6"/>
      <c r="S80" s="6"/>
    </row>
    <row r="81" ht="11.25" customHeight="1">
      <c r="A81" s="7"/>
      <c r="B81" s="68">
        <f t="shared" si="8"/>
        <v>76</v>
      </c>
      <c r="C81" s="607"/>
      <c r="D81" s="6">
        <f t="shared" si="9"/>
        <v>0</v>
      </c>
      <c r="E81" s="6">
        <f t="shared" si="1"/>
        <v>0</v>
      </c>
      <c r="F81" s="6">
        <f t="shared" si="4"/>
        <v>550459</v>
      </c>
      <c r="G81" s="6">
        <f t="shared" si="5"/>
        <v>0</v>
      </c>
      <c r="H81" s="6">
        <f t="shared" si="6"/>
        <v>550459</v>
      </c>
      <c r="I81" s="6">
        <f t="shared" si="7"/>
        <v>-550459</v>
      </c>
      <c r="J81" s="610">
        <v>0.0</v>
      </c>
      <c r="K81" s="591"/>
      <c r="L81" s="6"/>
      <c r="M81" s="6"/>
      <c r="N81" s="6"/>
      <c r="O81" s="6"/>
      <c r="P81" s="6"/>
      <c r="Q81" s="6"/>
      <c r="R81" s="6"/>
      <c r="S81" s="6"/>
    </row>
    <row r="82" ht="11.25" customHeight="1">
      <c r="A82" s="7"/>
      <c r="B82" s="68">
        <f t="shared" si="8"/>
        <v>77</v>
      </c>
      <c r="C82" s="607"/>
      <c r="D82" s="6">
        <f t="shared" si="9"/>
        <v>0</v>
      </c>
      <c r="E82" s="6">
        <f t="shared" si="1"/>
        <v>0</v>
      </c>
      <c r="F82" s="6">
        <f t="shared" si="4"/>
        <v>550459</v>
      </c>
      <c r="G82" s="6">
        <f t="shared" si="5"/>
        <v>0</v>
      </c>
      <c r="H82" s="6">
        <f t="shared" si="6"/>
        <v>550459</v>
      </c>
      <c r="I82" s="6">
        <f t="shared" si="7"/>
        <v>-550459</v>
      </c>
      <c r="J82" s="610">
        <v>0.0</v>
      </c>
      <c r="K82" s="591"/>
      <c r="L82" s="6"/>
      <c r="M82" s="6"/>
      <c r="N82" s="6"/>
      <c r="O82" s="6"/>
      <c r="P82" s="6"/>
      <c r="Q82" s="6"/>
      <c r="R82" s="6"/>
      <c r="S82" s="6"/>
    </row>
    <row r="83" ht="11.25" customHeight="1">
      <c r="A83" s="7"/>
      <c r="B83" s="68">
        <f t="shared" si="8"/>
        <v>78</v>
      </c>
      <c r="C83" s="607"/>
      <c r="D83" s="6">
        <f t="shared" si="9"/>
        <v>0</v>
      </c>
      <c r="E83" s="6">
        <f t="shared" si="1"/>
        <v>0</v>
      </c>
      <c r="F83" s="6">
        <f t="shared" si="4"/>
        <v>550459</v>
      </c>
      <c r="G83" s="6">
        <f t="shared" si="5"/>
        <v>0</v>
      </c>
      <c r="H83" s="6">
        <f t="shared" si="6"/>
        <v>550459</v>
      </c>
      <c r="I83" s="6">
        <f t="shared" si="7"/>
        <v>-550459</v>
      </c>
      <c r="J83" s="610">
        <v>0.0</v>
      </c>
      <c r="K83" s="591"/>
      <c r="L83" s="6"/>
      <c r="M83" s="6"/>
      <c r="N83" s="6"/>
      <c r="O83" s="6"/>
      <c r="P83" s="6"/>
      <c r="Q83" s="6"/>
      <c r="R83" s="6"/>
      <c r="S83" s="6"/>
    </row>
    <row r="84" ht="11.25" customHeight="1">
      <c r="A84" s="7"/>
      <c r="B84" s="68">
        <f t="shared" si="8"/>
        <v>79</v>
      </c>
      <c r="C84" s="607"/>
      <c r="D84" s="6">
        <f t="shared" si="9"/>
        <v>0</v>
      </c>
      <c r="E84" s="6">
        <f t="shared" si="1"/>
        <v>0</v>
      </c>
      <c r="F84" s="6">
        <f t="shared" si="4"/>
        <v>550459</v>
      </c>
      <c r="G84" s="6">
        <f t="shared" si="5"/>
        <v>0</v>
      </c>
      <c r="H84" s="6">
        <f t="shared" si="6"/>
        <v>550459</v>
      </c>
      <c r="I84" s="6">
        <f t="shared" si="7"/>
        <v>-550459</v>
      </c>
      <c r="J84" s="610">
        <v>0.0</v>
      </c>
      <c r="K84" s="591"/>
      <c r="L84" s="6"/>
      <c r="M84" s="6"/>
      <c r="N84" s="6"/>
      <c r="O84" s="6"/>
      <c r="P84" s="6"/>
      <c r="Q84" s="6"/>
      <c r="R84" s="6"/>
      <c r="S84" s="6"/>
    </row>
    <row r="85" ht="11.25" customHeight="1">
      <c r="A85" s="7"/>
      <c r="B85" s="68">
        <f t="shared" si="8"/>
        <v>80</v>
      </c>
      <c r="C85" s="607"/>
      <c r="D85" s="6">
        <f t="shared" si="9"/>
        <v>0</v>
      </c>
      <c r="E85" s="6">
        <f t="shared" si="1"/>
        <v>0</v>
      </c>
      <c r="F85" s="6">
        <f t="shared" si="4"/>
        <v>550459</v>
      </c>
      <c r="G85" s="6">
        <f t="shared" si="5"/>
        <v>0</v>
      </c>
      <c r="H85" s="6">
        <f t="shared" si="6"/>
        <v>550459</v>
      </c>
      <c r="I85" s="6">
        <f t="shared" si="7"/>
        <v>-550459</v>
      </c>
      <c r="J85" s="610">
        <v>0.0</v>
      </c>
      <c r="K85" s="591"/>
      <c r="L85" s="6"/>
      <c r="M85" s="6"/>
      <c r="N85" s="6"/>
      <c r="O85" s="6"/>
      <c r="P85" s="6"/>
      <c r="Q85" s="6"/>
      <c r="R85" s="6"/>
      <c r="S85" s="6"/>
    </row>
    <row r="86" ht="11.25" customHeight="1">
      <c r="A86" s="7"/>
      <c r="B86" s="68">
        <f t="shared" si="8"/>
        <v>81</v>
      </c>
      <c r="C86" s="607"/>
      <c r="D86" s="6">
        <f t="shared" si="9"/>
        <v>0</v>
      </c>
      <c r="E86" s="6">
        <f t="shared" si="1"/>
        <v>0</v>
      </c>
      <c r="F86" s="6">
        <f t="shared" si="4"/>
        <v>550459</v>
      </c>
      <c r="G86" s="6">
        <f t="shared" si="5"/>
        <v>0</v>
      </c>
      <c r="H86" s="6">
        <f t="shared" si="6"/>
        <v>550459</v>
      </c>
      <c r="I86" s="6">
        <f t="shared" si="7"/>
        <v>-550459</v>
      </c>
      <c r="J86" s="610">
        <v>0.0</v>
      </c>
      <c r="K86" s="591"/>
      <c r="L86" s="6"/>
      <c r="M86" s="6"/>
      <c r="N86" s="6"/>
      <c r="O86" s="6"/>
      <c r="P86" s="6"/>
      <c r="Q86" s="6"/>
      <c r="R86" s="6"/>
      <c r="S86" s="6"/>
    </row>
    <row r="87" ht="11.25" customHeight="1">
      <c r="A87" s="87"/>
      <c r="B87" s="68">
        <f t="shared" si="8"/>
        <v>82</v>
      </c>
      <c r="C87" s="607"/>
      <c r="D87" s="6">
        <f t="shared" si="9"/>
        <v>0</v>
      </c>
      <c r="E87" s="6">
        <f t="shared" si="1"/>
        <v>0</v>
      </c>
      <c r="F87" s="6">
        <f t="shared" si="4"/>
        <v>550459</v>
      </c>
      <c r="G87" s="6">
        <f t="shared" si="5"/>
        <v>0</v>
      </c>
      <c r="H87" s="6">
        <f t="shared" si="6"/>
        <v>550459</v>
      </c>
      <c r="I87" s="6">
        <f t="shared" si="7"/>
        <v>-550459</v>
      </c>
      <c r="J87" s="610">
        <v>0.0</v>
      </c>
      <c r="K87" s="591"/>
      <c r="L87" s="6"/>
      <c r="M87" s="6"/>
      <c r="N87" s="6"/>
      <c r="O87" s="6"/>
      <c r="P87" s="6"/>
      <c r="Q87" s="6"/>
      <c r="R87" s="6"/>
      <c r="S87" s="6"/>
    </row>
    <row r="88" ht="11.25" customHeight="1">
      <c r="A88" s="7"/>
      <c r="B88" s="68">
        <f t="shared" si="8"/>
        <v>83</v>
      </c>
      <c r="C88" s="607"/>
      <c r="D88" s="6">
        <f t="shared" si="9"/>
        <v>0</v>
      </c>
      <c r="E88" s="6">
        <f t="shared" si="1"/>
        <v>0</v>
      </c>
      <c r="F88" s="6">
        <f t="shared" si="4"/>
        <v>550459</v>
      </c>
      <c r="G88" s="6">
        <f t="shared" si="5"/>
        <v>0</v>
      </c>
      <c r="H88" s="6">
        <f t="shared" si="6"/>
        <v>550459</v>
      </c>
      <c r="I88" s="6">
        <f t="shared" si="7"/>
        <v>-550459</v>
      </c>
      <c r="J88" s="610">
        <v>0.0</v>
      </c>
      <c r="K88" s="591"/>
      <c r="L88" s="6"/>
      <c r="M88" s="6"/>
      <c r="N88" s="6"/>
      <c r="O88" s="6"/>
      <c r="P88" s="6"/>
      <c r="Q88" s="6"/>
      <c r="R88" s="6"/>
      <c r="S88" s="6"/>
    </row>
    <row r="89" ht="11.25" customHeight="1">
      <c r="A89" s="71"/>
      <c r="B89" s="72">
        <f t="shared" si="8"/>
        <v>84</v>
      </c>
      <c r="C89" s="607"/>
      <c r="D89" s="10">
        <f t="shared" si="9"/>
        <v>0</v>
      </c>
      <c r="E89" s="10">
        <f t="shared" si="1"/>
        <v>0</v>
      </c>
      <c r="F89" s="10">
        <f t="shared" si="4"/>
        <v>550459</v>
      </c>
      <c r="G89" s="10">
        <f t="shared" si="5"/>
        <v>0</v>
      </c>
      <c r="H89" s="10">
        <f t="shared" si="6"/>
        <v>550459</v>
      </c>
      <c r="I89" s="10">
        <f t="shared" si="7"/>
        <v>-550459</v>
      </c>
      <c r="J89" s="610">
        <v>0.0</v>
      </c>
      <c r="K89" s="591"/>
      <c r="L89" s="6"/>
      <c r="M89" s="6"/>
      <c r="N89" s="6"/>
      <c r="O89" s="6"/>
      <c r="P89" s="6"/>
      <c r="Q89" s="6"/>
      <c r="R89" s="6"/>
      <c r="S89" s="6"/>
    </row>
    <row r="90" ht="11.25" customHeight="1">
      <c r="A90" s="100">
        <v>8.0</v>
      </c>
      <c r="B90" s="66">
        <f t="shared" si="8"/>
        <v>85</v>
      </c>
      <c r="C90" s="607"/>
      <c r="D90" s="617">
        <f t="shared" si="9"/>
        <v>0</v>
      </c>
      <c r="E90" s="617">
        <f t="shared" si="1"/>
        <v>0</v>
      </c>
      <c r="F90" s="617">
        <f t="shared" si="4"/>
        <v>550459</v>
      </c>
      <c r="G90" s="617">
        <f t="shared" si="5"/>
        <v>0</v>
      </c>
      <c r="H90" s="617">
        <f t="shared" si="6"/>
        <v>550459</v>
      </c>
      <c r="I90" s="617">
        <f t="shared" si="7"/>
        <v>-550459</v>
      </c>
      <c r="J90" s="610">
        <v>0.0</v>
      </c>
      <c r="K90" s="591"/>
      <c r="L90" s="6"/>
      <c r="M90" s="6"/>
      <c r="N90" s="6"/>
      <c r="O90" s="6"/>
      <c r="P90" s="6"/>
      <c r="Q90" s="6"/>
      <c r="R90" s="6"/>
      <c r="S90" s="6"/>
    </row>
    <row r="91" ht="11.25" customHeight="1">
      <c r="A91" s="54"/>
      <c r="B91" s="68">
        <f t="shared" si="8"/>
        <v>86</v>
      </c>
      <c r="C91" s="607"/>
      <c r="D91" s="6">
        <f t="shared" si="9"/>
        <v>0</v>
      </c>
      <c r="E91" s="6">
        <f t="shared" si="1"/>
        <v>0</v>
      </c>
      <c r="F91" s="6">
        <f t="shared" si="4"/>
        <v>550459</v>
      </c>
      <c r="G91" s="6">
        <f t="shared" si="5"/>
        <v>0</v>
      </c>
      <c r="H91" s="6">
        <f t="shared" si="6"/>
        <v>550459</v>
      </c>
      <c r="I91" s="6">
        <f t="shared" si="7"/>
        <v>-550459</v>
      </c>
      <c r="J91" s="610">
        <v>0.0</v>
      </c>
      <c r="K91" s="591"/>
      <c r="L91" s="6"/>
      <c r="M91" s="6"/>
      <c r="N91" s="6"/>
      <c r="O91" s="6"/>
      <c r="P91" s="6"/>
      <c r="Q91" s="6"/>
      <c r="R91" s="6"/>
      <c r="S91" s="6"/>
    </row>
    <row r="92" ht="11.25" customHeight="1">
      <c r="A92" s="7"/>
      <c r="B92" s="68">
        <f t="shared" si="8"/>
        <v>87</v>
      </c>
      <c r="C92" s="607"/>
      <c r="D92" s="6">
        <f t="shared" si="9"/>
        <v>0</v>
      </c>
      <c r="E92" s="6">
        <f t="shared" si="1"/>
        <v>0</v>
      </c>
      <c r="F92" s="6">
        <f t="shared" si="4"/>
        <v>550459</v>
      </c>
      <c r="G92" s="6">
        <f t="shared" si="5"/>
        <v>0</v>
      </c>
      <c r="H92" s="6">
        <f t="shared" si="6"/>
        <v>550459</v>
      </c>
      <c r="I92" s="6">
        <f t="shared" si="7"/>
        <v>-550459</v>
      </c>
      <c r="J92" s="610">
        <v>0.0</v>
      </c>
      <c r="K92" s="591"/>
      <c r="L92" s="6"/>
      <c r="M92" s="6"/>
      <c r="N92" s="6"/>
      <c r="O92" s="6"/>
      <c r="P92" s="6"/>
      <c r="Q92" s="6"/>
      <c r="R92" s="6"/>
      <c r="S92" s="6"/>
    </row>
    <row r="93" ht="11.25" customHeight="1">
      <c r="A93" s="7"/>
      <c r="B93" s="68">
        <f t="shared" si="8"/>
        <v>88</v>
      </c>
      <c r="C93" s="607"/>
      <c r="D93" s="6">
        <f t="shared" si="9"/>
        <v>0</v>
      </c>
      <c r="E93" s="6">
        <f t="shared" si="1"/>
        <v>0</v>
      </c>
      <c r="F93" s="6">
        <f t="shared" si="4"/>
        <v>550459</v>
      </c>
      <c r="G93" s="6">
        <f t="shared" si="5"/>
        <v>0</v>
      </c>
      <c r="H93" s="6">
        <f t="shared" si="6"/>
        <v>550459</v>
      </c>
      <c r="I93" s="6">
        <f t="shared" si="7"/>
        <v>-550459</v>
      </c>
      <c r="J93" s="610">
        <v>0.0</v>
      </c>
      <c r="K93" s="591"/>
      <c r="L93" s="6"/>
      <c r="M93" s="6"/>
      <c r="N93" s="6"/>
      <c r="O93" s="6"/>
      <c r="P93" s="6"/>
      <c r="Q93" s="6"/>
      <c r="R93" s="6"/>
      <c r="S93" s="6"/>
    </row>
    <row r="94" ht="11.25" customHeight="1">
      <c r="A94" s="7"/>
      <c r="B94" s="68">
        <f t="shared" si="8"/>
        <v>89</v>
      </c>
      <c r="C94" s="607"/>
      <c r="D94" s="6">
        <f t="shared" si="9"/>
        <v>0</v>
      </c>
      <c r="E94" s="6">
        <f t="shared" si="1"/>
        <v>0</v>
      </c>
      <c r="F94" s="6">
        <f t="shared" si="4"/>
        <v>550459</v>
      </c>
      <c r="G94" s="6">
        <f t="shared" si="5"/>
        <v>0</v>
      </c>
      <c r="H94" s="6">
        <f t="shared" si="6"/>
        <v>550459</v>
      </c>
      <c r="I94" s="6">
        <f t="shared" si="7"/>
        <v>-550459</v>
      </c>
      <c r="J94" s="610">
        <v>0.0</v>
      </c>
      <c r="K94" s="591"/>
      <c r="L94" s="6"/>
      <c r="M94" s="6"/>
      <c r="N94" s="6"/>
      <c r="O94" s="6"/>
      <c r="P94" s="6"/>
      <c r="Q94" s="6"/>
      <c r="R94" s="6"/>
      <c r="S94" s="6"/>
    </row>
    <row r="95" ht="11.25" customHeight="1">
      <c r="A95" s="7"/>
      <c r="B95" s="68">
        <f t="shared" si="8"/>
        <v>90</v>
      </c>
      <c r="C95" s="607"/>
      <c r="D95" s="6">
        <f t="shared" si="9"/>
        <v>0</v>
      </c>
      <c r="E95" s="6">
        <f t="shared" si="1"/>
        <v>0</v>
      </c>
      <c r="F95" s="6">
        <f t="shared" si="4"/>
        <v>550459</v>
      </c>
      <c r="G95" s="6">
        <f t="shared" si="5"/>
        <v>0</v>
      </c>
      <c r="H95" s="6">
        <f t="shared" si="6"/>
        <v>550459</v>
      </c>
      <c r="I95" s="6">
        <f t="shared" si="7"/>
        <v>-550459</v>
      </c>
      <c r="J95" s="610">
        <v>0.0</v>
      </c>
      <c r="K95" s="591"/>
      <c r="L95" s="6"/>
      <c r="M95" s="6"/>
      <c r="N95" s="6"/>
      <c r="O95" s="6"/>
      <c r="P95" s="6"/>
      <c r="Q95" s="6"/>
      <c r="R95" s="6"/>
      <c r="S95" s="6"/>
    </row>
    <row r="96" ht="11.25" customHeight="1">
      <c r="A96" s="7"/>
      <c r="B96" s="68">
        <f t="shared" si="8"/>
        <v>91</v>
      </c>
      <c r="C96" s="607"/>
      <c r="D96" s="6">
        <f t="shared" si="9"/>
        <v>0</v>
      </c>
      <c r="E96" s="6">
        <f t="shared" si="1"/>
        <v>0</v>
      </c>
      <c r="F96" s="6">
        <f t="shared" si="4"/>
        <v>550459</v>
      </c>
      <c r="G96" s="6">
        <f t="shared" si="5"/>
        <v>0</v>
      </c>
      <c r="H96" s="6">
        <f t="shared" si="6"/>
        <v>550459</v>
      </c>
      <c r="I96" s="6">
        <f t="shared" si="7"/>
        <v>-550459</v>
      </c>
      <c r="J96" s="610">
        <v>0.0</v>
      </c>
      <c r="K96" s="591"/>
      <c r="L96" s="6"/>
      <c r="M96" s="6"/>
      <c r="N96" s="6"/>
      <c r="O96" s="6"/>
      <c r="P96" s="6"/>
      <c r="Q96" s="6"/>
      <c r="R96" s="6"/>
      <c r="S96" s="6"/>
    </row>
    <row r="97" ht="11.25" customHeight="1">
      <c r="A97" s="7"/>
      <c r="B97" s="68">
        <f t="shared" si="8"/>
        <v>92</v>
      </c>
      <c r="C97" s="607"/>
      <c r="D97" s="6">
        <f t="shared" si="9"/>
        <v>0</v>
      </c>
      <c r="E97" s="6">
        <f t="shared" si="1"/>
        <v>0</v>
      </c>
      <c r="F97" s="6">
        <f t="shared" si="4"/>
        <v>550459</v>
      </c>
      <c r="G97" s="6">
        <f t="shared" si="5"/>
        <v>0</v>
      </c>
      <c r="H97" s="6">
        <f t="shared" si="6"/>
        <v>550459</v>
      </c>
      <c r="I97" s="6">
        <f t="shared" si="7"/>
        <v>-550459</v>
      </c>
      <c r="J97" s="610">
        <v>0.0</v>
      </c>
      <c r="K97" s="591"/>
      <c r="L97" s="6"/>
      <c r="M97" s="6"/>
      <c r="N97" s="6"/>
      <c r="O97" s="6"/>
      <c r="P97" s="6"/>
      <c r="Q97" s="6"/>
      <c r="R97" s="6"/>
      <c r="S97" s="6"/>
    </row>
    <row r="98" ht="11.25" customHeight="1">
      <c r="A98" s="7"/>
      <c r="B98" s="68">
        <f t="shared" si="8"/>
        <v>93</v>
      </c>
      <c r="C98" s="607"/>
      <c r="D98" s="6">
        <f t="shared" si="9"/>
        <v>0</v>
      </c>
      <c r="E98" s="6">
        <f t="shared" si="1"/>
        <v>0</v>
      </c>
      <c r="F98" s="6">
        <f t="shared" si="4"/>
        <v>550459</v>
      </c>
      <c r="G98" s="6">
        <f t="shared" si="5"/>
        <v>0</v>
      </c>
      <c r="H98" s="6">
        <f t="shared" si="6"/>
        <v>550459</v>
      </c>
      <c r="I98" s="6">
        <f t="shared" si="7"/>
        <v>-550459</v>
      </c>
      <c r="J98" s="610">
        <v>0.0</v>
      </c>
      <c r="K98" s="591"/>
      <c r="L98" s="6"/>
      <c r="M98" s="6"/>
      <c r="N98" s="6"/>
      <c r="O98" s="6"/>
      <c r="P98" s="6"/>
      <c r="Q98" s="6"/>
      <c r="R98" s="6"/>
      <c r="S98" s="6"/>
    </row>
    <row r="99" ht="11.25" customHeight="1">
      <c r="A99" s="7"/>
      <c r="B99" s="68">
        <f t="shared" si="8"/>
        <v>94</v>
      </c>
      <c r="C99" s="607"/>
      <c r="D99" s="6">
        <f t="shared" si="9"/>
        <v>0</v>
      </c>
      <c r="E99" s="6">
        <f t="shared" si="1"/>
        <v>0</v>
      </c>
      <c r="F99" s="6">
        <f t="shared" si="4"/>
        <v>550459</v>
      </c>
      <c r="G99" s="6">
        <f t="shared" si="5"/>
        <v>0</v>
      </c>
      <c r="H99" s="6">
        <f t="shared" si="6"/>
        <v>550459</v>
      </c>
      <c r="I99" s="6">
        <f t="shared" si="7"/>
        <v>-550459</v>
      </c>
      <c r="J99" s="610">
        <v>0.0</v>
      </c>
      <c r="K99" s="591"/>
      <c r="L99" s="6"/>
      <c r="M99" s="6"/>
      <c r="N99" s="6"/>
      <c r="O99" s="6"/>
      <c r="P99" s="6"/>
      <c r="Q99" s="6"/>
      <c r="R99" s="6"/>
      <c r="S99" s="6"/>
    </row>
    <row r="100" ht="11.25" customHeight="1">
      <c r="A100" s="7"/>
      <c r="B100" s="68">
        <f t="shared" si="8"/>
        <v>95</v>
      </c>
      <c r="C100" s="607"/>
      <c r="D100" s="6">
        <f t="shared" si="9"/>
        <v>0</v>
      </c>
      <c r="E100" s="6">
        <f t="shared" si="1"/>
        <v>0</v>
      </c>
      <c r="F100" s="6">
        <f t="shared" si="4"/>
        <v>550459</v>
      </c>
      <c r="G100" s="6">
        <f t="shared" si="5"/>
        <v>0</v>
      </c>
      <c r="H100" s="6">
        <f t="shared" si="6"/>
        <v>550459</v>
      </c>
      <c r="I100" s="6">
        <f t="shared" si="7"/>
        <v>-550459</v>
      </c>
      <c r="J100" s="610">
        <v>0.0</v>
      </c>
      <c r="K100" s="591"/>
      <c r="L100" s="6"/>
      <c r="M100" s="6"/>
      <c r="N100" s="6"/>
      <c r="O100" s="6"/>
      <c r="P100" s="6"/>
      <c r="Q100" s="6"/>
      <c r="R100" s="6"/>
      <c r="S100" s="6"/>
    </row>
    <row r="101" ht="11.25" customHeight="1">
      <c r="A101" s="71"/>
      <c r="B101" s="72">
        <f t="shared" si="8"/>
        <v>96</v>
      </c>
      <c r="C101" s="607"/>
      <c r="D101" s="10">
        <f t="shared" si="9"/>
        <v>0</v>
      </c>
      <c r="E101" s="10">
        <f t="shared" si="1"/>
        <v>0</v>
      </c>
      <c r="F101" s="10">
        <f t="shared" si="4"/>
        <v>550459</v>
      </c>
      <c r="G101" s="10">
        <f t="shared" si="5"/>
        <v>0</v>
      </c>
      <c r="H101" s="10">
        <f t="shared" si="6"/>
        <v>550459</v>
      </c>
      <c r="I101" s="10">
        <f t="shared" si="7"/>
        <v>-550459</v>
      </c>
      <c r="J101" s="610">
        <v>0.0</v>
      </c>
      <c r="K101" s="591"/>
      <c r="L101" s="6"/>
      <c r="M101" s="6"/>
      <c r="N101" s="6"/>
      <c r="O101" s="6"/>
      <c r="P101" s="6"/>
      <c r="Q101" s="6"/>
      <c r="R101" s="6"/>
      <c r="S101" s="6"/>
    </row>
    <row r="102" ht="11.25" customHeight="1">
      <c r="A102" s="100">
        <v>9.0</v>
      </c>
      <c r="B102" s="66">
        <f t="shared" si="8"/>
        <v>97</v>
      </c>
      <c r="C102" s="607"/>
      <c r="D102" s="617">
        <f t="shared" si="9"/>
        <v>0</v>
      </c>
      <c r="E102" s="617">
        <f t="shared" si="1"/>
        <v>0</v>
      </c>
      <c r="F102" s="617">
        <f t="shared" si="4"/>
        <v>550459</v>
      </c>
      <c r="G102" s="617">
        <f t="shared" si="5"/>
        <v>0</v>
      </c>
      <c r="H102" s="617">
        <f t="shared" si="6"/>
        <v>550459</v>
      </c>
      <c r="I102" s="617">
        <f t="shared" si="7"/>
        <v>-550459</v>
      </c>
      <c r="J102" s="610">
        <v>0.0</v>
      </c>
      <c r="K102" s="591"/>
      <c r="L102" s="6"/>
      <c r="M102" s="6"/>
      <c r="N102" s="6"/>
      <c r="O102" s="6"/>
      <c r="P102" s="6"/>
      <c r="Q102" s="6"/>
      <c r="R102" s="6"/>
      <c r="S102" s="6"/>
    </row>
    <row r="103" ht="11.25" customHeight="1">
      <c r="A103" s="54"/>
      <c r="B103" s="68">
        <f t="shared" si="8"/>
        <v>98</v>
      </c>
      <c r="C103" s="607"/>
      <c r="D103" s="6">
        <f t="shared" si="9"/>
        <v>0</v>
      </c>
      <c r="E103" s="6">
        <f t="shared" si="1"/>
        <v>0</v>
      </c>
      <c r="F103" s="6">
        <f t="shared" si="4"/>
        <v>550459</v>
      </c>
      <c r="G103" s="6">
        <f t="shared" si="5"/>
        <v>0</v>
      </c>
      <c r="H103" s="6">
        <f t="shared" si="6"/>
        <v>550459</v>
      </c>
      <c r="I103" s="6">
        <f t="shared" si="7"/>
        <v>-550459</v>
      </c>
      <c r="J103" s="610">
        <v>0.0</v>
      </c>
      <c r="K103" s="591"/>
      <c r="L103" s="6"/>
      <c r="M103" s="6"/>
      <c r="N103" s="6"/>
      <c r="O103" s="6"/>
      <c r="P103" s="6"/>
      <c r="Q103" s="6"/>
      <c r="R103" s="6"/>
      <c r="S103" s="6"/>
    </row>
    <row r="104" ht="11.25" customHeight="1">
      <c r="A104" s="7"/>
      <c r="B104" s="68">
        <f t="shared" si="8"/>
        <v>99</v>
      </c>
      <c r="C104" s="607"/>
      <c r="D104" s="6">
        <f t="shared" si="9"/>
        <v>0</v>
      </c>
      <c r="E104" s="6">
        <f t="shared" si="1"/>
        <v>0</v>
      </c>
      <c r="F104" s="6">
        <f t="shared" si="4"/>
        <v>550459</v>
      </c>
      <c r="G104" s="6">
        <f t="shared" si="5"/>
        <v>0</v>
      </c>
      <c r="H104" s="6">
        <f t="shared" si="6"/>
        <v>550459</v>
      </c>
      <c r="I104" s="6">
        <f t="shared" si="7"/>
        <v>-550459</v>
      </c>
      <c r="J104" s="610">
        <v>0.0</v>
      </c>
      <c r="K104" s="591"/>
      <c r="L104" s="6"/>
      <c r="M104" s="6"/>
      <c r="N104" s="6"/>
      <c r="O104" s="6"/>
      <c r="P104" s="6"/>
      <c r="Q104" s="6"/>
      <c r="R104" s="6"/>
      <c r="S104" s="6"/>
    </row>
    <row r="105" ht="11.25" customHeight="1">
      <c r="A105" s="7"/>
      <c r="B105" s="68">
        <f t="shared" si="8"/>
        <v>100</v>
      </c>
      <c r="C105" s="607"/>
      <c r="D105" s="6">
        <f t="shared" si="9"/>
        <v>0</v>
      </c>
      <c r="E105" s="6">
        <f t="shared" si="1"/>
        <v>0</v>
      </c>
      <c r="F105" s="6">
        <f t="shared" si="4"/>
        <v>550459</v>
      </c>
      <c r="G105" s="6">
        <f t="shared" si="5"/>
        <v>0</v>
      </c>
      <c r="H105" s="6">
        <f t="shared" si="6"/>
        <v>550459</v>
      </c>
      <c r="I105" s="6">
        <f t="shared" si="7"/>
        <v>-550459</v>
      </c>
      <c r="J105" s="610">
        <v>0.0</v>
      </c>
      <c r="K105" s="591"/>
      <c r="L105" s="6"/>
      <c r="M105" s="6"/>
      <c r="N105" s="6"/>
      <c r="O105" s="6"/>
      <c r="P105" s="6"/>
      <c r="Q105" s="6"/>
      <c r="R105" s="6"/>
      <c r="S105" s="6"/>
    </row>
    <row r="106" ht="11.25" customHeight="1">
      <c r="A106" s="7"/>
      <c r="B106" s="68">
        <f t="shared" si="8"/>
        <v>101</v>
      </c>
      <c r="C106" s="607"/>
      <c r="D106" s="6">
        <f t="shared" si="9"/>
        <v>0</v>
      </c>
      <c r="E106" s="6">
        <f t="shared" si="1"/>
        <v>0</v>
      </c>
      <c r="F106" s="6">
        <f t="shared" si="4"/>
        <v>550459</v>
      </c>
      <c r="G106" s="6">
        <f t="shared" si="5"/>
        <v>0</v>
      </c>
      <c r="H106" s="6">
        <f t="shared" si="6"/>
        <v>550459</v>
      </c>
      <c r="I106" s="6">
        <f t="shared" si="7"/>
        <v>-550459</v>
      </c>
      <c r="J106" s="610">
        <v>0.0</v>
      </c>
      <c r="K106" s="591"/>
      <c r="L106" s="6"/>
      <c r="M106" s="6"/>
      <c r="N106" s="6"/>
      <c r="O106" s="6"/>
      <c r="P106" s="6"/>
      <c r="Q106" s="6"/>
      <c r="R106" s="6"/>
      <c r="S106" s="6"/>
    </row>
    <row r="107" ht="11.25" customHeight="1">
      <c r="A107" s="7"/>
      <c r="B107" s="68">
        <f t="shared" si="8"/>
        <v>102</v>
      </c>
      <c r="C107" s="607"/>
      <c r="D107" s="6">
        <f t="shared" si="9"/>
        <v>0</v>
      </c>
      <c r="E107" s="6">
        <f t="shared" si="1"/>
        <v>0</v>
      </c>
      <c r="F107" s="6">
        <f t="shared" si="4"/>
        <v>550459</v>
      </c>
      <c r="G107" s="6">
        <f t="shared" si="5"/>
        <v>0</v>
      </c>
      <c r="H107" s="6">
        <f t="shared" si="6"/>
        <v>550459</v>
      </c>
      <c r="I107" s="6">
        <f t="shared" si="7"/>
        <v>-550459</v>
      </c>
      <c r="J107" s="610">
        <v>0.0</v>
      </c>
      <c r="K107" s="591"/>
      <c r="L107" s="6"/>
      <c r="M107" s="6"/>
      <c r="N107" s="6"/>
      <c r="O107" s="6"/>
      <c r="P107" s="6"/>
      <c r="Q107" s="6"/>
      <c r="R107" s="6"/>
      <c r="S107" s="6"/>
    </row>
    <row r="108" ht="11.25" customHeight="1">
      <c r="A108" s="7"/>
      <c r="B108" s="68">
        <f t="shared" si="8"/>
        <v>103</v>
      </c>
      <c r="C108" s="607"/>
      <c r="D108" s="6">
        <f t="shared" si="9"/>
        <v>0</v>
      </c>
      <c r="E108" s="6">
        <f t="shared" si="1"/>
        <v>0</v>
      </c>
      <c r="F108" s="6">
        <f t="shared" si="4"/>
        <v>550459</v>
      </c>
      <c r="G108" s="6">
        <f t="shared" si="5"/>
        <v>0</v>
      </c>
      <c r="H108" s="6">
        <f t="shared" si="6"/>
        <v>550459</v>
      </c>
      <c r="I108" s="6">
        <f t="shared" si="7"/>
        <v>-550459</v>
      </c>
      <c r="J108" s="610">
        <v>0.0</v>
      </c>
      <c r="K108" s="591"/>
      <c r="L108" s="6"/>
      <c r="M108" s="6"/>
      <c r="N108" s="6"/>
      <c r="O108" s="6"/>
      <c r="P108" s="6"/>
      <c r="Q108" s="6"/>
      <c r="R108" s="6"/>
      <c r="S108" s="6"/>
    </row>
    <row r="109" ht="11.25" customHeight="1">
      <c r="A109" s="7"/>
      <c r="B109" s="68">
        <f t="shared" si="8"/>
        <v>104</v>
      </c>
      <c r="C109" s="607"/>
      <c r="D109" s="6">
        <f t="shared" si="9"/>
        <v>0</v>
      </c>
      <c r="E109" s="6">
        <f t="shared" si="1"/>
        <v>0</v>
      </c>
      <c r="F109" s="6">
        <f t="shared" si="4"/>
        <v>550459</v>
      </c>
      <c r="G109" s="6">
        <f t="shared" si="5"/>
        <v>0</v>
      </c>
      <c r="H109" s="6">
        <f t="shared" si="6"/>
        <v>550459</v>
      </c>
      <c r="I109" s="6">
        <f t="shared" si="7"/>
        <v>-550459</v>
      </c>
      <c r="J109" s="610">
        <v>0.0</v>
      </c>
      <c r="K109" s="591"/>
      <c r="L109" s="6"/>
      <c r="M109" s="6"/>
      <c r="N109" s="6"/>
      <c r="O109" s="6"/>
      <c r="P109" s="6"/>
      <c r="Q109" s="6"/>
      <c r="R109" s="6"/>
      <c r="S109" s="6"/>
    </row>
    <row r="110" ht="11.25" customHeight="1">
      <c r="A110" s="7"/>
      <c r="B110" s="68">
        <f t="shared" si="8"/>
        <v>105</v>
      </c>
      <c r="C110" s="607"/>
      <c r="D110" s="6">
        <f t="shared" si="9"/>
        <v>0</v>
      </c>
      <c r="E110" s="6">
        <f t="shared" si="1"/>
        <v>0</v>
      </c>
      <c r="F110" s="6">
        <f t="shared" si="4"/>
        <v>550459</v>
      </c>
      <c r="G110" s="6">
        <f t="shared" si="5"/>
        <v>0</v>
      </c>
      <c r="H110" s="6">
        <f t="shared" si="6"/>
        <v>550459</v>
      </c>
      <c r="I110" s="6">
        <f t="shared" si="7"/>
        <v>-550459</v>
      </c>
      <c r="J110" s="610">
        <v>0.0</v>
      </c>
      <c r="K110" s="591"/>
      <c r="L110" s="6"/>
      <c r="M110" s="6"/>
      <c r="N110" s="6"/>
      <c r="O110" s="6"/>
      <c r="P110" s="6"/>
      <c r="Q110" s="6"/>
      <c r="R110" s="6"/>
      <c r="S110" s="6"/>
    </row>
    <row r="111" ht="11.25" customHeight="1">
      <c r="A111" s="7"/>
      <c r="B111" s="68">
        <f t="shared" si="8"/>
        <v>106</v>
      </c>
      <c r="C111" s="607"/>
      <c r="D111" s="6">
        <f t="shared" si="9"/>
        <v>0</v>
      </c>
      <c r="E111" s="6">
        <f t="shared" si="1"/>
        <v>0</v>
      </c>
      <c r="F111" s="6">
        <f t="shared" si="4"/>
        <v>550459</v>
      </c>
      <c r="G111" s="6">
        <f t="shared" si="5"/>
        <v>0</v>
      </c>
      <c r="H111" s="6">
        <f t="shared" si="6"/>
        <v>550459</v>
      </c>
      <c r="I111" s="6">
        <f t="shared" si="7"/>
        <v>-550459</v>
      </c>
      <c r="J111" s="610">
        <v>0.0</v>
      </c>
      <c r="K111" s="591"/>
      <c r="L111" s="6"/>
      <c r="M111" s="6"/>
      <c r="N111" s="6"/>
      <c r="O111" s="6"/>
      <c r="P111" s="6"/>
      <c r="Q111" s="6"/>
      <c r="R111" s="6"/>
      <c r="S111" s="6"/>
    </row>
    <row r="112" ht="11.25" customHeight="1">
      <c r="A112" s="7"/>
      <c r="B112" s="68">
        <f t="shared" si="8"/>
        <v>107</v>
      </c>
      <c r="C112" s="607"/>
      <c r="D112" s="6">
        <f t="shared" si="9"/>
        <v>0</v>
      </c>
      <c r="E112" s="6">
        <f t="shared" si="1"/>
        <v>0</v>
      </c>
      <c r="F112" s="6">
        <f t="shared" si="4"/>
        <v>550459</v>
      </c>
      <c r="G112" s="6">
        <f t="shared" si="5"/>
        <v>0</v>
      </c>
      <c r="H112" s="6">
        <f t="shared" si="6"/>
        <v>550459</v>
      </c>
      <c r="I112" s="6">
        <f t="shared" si="7"/>
        <v>-550459</v>
      </c>
      <c r="J112" s="610">
        <v>0.0</v>
      </c>
      <c r="K112" s="591"/>
      <c r="L112" s="6"/>
      <c r="M112" s="6"/>
      <c r="N112" s="6"/>
      <c r="O112" s="6"/>
      <c r="P112" s="6"/>
      <c r="Q112" s="6"/>
      <c r="R112" s="6"/>
      <c r="S112" s="6"/>
    </row>
    <row r="113" ht="11.25" customHeight="1">
      <c r="A113" s="71"/>
      <c r="B113" s="72">
        <f t="shared" si="8"/>
        <v>108</v>
      </c>
      <c r="C113" s="607"/>
      <c r="D113" s="10">
        <f t="shared" si="9"/>
        <v>0</v>
      </c>
      <c r="E113" s="10">
        <f t="shared" si="1"/>
        <v>0</v>
      </c>
      <c r="F113" s="10">
        <f t="shared" si="4"/>
        <v>550459</v>
      </c>
      <c r="G113" s="10">
        <f t="shared" si="5"/>
        <v>0</v>
      </c>
      <c r="H113" s="10">
        <f t="shared" si="6"/>
        <v>550459</v>
      </c>
      <c r="I113" s="10">
        <f t="shared" si="7"/>
        <v>-550459</v>
      </c>
      <c r="J113" s="610">
        <v>0.0</v>
      </c>
      <c r="K113" s="591"/>
      <c r="L113" s="6"/>
      <c r="M113" s="6"/>
      <c r="N113" s="6"/>
      <c r="O113" s="6"/>
      <c r="P113" s="6"/>
      <c r="Q113" s="6"/>
      <c r="R113" s="6"/>
      <c r="S113" s="6"/>
    </row>
    <row r="114" ht="11.25" customHeight="1">
      <c r="A114" s="100">
        <v>10.0</v>
      </c>
      <c r="B114" s="66">
        <f t="shared" si="8"/>
        <v>109</v>
      </c>
      <c r="C114" s="607"/>
      <c r="D114" s="617">
        <f t="shared" si="9"/>
        <v>0</v>
      </c>
      <c r="E114" s="617">
        <f t="shared" si="1"/>
        <v>0</v>
      </c>
      <c r="F114" s="617">
        <f t="shared" si="4"/>
        <v>550459</v>
      </c>
      <c r="G114" s="617">
        <f t="shared" si="5"/>
        <v>0</v>
      </c>
      <c r="H114" s="617">
        <f t="shared" si="6"/>
        <v>550459</v>
      </c>
      <c r="I114" s="617">
        <f t="shared" si="7"/>
        <v>-550459</v>
      </c>
      <c r="J114" s="610">
        <v>0.0</v>
      </c>
      <c r="K114" s="591"/>
      <c r="L114" s="6"/>
      <c r="M114" s="6"/>
      <c r="N114" s="6"/>
      <c r="O114" s="6"/>
      <c r="P114" s="6"/>
      <c r="Q114" s="6"/>
      <c r="R114" s="6"/>
      <c r="S114" s="6"/>
    </row>
    <row r="115" ht="11.25" customHeight="1">
      <c r="A115" s="7"/>
      <c r="B115" s="68">
        <f t="shared" si="8"/>
        <v>110</v>
      </c>
      <c r="C115" s="607"/>
      <c r="D115" s="6">
        <f t="shared" si="9"/>
        <v>0</v>
      </c>
      <c r="E115" s="6">
        <f t="shared" si="1"/>
        <v>0</v>
      </c>
      <c r="F115" s="6">
        <f t="shared" si="4"/>
        <v>550459</v>
      </c>
      <c r="G115" s="6">
        <f t="shared" si="5"/>
        <v>0</v>
      </c>
      <c r="H115" s="6">
        <f t="shared" si="6"/>
        <v>550459</v>
      </c>
      <c r="I115" s="6">
        <f t="shared" si="7"/>
        <v>-550459</v>
      </c>
      <c r="J115" s="610">
        <v>0.0</v>
      </c>
      <c r="K115" s="591"/>
      <c r="L115" s="6"/>
      <c r="M115" s="6"/>
      <c r="N115" s="6"/>
      <c r="O115" s="6"/>
      <c r="P115" s="6"/>
      <c r="Q115" s="6"/>
      <c r="R115" s="6"/>
      <c r="S115" s="6"/>
    </row>
    <row r="116" ht="11.25" customHeight="1">
      <c r="A116" s="7"/>
      <c r="B116" s="68">
        <f t="shared" si="8"/>
        <v>111</v>
      </c>
      <c r="C116" s="607"/>
      <c r="D116" s="6">
        <f t="shared" si="9"/>
        <v>0</v>
      </c>
      <c r="E116" s="6">
        <f t="shared" si="1"/>
        <v>0</v>
      </c>
      <c r="F116" s="6">
        <f t="shared" si="4"/>
        <v>550459</v>
      </c>
      <c r="G116" s="6">
        <f t="shared" si="5"/>
        <v>0</v>
      </c>
      <c r="H116" s="6">
        <f t="shared" si="6"/>
        <v>550459</v>
      </c>
      <c r="I116" s="6">
        <f t="shared" si="7"/>
        <v>-550459</v>
      </c>
      <c r="J116" s="610">
        <v>0.0</v>
      </c>
      <c r="K116" s="591"/>
      <c r="L116" s="6"/>
      <c r="M116" s="6"/>
      <c r="N116" s="6"/>
      <c r="O116" s="6"/>
      <c r="P116" s="6"/>
      <c r="Q116" s="6"/>
      <c r="R116" s="6"/>
      <c r="S116" s="6"/>
    </row>
    <row r="117" ht="11.25" customHeight="1">
      <c r="A117" s="7"/>
      <c r="B117" s="68">
        <f t="shared" si="8"/>
        <v>112</v>
      </c>
      <c r="C117" s="607"/>
      <c r="D117" s="6">
        <f t="shared" si="9"/>
        <v>0</v>
      </c>
      <c r="E117" s="6">
        <f t="shared" si="1"/>
        <v>0</v>
      </c>
      <c r="F117" s="6">
        <f t="shared" si="4"/>
        <v>550459</v>
      </c>
      <c r="G117" s="6">
        <f t="shared" si="5"/>
        <v>0</v>
      </c>
      <c r="H117" s="6">
        <f t="shared" si="6"/>
        <v>550459</v>
      </c>
      <c r="I117" s="6">
        <f t="shared" si="7"/>
        <v>-550459</v>
      </c>
      <c r="J117" s="610">
        <v>0.0</v>
      </c>
      <c r="K117" s="591"/>
      <c r="L117" s="6"/>
      <c r="M117" s="6"/>
      <c r="N117" s="6"/>
      <c r="O117" s="6"/>
      <c r="P117" s="6"/>
      <c r="Q117" s="6"/>
      <c r="R117" s="6"/>
      <c r="S117" s="6"/>
    </row>
    <row r="118" ht="11.25" customHeight="1">
      <c r="A118" s="7"/>
      <c r="B118" s="68">
        <f t="shared" si="8"/>
        <v>113</v>
      </c>
      <c r="C118" s="607"/>
      <c r="D118" s="6">
        <f t="shared" si="9"/>
        <v>0</v>
      </c>
      <c r="E118" s="6">
        <f t="shared" si="1"/>
        <v>0</v>
      </c>
      <c r="F118" s="6">
        <f t="shared" si="4"/>
        <v>550459</v>
      </c>
      <c r="G118" s="6">
        <f t="shared" si="5"/>
        <v>0</v>
      </c>
      <c r="H118" s="6">
        <f t="shared" si="6"/>
        <v>550459</v>
      </c>
      <c r="I118" s="6">
        <f t="shared" si="7"/>
        <v>-550459</v>
      </c>
      <c r="J118" s="610">
        <v>0.0</v>
      </c>
      <c r="K118" s="591"/>
      <c r="L118" s="6"/>
      <c r="M118" s="6"/>
      <c r="N118" s="6"/>
      <c r="O118" s="6"/>
      <c r="P118" s="6"/>
      <c r="Q118" s="6"/>
      <c r="R118" s="6"/>
      <c r="S118" s="6"/>
    </row>
    <row r="119" ht="11.25" customHeight="1">
      <c r="A119" s="7"/>
      <c r="B119" s="68">
        <f t="shared" si="8"/>
        <v>114</v>
      </c>
      <c r="C119" s="607"/>
      <c r="D119" s="6">
        <f t="shared" si="9"/>
        <v>0</v>
      </c>
      <c r="E119" s="6">
        <f t="shared" si="1"/>
        <v>0</v>
      </c>
      <c r="F119" s="6">
        <f t="shared" si="4"/>
        <v>550459</v>
      </c>
      <c r="G119" s="6">
        <f t="shared" si="5"/>
        <v>0</v>
      </c>
      <c r="H119" s="6">
        <f t="shared" si="6"/>
        <v>550459</v>
      </c>
      <c r="I119" s="6">
        <f t="shared" si="7"/>
        <v>-550459</v>
      </c>
      <c r="J119" s="610">
        <v>0.0</v>
      </c>
      <c r="K119" s="591"/>
      <c r="L119" s="6"/>
      <c r="M119" s="6"/>
      <c r="N119" s="6"/>
      <c r="O119" s="6"/>
      <c r="P119" s="6"/>
      <c r="Q119" s="6"/>
      <c r="R119" s="6"/>
      <c r="S119" s="6"/>
    </row>
    <row r="120" ht="11.25" customHeight="1">
      <c r="A120" s="7"/>
      <c r="B120" s="68">
        <f t="shared" si="8"/>
        <v>115</v>
      </c>
      <c r="C120" s="607"/>
      <c r="D120" s="6">
        <f t="shared" si="9"/>
        <v>0</v>
      </c>
      <c r="E120" s="6">
        <f t="shared" si="1"/>
        <v>0</v>
      </c>
      <c r="F120" s="6">
        <f t="shared" si="4"/>
        <v>550459</v>
      </c>
      <c r="G120" s="6">
        <f t="shared" si="5"/>
        <v>0</v>
      </c>
      <c r="H120" s="6">
        <f t="shared" si="6"/>
        <v>550459</v>
      </c>
      <c r="I120" s="6">
        <f t="shared" si="7"/>
        <v>-550459</v>
      </c>
      <c r="J120" s="610">
        <v>0.0</v>
      </c>
      <c r="K120" s="591"/>
      <c r="L120" s="6"/>
      <c r="M120" s="6"/>
      <c r="N120" s="6"/>
      <c r="O120" s="6"/>
      <c r="P120" s="6"/>
      <c r="Q120" s="6"/>
      <c r="R120" s="6"/>
      <c r="S120" s="6"/>
    </row>
    <row r="121" ht="11.25" customHeight="1">
      <c r="A121" s="7"/>
      <c r="B121" s="68">
        <f t="shared" si="8"/>
        <v>116</v>
      </c>
      <c r="C121" s="607"/>
      <c r="D121" s="6">
        <f t="shared" si="9"/>
        <v>0</v>
      </c>
      <c r="E121" s="6">
        <f t="shared" si="1"/>
        <v>0</v>
      </c>
      <c r="F121" s="6">
        <f t="shared" si="4"/>
        <v>550459</v>
      </c>
      <c r="G121" s="6">
        <f t="shared" si="5"/>
        <v>0</v>
      </c>
      <c r="H121" s="6">
        <f t="shared" si="6"/>
        <v>550459</v>
      </c>
      <c r="I121" s="6">
        <f t="shared" si="7"/>
        <v>-550459</v>
      </c>
      <c r="J121" s="610">
        <v>0.0</v>
      </c>
      <c r="K121" s="591"/>
      <c r="L121" s="6"/>
      <c r="M121" s="6"/>
      <c r="N121" s="6"/>
      <c r="O121" s="6"/>
      <c r="P121" s="6"/>
      <c r="Q121" s="6"/>
      <c r="R121" s="6"/>
      <c r="S121" s="6"/>
    </row>
    <row r="122" ht="11.25" customHeight="1">
      <c r="A122" s="7"/>
      <c r="B122" s="68">
        <f t="shared" si="8"/>
        <v>117</v>
      </c>
      <c r="C122" s="607"/>
      <c r="D122" s="6">
        <f t="shared" si="9"/>
        <v>0</v>
      </c>
      <c r="E122" s="6">
        <f t="shared" si="1"/>
        <v>0</v>
      </c>
      <c r="F122" s="6">
        <f t="shared" si="4"/>
        <v>550459</v>
      </c>
      <c r="G122" s="6">
        <f t="shared" si="5"/>
        <v>0</v>
      </c>
      <c r="H122" s="6">
        <f t="shared" si="6"/>
        <v>550459</v>
      </c>
      <c r="I122" s="6">
        <f t="shared" si="7"/>
        <v>-550459</v>
      </c>
      <c r="J122" s="610">
        <v>0.0</v>
      </c>
      <c r="K122" s="591"/>
      <c r="L122" s="6"/>
      <c r="M122" s="6"/>
      <c r="N122" s="6"/>
      <c r="O122" s="6"/>
      <c r="P122" s="6"/>
      <c r="Q122" s="6"/>
      <c r="R122" s="6"/>
      <c r="S122" s="6"/>
    </row>
    <row r="123" ht="11.25" customHeight="1">
      <c r="A123" s="7"/>
      <c r="B123" s="68">
        <f t="shared" si="8"/>
        <v>118</v>
      </c>
      <c r="C123" s="607"/>
      <c r="D123" s="6">
        <f t="shared" si="9"/>
        <v>0</v>
      </c>
      <c r="E123" s="6">
        <f t="shared" si="1"/>
        <v>0</v>
      </c>
      <c r="F123" s="6">
        <f t="shared" si="4"/>
        <v>550459</v>
      </c>
      <c r="G123" s="6">
        <f t="shared" si="5"/>
        <v>0</v>
      </c>
      <c r="H123" s="6">
        <f t="shared" si="6"/>
        <v>550459</v>
      </c>
      <c r="I123" s="6">
        <f t="shared" si="7"/>
        <v>-550459</v>
      </c>
      <c r="J123" s="610">
        <v>0.0</v>
      </c>
      <c r="K123" s="591"/>
      <c r="L123" s="6"/>
      <c r="M123" s="6"/>
      <c r="N123" s="6"/>
      <c r="O123" s="6"/>
      <c r="P123" s="6"/>
      <c r="Q123" s="6"/>
      <c r="R123" s="6"/>
      <c r="S123" s="6"/>
    </row>
    <row r="124" ht="11.25" customHeight="1">
      <c r="A124" s="7"/>
      <c r="B124" s="68">
        <f t="shared" si="8"/>
        <v>119</v>
      </c>
      <c r="C124" s="607"/>
      <c r="D124" s="6">
        <f t="shared" si="9"/>
        <v>0</v>
      </c>
      <c r="E124" s="6">
        <f t="shared" si="1"/>
        <v>0</v>
      </c>
      <c r="F124" s="6">
        <f t="shared" si="4"/>
        <v>550459</v>
      </c>
      <c r="G124" s="6">
        <f t="shared" si="5"/>
        <v>0</v>
      </c>
      <c r="H124" s="6">
        <f t="shared" si="6"/>
        <v>550459</v>
      </c>
      <c r="I124" s="6">
        <f t="shared" si="7"/>
        <v>-550459</v>
      </c>
      <c r="J124" s="610">
        <v>0.0</v>
      </c>
      <c r="K124" s="591"/>
      <c r="L124" s="6"/>
      <c r="M124" s="6"/>
      <c r="N124" s="6"/>
      <c r="O124" s="6"/>
      <c r="P124" s="6"/>
      <c r="Q124" s="6"/>
      <c r="R124" s="6"/>
      <c r="S124" s="6"/>
    </row>
    <row r="125" ht="11.25" customHeight="1">
      <c r="A125" s="71"/>
      <c r="B125" s="72">
        <f t="shared" si="8"/>
        <v>120</v>
      </c>
      <c r="C125" s="607"/>
      <c r="D125" s="10">
        <f t="shared" si="9"/>
        <v>0</v>
      </c>
      <c r="E125" s="10">
        <f t="shared" si="1"/>
        <v>0</v>
      </c>
      <c r="F125" s="10">
        <f t="shared" si="4"/>
        <v>550459</v>
      </c>
      <c r="G125" s="10">
        <f t="shared" si="5"/>
        <v>0</v>
      </c>
      <c r="H125" s="10">
        <f t="shared" si="6"/>
        <v>550459</v>
      </c>
      <c r="I125" s="10">
        <f t="shared" si="7"/>
        <v>-550459</v>
      </c>
      <c r="J125" s="610">
        <v>0.0</v>
      </c>
      <c r="K125" s="591"/>
      <c r="L125" s="6"/>
      <c r="M125" s="6"/>
      <c r="N125" s="6"/>
      <c r="O125" s="6"/>
      <c r="P125" s="6"/>
      <c r="Q125" s="6"/>
      <c r="R125" s="6"/>
      <c r="S125" s="6"/>
    </row>
    <row r="126" ht="11.25" customHeight="1">
      <c r="A126" s="100">
        <v>11.0</v>
      </c>
      <c r="B126" s="66">
        <f t="shared" si="8"/>
        <v>121</v>
      </c>
      <c r="C126" s="607"/>
      <c r="D126" s="617">
        <f t="shared" si="9"/>
        <v>0</v>
      </c>
      <c r="E126" s="617">
        <f t="shared" si="1"/>
        <v>0</v>
      </c>
      <c r="F126" s="617">
        <f t="shared" si="4"/>
        <v>550459</v>
      </c>
      <c r="G126" s="617">
        <f t="shared" si="5"/>
        <v>0</v>
      </c>
      <c r="H126" s="617">
        <f t="shared" si="6"/>
        <v>550459</v>
      </c>
      <c r="I126" s="617">
        <f t="shared" si="7"/>
        <v>-550459</v>
      </c>
      <c r="J126" s="610">
        <v>0.0</v>
      </c>
      <c r="K126" s="591"/>
      <c r="L126" s="6"/>
      <c r="M126" s="6"/>
      <c r="N126" s="6"/>
      <c r="O126" s="6"/>
      <c r="P126" s="6"/>
      <c r="Q126" s="6"/>
      <c r="R126" s="6"/>
      <c r="S126" s="6"/>
    </row>
    <row r="127" ht="11.25" customHeight="1">
      <c r="A127" s="7"/>
      <c r="B127" s="68">
        <f t="shared" si="8"/>
        <v>122</v>
      </c>
      <c r="C127" s="607"/>
      <c r="D127" s="6">
        <f t="shared" si="9"/>
        <v>0</v>
      </c>
      <c r="E127" s="6">
        <f t="shared" si="1"/>
        <v>0</v>
      </c>
      <c r="F127" s="6">
        <f t="shared" si="4"/>
        <v>550459</v>
      </c>
      <c r="G127" s="6">
        <f t="shared" si="5"/>
        <v>0</v>
      </c>
      <c r="H127" s="6">
        <f t="shared" si="6"/>
        <v>550459</v>
      </c>
      <c r="I127" s="6">
        <f t="shared" si="7"/>
        <v>-550459</v>
      </c>
      <c r="J127" s="610">
        <v>0.0</v>
      </c>
      <c r="K127" s="591"/>
      <c r="L127" s="6"/>
      <c r="M127" s="6"/>
      <c r="N127" s="6"/>
      <c r="O127" s="6"/>
      <c r="P127" s="6"/>
      <c r="Q127" s="6"/>
      <c r="R127" s="6"/>
      <c r="S127" s="6"/>
    </row>
    <row r="128" ht="11.25" customHeight="1">
      <c r="A128" s="7"/>
      <c r="B128" s="68">
        <f t="shared" si="8"/>
        <v>123</v>
      </c>
      <c r="C128" s="607"/>
      <c r="D128" s="6">
        <f t="shared" si="9"/>
        <v>0</v>
      </c>
      <c r="E128" s="6">
        <f t="shared" si="1"/>
        <v>0</v>
      </c>
      <c r="F128" s="6">
        <f t="shared" si="4"/>
        <v>550459</v>
      </c>
      <c r="G128" s="6">
        <f t="shared" si="5"/>
        <v>0</v>
      </c>
      <c r="H128" s="6">
        <f t="shared" si="6"/>
        <v>550459</v>
      </c>
      <c r="I128" s="6">
        <f t="shared" si="7"/>
        <v>-550459</v>
      </c>
      <c r="J128" s="610">
        <v>0.0</v>
      </c>
      <c r="K128" s="591"/>
      <c r="L128" s="6"/>
      <c r="M128" s="6"/>
      <c r="N128" s="6"/>
      <c r="O128" s="6"/>
      <c r="P128" s="6"/>
      <c r="Q128" s="6"/>
      <c r="R128" s="6"/>
      <c r="S128" s="6"/>
    </row>
    <row r="129" ht="11.25" customHeight="1">
      <c r="A129" s="7"/>
      <c r="B129" s="68">
        <f t="shared" si="8"/>
        <v>124</v>
      </c>
      <c r="C129" s="607"/>
      <c r="D129" s="6">
        <f t="shared" si="9"/>
        <v>0</v>
      </c>
      <c r="E129" s="6">
        <f t="shared" si="1"/>
        <v>0</v>
      </c>
      <c r="F129" s="6">
        <f t="shared" si="4"/>
        <v>550459</v>
      </c>
      <c r="G129" s="6">
        <f t="shared" si="5"/>
        <v>0</v>
      </c>
      <c r="H129" s="6">
        <f t="shared" si="6"/>
        <v>550459</v>
      </c>
      <c r="I129" s="6">
        <f t="shared" si="7"/>
        <v>-550459</v>
      </c>
      <c r="J129" s="610">
        <v>0.0</v>
      </c>
      <c r="K129" s="591"/>
      <c r="L129" s="6"/>
      <c r="M129" s="6"/>
      <c r="N129" s="6"/>
      <c r="O129" s="6"/>
      <c r="P129" s="6"/>
      <c r="Q129" s="6"/>
      <c r="R129" s="6"/>
      <c r="S129" s="6"/>
    </row>
    <row r="130" ht="11.25" customHeight="1">
      <c r="A130" s="7"/>
      <c r="B130" s="68">
        <f t="shared" si="8"/>
        <v>125</v>
      </c>
      <c r="C130" s="607"/>
      <c r="D130" s="6">
        <f t="shared" si="9"/>
        <v>0</v>
      </c>
      <c r="E130" s="6">
        <f t="shared" si="1"/>
        <v>0</v>
      </c>
      <c r="F130" s="6">
        <f t="shared" si="4"/>
        <v>550459</v>
      </c>
      <c r="G130" s="6">
        <f t="shared" si="5"/>
        <v>0</v>
      </c>
      <c r="H130" s="6">
        <f t="shared" si="6"/>
        <v>550459</v>
      </c>
      <c r="I130" s="6">
        <f t="shared" si="7"/>
        <v>-550459</v>
      </c>
      <c r="J130" s="610">
        <v>0.0</v>
      </c>
      <c r="K130" s="591"/>
      <c r="L130" s="6"/>
      <c r="M130" s="6"/>
      <c r="N130" s="6"/>
      <c r="O130" s="6"/>
      <c r="P130" s="6"/>
      <c r="Q130" s="6"/>
      <c r="R130" s="6"/>
      <c r="S130" s="6"/>
    </row>
    <row r="131" ht="11.25" customHeight="1">
      <c r="A131" s="7"/>
      <c r="B131" s="68">
        <f t="shared" si="8"/>
        <v>126</v>
      </c>
      <c r="C131" s="607"/>
      <c r="D131" s="6">
        <f t="shared" si="9"/>
        <v>0</v>
      </c>
      <c r="E131" s="6">
        <f t="shared" si="1"/>
        <v>0</v>
      </c>
      <c r="F131" s="6">
        <f t="shared" si="4"/>
        <v>550459</v>
      </c>
      <c r="G131" s="6">
        <f t="shared" si="5"/>
        <v>0</v>
      </c>
      <c r="H131" s="6">
        <f t="shared" si="6"/>
        <v>550459</v>
      </c>
      <c r="I131" s="6">
        <f t="shared" si="7"/>
        <v>-550459</v>
      </c>
      <c r="J131" s="610">
        <v>0.0</v>
      </c>
      <c r="K131" s="591"/>
      <c r="L131" s="6"/>
      <c r="M131" s="6"/>
      <c r="N131" s="6"/>
      <c r="O131" s="6"/>
      <c r="P131" s="6"/>
      <c r="Q131" s="6"/>
      <c r="R131" s="6"/>
      <c r="S131" s="6"/>
    </row>
    <row r="132" ht="11.25" customHeight="1">
      <c r="A132" s="7"/>
      <c r="B132" s="68">
        <f t="shared" si="8"/>
        <v>127</v>
      </c>
      <c r="C132" s="607"/>
      <c r="D132" s="6">
        <f t="shared" si="9"/>
        <v>0</v>
      </c>
      <c r="E132" s="6">
        <f t="shared" si="1"/>
        <v>0</v>
      </c>
      <c r="F132" s="6">
        <f t="shared" si="4"/>
        <v>550459</v>
      </c>
      <c r="G132" s="6">
        <f t="shared" si="5"/>
        <v>0</v>
      </c>
      <c r="H132" s="6">
        <f t="shared" si="6"/>
        <v>550459</v>
      </c>
      <c r="I132" s="6">
        <f t="shared" si="7"/>
        <v>-550459</v>
      </c>
      <c r="J132" s="610">
        <v>0.0</v>
      </c>
      <c r="K132" s="591"/>
      <c r="L132" s="6"/>
      <c r="M132" s="6"/>
      <c r="N132" s="6"/>
      <c r="O132" s="6"/>
      <c r="P132" s="6"/>
      <c r="Q132" s="6"/>
      <c r="R132" s="6"/>
      <c r="S132" s="6"/>
    </row>
    <row r="133" ht="11.25" customHeight="1">
      <c r="A133" s="7"/>
      <c r="B133" s="68">
        <f t="shared" si="8"/>
        <v>128</v>
      </c>
      <c r="C133" s="607"/>
      <c r="D133" s="6">
        <f t="shared" si="9"/>
        <v>0</v>
      </c>
      <c r="E133" s="6">
        <f t="shared" si="1"/>
        <v>0</v>
      </c>
      <c r="F133" s="6">
        <f t="shared" si="4"/>
        <v>550459</v>
      </c>
      <c r="G133" s="6">
        <f t="shared" si="5"/>
        <v>0</v>
      </c>
      <c r="H133" s="6">
        <f t="shared" si="6"/>
        <v>550459</v>
      </c>
      <c r="I133" s="6">
        <f t="shared" si="7"/>
        <v>-550459</v>
      </c>
      <c r="J133" s="610">
        <v>0.0</v>
      </c>
      <c r="K133" s="591"/>
      <c r="L133" s="6"/>
      <c r="M133" s="6"/>
      <c r="N133" s="6"/>
      <c r="O133" s="6"/>
      <c r="P133" s="6"/>
      <c r="Q133" s="6"/>
      <c r="R133" s="6"/>
      <c r="S133" s="6"/>
    </row>
    <row r="134" ht="11.25" customHeight="1">
      <c r="A134" s="7"/>
      <c r="B134" s="68">
        <f t="shared" si="8"/>
        <v>129</v>
      </c>
      <c r="C134" s="607"/>
      <c r="D134" s="6">
        <f t="shared" si="9"/>
        <v>0</v>
      </c>
      <c r="E134" s="6">
        <f t="shared" si="1"/>
        <v>0</v>
      </c>
      <c r="F134" s="6">
        <f t="shared" si="4"/>
        <v>550459</v>
      </c>
      <c r="G134" s="6">
        <f t="shared" si="5"/>
        <v>0</v>
      </c>
      <c r="H134" s="6">
        <f t="shared" si="6"/>
        <v>550459</v>
      </c>
      <c r="I134" s="6">
        <f t="shared" si="7"/>
        <v>-550459</v>
      </c>
      <c r="J134" s="610">
        <v>0.0</v>
      </c>
      <c r="K134" s="591"/>
      <c r="L134" s="6"/>
      <c r="M134" s="6"/>
      <c r="N134" s="6"/>
      <c r="O134" s="6"/>
      <c r="P134" s="6"/>
      <c r="Q134" s="6"/>
      <c r="R134" s="6"/>
      <c r="S134" s="6"/>
    </row>
    <row r="135" ht="11.25" customHeight="1">
      <c r="A135" s="7"/>
      <c r="B135" s="68">
        <f t="shared" si="8"/>
        <v>130</v>
      </c>
      <c r="C135" s="607"/>
      <c r="D135" s="6">
        <f t="shared" si="9"/>
        <v>0</v>
      </c>
      <c r="E135" s="6">
        <f t="shared" si="1"/>
        <v>0</v>
      </c>
      <c r="F135" s="6">
        <f t="shared" si="4"/>
        <v>550459</v>
      </c>
      <c r="G135" s="6">
        <f t="shared" si="5"/>
        <v>0</v>
      </c>
      <c r="H135" s="6">
        <f t="shared" si="6"/>
        <v>550459</v>
      </c>
      <c r="I135" s="6">
        <f t="shared" si="7"/>
        <v>-550459</v>
      </c>
      <c r="J135" s="610">
        <v>0.0</v>
      </c>
      <c r="K135" s="591"/>
      <c r="L135" s="6"/>
      <c r="M135" s="6"/>
      <c r="N135" s="6"/>
      <c r="O135" s="6"/>
      <c r="P135" s="6"/>
      <c r="Q135" s="6"/>
      <c r="R135" s="6"/>
      <c r="S135" s="6"/>
    </row>
    <row r="136" ht="11.25" customHeight="1">
      <c r="A136" s="7"/>
      <c r="B136" s="68">
        <f t="shared" si="8"/>
        <v>131</v>
      </c>
      <c r="C136" s="607"/>
      <c r="D136" s="6">
        <f t="shared" si="9"/>
        <v>0</v>
      </c>
      <c r="E136" s="6">
        <f t="shared" si="1"/>
        <v>0</v>
      </c>
      <c r="F136" s="6">
        <f t="shared" si="4"/>
        <v>550459</v>
      </c>
      <c r="G136" s="6">
        <f t="shared" si="5"/>
        <v>0</v>
      </c>
      <c r="H136" s="6">
        <f t="shared" si="6"/>
        <v>550459</v>
      </c>
      <c r="I136" s="6">
        <f t="shared" si="7"/>
        <v>-550459</v>
      </c>
      <c r="J136" s="610">
        <v>0.0</v>
      </c>
      <c r="K136" s="591"/>
      <c r="L136" s="6"/>
      <c r="M136" s="6"/>
      <c r="N136" s="6"/>
      <c r="O136" s="6"/>
      <c r="P136" s="6"/>
      <c r="Q136" s="6"/>
      <c r="R136" s="6"/>
      <c r="S136" s="6"/>
    </row>
    <row r="137" ht="11.25" customHeight="1">
      <c r="A137" s="71"/>
      <c r="B137" s="72">
        <f t="shared" si="8"/>
        <v>132</v>
      </c>
      <c r="C137" s="607"/>
      <c r="D137" s="10">
        <f t="shared" si="9"/>
        <v>0</v>
      </c>
      <c r="E137" s="10">
        <f t="shared" si="1"/>
        <v>0</v>
      </c>
      <c r="F137" s="10">
        <f t="shared" si="4"/>
        <v>550459</v>
      </c>
      <c r="G137" s="10">
        <f t="shared" si="5"/>
        <v>0</v>
      </c>
      <c r="H137" s="10">
        <f t="shared" si="6"/>
        <v>550459</v>
      </c>
      <c r="I137" s="10">
        <f t="shared" si="7"/>
        <v>-550459</v>
      </c>
      <c r="J137" s="610">
        <v>0.0</v>
      </c>
      <c r="K137" s="591"/>
      <c r="L137" s="6"/>
      <c r="M137" s="6"/>
      <c r="N137" s="6"/>
      <c r="O137" s="6"/>
      <c r="P137" s="6"/>
      <c r="Q137" s="6"/>
      <c r="R137" s="6"/>
      <c r="S137" s="6"/>
    </row>
    <row r="138" ht="11.25" customHeight="1">
      <c r="A138" s="100">
        <v>12.0</v>
      </c>
      <c r="B138" s="66">
        <f t="shared" si="8"/>
        <v>133</v>
      </c>
      <c r="C138" s="607"/>
      <c r="D138" s="617">
        <f t="shared" si="9"/>
        <v>0</v>
      </c>
      <c r="E138" s="617">
        <f t="shared" si="1"/>
        <v>0</v>
      </c>
      <c r="F138" s="617">
        <f t="shared" si="4"/>
        <v>550459</v>
      </c>
      <c r="G138" s="617">
        <f t="shared" si="5"/>
        <v>0</v>
      </c>
      <c r="H138" s="617">
        <f t="shared" si="6"/>
        <v>550459</v>
      </c>
      <c r="I138" s="617">
        <f t="shared" si="7"/>
        <v>-550459</v>
      </c>
      <c r="J138" s="610">
        <v>0.0</v>
      </c>
      <c r="K138" s="591"/>
      <c r="L138" s="6"/>
      <c r="M138" s="6"/>
      <c r="N138" s="6"/>
      <c r="O138" s="6"/>
      <c r="P138" s="6"/>
      <c r="Q138" s="6"/>
      <c r="R138" s="6"/>
      <c r="S138" s="6"/>
    </row>
    <row r="139" ht="11.25" customHeight="1">
      <c r="A139" s="7"/>
      <c r="B139" s="68">
        <f t="shared" si="8"/>
        <v>134</v>
      </c>
      <c r="C139" s="607"/>
      <c r="D139" s="6">
        <f t="shared" si="9"/>
        <v>0</v>
      </c>
      <c r="E139" s="6">
        <f t="shared" si="1"/>
        <v>0</v>
      </c>
      <c r="F139" s="6">
        <f t="shared" si="4"/>
        <v>550459</v>
      </c>
      <c r="G139" s="6">
        <f t="shared" si="5"/>
        <v>0</v>
      </c>
      <c r="H139" s="6">
        <f t="shared" si="6"/>
        <v>550459</v>
      </c>
      <c r="I139" s="6">
        <f t="shared" si="7"/>
        <v>-550459</v>
      </c>
      <c r="J139" s="610">
        <v>0.0</v>
      </c>
      <c r="K139" s="591"/>
      <c r="L139" s="6"/>
      <c r="M139" s="6"/>
      <c r="N139" s="6"/>
      <c r="O139" s="6"/>
      <c r="P139" s="6"/>
      <c r="Q139" s="6"/>
      <c r="R139" s="6"/>
      <c r="S139" s="6"/>
    </row>
    <row r="140" ht="11.25" customHeight="1">
      <c r="A140" s="7"/>
      <c r="B140" s="68">
        <f t="shared" si="8"/>
        <v>135</v>
      </c>
      <c r="C140" s="607"/>
      <c r="D140" s="6">
        <f t="shared" si="9"/>
        <v>0</v>
      </c>
      <c r="E140" s="6">
        <f t="shared" si="1"/>
        <v>0</v>
      </c>
      <c r="F140" s="6">
        <f t="shared" si="4"/>
        <v>550459</v>
      </c>
      <c r="G140" s="6">
        <f t="shared" si="5"/>
        <v>0</v>
      </c>
      <c r="H140" s="6">
        <f t="shared" si="6"/>
        <v>550459</v>
      </c>
      <c r="I140" s="6">
        <f t="shared" si="7"/>
        <v>-550459</v>
      </c>
      <c r="J140" s="610">
        <v>0.0</v>
      </c>
      <c r="K140" s="591"/>
      <c r="L140" s="6"/>
      <c r="M140" s="6"/>
      <c r="N140" s="6"/>
      <c r="O140" s="6"/>
      <c r="P140" s="6"/>
      <c r="Q140" s="6"/>
      <c r="R140" s="6"/>
      <c r="S140" s="6"/>
    </row>
    <row r="141" ht="11.25" customHeight="1">
      <c r="A141" s="7"/>
      <c r="B141" s="68">
        <f t="shared" si="8"/>
        <v>136</v>
      </c>
      <c r="C141" s="607"/>
      <c r="D141" s="6">
        <f t="shared" si="9"/>
        <v>0</v>
      </c>
      <c r="E141" s="6">
        <f t="shared" si="1"/>
        <v>0</v>
      </c>
      <c r="F141" s="6">
        <f t="shared" si="4"/>
        <v>550459</v>
      </c>
      <c r="G141" s="6">
        <f t="shared" si="5"/>
        <v>0</v>
      </c>
      <c r="H141" s="6">
        <f t="shared" si="6"/>
        <v>550459</v>
      </c>
      <c r="I141" s="6">
        <f t="shared" si="7"/>
        <v>-550459</v>
      </c>
      <c r="J141" s="610">
        <v>0.0</v>
      </c>
      <c r="K141" s="591"/>
      <c r="L141" s="6"/>
      <c r="M141" s="6"/>
      <c r="N141" s="6"/>
      <c r="O141" s="6"/>
      <c r="P141" s="6"/>
      <c r="Q141" s="6"/>
      <c r="R141" s="6"/>
      <c r="S141" s="6"/>
    </row>
    <row r="142" ht="11.25" customHeight="1">
      <c r="A142" s="7"/>
      <c r="B142" s="68">
        <f t="shared" si="8"/>
        <v>137</v>
      </c>
      <c r="C142" s="607"/>
      <c r="D142" s="6">
        <f t="shared" si="9"/>
        <v>0</v>
      </c>
      <c r="E142" s="6">
        <f t="shared" si="1"/>
        <v>0</v>
      </c>
      <c r="F142" s="6">
        <f t="shared" si="4"/>
        <v>550459</v>
      </c>
      <c r="G142" s="6">
        <f t="shared" si="5"/>
        <v>0</v>
      </c>
      <c r="H142" s="6">
        <f t="shared" si="6"/>
        <v>550459</v>
      </c>
      <c r="I142" s="6">
        <f t="shared" si="7"/>
        <v>-550459</v>
      </c>
      <c r="J142" s="610">
        <v>0.0</v>
      </c>
      <c r="K142" s="591"/>
      <c r="L142" s="6"/>
      <c r="M142" s="6"/>
      <c r="N142" s="6"/>
      <c r="O142" s="6"/>
      <c r="P142" s="6"/>
      <c r="Q142" s="6"/>
      <c r="R142" s="6"/>
      <c r="S142" s="6"/>
    </row>
    <row r="143" ht="11.25" customHeight="1">
      <c r="A143" s="7"/>
      <c r="B143" s="68">
        <f t="shared" si="8"/>
        <v>138</v>
      </c>
      <c r="C143" s="607"/>
      <c r="D143" s="6">
        <f t="shared" si="9"/>
        <v>0</v>
      </c>
      <c r="E143" s="6">
        <f t="shared" si="1"/>
        <v>0</v>
      </c>
      <c r="F143" s="6">
        <f t="shared" si="4"/>
        <v>550459</v>
      </c>
      <c r="G143" s="6">
        <f t="shared" si="5"/>
        <v>0</v>
      </c>
      <c r="H143" s="6">
        <f t="shared" si="6"/>
        <v>550459</v>
      </c>
      <c r="I143" s="6">
        <f t="shared" si="7"/>
        <v>-550459</v>
      </c>
      <c r="J143" s="610">
        <v>0.0</v>
      </c>
      <c r="K143" s="591"/>
      <c r="L143" s="6"/>
      <c r="M143" s="6"/>
      <c r="N143" s="6"/>
      <c r="O143" s="6"/>
      <c r="P143" s="6"/>
      <c r="Q143" s="6"/>
      <c r="R143" s="6"/>
      <c r="S143" s="6"/>
    </row>
    <row r="144" ht="11.25" customHeight="1">
      <c r="A144" s="7"/>
      <c r="B144" s="68">
        <f t="shared" si="8"/>
        <v>139</v>
      </c>
      <c r="C144" s="607"/>
      <c r="D144" s="6">
        <f t="shared" si="9"/>
        <v>0</v>
      </c>
      <c r="E144" s="6">
        <f t="shared" si="1"/>
        <v>0</v>
      </c>
      <c r="F144" s="6">
        <f t="shared" si="4"/>
        <v>550459</v>
      </c>
      <c r="G144" s="6">
        <f t="shared" si="5"/>
        <v>0</v>
      </c>
      <c r="H144" s="6">
        <f t="shared" si="6"/>
        <v>550459</v>
      </c>
      <c r="I144" s="6">
        <f t="shared" si="7"/>
        <v>-550459</v>
      </c>
      <c r="J144" s="610">
        <v>0.0</v>
      </c>
      <c r="K144" s="591"/>
      <c r="L144" s="6"/>
      <c r="M144" s="6"/>
      <c r="N144" s="6"/>
      <c r="O144" s="6"/>
      <c r="P144" s="6"/>
      <c r="Q144" s="6"/>
      <c r="R144" s="6"/>
      <c r="S144" s="6"/>
    </row>
    <row r="145" ht="11.25" customHeight="1">
      <c r="A145" s="7"/>
      <c r="B145" s="68">
        <f t="shared" si="8"/>
        <v>140</v>
      </c>
      <c r="C145" s="607"/>
      <c r="D145" s="6">
        <f t="shared" si="9"/>
        <v>0</v>
      </c>
      <c r="E145" s="6">
        <f t="shared" si="1"/>
        <v>0</v>
      </c>
      <c r="F145" s="6">
        <f t="shared" si="4"/>
        <v>550459</v>
      </c>
      <c r="G145" s="6">
        <f t="shared" si="5"/>
        <v>0</v>
      </c>
      <c r="H145" s="6">
        <f t="shared" si="6"/>
        <v>550459</v>
      </c>
      <c r="I145" s="6">
        <f t="shared" si="7"/>
        <v>-550459</v>
      </c>
      <c r="J145" s="610">
        <v>0.0</v>
      </c>
      <c r="K145" s="591"/>
      <c r="L145" s="6"/>
      <c r="M145" s="6"/>
      <c r="N145" s="6"/>
      <c r="O145" s="6"/>
      <c r="P145" s="6"/>
      <c r="Q145" s="6"/>
      <c r="R145" s="6"/>
      <c r="S145" s="6"/>
    </row>
    <row r="146" ht="11.25" customHeight="1">
      <c r="A146" s="7"/>
      <c r="B146" s="68">
        <f t="shared" si="8"/>
        <v>141</v>
      </c>
      <c r="C146" s="607"/>
      <c r="D146" s="6">
        <f t="shared" si="9"/>
        <v>0</v>
      </c>
      <c r="E146" s="6">
        <f t="shared" si="1"/>
        <v>0</v>
      </c>
      <c r="F146" s="6">
        <f t="shared" si="4"/>
        <v>550459</v>
      </c>
      <c r="G146" s="6">
        <f t="shared" si="5"/>
        <v>0</v>
      </c>
      <c r="H146" s="6">
        <f t="shared" si="6"/>
        <v>550459</v>
      </c>
      <c r="I146" s="6">
        <f t="shared" si="7"/>
        <v>-550459</v>
      </c>
      <c r="J146" s="610">
        <v>0.0</v>
      </c>
      <c r="K146" s="591"/>
      <c r="L146" s="6"/>
      <c r="M146" s="6"/>
      <c r="N146" s="6"/>
      <c r="O146" s="6"/>
      <c r="P146" s="6"/>
      <c r="Q146" s="6"/>
      <c r="R146" s="6"/>
      <c r="S146" s="6"/>
    </row>
    <row r="147" ht="11.25" customHeight="1">
      <c r="A147" s="7"/>
      <c r="B147" s="68">
        <f t="shared" si="8"/>
        <v>142</v>
      </c>
      <c r="C147" s="607"/>
      <c r="D147" s="6">
        <f t="shared" si="9"/>
        <v>0</v>
      </c>
      <c r="E147" s="6">
        <f t="shared" si="1"/>
        <v>0</v>
      </c>
      <c r="F147" s="6">
        <f t="shared" si="4"/>
        <v>550459</v>
      </c>
      <c r="G147" s="6">
        <f t="shared" si="5"/>
        <v>0</v>
      </c>
      <c r="H147" s="6">
        <f t="shared" si="6"/>
        <v>550459</v>
      </c>
      <c r="I147" s="6">
        <f t="shared" si="7"/>
        <v>-550459</v>
      </c>
      <c r="J147" s="610">
        <v>0.0</v>
      </c>
      <c r="K147" s="591"/>
      <c r="L147" s="6"/>
      <c r="M147" s="6"/>
      <c r="N147" s="6"/>
      <c r="O147" s="6"/>
      <c r="P147" s="6"/>
      <c r="Q147" s="6"/>
      <c r="R147" s="6"/>
      <c r="S147" s="6"/>
    </row>
    <row r="148" ht="11.25" customHeight="1">
      <c r="A148" s="7"/>
      <c r="B148" s="68">
        <f t="shared" si="8"/>
        <v>143</v>
      </c>
      <c r="C148" s="607"/>
      <c r="D148" s="6">
        <f t="shared" si="9"/>
        <v>0</v>
      </c>
      <c r="E148" s="6">
        <f t="shared" si="1"/>
        <v>0</v>
      </c>
      <c r="F148" s="6">
        <f t="shared" si="4"/>
        <v>550459</v>
      </c>
      <c r="G148" s="6">
        <f t="shared" si="5"/>
        <v>0</v>
      </c>
      <c r="H148" s="6">
        <f t="shared" si="6"/>
        <v>550459</v>
      </c>
      <c r="I148" s="6">
        <f t="shared" si="7"/>
        <v>-550459</v>
      </c>
      <c r="J148" s="610">
        <v>0.0</v>
      </c>
      <c r="K148" s="591"/>
      <c r="L148" s="6"/>
      <c r="M148" s="6"/>
      <c r="N148" s="6"/>
      <c r="O148" s="6"/>
      <c r="P148" s="6"/>
      <c r="Q148" s="6"/>
      <c r="R148" s="6"/>
      <c r="S148" s="6"/>
    </row>
    <row r="149" ht="11.25" customHeight="1">
      <c r="A149" s="71"/>
      <c r="B149" s="72">
        <f t="shared" si="8"/>
        <v>144</v>
      </c>
      <c r="C149" s="607"/>
      <c r="D149" s="10">
        <f t="shared" si="9"/>
        <v>0</v>
      </c>
      <c r="E149" s="10">
        <f t="shared" si="1"/>
        <v>0</v>
      </c>
      <c r="F149" s="10">
        <f t="shared" si="4"/>
        <v>550459</v>
      </c>
      <c r="G149" s="10">
        <f t="shared" si="5"/>
        <v>0</v>
      </c>
      <c r="H149" s="10">
        <f t="shared" si="6"/>
        <v>550459</v>
      </c>
      <c r="I149" s="10">
        <f t="shared" si="7"/>
        <v>-550459</v>
      </c>
      <c r="J149" s="610">
        <v>0.0</v>
      </c>
      <c r="K149" s="591"/>
      <c r="L149" s="6"/>
      <c r="M149" s="6"/>
      <c r="N149" s="6"/>
      <c r="O149" s="6"/>
      <c r="P149" s="6"/>
      <c r="Q149" s="6"/>
      <c r="R149" s="6"/>
      <c r="S149" s="6"/>
    </row>
    <row r="150" ht="11.25" customHeight="1">
      <c r="A150" s="100">
        <v>13.0</v>
      </c>
      <c r="B150" s="66">
        <f t="shared" si="8"/>
        <v>145</v>
      </c>
      <c r="C150" s="607"/>
      <c r="D150" s="617">
        <f t="shared" si="9"/>
        <v>0</v>
      </c>
      <c r="E150" s="617">
        <f t="shared" si="1"/>
        <v>0</v>
      </c>
      <c r="F150" s="617">
        <f t="shared" si="4"/>
        <v>550459</v>
      </c>
      <c r="G150" s="617">
        <f t="shared" si="5"/>
        <v>0</v>
      </c>
      <c r="H150" s="617">
        <f t="shared" si="6"/>
        <v>550459</v>
      </c>
      <c r="I150" s="617">
        <f t="shared" si="7"/>
        <v>-550459</v>
      </c>
      <c r="J150" s="610">
        <v>0.0</v>
      </c>
      <c r="K150" s="591"/>
      <c r="L150" s="6"/>
      <c r="M150" s="6"/>
      <c r="N150" s="6"/>
      <c r="O150" s="6"/>
      <c r="P150" s="6"/>
      <c r="Q150" s="6"/>
      <c r="R150" s="6"/>
      <c r="S150" s="6"/>
    </row>
    <row r="151" ht="11.25" customHeight="1">
      <c r="A151" s="7"/>
      <c r="B151" s="68">
        <f t="shared" si="8"/>
        <v>146</v>
      </c>
      <c r="C151" s="607"/>
      <c r="D151" s="6">
        <f t="shared" si="9"/>
        <v>0</v>
      </c>
      <c r="E151" s="6">
        <f t="shared" si="1"/>
        <v>0</v>
      </c>
      <c r="F151" s="6">
        <f t="shared" si="4"/>
        <v>550459</v>
      </c>
      <c r="G151" s="6">
        <f t="shared" si="5"/>
        <v>0</v>
      </c>
      <c r="H151" s="6">
        <f t="shared" si="6"/>
        <v>550459</v>
      </c>
      <c r="I151" s="6">
        <f t="shared" si="7"/>
        <v>-550459</v>
      </c>
      <c r="J151" s="610">
        <v>0.0</v>
      </c>
      <c r="K151" s="591"/>
      <c r="L151" s="6"/>
      <c r="M151" s="6"/>
      <c r="N151" s="6"/>
      <c r="O151" s="6"/>
      <c r="P151" s="6"/>
      <c r="Q151" s="6"/>
      <c r="R151" s="6"/>
      <c r="S151" s="6"/>
    </row>
    <row r="152" ht="11.25" customHeight="1">
      <c r="A152" s="7"/>
      <c r="B152" s="68">
        <f t="shared" si="8"/>
        <v>147</v>
      </c>
      <c r="C152" s="607"/>
      <c r="D152" s="6">
        <f t="shared" si="9"/>
        <v>0</v>
      </c>
      <c r="E152" s="6">
        <f t="shared" si="1"/>
        <v>0</v>
      </c>
      <c r="F152" s="6">
        <f t="shared" si="4"/>
        <v>550459</v>
      </c>
      <c r="G152" s="6">
        <f t="shared" si="5"/>
        <v>0</v>
      </c>
      <c r="H152" s="6">
        <f t="shared" si="6"/>
        <v>550459</v>
      </c>
      <c r="I152" s="6">
        <f t="shared" si="7"/>
        <v>-550459</v>
      </c>
      <c r="J152" s="610">
        <v>0.0</v>
      </c>
      <c r="K152" s="591"/>
      <c r="L152" s="6"/>
      <c r="M152" s="6"/>
      <c r="N152" s="6"/>
      <c r="O152" s="6"/>
      <c r="P152" s="6"/>
      <c r="Q152" s="6"/>
      <c r="R152" s="6"/>
      <c r="S152" s="6"/>
    </row>
    <row r="153" ht="11.25" customHeight="1">
      <c r="A153" s="7"/>
      <c r="B153" s="68">
        <f t="shared" si="8"/>
        <v>148</v>
      </c>
      <c r="C153" s="607"/>
      <c r="D153" s="6">
        <f t="shared" si="9"/>
        <v>0</v>
      </c>
      <c r="E153" s="6">
        <f t="shared" si="1"/>
        <v>0</v>
      </c>
      <c r="F153" s="6">
        <f t="shared" si="4"/>
        <v>550459</v>
      </c>
      <c r="G153" s="6">
        <f t="shared" si="5"/>
        <v>0</v>
      </c>
      <c r="H153" s="6">
        <f t="shared" si="6"/>
        <v>550459</v>
      </c>
      <c r="I153" s="6">
        <f t="shared" si="7"/>
        <v>-550459</v>
      </c>
      <c r="J153" s="610">
        <v>0.0</v>
      </c>
      <c r="K153" s="591"/>
      <c r="L153" s="6"/>
      <c r="M153" s="6"/>
      <c r="N153" s="6"/>
      <c r="O153" s="6"/>
      <c r="P153" s="6"/>
      <c r="Q153" s="6"/>
      <c r="R153" s="6"/>
      <c r="S153" s="6"/>
    </row>
    <row r="154" ht="11.25" customHeight="1">
      <c r="A154" s="7"/>
      <c r="B154" s="68">
        <f t="shared" si="8"/>
        <v>149</v>
      </c>
      <c r="C154" s="607"/>
      <c r="D154" s="6">
        <f t="shared" si="9"/>
        <v>0</v>
      </c>
      <c r="E154" s="6">
        <f t="shared" si="1"/>
        <v>0</v>
      </c>
      <c r="F154" s="6">
        <f t="shared" si="4"/>
        <v>550459</v>
      </c>
      <c r="G154" s="6">
        <f t="shared" si="5"/>
        <v>0</v>
      </c>
      <c r="H154" s="6">
        <f t="shared" si="6"/>
        <v>550459</v>
      </c>
      <c r="I154" s="6">
        <f t="shared" si="7"/>
        <v>-550459</v>
      </c>
      <c r="J154" s="610">
        <v>0.0</v>
      </c>
      <c r="K154" s="591"/>
      <c r="L154" s="6"/>
      <c r="M154" s="6"/>
      <c r="N154" s="6"/>
      <c r="O154" s="6"/>
      <c r="P154" s="6"/>
      <c r="Q154" s="6"/>
      <c r="R154" s="6"/>
      <c r="S154" s="6"/>
    </row>
    <row r="155" ht="11.25" customHeight="1">
      <c r="A155" s="7"/>
      <c r="B155" s="68">
        <f t="shared" si="8"/>
        <v>150</v>
      </c>
      <c r="C155" s="607"/>
      <c r="D155" s="6">
        <f t="shared" si="9"/>
        <v>0</v>
      </c>
      <c r="E155" s="6">
        <f t="shared" si="1"/>
        <v>0</v>
      </c>
      <c r="F155" s="6">
        <f t="shared" si="4"/>
        <v>550459</v>
      </c>
      <c r="G155" s="6">
        <f t="shared" si="5"/>
        <v>0</v>
      </c>
      <c r="H155" s="6">
        <f t="shared" si="6"/>
        <v>550459</v>
      </c>
      <c r="I155" s="6">
        <f t="shared" si="7"/>
        <v>-550459</v>
      </c>
      <c r="J155" s="610">
        <v>0.0</v>
      </c>
      <c r="K155" s="591"/>
      <c r="L155" s="6"/>
      <c r="M155" s="6"/>
      <c r="N155" s="6"/>
      <c r="O155" s="6"/>
      <c r="P155" s="6"/>
      <c r="Q155" s="6"/>
      <c r="R155" s="6"/>
      <c r="S155" s="6"/>
    </row>
    <row r="156" ht="11.25" customHeight="1">
      <c r="A156" s="7"/>
      <c r="B156" s="68">
        <f t="shared" si="8"/>
        <v>151</v>
      </c>
      <c r="C156" s="607"/>
      <c r="D156" s="6">
        <f t="shared" si="9"/>
        <v>0</v>
      </c>
      <c r="E156" s="6">
        <f t="shared" si="1"/>
        <v>0</v>
      </c>
      <c r="F156" s="6">
        <f t="shared" si="4"/>
        <v>550459</v>
      </c>
      <c r="G156" s="6">
        <f t="shared" si="5"/>
        <v>0</v>
      </c>
      <c r="H156" s="6">
        <f t="shared" si="6"/>
        <v>550459</v>
      </c>
      <c r="I156" s="6">
        <f t="shared" si="7"/>
        <v>-550459</v>
      </c>
      <c r="J156" s="610">
        <v>0.0</v>
      </c>
      <c r="K156" s="591"/>
      <c r="L156" s="6"/>
      <c r="M156" s="6"/>
      <c r="N156" s="6"/>
      <c r="O156" s="6"/>
      <c r="P156" s="6"/>
      <c r="Q156" s="6"/>
      <c r="R156" s="6"/>
      <c r="S156" s="6"/>
    </row>
    <row r="157" ht="11.25" customHeight="1">
      <c r="A157" s="7"/>
      <c r="B157" s="68">
        <f t="shared" si="8"/>
        <v>152</v>
      </c>
      <c r="C157" s="607"/>
      <c r="D157" s="6">
        <f t="shared" si="9"/>
        <v>0</v>
      </c>
      <c r="E157" s="6">
        <f t="shared" si="1"/>
        <v>0</v>
      </c>
      <c r="F157" s="6">
        <f t="shared" si="4"/>
        <v>550459</v>
      </c>
      <c r="G157" s="6">
        <f t="shared" si="5"/>
        <v>0</v>
      </c>
      <c r="H157" s="6">
        <f t="shared" si="6"/>
        <v>550459</v>
      </c>
      <c r="I157" s="6">
        <f t="shared" si="7"/>
        <v>-550459</v>
      </c>
      <c r="J157" s="610">
        <v>0.0</v>
      </c>
      <c r="K157" s="591"/>
      <c r="L157" s="6"/>
      <c r="M157" s="6"/>
      <c r="N157" s="6"/>
      <c r="O157" s="6"/>
      <c r="P157" s="6"/>
      <c r="Q157" s="6"/>
      <c r="R157" s="6"/>
      <c r="S157" s="6"/>
    </row>
    <row r="158" ht="11.25" customHeight="1">
      <c r="A158" s="7"/>
      <c r="B158" s="68">
        <f t="shared" si="8"/>
        <v>153</v>
      </c>
      <c r="C158" s="607"/>
      <c r="D158" s="6">
        <f t="shared" si="9"/>
        <v>0</v>
      </c>
      <c r="E158" s="6">
        <f t="shared" si="1"/>
        <v>0</v>
      </c>
      <c r="F158" s="6">
        <f t="shared" si="4"/>
        <v>550459</v>
      </c>
      <c r="G158" s="6">
        <f t="shared" si="5"/>
        <v>0</v>
      </c>
      <c r="H158" s="6">
        <f t="shared" si="6"/>
        <v>550459</v>
      </c>
      <c r="I158" s="6">
        <f t="shared" si="7"/>
        <v>-550459</v>
      </c>
      <c r="J158" s="610">
        <v>0.0</v>
      </c>
      <c r="K158" s="591"/>
      <c r="L158" s="6"/>
      <c r="M158" s="6"/>
      <c r="N158" s="6"/>
      <c r="O158" s="6"/>
      <c r="P158" s="6"/>
      <c r="Q158" s="6"/>
      <c r="R158" s="6"/>
      <c r="S158" s="6"/>
    </row>
    <row r="159" ht="11.25" customHeight="1">
      <c r="A159" s="7"/>
      <c r="B159" s="68">
        <f t="shared" si="8"/>
        <v>154</v>
      </c>
      <c r="C159" s="607"/>
      <c r="D159" s="6">
        <f t="shared" si="9"/>
        <v>0</v>
      </c>
      <c r="E159" s="6">
        <f t="shared" si="1"/>
        <v>0</v>
      </c>
      <c r="F159" s="6">
        <f t="shared" si="4"/>
        <v>550459</v>
      </c>
      <c r="G159" s="6">
        <f t="shared" si="5"/>
        <v>0</v>
      </c>
      <c r="H159" s="6">
        <f t="shared" si="6"/>
        <v>550459</v>
      </c>
      <c r="I159" s="6">
        <f t="shared" si="7"/>
        <v>-550459</v>
      </c>
      <c r="J159" s="610">
        <v>0.0</v>
      </c>
      <c r="K159" s="591"/>
      <c r="L159" s="6"/>
      <c r="M159" s="6"/>
      <c r="N159" s="6"/>
      <c r="O159" s="6"/>
      <c r="P159" s="6"/>
      <c r="Q159" s="6"/>
      <c r="R159" s="6"/>
      <c r="S159" s="6"/>
    </row>
    <row r="160" ht="11.25" customHeight="1">
      <c r="A160" s="7"/>
      <c r="B160" s="68">
        <f t="shared" si="8"/>
        <v>155</v>
      </c>
      <c r="C160" s="607"/>
      <c r="D160" s="6">
        <f t="shared" si="9"/>
        <v>0</v>
      </c>
      <c r="E160" s="6">
        <f t="shared" si="1"/>
        <v>0</v>
      </c>
      <c r="F160" s="6">
        <f t="shared" si="4"/>
        <v>550459</v>
      </c>
      <c r="G160" s="6">
        <f t="shared" si="5"/>
        <v>0</v>
      </c>
      <c r="H160" s="6">
        <f t="shared" si="6"/>
        <v>550459</v>
      </c>
      <c r="I160" s="6">
        <f t="shared" si="7"/>
        <v>-550459</v>
      </c>
      <c r="J160" s="610">
        <v>0.0</v>
      </c>
      <c r="K160" s="591"/>
      <c r="L160" s="6"/>
      <c r="M160" s="6"/>
      <c r="N160" s="6"/>
      <c r="O160" s="6"/>
      <c r="P160" s="6"/>
      <c r="Q160" s="6"/>
      <c r="R160" s="6"/>
      <c r="S160" s="6"/>
    </row>
    <row r="161" ht="11.25" customHeight="1">
      <c r="A161" s="71"/>
      <c r="B161" s="72">
        <f t="shared" si="8"/>
        <v>156</v>
      </c>
      <c r="C161" s="607"/>
      <c r="D161" s="10">
        <f t="shared" si="9"/>
        <v>0</v>
      </c>
      <c r="E161" s="10">
        <f t="shared" si="1"/>
        <v>0</v>
      </c>
      <c r="F161" s="10">
        <f t="shared" si="4"/>
        <v>550459</v>
      </c>
      <c r="G161" s="10">
        <f t="shared" si="5"/>
        <v>0</v>
      </c>
      <c r="H161" s="10">
        <f t="shared" si="6"/>
        <v>550459</v>
      </c>
      <c r="I161" s="10">
        <f t="shared" si="7"/>
        <v>-550459</v>
      </c>
      <c r="J161" s="610">
        <v>0.0</v>
      </c>
      <c r="K161" s="591"/>
      <c r="L161" s="6"/>
      <c r="M161" s="6"/>
      <c r="N161" s="6"/>
      <c r="O161" s="6"/>
      <c r="P161" s="6"/>
      <c r="Q161" s="6"/>
      <c r="R161" s="6"/>
      <c r="S161" s="6"/>
    </row>
    <row r="162" ht="11.25" customHeight="1">
      <c r="A162" s="100">
        <v>14.0</v>
      </c>
      <c r="B162" s="66">
        <f t="shared" si="8"/>
        <v>157</v>
      </c>
      <c r="C162" s="607"/>
      <c r="D162" s="617">
        <f t="shared" si="9"/>
        <v>0</v>
      </c>
      <c r="E162" s="617">
        <f t="shared" si="1"/>
        <v>0</v>
      </c>
      <c r="F162" s="617">
        <f t="shared" si="4"/>
        <v>550459</v>
      </c>
      <c r="G162" s="617">
        <f t="shared" si="5"/>
        <v>0</v>
      </c>
      <c r="H162" s="617">
        <f t="shared" si="6"/>
        <v>550459</v>
      </c>
      <c r="I162" s="617">
        <f t="shared" si="7"/>
        <v>-550459</v>
      </c>
      <c r="J162" s="610">
        <v>0.0</v>
      </c>
      <c r="K162" s="591"/>
      <c r="L162" s="6"/>
      <c r="M162" s="6"/>
      <c r="N162" s="6"/>
      <c r="O162" s="6"/>
      <c r="P162" s="6"/>
      <c r="Q162" s="6"/>
      <c r="R162" s="6"/>
      <c r="S162" s="6"/>
    </row>
    <row r="163" ht="11.25" customHeight="1">
      <c r="A163" s="7"/>
      <c r="B163" s="68">
        <f t="shared" si="8"/>
        <v>158</v>
      </c>
      <c r="C163" s="607"/>
      <c r="D163" s="6">
        <f t="shared" si="9"/>
        <v>0</v>
      </c>
      <c r="E163" s="6">
        <f t="shared" si="1"/>
        <v>0</v>
      </c>
      <c r="F163" s="6">
        <f t="shared" si="4"/>
        <v>550459</v>
      </c>
      <c r="G163" s="6">
        <f t="shared" si="5"/>
        <v>0</v>
      </c>
      <c r="H163" s="6">
        <f t="shared" si="6"/>
        <v>550459</v>
      </c>
      <c r="I163" s="6">
        <f t="shared" si="7"/>
        <v>-550459</v>
      </c>
      <c r="J163" s="610">
        <v>0.0</v>
      </c>
      <c r="K163" s="591"/>
      <c r="L163" s="6"/>
      <c r="M163" s="6"/>
      <c r="N163" s="6"/>
      <c r="O163" s="6"/>
      <c r="P163" s="6"/>
      <c r="Q163" s="6"/>
      <c r="R163" s="6"/>
      <c r="S163" s="6"/>
    </row>
    <row r="164" ht="11.25" customHeight="1">
      <c r="A164" s="7"/>
      <c r="B164" s="68">
        <f t="shared" si="8"/>
        <v>159</v>
      </c>
      <c r="C164" s="607"/>
      <c r="D164" s="6">
        <f t="shared" si="9"/>
        <v>0</v>
      </c>
      <c r="E164" s="6">
        <f t="shared" si="1"/>
        <v>0</v>
      </c>
      <c r="F164" s="6">
        <f t="shared" si="4"/>
        <v>550459</v>
      </c>
      <c r="G164" s="6">
        <f t="shared" si="5"/>
        <v>0</v>
      </c>
      <c r="H164" s="6">
        <f t="shared" si="6"/>
        <v>550459</v>
      </c>
      <c r="I164" s="6">
        <f t="shared" si="7"/>
        <v>-550459</v>
      </c>
      <c r="J164" s="610">
        <v>0.0</v>
      </c>
      <c r="K164" s="591"/>
      <c r="L164" s="6"/>
      <c r="M164" s="6"/>
      <c r="N164" s="6"/>
      <c r="O164" s="6"/>
      <c r="P164" s="6"/>
      <c r="Q164" s="6"/>
      <c r="R164" s="6"/>
      <c r="S164" s="6"/>
    </row>
    <row r="165" ht="11.25" customHeight="1">
      <c r="A165" s="7"/>
      <c r="B165" s="68">
        <f t="shared" si="8"/>
        <v>160</v>
      </c>
      <c r="C165" s="607"/>
      <c r="D165" s="6">
        <f t="shared" si="9"/>
        <v>0</v>
      </c>
      <c r="E165" s="6">
        <f t="shared" si="1"/>
        <v>0</v>
      </c>
      <c r="F165" s="6">
        <f t="shared" si="4"/>
        <v>550459</v>
      </c>
      <c r="G165" s="6">
        <f t="shared" si="5"/>
        <v>0</v>
      </c>
      <c r="H165" s="6">
        <f t="shared" si="6"/>
        <v>550459</v>
      </c>
      <c r="I165" s="6">
        <f t="shared" si="7"/>
        <v>-550459</v>
      </c>
      <c r="J165" s="610">
        <v>0.0</v>
      </c>
      <c r="K165" s="591"/>
      <c r="L165" s="6"/>
      <c r="M165" s="6"/>
      <c r="N165" s="6"/>
      <c r="O165" s="6"/>
      <c r="P165" s="6"/>
      <c r="Q165" s="6"/>
      <c r="R165" s="6"/>
      <c r="S165" s="6"/>
    </row>
    <row r="166" ht="11.25" customHeight="1">
      <c r="A166" s="7"/>
      <c r="B166" s="68">
        <f t="shared" si="8"/>
        <v>161</v>
      </c>
      <c r="C166" s="607"/>
      <c r="D166" s="6">
        <f t="shared" si="9"/>
        <v>0</v>
      </c>
      <c r="E166" s="6">
        <f t="shared" si="1"/>
        <v>0</v>
      </c>
      <c r="F166" s="6">
        <f t="shared" si="4"/>
        <v>550459</v>
      </c>
      <c r="G166" s="6">
        <f t="shared" si="5"/>
        <v>0</v>
      </c>
      <c r="H166" s="6">
        <f t="shared" si="6"/>
        <v>550459</v>
      </c>
      <c r="I166" s="6">
        <f t="shared" si="7"/>
        <v>-550459</v>
      </c>
      <c r="J166" s="610">
        <v>0.0</v>
      </c>
      <c r="K166" s="591"/>
      <c r="L166" s="6"/>
      <c r="M166" s="6"/>
      <c r="N166" s="6"/>
      <c r="O166" s="6"/>
      <c r="P166" s="6"/>
      <c r="Q166" s="6"/>
      <c r="R166" s="6"/>
      <c r="S166" s="6"/>
    </row>
    <row r="167" ht="11.25" customHeight="1">
      <c r="A167" s="7"/>
      <c r="B167" s="68">
        <f t="shared" si="8"/>
        <v>162</v>
      </c>
      <c r="C167" s="607"/>
      <c r="D167" s="6">
        <f t="shared" si="9"/>
        <v>0</v>
      </c>
      <c r="E167" s="6">
        <f t="shared" si="1"/>
        <v>0</v>
      </c>
      <c r="F167" s="6">
        <f t="shared" si="4"/>
        <v>550459</v>
      </c>
      <c r="G167" s="6">
        <f t="shared" si="5"/>
        <v>0</v>
      </c>
      <c r="H167" s="6">
        <f t="shared" si="6"/>
        <v>550459</v>
      </c>
      <c r="I167" s="6">
        <f t="shared" si="7"/>
        <v>-550459</v>
      </c>
      <c r="J167" s="610">
        <v>0.0</v>
      </c>
      <c r="K167" s="591"/>
      <c r="L167" s="6"/>
      <c r="M167" s="6"/>
      <c r="N167" s="6"/>
      <c r="O167" s="6"/>
      <c r="P167" s="6"/>
      <c r="Q167" s="6"/>
      <c r="R167" s="6"/>
      <c r="S167" s="6"/>
    </row>
    <row r="168" ht="11.25" customHeight="1">
      <c r="A168" s="7"/>
      <c r="B168" s="68">
        <f t="shared" si="8"/>
        <v>163</v>
      </c>
      <c r="C168" s="607"/>
      <c r="D168" s="6">
        <f t="shared" si="9"/>
        <v>0</v>
      </c>
      <c r="E168" s="6">
        <f t="shared" si="1"/>
        <v>0</v>
      </c>
      <c r="F168" s="6">
        <f t="shared" si="4"/>
        <v>550459</v>
      </c>
      <c r="G168" s="6">
        <f t="shared" si="5"/>
        <v>0</v>
      </c>
      <c r="H168" s="6">
        <f t="shared" si="6"/>
        <v>550459</v>
      </c>
      <c r="I168" s="6">
        <f t="shared" si="7"/>
        <v>-550459</v>
      </c>
      <c r="J168" s="610">
        <v>0.0</v>
      </c>
      <c r="K168" s="591"/>
      <c r="L168" s="6"/>
      <c r="M168" s="6"/>
      <c r="N168" s="6"/>
      <c r="O168" s="6"/>
      <c r="P168" s="6"/>
      <c r="Q168" s="6"/>
      <c r="R168" s="6"/>
      <c r="S168" s="6"/>
    </row>
    <row r="169" ht="11.25" customHeight="1">
      <c r="A169" s="7"/>
      <c r="B169" s="68">
        <f t="shared" si="8"/>
        <v>164</v>
      </c>
      <c r="C169" s="607"/>
      <c r="D169" s="6">
        <f t="shared" si="9"/>
        <v>0</v>
      </c>
      <c r="E169" s="6">
        <f t="shared" si="1"/>
        <v>0</v>
      </c>
      <c r="F169" s="6">
        <f t="shared" si="4"/>
        <v>550459</v>
      </c>
      <c r="G169" s="6">
        <f t="shared" si="5"/>
        <v>0</v>
      </c>
      <c r="H169" s="6">
        <f t="shared" si="6"/>
        <v>550459</v>
      </c>
      <c r="I169" s="6">
        <f t="shared" si="7"/>
        <v>-550459</v>
      </c>
      <c r="J169" s="610">
        <v>0.0</v>
      </c>
      <c r="K169" s="591"/>
      <c r="L169" s="6"/>
      <c r="M169" s="6"/>
      <c r="N169" s="6"/>
      <c r="O169" s="6"/>
      <c r="P169" s="6"/>
      <c r="Q169" s="6"/>
      <c r="R169" s="6"/>
      <c r="S169" s="6"/>
    </row>
    <row r="170" ht="11.25" customHeight="1">
      <c r="A170" s="7"/>
      <c r="B170" s="68">
        <f t="shared" si="8"/>
        <v>165</v>
      </c>
      <c r="C170" s="607"/>
      <c r="D170" s="6">
        <f t="shared" si="9"/>
        <v>0</v>
      </c>
      <c r="E170" s="6">
        <f t="shared" si="1"/>
        <v>0</v>
      </c>
      <c r="F170" s="6">
        <f t="shared" si="4"/>
        <v>550459</v>
      </c>
      <c r="G170" s="6">
        <f t="shared" si="5"/>
        <v>0</v>
      </c>
      <c r="H170" s="6">
        <f t="shared" si="6"/>
        <v>550459</v>
      </c>
      <c r="I170" s="6">
        <f t="shared" si="7"/>
        <v>-550459</v>
      </c>
      <c r="J170" s="610">
        <v>0.0</v>
      </c>
      <c r="K170" s="591"/>
      <c r="L170" s="6"/>
      <c r="M170" s="6"/>
      <c r="N170" s="6"/>
      <c r="O170" s="6"/>
      <c r="P170" s="6"/>
      <c r="Q170" s="6"/>
      <c r="R170" s="6"/>
      <c r="S170" s="6"/>
    </row>
    <row r="171" ht="11.25" customHeight="1">
      <c r="A171" s="7"/>
      <c r="B171" s="68">
        <f t="shared" si="8"/>
        <v>166</v>
      </c>
      <c r="C171" s="607"/>
      <c r="D171" s="6">
        <f t="shared" si="9"/>
        <v>0</v>
      </c>
      <c r="E171" s="6">
        <f t="shared" si="1"/>
        <v>0</v>
      </c>
      <c r="F171" s="6">
        <f t="shared" si="4"/>
        <v>550459</v>
      </c>
      <c r="G171" s="6">
        <f t="shared" si="5"/>
        <v>0</v>
      </c>
      <c r="H171" s="6">
        <f t="shared" si="6"/>
        <v>550459</v>
      </c>
      <c r="I171" s="6">
        <f t="shared" si="7"/>
        <v>-550459</v>
      </c>
      <c r="J171" s="610">
        <v>0.0</v>
      </c>
      <c r="K171" s="591"/>
      <c r="L171" s="6"/>
      <c r="M171" s="6"/>
      <c r="N171" s="6"/>
      <c r="O171" s="6"/>
      <c r="P171" s="6"/>
      <c r="Q171" s="6"/>
      <c r="R171" s="6"/>
      <c r="S171" s="6"/>
    </row>
    <row r="172" ht="11.25" customHeight="1">
      <c r="A172" s="7"/>
      <c r="B172" s="68">
        <f t="shared" si="8"/>
        <v>167</v>
      </c>
      <c r="C172" s="607"/>
      <c r="D172" s="6">
        <f t="shared" si="9"/>
        <v>0</v>
      </c>
      <c r="E172" s="6">
        <f t="shared" si="1"/>
        <v>0</v>
      </c>
      <c r="F172" s="6">
        <f t="shared" si="4"/>
        <v>550459</v>
      </c>
      <c r="G172" s="6">
        <f t="shared" si="5"/>
        <v>0</v>
      </c>
      <c r="H172" s="6">
        <f t="shared" si="6"/>
        <v>550459</v>
      </c>
      <c r="I172" s="6">
        <f t="shared" si="7"/>
        <v>-550459</v>
      </c>
      <c r="J172" s="610">
        <v>0.0</v>
      </c>
      <c r="K172" s="591"/>
      <c r="L172" s="6"/>
      <c r="M172" s="6"/>
      <c r="N172" s="6"/>
      <c r="O172" s="6"/>
      <c r="P172" s="6"/>
      <c r="Q172" s="6"/>
      <c r="R172" s="6"/>
      <c r="S172" s="6"/>
    </row>
    <row r="173" ht="11.25" customHeight="1">
      <c r="A173" s="71"/>
      <c r="B173" s="72">
        <f t="shared" si="8"/>
        <v>168</v>
      </c>
      <c r="C173" s="607"/>
      <c r="D173" s="10">
        <f t="shared" si="9"/>
        <v>0</v>
      </c>
      <c r="E173" s="10">
        <f t="shared" si="1"/>
        <v>0</v>
      </c>
      <c r="F173" s="10">
        <f t="shared" si="4"/>
        <v>550459</v>
      </c>
      <c r="G173" s="10">
        <f t="shared" si="5"/>
        <v>0</v>
      </c>
      <c r="H173" s="10">
        <f t="shared" si="6"/>
        <v>550459</v>
      </c>
      <c r="I173" s="10">
        <f t="shared" si="7"/>
        <v>-550459</v>
      </c>
      <c r="J173" s="610">
        <v>0.0</v>
      </c>
      <c r="K173" s="591"/>
      <c r="L173" s="6"/>
      <c r="M173" s="6"/>
      <c r="N173" s="6"/>
      <c r="O173" s="6"/>
      <c r="P173" s="6"/>
      <c r="Q173" s="6"/>
      <c r="R173" s="6"/>
      <c r="S173" s="6"/>
    </row>
    <row r="174" ht="11.25" customHeight="1">
      <c r="A174" s="100">
        <v>15.0</v>
      </c>
      <c r="B174" s="66">
        <f t="shared" si="8"/>
        <v>169</v>
      </c>
      <c r="C174" s="607"/>
      <c r="D174" s="617">
        <f t="shared" si="9"/>
        <v>0</v>
      </c>
      <c r="E174" s="617">
        <f t="shared" si="1"/>
        <v>0</v>
      </c>
      <c r="F174" s="617">
        <f t="shared" si="4"/>
        <v>550459</v>
      </c>
      <c r="G174" s="617">
        <f t="shared" si="5"/>
        <v>0</v>
      </c>
      <c r="H174" s="617">
        <f t="shared" si="6"/>
        <v>550459</v>
      </c>
      <c r="I174" s="617">
        <f t="shared" si="7"/>
        <v>-550459</v>
      </c>
      <c r="J174" s="610">
        <v>0.0</v>
      </c>
      <c r="K174" s="591"/>
      <c r="L174" s="6"/>
      <c r="M174" s="6"/>
      <c r="N174" s="6"/>
      <c r="O174" s="6"/>
      <c r="P174" s="6"/>
      <c r="Q174" s="6"/>
      <c r="R174" s="6"/>
      <c r="S174" s="6"/>
    </row>
    <row r="175" ht="11.25" customHeight="1">
      <c r="A175" s="7"/>
      <c r="B175" s="68">
        <f t="shared" si="8"/>
        <v>170</v>
      </c>
      <c r="C175" s="607"/>
      <c r="D175" s="6">
        <f t="shared" si="9"/>
        <v>0</v>
      </c>
      <c r="E175" s="6">
        <f t="shared" si="1"/>
        <v>0</v>
      </c>
      <c r="F175" s="6">
        <f t="shared" si="4"/>
        <v>550459</v>
      </c>
      <c r="G175" s="6">
        <f t="shared" si="5"/>
        <v>0</v>
      </c>
      <c r="H175" s="6">
        <f t="shared" si="6"/>
        <v>550459</v>
      </c>
      <c r="I175" s="6">
        <f t="shared" si="7"/>
        <v>-550459</v>
      </c>
      <c r="J175" s="610">
        <v>0.0</v>
      </c>
      <c r="K175" s="591"/>
      <c r="L175" s="6"/>
      <c r="M175" s="6"/>
      <c r="N175" s="6"/>
      <c r="O175" s="6"/>
      <c r="P175" s="6"/>
      <c r="Q175" s="6"/>
      <c r="R175" s="6"/>
      <c r="S175" s="6"/>
    </row>
    <row r="176" ht="11.25" customHeight="1">
      <c r="A176" s="7"/>
      <c r="B176" s="68">
        <f t="shared" si="8"/>
        <v>171</v>
      </c>
      <c r="C176" s="607"/>
      <c r="D176" s="6">
        <f t="shared" si="9"/>
        <v>0</v>
      </c>
      <c r="E176" s="6">
        <f t="shared" si="1"/>
        <v>0</v>
      </c>
      <c r="F176" s="6">
        <f t="shared" si="4"/>
        <v>550459</v>
      </c>
      <c r="G176" s="6">
        <f t="shared" si="5"/>
        <v>0</v>
      </c>
      <c r="H176" s="6">
        <f t="shared" si="6"/>
        <v>550459</v>
      </c>
      <c r="I176" s="6">
        <f t="shared" si="7"/>
        <v>-550459</v>
      </c>
      <c r="J176" s="610">
        <v>0.0</v>
      </c>
      <c r="K176" s="591"/>
      <c r="L176" s="6"/>
      <c r="M176" s="6"/>
      <c r="N176" s="6"/>
      <c r="O176" s="6"/>
      <c r="P176" s="6"/>
      <c r="Q176" s="6"/>
      <c r="R176" s="6"/>
      <c r="S176" s="6"/>
    </row>
    <row r="177" ht="11.25" customHeight="1">
      <c r="A177" s="7"/>
      <c r="B177" s="68">
        <f t="shared" si="8"/>
        <v>172</v>
      </c>
      <c r="C177" s="607"/>
      <c r="D177" s="6">
        <f t="shared" si="9"/>
        <v>0</v>
      </c>
      <c r="E177" s="6">
        <f t="shared" si="1"/>
        <v>0</v>
      </c>
      <c r="F177" s="6">
        <f t="shared" si="4"/>
        <v>550459</v>
      </c>
      <c r="G177" s="6">
        <f t="shared" si="5"/>
        <v>0</v>
      </c>
      <c r="H177" s="6">
        <f t="shared" si="6"/>
        <v>550459</v>
      </c>
      <c r="I177" s="6">
        <f t="shared" si="7"/>
        <v>-550459</v>
      </c>
      <c r="J177" s="610">
        <v>0.0</v>
      </c>
      <c r="K177" s="591"/>
      <c r="L177" s="6"/>
      <c r="M177" s="6"/>
      <c r="N177" s="6"/>
      <c r="O177" s="6"/>
      <c r="P177" s="6"/>
      <c r="Q177" s="6"/>
      <c r="R177" s="6"/>
      <c r="S177" s="6"/>
    </row>
    <row r="178" ht="11.25" customHeight="1">
      <c r="A178" s="7"/>
      <c r="B178" s="68">
        <f t="shared" si="8"/>
        <v>173</v>
      </c>
      <c r="C178" s="607"/>
      <c r="D178" s="6">
        <f t="shared" si="9"/>
        <v>0</v>
      </c>
      <c r="E178" s="6">
        <f t="shared" si="1"/>
        <v>0</v>
      </c>
      <c r="F178" s="6">
        <f t="shared" si="4"/>
        <v>550459</v>
      </c>
      <c r="G178" s="6">
        <f t="shared" si="5"/>
        <v>0</v>
      </c>
      <c r="H178" s="6">
        <f t="shared" si="6"/>
        <v>550459</v>
      </c>
      <c r="I178" s="6">
        <f t="shared" si="7"/>
        <v>-550459</v>
      </c>
      <c r="J178" s="610">
        <v>0.0</v>
      </c>
      <c r="K178" s="591"/>
      <c r="L178" s="6"/>
      <c r="M178" s="6"/>
      <c r="N178" s="6"/>
      <c r="O178" s="6"/>
      <c r="P178" s="6"/>
      <c r="Q178" s="6"/>
      <c r="R178" s="6"/>
      <c r="S178" s="6"/>
    </row>
    <row r="179" ht="11.25" customHeight="1">
      <c r="A179" s="7"/>
      <c r="B179" s="68">
        <f t="shared" si="8"/>
        <v>174</v>
      </c>
      <c r="C179" s="607"/>
      <c r="D179" s="6">
        <f t="shared" si="9"/>
        <v>0</v>
      </c>
      <c r="E179" s="6">
        <f t="shared" si="1"/>
        <v>0</v>
      </c>
      <c r="F179" s="6">
        <f t="shared" si="4"/>
        <v>550459</v>
      </c>
      <c r="G179" s="6">
        <f t="shared" si="5"/>
        <v>0</v>
      </c>
      <c r="H179" s="6">
        <f t="shared" si="6"/>
        <v>550459</v>
      </c>
      <c r="I179" s="6">
        <f t="shared" si="7"/>
        <v>-550459</v>
      </c>
      <c r="J179" s="610">
        <v>0.0</v>
      </c>
      <c r="K179" s="591"/>
      <c r="L179" s="6"/>
      <c r="M179" s="6"/>
      <c r="N179" s="6"/>
      <c r="O179" s="6"/>
      <c r="P179" s="6"/>
      <c r="Q179" s="6"/>
      <c r="R179" s="6"/>
      <c r="S179" s="6"/>
    </row>
    <row r="180" ht="11.25" customHeight="1">
      <c r="A180" s="7"/>
      <c r="B180" s="68">
        <f t="shared" si="8"/>
        <v>175</v>
      </c>
      <c r="C180" s="607"/>
      <c r="D180" s="6">
        <f t="shared" si="9"/>
        <v>0</v>
      </c>
      <c r="E180" s="6">
        <f t="shared" si="1"/>
        <v>0</v>
      </c>
      <c r="F180" s="6">
        <f t="shared" si="4"/>
        <v>550459</v>
      </c>
      <c r="G180" s="6">
        <f t="shared" si="5"/>
        <v>0</v>
      </c>
      <c r="H180" s="6">
        <f t="shared" si="6"/>
        <v>550459</v>
      </c>
      <c r="I180" s="6">
        <f t="shared" si="7"/>
        <v>-550459</v>
      </c>
      <c r="J180" s="610">
        <v>0.0</v>
      </c>
      <c r="K180" s="591"/>
      <c r="L180" s="6"/>
      <c r="M180" s="6"/>
      <c r="N180" s="6"/>
      <c r="O180" s="6"/>
      <c r="P180" s="6"/>
      <c r="Q180" s="6"/>
      <c r="R180" s="6"/>
      <c r="S180" s="6"/>
    </row>
    <row r="181" ht="11.25" customHeight="1">
      <c r="A181" s="7"/>
      <c r="B181" s="68">
        <f t="shared" si="8"/>
        <v>176</v>
      </c>
      <c r="C181" s="607"/>
      <c r="D181" s="6">
        <f t="shared" si="9"/>
        <v>0</v>
      </c>
      <c r="E181" s="6">
        <f t="shared" si="1"/>
        <v>0</v>
      </c>
      <c r="F181" s="6">
        <f t="shared" si="4"/>
        <v>550459</v>
      </c>
      <c r="G181" s="6">
        <f t="shared" si="5"/>
        <v>0</v>
      </c>
      <c r="H181" s="6">
        <f t="shared" si="6"/>
        <v>550459</v>
      </c>
      <c r="I181" s="6">
        <f t="shared" si="7"/>
        <v>-550459</v>
      </c>
      <c r="J181" s="610">
        <v>0.0</v>
      </c>
      <c r="K181" s="591"/>
      <c r="L181" s="6"/>
      <c r="M181" s="6"/>
      <c r="N181" s="6"/>
      <c r="O181" s="6"/>
      <c r="P181" s="6"/>
      <c r="Q181" s="6"/>
      <c r="R181" s="6"/>
      <c r="S181" s="6"/>
    </row>
    <row r="182" ht="11.25" customHeight="1">
      <c r="A182" s="7"/>
      <c r="B182" s="68">
        <f t="shared" si="8"/>
        <v>177</v>
      </c>
      <c r="C182" s="607"/>
      <c r="D182" s="6">
        <f t="shared" si="9"/>
        <v>0</v>
      </c>
      <c r="E182" s="6">
        <f t="shared" si="1"/>
        <v>0</v>
      </c>
      <c r="F182" s="6">
        <f t="shared" si="4"/>
        <v>550459</v>
      </c>
      <c r="G182" s="6">
        <f t="shared" si="5"/>
        <v>0</v>
      </c>
      <c r="H182" s="6">
        <f t="shared" si="6"/>
        <v>550459</v>
      </c>
      <c r="I182" s="6">
        <f t="shared" si="7"/>
        <v>-550459</v>
      </c>
      <c r="J182" s="610">
        <v>0.0</v>
      </c>
      <c r="K182" s="591"/>
      <c r="L182" s="6"/>
      <c r="M182" s="6"/>
      <c r="N182" s="6"/>
      <c r="O182" s="6"/>
      <c r="P182" s="6"/>
      <c r="Q182" s="6"/>
      <c r="R182" s="6"/>
      <c r="S182" s="6"/>
    </row>
    <row r="183" ht="11.25" customHeight="1">
      <c r="A183" s="7"/>
      <c r="B183" s="68">
        <f t="shared" si="8"/>
        <v>178</v>
      </c>
      <c r="C183" s="607"/>
      <c r="D183" s="6">
        <f t="shared" si="9"/>
        <v>0</v>
      </c>
      <c r="E183" s="6">
        <f t="shared" si="1"/>
        <v>0</v>
      </c>
      <c r="F183" s="6">
        <f t="shared" si="4"/>
        <v>550459</v>
      </c>
      <c r="G183" s="6">
        <f t="shared" si="5"/>
        <v>0</v>
      </c>
      <c r="H183" s="6">
        <f t="shared" si="6"/>
        <v>550459</v>
      </c>
      <c r="I183" s="6">
        <f t="shared" si="7"/>
        <v>-550459</v>
      </c>
      <c r="J183" s="610">
        <v>0.0</v>
      </c>
      <c r="K183" s="591"/>
      <c r="L183" s="6"/>
      <c r="M183" s="6"/>
      <c r="N183" s="6"/>
      <c r="O183" s="6"/>
      <c r="P183" s="6"/>
      <c r="Q183" s="6"/>
      <c r="R183" s="6"/>
      <c r="S183" s="6"/>
    </row>
    <row r="184" ht="11.25" customHeight="1">
      <c r="A184" s="7"/>
      <c r="B184" s="68">
        <f t="shared" si="8"/>
        <v>179</v>
      </c>
      <c r="C184" s="607"/>
      <c r="D184" s="6">
        <f t="shared" si="9"/>
        <v>0</v>
      </c>
      <c r="E184" s="6">
        <f t="shared" si="1"/>
        <v>0</v>
      </c>
      <c r="F184" s="6">
        <f t="shared" si="4"/>
        <v>550459</v>
      </c>
      <c r="G184" s="6">
        <f t="shared" si="5"/>
        <v>0</v>
      </c>
      <c r="H184" s="6">
        <f t="shared" si="6"/>
        <v>550459</v>
      </c>
      <c r="I184" s="6">
        <f t="shared" si="7"/>
        <v>-550459</v>
      </c>
      <c r="J184" s="610">
        <v>0.0</v>
      </c>
      <c r="K184" s="591"/>
      <c r="L184" s="6"/>
      <c r="M184" s="6"/>
      <c r="N184" s="6"/>
      <c r="O184" s="6"/>
      <c r="P184" s="6"/>
      <c r="Q184" s="6"/>
      <c r="R184" s="6"/>
      <c r="S184" s="6"/>
    </row>
    <row r="185" ht="11.25" customHeight="1">
      <c r="A185" s="71"/>
      <c r="B185" s="72">
        <f t="shared" si="8"/>
        <v>180</v>
      </c>
      <c r="C185" s="607"/>
      <c r="D185" s="10">
        <f t="shared" si="9"/>
        <v>0</v>
      </c>
      <c r="E185" s="10">
        <f t="shared" si="1"/>
        <v>0</v>
      </c>
      <c r="F185" s="10">
        <f t="shared" si="4"/>
        <v>550459</v>
      </c>
      <c r="G185" s="10">
        <f t="shared" si="5"/>
        <v>0</v>
      </c>
      <c r="H185" s="10">
        <f t="shared" si="6"/>
        <v>550459</v>
      </c>
      <c r="I185" s="10">
        <f t="shared" si="7"/>
        <v>-550459</v>
      </c>
      <c r="J185" s="610">
        <v>0.0</v>
      </c>
      <c r="K185" s="591"/>
      <c r="L185" s="6"/>
      <c r="M185" s="6"/>
      <c r="N185" s="6"/>
      <c r="O185" s="6"/>
      <c r="P185" s="6"/>
      <c r="Q185" s="6"/>
      <c r="R185" s="6"/>
      <c r="S185" s="6"/>
    </row>
    <row r="186" ht="11.25" customHeight="1">
      <c r="A186" s="100">
        <v>16.0</v>
      </c>
      <c r="B186" s="66">
        <f t="shared" si="8"/>
        <v>181</v>
      </c>
      <c r="C186" s="607"/>
      <c r="D186" s="617">
        <f t="shared" si="9"/>
        <v>0</v>
      </c>
      <c r="E186" s="617">
        <f t="shared" si="1"/>
        <v>0</v>
      </c>
      <c r="F186" s="617">
        <f t="shared" si="4"/>
        <v>550459</v>
      </c>
      <c r="G186" s="617">
        <f t="shared" si="5"/>
        <v>0</v>
      </c>
      <c r="H186" s="617">
        <f t="shared" si="6"/>
        <v>550459</v>
      </c>
      <c r="I186" s="617">
        <f t="shared" si="7"/>
        <v>-550459</v>
      </c>
      <c r="J186" s="610">
        <v>0.0</v>
      </c>
      <c r="K186" s="591"/>
      <c r="L186" s="6"/>
      <c r="M186" s="6"/>
      <c r="N186" s="6"/>
      <c r="O186" s="6"/>
      <c r="P186" s="6"/>
      <c r="Q186" s="6"/>
      <c r="R186" s="6"/>
      <c r="S186" s="6"/>
    </row>
    <row r="187" ht="11.25" customHeight="1">
      <c r="A187" s="7"/>
      <c r="B187" s="68">
        <f t="shared" si="8"/>
        <v>182</v>
      </c>
      <c r="C187" s="607"/>
      <c r="D187" s="6">
        <f t="shared" si="9"/>
        <v>0</v>
      </c>
      <c r="E187" s="6">
        <f t="shared" si="1"/>
        <v>0</v>
      </c>
      <c r="F187" s="6">
        <f t="shared" si="4"/>
        <v>550459</v>
      </c>
      <c r="G187" s="6">
        <f t="shared" si="5"/>
        <v>0</v>
      </c>
      <c r="H187" s="6">
        <f t="shared" si="6"/>
        <v>550459</v>
      </c>
      <c r="I187" s="6">
        <f t="shared" si="7"/>
        <v>-550459</v>
      </c>
      <c r="J187" s="610">
        <v>0.0</v>
      </c>
      <c r="K187" s="591"/>
      <c r="L187" s="6"/>
      <c r="M187" s="6"/>
      <c r="N187" s="6"/>
      <c r="O187" s="6"/>
      <c r="P187" s="6"/>
      <c r="Q187" s="6"/>
      <c r="R187" s="6"/>
      <c r="S187" s="6"/>
    </row>
    <row r="188" ht="11.25" customHeight="1">
      <c r="A188" s="7"/>
      <c r="B188" s="68">
        <f t="shared" si="8"/>
        <v>183</v>
      </c>
      <c r="C188" s="607"/>
      <c r="D188" s="6">
        <f t="shared" si="9"/>
        <v>0</v>
      </c>
      <c r="E188" s="6">
        <f t="shared" si="1"/>
        <v>0</v>
      </c>
      <c r="F188" s="6">
        <f t="shared" si="4"/>
        <v>550459</v>
      </c>
      <c r="G188" s="6">
        <f t="shared" si="5"/>
        <v>0</v>
      </c>
      <c r="H188" s="6">
        <f t="shared" si="6"/>
        <v>550459</v>
      </c>
      <c r="I188" s="6">
        <f t="shared" si="7"/>
        <v>-550459</v>
      </c>
      <c r="J188" s="610">
        <v>0.0</v>
      </c>
      <c r="K188" s="591"/>
      <c r="L188" s="6"/>
      <c r="M188" s="6"/>
      <c r="N188" s="6"/>
      <c r="O188" s="6"/>
      <c r="P188" s="6"/>
      <c r="Q188" s="6"/>
      <c r="R188" s="6"/>
      <c r="S188" s="6"/>
    </row>
    <row r="189" ht="11.25" customHeight="1">
      <c r="A189" s="7"/>
      <c r="B189" s="68">
        <f t="shared" si="8"/>
        <v>184</v>
      </c>
      <c r="C189" s="607"/>
      <c r="D189" s="6">
        <f t="shared" si="9"/>
        <v>0</v>
      </c>
      <c r="E189" s="6">
        <f t="shared" si="1"/>
        <v>0</v>
      </c>
      <c r="F189" s="6">
        <f t="shared" si="4"/>
        <v>550459</v>
      </c>
      <c r="G189" s="6">
        <f t="shared" si="5"/>
        <v>0</v>
      </c>
      <c r="H189" s="6">
        <f t="shared" si="6"/>
        <v>550459</v>
      </c>
      <c r="I189" s="6">
        <f t="shared" si="7"/>
        <v>-550459</v>
      </c>
      <c r="J189" s="610">
        <v>0.0</v>
      </c>
      <c r="K189" s="591"/>
      <c r="L189" s="6"/>
      <c r="M189" s="6"/>
      <c r="N189" s="6"/>
      <c r="O189" s="6"/>
      <c r="P189" s="6"/>
      <c r="Q189" s="6"/>
      <c r="R189" s="6"/>
      <c r="S189" s="6"/>
    </row>
    <row r="190" ht="11.25" customHeight="1">
      <c r="A190" s="7"/>
      <c r="B190" s="68">
        <f t="shared" si="8"/>
        <v>185</v>
      </c>
      <c r="C190" s="607"/>
      <c r="D190" s="6">
        <f t="shared" si="9"/>
        <v>0</v>
      </c>
      <c r="E190" s="6">
        <f t="shared" si="1"/>
        <v>0</v>
      </c>
      <c r="F190" s="6">
        <f t="shared" si="4"/>
        <v>550459</v>
      </c>
      <c r="G190" s="6">
        <f t="shared" si="5"/>
        <v>0</v>
      </c>
      <c r="H190" s="6">
        <f t="shared" si="6"/>
        <v>550459</v>
      </c>
      <c r="I190" s="6">
        <f t="shared" si="7"/>
        <v>-550459</v>
      </c>
      <c r="J190" s="610">
        <v>0.0</v>
      </c>
      <c r="K190" s="591"/>
      <c r="L190" s="6"/>
      <c r="M190" s="6"/>
      <c r="N190" s="6"/>
      <c r="O190" s="6"/>
      <c r="P190" s="6"/>
      <c r="Q190" s="6"/>
      <c r="R190" s="6"/>
      <c r="S190" s="6"/>
    </row>
    <row r="191" ht="11.25" customHeight="1">
      <c r="A191" s="7"/>
      <c r="B191" s="68">
        <f t="shared" si="8"/>
        <v>186</v>
      </c>
      <c r="C191" s="607"/>
      <c r="D191" s="6">
        <f t="shared" si="9"/>
        <v>0</v>
      </c>
      <c r="E191" s="6">
        <f t="shared" si="1"/>
        <v>0</v>
      </c>
      <c r="F191" s="6">
        <f t="shared" si="4"/>
        <v>550459</v>
      </c>
      <c r="G191" s="6">
        <f t="shared" si="5"/>
        <v>0</v>
      </c>
      <c r="H191" s="6">
        <f t="shared" si="6"/>
        <v>550459</v>
      </c>
      <c r="I191" s="6">
        <f t="shared" si="7"/>
        <v>-550459</v>
      </c>
      <c r="J191" s="610">
        <v>0.0</v>
      </c>
      <c r="K191" s="591"/>
      <c r="L191" s="6"/>
      <c r="M191" s="6"/>
      <c r="N191" s="6"/>
      <c r="O191" s="6"/>
      <c r="P191" s="6"/>
      <c r="Q191" s="6"/>
      <c r="R191" s="6"/>
      <c r="S191" s="6"/>
    </row>
    <row r="192" ht="11.25" customHeight="1">
      <c r="A192" s="7"/>
      <c r="B192" s="68">
        <f t="shared" si="8"/>
        <v>187</v>
      </c>
      <c r="C192" s="607"/>
      <c r="D192" s="6">
        <f t="shared" si="9"/>
        <v>0</v>
      </c>
      <c r="E192" s="6">
        <f t="shared" si="1"/>
        <v>0</v>
      </c>
      <c r="F192" s="6">
        <f t="shared" si="4"/>
        <v>550459</v>
      </c>
      <c r="G192" s="6">
        <f t="shared" si="5"/>
        <v>0</v>
      </c>
      <c r="H192" s="6">
        <f t="shared" si="6"/>
        <v>550459</v>
      </c>
      <c r="I192" s="6">
        <f t="shared" si="7"/>
        <v>-550459</v>
      </c>
      <c r="J192" s="610">
        <v>0.0</v>
      </c>
      <c r="K192" s="591"/>
      <c r="L192" s="6"/>
      <c r="M192" s="6"/>
      <c r="N192" s="6"/>
      <c r="O192" s="6"/>
      <c r="P192" s="6"/>
      <c r="Q192" s="6"/>
      <c r="R192" s="6"/>
      <c r="S192" s="6"/>
    </row>
    <row r="193" ht="11.25" customHeight="1">
      <c r="A193" s="7"/>
      <c r="B193" s="68">
        <f t="shared" si="8"/>
        <v>188</v>
      </c>
      <c r="C193" s="607"/>
      <c r="D193" s="6">
        <f t="shared" si="9"/>
        <v>0</v>
      </c>
      <c r="E193" s="6">
        <f t="shared" si="1"/>
        <v>0</v>
      </c>
      <c r="F193" s="6">
        <f t="shared" si="4"/>
        <v>550459</v>
      </c>
      <c r="G193" s="6">
        <f t="shared" si="5"/>
        <v>0</v>
      </c>
      <c r="H193" s="6">
        <f t="shared" si="6"/>
        <v>550459</v>
      </c>
      <c r="I193" s="6">
        <f t="shared" si="7"/>
        <v>-550459</v>
      </c>
      <c r="J193" s="610">
        <v>0.0</v>
      </c>
      <c r="K193" s="591"/>
      <c r="L193" s="6"/>
      <c r="M193" s="6"/>
      <c r="N193" s="6"/>
      <c r="O193" s="6"/>
      <c r="P193" s="6"/>
      <c r="Q193" s="6"/>
      <c r="R193" s="6"/>
      <c r="S193" s="6"/>
    </row>
    <row r="194" ht="11.25" customHeight="1">
      <c r="A194" s="7"/>
      <c r="B194" s="68">
        <f t="shared" si="8"/>
        <v>189</v>
      </c>
      <c r="C194" s="607"/>
      <c r="D194" s="6">
        <f t="shared" si="9"/>
        <v>0</v>
      </c>
      <c r="E194" s="6">
        <f t="shared" si="1"/>
        <v>0</v>
      </c>
      <c r="F194" s="6">
        <f t="shared" si="4"/>
        <v>550459</v>
      </c>
      <c r="G194" s="6">
        <f t="shared" si="5"/>
        <v>0</v>
      </c>
      <c r="H194" s="6">
        <f t="shared" si="6"/>
        <v>550459</v>
      </c>
      <c r="I194" s="6">
        <f t="shared" si="7"/>
        <v>-550459</v>
      </c>
      <c r="J194" s="610">
        <v>0.0</v>
      </c>
      <c r="K194" s="591"/>
      <c r="L194" s="6"/>
      <c r="M194" s="6"/>
      <c r="N194" s="6"/>
      <c r="O194" s="6"/>
      <c r="P194" s="6"/>
      <c r="Q194" s="6"/>
      <c r="R194" s="6"/>
      <c r="S194" s="6"/>
    </row>
    <row r="195" ht="11.25" customHeight="1">
      <c r="A195" s="7"/>
      <c r="B195" s="68">
        <f t="shared" si="8"/>
        <v>190</v>
      </c>
      <c r="C195" s="607"/>
      <c r="D195" s="6">
        <f t="shared" si="9"/>
        <v>0</v>
      </c>
      <c r="E195" s="6">
        <f t="shared" si="1"/>
        <v>0</v>
      </c>
      <c r="F195" s="6">
        <f t="shared" si="4"/>
        <v>550459</v>
      </c>
      <c r="G195" s="6">
        <f t="shared" si="5"/>
        <v>0</v>
      </c>
      <c r="H195" s="6">
        <f t="shared" si="6"/>
        <v>550459</v>
      </c>
      <c r="I195" s="6">
        <f t="shared" si="7"/>
        <v>-550459</v>
      </c>
      <c r="J195" s="610">
        <v>0.0</v>
      </c>
      <c r="K195" s="591"/>
      <c r="L195" s="6"/>
      <c r="M195" s="6"/>
      <c r="N195" s="6"/>
      <c r="O195" s="6"/>
      <c r="P195" s="6"/>
      <c r="Q195" s="6"/>
      <c r="R195" s="6"/>
      <c r="S195" s="6"/>
    </row>
    <row r="196" ht="11.25" customHeight="1">
      <c r="A196" s="7"/>
      <c r="B196" s="68">
        <f t="shared" si="8"/>
        <v>191</v>
      </c>
      <c r="C196" s="607"/>
      <c r="D196" s="6">
        <f t="shared" si="9"/>
        <v>0</v>
      </c>
      <c r="E196" s="6">
        <f t="shared" si="1"/>
        <v>0</v>
      </c>
      <c r="F196" s="6">
        <f t="shared" si="4"/>
        <v>550459</v>
      </c>
      <c r="G196" s="6">
        <f t="shared" si="5"/>
        <v>0</v>
      </c>
      <c r="H196" s="6">
        <f t="shared" si="6"/>
        <v>550459</v>
      </c>
      <c r="I196" s="6">
        <f t="shared" si="7"/>
        <v>-550459</v>
      </c>
      <c r="J196" s="610">
        <v>0.0</v>
      </c>
      <c r="K196" s="591"/>
      <c r="L196" s="6"/>
      <c r="M196" s="6"/>
      <c r="N196" s="6"/>
      <c r="O196" s="6"/>
      <c r="P196" s="6"/>
      <c r="Q196" s="6"/>
      <c r="R196" s="6"/>
      <c r="S196" s="6"/>
    </row>
    <row r="197" ht="11.25" customHeight="1">
      <c r="A197" s="71"/>
      <c r="B197" s="72">
        <f t="shared" si="8"/>
        <v>192</v>
      </c>
      <c r="C197" s="607"/>
      <c r="D197" s="10">
        <f t="shared" si="9"/>
        <v>0</v>
      </c>
      <c r="E197" s="10">
        <f t="shared" si="1"/>
        <v>0</v>
      </c>
      <c r="F197" s="10">
        <f t="shared" si="4"/>
        <v>550459</v>
      </c>
      <c r="G197" s="10">
        <f t="shared" si="5"/>
        <v>0</v>
      </c>
      <c r="H197" s="10">
        <f t="shared" si="6"/>
        <v>550459</v>
      </c>
      <c r="I197" s="10">
        <f t="shared" si="7"/>
        <v>-550459</v>
      </c>
      <c r="J197" s="610">
        <v>0.0</v>
      </c>
      <c r="K197" s="591"/>
      <c r="L197" s="6"/>
      <c r="M197" s="6"/>
      <c r="N197" s="6"/>
      <c r="O197" s="6"/>
      <c r="P197" s="6"/>
      <c r="Q197" s="6"/>
      <c r="R197" s="6"/>
      <c r="S197" s="6"/>
    </row>
    <row r="198" ht="11.25" customHeight="1">
      <c r="A198" s="100">
        <v>17.0</v>
      </c>
      <c r="B198" s="66">
        <f t="shared" si="8"/>
        <v>193</v>
      </c>
      <c r="C198" s="607"/>
      <c r="D198" s="617">
        <f t="shared" si="9"/>
        <v>0</v>
      </c>
      <c r="E198" s="617">
        <f t="shared" si="1"/>
        <v>0</v>
      </c>
      <c r="F198" s="617">
        <f t="shared" si="4"/>
        <v>550459</v>
      </c>
      <c r="G198" s="617">
        <f t="shared" si="5"/>
        <v>0</v>
      </c>
      <c r="H198" s="617">
        <f t="shared" si="6"/>
        <v>550459</v>
      </c>
      <c r="I198" s="617">
        <f t="shared" si="7"/>
        <v>-550459</v>
      </c>
      <c r="J198" s="610">
        <v>0.0</v>
      </c>
      <c r="K198" s="591"/>
      <c r="L198" s="6"/>
      <c r="M198" s="6"/>
      <c r="N198" s="6"/>
      <c r="O198" s="6"/>
      <c r="P198" s="6"/>
      <c r="Q198" s="6"/>
      <c r="R198" s="6"/>
      <c r="S198" s="6"/>
    </row>
    <row r="199" ht="11.25" customHeight="1">
      <c r="A199" s="7"/>
      <c r="B199" s="68">
        <f t="shared" si="8"/>
        <v>194</v>
      </c>
      <c r="C199" s="607"/>
      <c r="D199" s="6">
        <f t="shared" si="9"/>
        <v>0</v>
      </c>
      <c r="E199" s="6">
        <f t="shared" si="1"/>
        <v>0</v>
      </c>
      <c r="F199" s="6">
        <f t="shared" si="4"/>
        <v>550459</v>
      </c>
      <c r="G199" s="6">
        <f t="shared" si="5"/>
        <v>0</v>
      </c>
      <c r="H199" s="6">
        <f t="shared" si="6"/>
        <v>550459</v>
      </c>
      <c r="I199" s="6">
        <f t="shared" si="7"/>
        <v>-550459</v>
      </c>
      <c r="J199" s="610">
        <v>0.0</v>
      </c>
      <c r="K199" s="591"/>
      <c r="L199" s="6"/>
      <c r="M199" s="6"/>
      <c r="N199" s="6"/>
      <c r="O199" s="6"/>
      <c r="P199" s="6"/>
      <c r="Q199" s="6"/>
      <c r="R199" s="6"/>
      <c r="S199" s="6"/>
    </row>
    <row r="200" ht="11.25" customHeight="1">
      <c r="A200" s="7"/>
      <c r="B200" s="68">
        <f t="shared" si="8"/>
        <v>195</v>
      </c>
      <c r="C200" s="607"/>
      <c r="D200" s="6">
        <f t="shared" si="9"/>
        <v>0</v>
      </c>
      <c r="E200" s="6">
        <f t="shared" si="1"/>
        <v>0</v>
      </c>
      <c r="F200" s="6">
        <f t="shared" si="4"/>
        <v>550459</v>
      </c>
      <c r="G200" s="6">
        <f t="shared" si="5"/>
        <v>0</v>
      </c>
      <c r="H200" s="6">
        <f t="shared" si="6"/>
        <v>550459</v>
      </c>
      <c r="I200" s="6">
        <f t="shared" si="7"/>
        <v>-550459</v>
      </c>
      <c r="J200" s="610">
        <v>0.0</v>
      </c>
      <c r="K200" s="591"/>
      <c r="L200" s="6"/>
      <c r="M200" s="6"/>
      <c r="N200" s="6"/>
      <c r="O200" s="6"/>
      <c r="P200" s="6"/>
      <c r="Q200" s="6"/>
      <c r="R200" s="6"/>
      <c r="S200" s="6"/>
    </row>
    <row r="201" ht="11.25" customHeight="1">
      <c r="A201" s="7"/>
      <c r="B201" s="68">
        <f t="shared" si="8"/>
        <v>196</v>
      </c>
      <c r="C201" s="607"/>
      <c r="D201" s="6">
        <f t="shared" si="9"/>
        <v>0</v>
      </c>
      <c r="E201" s="6">
        <f t="shared" si="1"/>
        <v>0</v>
      </c>
      <c r="F201" s="6">
        <f t="shared" si="4"/>
        <v>550459</v>
      </c>
      <c r="G201" s="6">
        <f t="shared" si="5"/>
        <v>0</v>
      </c>
      <c r="H201" s="6">
        <f t="shared" si="6"/>
        <v>550459</v>
      </c>
      <c r="I201" s="6">
        <f t="shared" si="7"/>
        <v>-550459</v>
      </c>
      <c r="J201" s="610">
        <v>0.0</v>
      </c>
      <c r="K201" s="591"/>
      <c r="L201" s="6"/>
      <c r="M201" s="6"/>
      <c r="N201" s="6"/>
      <c r="O201" s="6"/>
      <c r="P201" s="6"/>
      <c r="Q201" s="6"/>
      <c r="R201" s="6"/>
      <c r="S201" s="6"/>
    </row>
    <row r="202" ht="11.25" customHeight="1">
      <c r="A202" s="7"/>
      <c r="B202" s="68">
        <f t="shared" si="8"/>
        <v>197</v>
      </c>
      <c r="C202" s="607"/>
      <c r="D202" s="6">
        <f t="shared" si="9"/>
        <v>0</v>
      </c>
      <c r="E202" s="6">
        <f t="shared" si="1"/>
        <v>0</v>
      </c>
      <c r="F202" s="6">
        <f t="shared" si="4"/>
        <v>550459</v>
      </c>
      <c r="G202" s="6">
        <f t="shared" si="5"/>
        <v>0</v>
      </c>
      <c r="H202" s="6">
        <f t="shared" si="6"/>
        <v>550459</v>
      </c>
      <c r="I202" s="6">
        <f t="shared" si="7"/>
        <v>-550459</v>
      </c>
      <c r="J202" s="610">
        <v>0.0</v>
      </c>
      <c r="K202" s="591"/>
      <c r="L202" s="6"/>
      <c r="M202" s="6"/>
      <c r="N202" s="6"/>
      <c r="O202" s="6"/>
      <c r="P202" s="6"/>
      <c r="Q202" s="6"/>
      <c r="R202" s="6"/>
      <c r="S202" s="6"/>
    </row>
    <row r="203" ht="11.25" customHeight="1">
      <c r="A203" s="7"/>
      <c r="B203" s="68">
        <f t="shared" si="8"/>
        <v>198</v>
      </c>
      <c r="C203" s="607"/>
      <c r="D203" s="6">
        <f t="shared" si="9"/>
        <v>0</v>
      </c>
      <c r="E203" s="6">
        <f t="shared" si="1"/>
        <v>0</v>
      </c>
      <c r="F203" s="6">
        <f t="shared" si="4"/>
        <v>550459</v>
      </c>
      <c r="G203" s="6">
        <f t="shared" si="5"/>
        <v>0</v>
      </c>
      <c r="H203" s="6">
        <f t="shared" si="6"/>
        <v>550459</v>
      </c>
      <c r="I203" s="6">
        <f t="shared" si="7"/>
        <v>-550459</v>
      </c>
      <c r="J203" s="610">
        <v>0.0</v>
      </c>
      <c r="K203" s="591"/>
      <c r="L203" s="6"/>
      <c r="M203" s="6"/>
      <c r="N203" s="6"/>
      <c r="O203" s="6"/>
      <c r="P203" s="6"/>
      <c r="Q203" s="6"/>
      <c r="R203" s="6"/>
      <c r="S203" s="6"/>
    </row>
    <row r="204" ht="11.25" customHeight="1">
      <c r="A204" s="7"/>
      <c r="B204" s="68">
        <f t="shared" si="8"/>
        <v>199</v>
      </c>
      <c r="C204" s="607"/>
      <c r="D204" s="6">
        <f t="shared" si="9"/>
        <v>0</v>
      </c>
      <c r="E204" s="6">
        <f t="shared" si="1"/>
        <v>0</v>
      </c>
      <c r="F204" s="6">
        <f t="shared" si="4"/>
        <v>550459</v>
      </c>
      <c r="G204" s="6">
        <f t="shared" si="5"/>
        <v>0</v>
      </c>
      <c r="H204" s="6">
        <f t="shared" si="6"/>
        <v>550459</v>
      </c>
      <c r="I204" s="6">
        <f t="shared" si="7"/>
        <v>-550459</v>
      </c>
      <c r="J204" s="610">
        <v>0.0</v>
      </c>
      <c r="K204" s="591"/>
      <c r="L204" s="6"/>
      <c r="M204" s="6"/>
      <c r="N204" s="6"/>
      <c r="O204" s="6"/>
      <c r="P204" s="6"/>
      <c r="Q204" s="6"/>
      <c r="R204" s="6"/>
      <c r="S204" s="6"/>
    </row>
    <row r="205" ht="11.25" customHeight="1">
      <c r="A205" s="7"/>
      <c r="B205" s="68">
        <f t="shared" si="8"/>
        <v>200</v>
      </c>
      <c r="C205" s="607"/>
      <c r="D205" s="6">
        <f t="shared" si="9"/>
        <v>0</v>
      </c>
      <c r="E205" s="6">
        <f t="shared" si="1"/>
        <v>0</v>
      </c>
      <c r="F205" s="6">
        <f t="shared" si="4"/>
        <v>550459</v>
      </c>
      <c r="G205" s="6">
        <f t="shared" si="5"/>
        <v>0</v>
      </c>
      <c r="H205" s="6">
        <f t="shared" si="6"/>
        <v>550459</v>
      </c>
      <c r="I205" s="6">
        <f t="shared" si="7"/>
        <v>-550459</v>
      </c>
      <c r="J205" s="610">
        <v>0.0</v>
      </c>
      <c r="K205" s="591"/>
      <c r="L205" s="6"/>
      <c r="M205" s="6"/>
      <c r="N205" s="6"/>
      <c r="O205" s="6"/>
      <c r="P205" s="6"/>
      <c r="Q205" s="6"/>
      <c r="R205" s="6"/>
      <c r="S205" s="6"/>
    </row>
    <row r="206" ht="11.25" customHeight="1">
      <c r="A206" s="7"/>
      <c r="B206" s="68">
        <f t="shared" si="8"/>
        <v>201</v>
      </c>
      <c r="C206" s="607"/>
      <c r="D206" s="6">
        <f t="shared" si="9"/>
        <v>0</v>
      </c>
      <c r="E206" s="6">
        <f t="shared" si="1"/>
        <v>0</v>
      </c>
      <c r="F206" s="6">
        <f t="shared" si="4"/>
        <v>550459</v>
      </c>
      <c r="G206" s="6">
        <f t="shared" si="5"/>
        <v>0</v>
      </c>
      <c r="H206" s="6">
        <f t="shared" si="6"/>
        <v>550459</v>
      </c>
      <c r="I206" s="6">
        <f t="shared" si="7"/>
        <v>-550459</v>
      </c>
      <c r="J206" s="610">
        <v>0.0</v>
      </c>
      <c r="K206" s="591"/>
      <c r="L206" s="6"/>
      <c r="M206" s="6"/>
      <c r="N206" s="6"/>
      <c r="O206" s="6"/>
      <c r="P206" s="6"/>
      <c r="Q206" s="6"/>
      <c r="R206" s="6"/>
      <c r="S206" s="6"/>
    </row>
    <row r="207" ht="11.25" customHeight="1">
      <c r="A207" s="7"/>
      <c r="B207" s="68">
        <f t="shared" si="8"/>
        <v>202</v>
      </c>
      <c r="C207" s="607"/>
      <c r="D207" s="6">
        <f t="shared" si="9"/>
        <v>0</v>
      </c>
      <c r="E207" s="6">
        <f t="shared" si="1"/>
        <v>0</v>
      </c>
      <c r="F207" s="6">
        <f t="shared" si="4"/>
        <v>550459</v>
      </c>
      <c r="G207" s="6">
        <f t="shared" si="5"/>
        <v>0</v>
      </c>
      <c r="H207" s="6">
        <f t="shared" si="6"/>
        <v>550459</v>
      </c>
      <c r="I207" s="6">
        <f t="shared" si="7"/>
        <v>-550459</v>
      </c>
      <c r="J207" s="610">
        <v>0.0</v>
      </c>
      <c r="K207" s="591"/>
      <c r="L207" s="6"/>
      <c r="M207" s="6"/>
      <c r="N207" s="6"/>
      <c r="O207" s="6"/>
      <c r="P207" s="6"/>
      <c r="Q207" s="6"/>
      <c r="R207" s="6"/>
      <c r="S207" s="6"/>
    </row>
    <row r="208" ht="11.25" customHeight="1">
      <c r="A208" s="7"/>
      <c r="B208" s="68">
        <f t="shared" si="8"/>
        <v>203</v>
      </c>
      <c r="C208" s="607"/>
      <c r="D208" s="6">
        <f t="shared" si="9"/>
        <v>0</v>
      </c>
      <c r="E208" s="6">
        <f t="shared" si="1"/>
        <v>0</v>
      </c>
      <c r="F208" s="6">
        <f t="shared" si="4"/>
        <v>550459</v>
      </c>
      <c r="G208" s="6">
        <f t="shared" si="5"/>
        <v>0</v>
      </c>
      <c r="H208" s="6">
        <f t="shared" si="6"/>
        <v>550459</v>
      </c>
      <c r="I208" s="6">
        <f t="shared" si="7"/>
        <v>-550459</v>
      </c>
      <c r="J208" s="610">
        <v>0.0</v>
      </c>
      <c r="K208" s="591"/>
      <c r="L208" s="6"/>
      <c r="M208" s="6"/>
      <c r="N208" s="6"/>
      <c r="O208" s="6"/>
      <c r="P208" s="6"/>
      <c r="Q208" s="6"/>
      <c r="R208" s="6"/>
      <c r="S208" s="6"/>
    </row>
    <row r="209" ht="11.25" customHeight="1">
      <c r="A209" s="71"/>
      <c r="B209" s="72">
        <f t="shared" si="8"/>
        <v>204</v>
      </c>
      <c r="C209" s="607"/>
      <c r="D209" s="10">
        <f t="shared" si="9"/>
        <v>0</v>
      </c>
      <c r="E209" s="10">
        <f t="shared" si="1"/>
        <v>0</v>
      </c>
      <c r="F209" s="10">
        <f t="shared" si="4"/>
        <v>550459</v>
      </c>
      <c r="G209" s="10">
        <f t="shared" si="5"/>
        <v>0</v>
      </c>
      <c r="H209" s="10">
        <f t="shared" si="6"/>
        <v>550459</v>
      </c>
      <c r="I209" s="10">
        <f t="shared" si="7"/>
        <v>-550459</v>
      </c>
      <c r="J209" s="610">
        <v>0.0</v>
      </c>
      <c r="K209" s="591"/>
      <c r="L209" s="6"/>
      <c r="M209" s="6"/>
      <c r="N209" s="6"/>
      <c r="O209" s="6"/>
      <c r="P209" s="6"/>
      <c r="Q209" s="6"/>
      <c r="R209" s="6"/>
      <c r="S209" s="6"/>
    </row>
    <row r="210" ht="11.25" customHeight="1">
      <c r="A210" s="100">
        <v>18.0</v>
      </c>
      <c r="B210" s="66">
        <f t="shared" si="8"/>
        <v>205</v>
      </c>
      <c r="C210" s="607"/>
      <c r="D210" s="617">
        <f t="shared" si="9"/>
        <v>0</v>
      </c>
      <c r="E210" s="617">
        <f t="shared" si="1"/>
        <v>0</v>
      </c>
      <c r="F210" s="617">
        <f t="shared" si="4"/>
        <v>550459</v>
      </c>
      <c r="G210" s="617">
        <f t="shared" si="5"/>
        <v>0</v>
      </c>
      <c r="H210" s="617">
        <f t="shared" si="6"/>
        <v>550459</v>
      </c>
      <c r="I210" s="617">
        <f t="shared" si="7"/>
        <v>-550459</v>
      </c>
      <c r="J210" s="610">
        <v>0.0</v>
      </c>
      <c r="K210" s="591"/>
      <c r="L210" s="6"/>
      <c r="M210" s="6"/>
      <c r="N210" s="6"/>
      <c r="O210" s="6"/>
      <c r="P210" s="6"/>
      <c r="Q210" s="6"/>
      <c r="R210" s="6"/>
      <c r="S210" s="6"/>
    </row>
    <row r="211" ht="11.25" customHeight="1">
      <c r="A211" s="7"/>
      <c r="B211" s="68">
        <f t="shared" si="8"/>
        <v>206</v>
      </c>
      <c r="C211" s="607"/>
      <c r="D211" s="6">
        <f t="shared" si="9"/>
        <v>0</v>
      </c>
      <c r="E211" s="6">
        <f t="shared" si="1"/>
        <v>0</v>
      </c>
      <c r="F211" s="6">
        <f t="shared" si="4"/>
        <v>550459</v>
      </c>
      <c r="G211" s="6">
        <f t="shared" si="5"/>
        <v>0</v>
      </c>
      <c r="H211" s="6">
        <f t="shared" si="6"/>
        <v>550459</v>
      </c>
      <c r="I211" s="6">
        <f t="shared" si="7"/>
        <v>-550459</v>
      </c>
      <c r="J211" s="610">
        <v>0.0</v>
      </c>
      <c r="K211" s="591"/>
      <c r="L211" s="6"/>
      <c r="M211" s="6"/>
      <c r="N211" s="6"/>
      <c r="O211" s="6"/>
      <c r="P211" s="6"/>
      <c r="Q211" s="6"/>
      <c r="R211" s="6"/>
      <c r="S211" s="6"/>
    </row>
    <row r="212" ht="11.25" customHeight="1">
      <c r="A212" s="7"/>
      <c r="B212" s="68">
        <f t="shared" si="8"/>
        <v>207</v>
      </c>
      <c r="C212" s="607"/>
      <c r="D212" s="6">
        <f t="shared" si="9"/>
        <v>0</v>
      </c>
      <c r="E212" s="6">
        <f t="shared" si="1"/>
        <v>0</v>
      </c>
      <c r="F212" s="6">
        <f t="shared" si="4"/>
        <v>550459</v>
      </c>
      <c r="G212" s="6">
        <f t="shared" si="5"/>
        <v>0</v>
      </c>
      <c r="H212" s="6">
        <f t="shared" si="6"/>
        <v>550459</v>
      </c>
      <c r="I212" s="6">
        <f t="shared" si="7"/>
        <v>-550459</v>
      </c>
      <c r="J212" s="610">
        <v>0.0</v>
      </c>
      <c r="K212" s="591"/>
      <c r="L212" s="6"/>
      <c r="M212" s="6"/>
      <c r="N212" s="6"/>
      <c r="O212" s="6"/>
      <c r="P212" s="6"/>
      <c r="Q212" s="6"/>
      <c r="R212" s="6"/>
      <c r="S212" s="6"/>
    </row>
    <row r="213" ht="11.25" customHeight="1">
      <c r="A213" s="7"/>
      <c r="B213" s="68">
        <f t="shared" si="8"/>
        <v>208</v>
      </c>
      <c r="C213" s="607"/>
      <c r="D213" s="6">
        <f t="shared" si="9"/>
        <v>0</v>
      </c>
      <c r="E213" s="6">
        <f t="shared" si="1"/>
        <v>0</v>
      </c>
      <c r="F213" s="6">
        <f t="shared" si="4"/>
        <v>550459</v>
      </c>
      <c r="G213" s="6">
        <f t="shared" si="5"/>
        <v>0</v>
      </c>
      <c r="H213" s="6">
        <f t="shared" si="6"/>
        <v>550459</v>
      </c>
      <c r="I213" s="6">
        <f t="shared" si="7"/>
        <v>-550459</v>
      </c>
      <c r="J213" s="610">
        <v>0.0</v>
      </c>
      <c r="K213" s="591"/>
      <c r="L213" s="6"/>
      <c r="M213" s="6"/>
      <c r="N213" s="6"/>
      <c r="O213" s="6"/>
      <c r="P213" s="6"/>
      <c r="Q213" s="6"/>
      <c r="R213" s="6"/>
      <c r="S213" s="6"/>
    </row>
    <row r="214" ht="11.25" customHeight="1">
      <c r="A214" s="7"/>
      <c r="B214" s="68">
        <f t="shared" si="8"/>
        <v>209</v>
      </c>
      <c r="C214" s="607"/>
      <c r="D214" s="6">
        <f t="shared" si="9"/>
        <v>0</v>
      </c>
      <c r="E214" s="6">
        <f t="shared" si="1"/>
        <v>0</v>
      </c>
      <c r="F214" s="6">
        <f t="shared" si="4"/>
        <v>550459</v>
      </c>
      <c r="G214" s="6">
        <f t="shared" si="5"/>
        <v>0</v>
      </c>
      <c r="H214" s="6">
        <f t="shared" si="6"/>
        <v>550459</v>
      </c>
      <c r="I214" s="6">
        <f t="shared" si="7"/>
        <v>-550459</v>
      </c>
      <c r="J214" s="610">
        <v>0.0</v>
      </c>
      <c r="K214" s="591"/>
      <c r="L214" s="6"/>
      <c r="M214" s="6"/>
      <c r="N214" s="6"/>
      <c r="O214" s="6"/>
      <c r="P214" s="6"/>
      <c r="Q214" s="6"/>
      <c r="R214" s="6"/>
      <c r="S214" s="6"/>
    </row>
    <row r="215" ht="11.25" customHeight="1">
      <c r="A215" s="7"/>
      <c r="B215" s="68">
        <f t="shared" si="8"/>
        <v>210</v>
      </c>
      <c r="C215" s="607"/>
      <c r="D215" s="6">
        <f t="shared" si="9"/>
        <v>0</v>
      </c>
      <c r="E215" s="6">
        <f t="shared" si="1"/>
        <v>0</v>
      </c>
      <c r="F215" s="6">
        <f t="shared" si="4"/>
        <v>550459</v>
      </c>
      <c r="G215" s="6">
        <f t="shared" si="5"/>
        <v>0</v>
      </c>
      <c r="H215" s="6">
        <f t="shared" si="6"/>
        <v>550459</v>
      </c>
      <c r="I215" s="6">
        <f t="shared" si="7"/>
        <v>-550459</v>
      </c>
      <c r="J215" s="610">
        <v>0.0</v>
      </c>
      <c r="K215" s="591"/>
      <c r="L215" s="6"/>
      <c r="M215" s="6"/>
      <c r="N215" s="6"/>
      <c r="O215" s="6"/>
      <c r="P215" s="6"/>
      <c r="Q215" s="6"/>
      <c r="R215" s="6"/>
      <c r="S215" s="6"/>
    </row>
    <row r="216" ht="11.25" customHeight="1">
      <c r="A216" s="7"/>
      <c r="B216" s="68">
        <f t="shared" si="8"/>
        <v>211</v>
      </c>
      <c r="C216" s="607"/>
      <c r="D216" s="6">
        <f t="shared" si="9"/>
        <v>0</v>
      </c>
      <c r="E216" s="6">
        <f t="shared" si="1"/>
        <v>0</v>
      </c>
      <c r="F216" s="6">
        <f t="shared" si="4"/>
        <v>550459</v>
      </c>
      <c r="G216" s="6">
        <f t="shared" si="5"/>
        <v>0</v>
      </c>
      <c r="H216" s="6">
        <f t="shared" si="6"/>
        <v>550459</v>
      </c>
      <c r="I216" s="6">
        <f t="shared" si="7"/>
        <v>-550459</v>
      </c>
      <c r="J216" s="610">
        <v>0.0</v>
      </c>
      <c r="K216" s="591"/>
      <c r="L216" s="6"/>
      <c r="M216" s="6"/>
      <c r="N216" s="6"/>
      <c r="O216" s="6"/>
      <c r="P216" s="6"/>
      <c r="Q216" s="6"/>
      <c r="R216" s="6"/>
      <c r="S216" s="6"/>
    </row>
    <row r="217" ht="11.25" customHeight="1">
      <c r="A217" s="7"/>
      <c r="B217" s="68">
        <f t="shared" si="8"/>
        <v>212</v>
      </c>
      <c r="C217" s="607"/>
      <c r="D217" s="6">
        <f t="shared" si="9"/>
        <v>0</v>
      </c>
      <c r="E217" s="6">
        <f t="shared" si="1"/>
        <v>0</v>
      </c>
      <c r="F217" s="6">
        <f t="shared" si="4"/>
        <v>550459</v>
      </c>
      <c r="G217" s="6">
        <f t="shared" si="5"/>
        <v>0</v>
      </c>
      <c r="H217" s="6">
        <f t="shared" si="6"/>
        <v>550459</v>
      </c>
      <c r="I217" s="6">
        <f t="shared" si="7"/>
        <v>-550459</v>
      </c>
      <c r="J217" s="610">
        <v>0.0</v>
      </c>
      <c r="K217" s="591"/>
      <c r="L217" s="6"/>
      <c r="M217" s="6"/>
      <c r="N217" s="6"/>
      <c r="O217" s="6"/>
      <c r="P217" s="6"/>
      <c r="Q217" s="6"/>
      <c r="R217" s="6"/>
      <c r="S217" s="6"/>
    </row>
    <row r="218" ht="11.25" customHeight="1">
      <c r="A218" s="7"/>
      <c r="B218" s="68">
        <f t="shared" si="8"/>
        <v>213</v>
      </c>
      <c r="C218" s="607"/>
      <c r="D218" s="6">
        <f t="shared" si="9"/>
        <v>0</v>
      </c>
      <c r="E218" s="6">
        <f t="shared" si="1"/>
        <v>0</v>
      </c>
      <c r="F218" s="6">
        <f t="shared" si="4"/>
        <v>550459</v>
      </c>
      <c r="G218" s="6">
        <f t="shared" si="5"/>
        <v>0</v>
      </c>
      <c r="H218" s="6">
        <f t="shared" si="6"/>
        <v>550459</v>
      </c>
      <c r="I218" s="6">
        <f t="shared" si="7"/>
        <v>-550459</v>
      </c>
      <c r="J218" s="610">
        <v>0.0</v>
      </c>
      <c r="K218" s="591"/>
      <c r="L218" s="6"/>
      <c r="M218" s="6"/>
      <c r="N218" s="6"/>
      <c r="O218" s="6"/>
      <c r="P218" s="6"/>
      <c r="Q218" s="6"/>
      <c r="R218" s="6"/>
      <c r="S218" s="6"/>
    </row>
    <row r="219" ht="11.25" customHeight="1">
      <c r="A219" s="7"/>
      <c r="B219" s="68">
        <f t="shared" si="8"/>
        <v>214</v>
      </c>
      <c r="C219" s="607"/>
      <c r="D219" s="6">
        <f t="shared" si="9"/>
        <v>0</v>
      </c>
      <c r="E219" s="6">
        <f t="shared" si="1"/>
        <v>0</v>
      </c>
      <c r="F219" s="6">
        <f t="shared" si="4"/>
        <v>550459</v>
      </c>
      <c r="G219" s="6">
        <f t="shared" si="5"/>
        <v>0</v>
      </c>
      <c r="H219" s="6">
        <f t="shared" si="6"/>
        <v>550459</v>
      </c>
      <c r="I219" s="6">
        <f t="shared" si="7"/>
        <v>-550459</v>
      </c>
      <c r="J219" s="610">
        <v>0.0</v>
      </c>
      <c r="K219" s="591"/>
      <c r="L219" s="6"/>
      <c r="M219" s="6"/>
      <c r="N219" s="6"/>
      <c r="O219" s="6"/>
      <c r="P219" s="6"/>
      <c r="Q219" s="6"/>
      <c r="R219" s="6"/>
      <c r="S219" s="6"/>
    </row>
    <row r="220" ht="11.25" customHeight="1">
      <c r="A220" s="7"/>
      <c r="B220" s="68">
        <f t="shared" si="8"/>
        <v>215</v>
      </c>
      <c r="C220" s="607"/>
      <c r="D220" s="6">
        <f t="shared" si="9"/>
        <v>0</v>
      </c>
      <c r="E220" s="6">
        <f t="shared" si="1"/>
        <v>0</v>
      </c>
      <c r="F220" s="6">
        <f t="shared" si="4"/>
        <v>550459</v>
      </c>
      <c r="G220" s="6">
        <f t="shared" si="5"/>
        <v>0</v>
      </c>
      <c r="H220" s="6">
        <f t="shared" si="6"/>
        <v>550459</v>
      </c>
      <c r="I220" s="6">
        <f t="shared" si="7"/>
        <v>-550459</v>
      </c>
      <c r="J220" s="610">
        <v>0.0</v>
      </c>
      <c r="K220" s="591"/>
      <c r="L220" s="6"/>
      <c r="M220" s="6"/>
      <c r="N220" s="6"/>
      <c r="O220" s="6"/>
      <c r="P220" s="6"/>
      <c r="Q220" s="6"/>
      <c r="R220" s="6"/>
      <c r="S220" s="6"/>
    </row>
    <row r="221" ht="11.25" customHeight="1">
      <c r="A221" s="71"/>
      <c r="B221" s="72">
        <f t="shared" si="8"/>
        <v>216</v>
      </c>
      <c r="C221" s="607"/>
      <c r="D221" s="10">
        <f t="shared" si="9"/>
        <v>0</v>
      </c>
      <c r="E221" s="10">
        <f t="shared" si="1"/>
        <v>0</v>
      </c>
      <c r="F221" s="10">
        <f t="shared" si="4"/>
        <v>550459</v>
      </c>
      <c r="G221" s="10">
        <f t="shared" si="5"/>
        <v>0</v>
      </c>
      <c r="H221" s="10">
        <f t="shared" si="6"/>
        <v>550459</v>
      </c>
      <c r="I221" s="10">
        <f t="shared" si="7"/>
        <v>-550459</v>
      </c>
      <c r="J221" s="610">
        <v>0.0</v>
      </c>
      <c r="K221" s="591"/>
      <c r="L221" s="6"/>
      <c r="M221" s="6"/>
      <c r="N221" s="6"/>
      <c r="O221" s="6"/>
      <c r="P221" s="6"/>
      <c r="Q221" s="6"/>
      <c r="R221" s="6"/>
      <c r="S221" s="6"/>
    </row>
    <row r="222" ht="11.25" customHeight="1">
      <c r="A222" s="100">
        <v>19.0</v>
      </c>
      <c r="B222" s="66">
        <f t="shared" si="8"/>
        <v>217</v>
      </c>
      <c r="C222" s="607"/>
      <c r="D222" s="617">
        <f t="shared" si="9"/>
        <v>0</v>
      </c>
      <c r="E222" s="617">
        <f t="shared" si="1"/>
        <v>0</v>
      </c>
      <c r="F222" s="617">
        <f t="shared" si="4"/>
        <v>550459</v>
      </c>
      <c r="G222" s="617">
        <f t="shared" si="5"/>
        <v>0</v>
      </c>
      <c r="H222" s="617">
        <f t="shared" si="6"/>
        <v>550459</v>
      </c>
      <c r="I222" s="617">
        <f t="shared" si="7"/>
        <v>-550459</v>
      </c>
      <c r="J222" s="610">
        <v>0.0</v>
      </c>
      <c r="K222" s="591"/>
      <c r="L222" s="6"/>
      <c r="M222" s="6"/>
      <c r="N222" s="6"/>
      <c r="O222" s="6"/>
      <c r="P222" s="6"/>
      <c r="Q222" s="6"/>
      <c r="R222" s="6"/>
      <c r="S222" s="6"/>
    </row>
    <row r="223" ht="11.25" customHeight="1">
      <c r="A223" s="7"/>
      <c r="B223" s="68">
        <f t="shared" si="8"/>
        <v>218</v>
      </c>
      <c r="C223" s="607"/>
      <c r="D223" s="6">
        <f t="shared" si="9"/>
        <v>0</v>
      </c>
      <c r="E223" s="6">
        <f t="shared" si="1"/>
        <v>0</v>
      </c>
      <c r="F223" s="6">
        <f t="shared" si="4"/>
        <v>550459</v>
      </c>
      <c r="G223" s="6">
        <f t="shared" si="5"/>
        <v>0</v>
      </c>
      <c r="H223" s="6">
        <f t="shared" si="6"/>
        <v>550459</v>
      </c>
      <c r="I223" s="6">
        <f t="shared" si="7"/>
        <v>-550459</v>
      </c>
      <c r="J223" s="610">
        <v>0.0</v>
      </c>
      <c r="K223" s="591"/>
      <c r="L223" s="6"/>
      <c r="M223" s="6"/>
      <c r="N223" s="6"/>
      <c r="O223" s="6"/>
      <c r="P223" s="6"/>
      <c r="Q223" s="6"/>
      <c r="R223" s="6"/>
      <c r="S223" s="6"/>
    </row>
    <row r="224" ht="11.25" customHeight="1">
      <c r="A224" s="7"/>
      <c r="B224" s="68">
        <f t="shared" si="8"/>
        <v>219</v>
      </c>
      <c r="C224" s="607"/>
      <c r="D224" s="6">
        <f t="shared" si="9"/>
        <v>0</v>
      </c>
      <c r="E224" s="6">
        <f t="shared" si="1"/>
        <v>0</v>
      </c>
      <c r="F224" s="6">
        <f t="shared" si="4"/>
        <v>550459</v>
      </c>
      <c r="G224" s="6">
        <f t="shared" si="5"/>
        <v>0</v>
      </c>
      <c r="H224" s="6">
        <f t="shared" si="6"/>
        <v>550459</v>
      </c>
      <c r="I224" s="6">
        <f t="shared" si="7"/>
        <v>-550459</v>
      </c>
      <c r="J224" s="610">
        <v>0.0</v>
      </c>
      <c r="K224" s="591"/>
      <c r="L224" s="6"/>
      <c r="M224" s="6"/>
      <c r="N224" s="6"/>
      <c r="O224" s="6"/>
      <c r="P224" s="6"/>
      <c r="Q224" s="6"/>
      <c r="R224" s="6"/>
      <c r="S224" s="6"/>
    </row>
    <row r="225" ht="11.25" customHeight="1">
      <c r="A225" s="7"/>
      <c r="B225" s="68">
        <f t="shared" si="8"/>
        <v>220</v>
      </c>
      <c r="C225" s="607"/>
      <c r="D225" s="6">
        <f t="shared" si="9"/>
        <v>0</v>
      </c>
      <c r="E225" s="6">
        <f t="shared" si="1"/>
        <v>0</v>
      </c>
      <c r="F225" s="6">
        <f t="shared" si="4"/>
        <v>550459</v>
      </c>
      <c r="G225" s="6">
        <f t="shared" si="5"/>
        <v>0</v>
      </c>
      <c r="H225" s="6">
        <f t="shared" si="6"/>
        <v>550459</v>
      </c>
      <c r="I225" s="6">
        <f t="shared" si="7"/>
        <v>-550459</v>
      </c>
      <c r="J225" s="610">
        <v>0.0</v>
      </c>
      <c r="K225" s="591"/>
      <c r="L225" s="6"/>
      <c r="M225" s="6"/>
      <c r="N225" s="6"/>
      <c r="O225" s="6"/>
      <c r="P225" s="6"/>
      <c r="Q225" s="6"/>
      <c r="R225" s="6"/>
      <c r="S225" s="6"/>
    </row>
    <row r="226" ht="11.25" customHeight="1">
      <c r="A226" s="7"/>
      <c r="B226" s="68">
        <f t="shared" si="8"/>
        <v>221</v>
      </c>
      <c r="C226" s="607"/>
      <c r="D226" s="6">
        <f t="shared" si="9"/>
        <v>0</v>
      </c>
      <c r="E226" s="6">
        <f t="shared" si="1"/>
        <v>0</v>
      </c>
      <c r="F226" s="6">
        <f t="shared" si="4"/>
        <v>550459</v>
      </c>
      <c r="G226" s="6">
        <f t="shared" si="5"/>
        <v>0</v>
      </c>
      <c r="H226" s="6">
        <f t="shared" si="6"/>
        <v>550459</v>
      </c>
      <c r="I226" s="6">
        <f t="shared" si="7"/>
        <v>-550459</v>
      </c>
      <c r="J226" s="610">
        <v>0.0</v>
      </c>
      <c r="K226" s="591"/>
      <c r="L226" s="6"/>
      <c r="M226" s="6"/>
      <c r="N226" s="6"/>
      <c r="O226" s="6"/>
      <c r="P226" s="6"/>
      <c r="Q226" s="6"/>
      <c r="R226" s="6"/>
      <c r="S226" s="6"/>
    </row>
    <row r="227" ht="11.25" customHeight="1">
      <c r="A227" s="7"/>
      <c r="B227" s="68">
        <f t="shared" si="8"/>
        <v>222</v>
      </c>
      <c r="C227" s="607"/>
      <c r="D227" s="6">
        <f t="shared" si="9"/>
        <v>0</v>
      </c>
      <c r="E227" s="6">
        <f t="shared" si="1"/>
        <v>0</v>
      </c>
      <c r="F227" s="6">
        <f t="shared" si="4"/>
        <v>550459</v>
      </c>
      <c r="G227" s="6">
        <f t="shared" si="5"/>
        <v>0</v>
      </c>
      <c r="H227" s="6">
        <f t="shared" si="6"/>
        <v>550459</v>
      </c>
      <c r="I227" s="6">
        <f t="shared" si="7"/>
        <v>-550459</v>
      </c>
      <c r="J227" s="610">
        <v>0.0</v>
      </c>
      <c r="K227" s="591"/>
      <c r="L227" s="6"/>
      <c r="M227" s="6"/>
      <c r="N227" s="6"/>
      <c r="O227" s="6"/>
      <c r="P227" s="6"/>
      <c r="Q227" s="6"/>
      <c r="R227" s="6"/>
      <c r="S227" s="6"/>
    </row>
    <row r="228" ht="11.25" customHeight="1">
      <c r="A228" s="7"/>
      <c r="B228" s="68">
        <f t="shared" si="8"/>
        <v>223</v>
      </c>
      <c r="C228" s="607"/>
      <c r="D228" s="6">
        <f t="shared" si="9"/>
        <v>0</v>
      </c>
      <c r="E228" s="6">
        <f t="shared" si="1"/>
        <v>0</v>
      </c>
      <c r="F228" s="6">
        <f t="shared" si="4"/>
        <v>550459</v>
      </c>
      <c r="G228" s="6">
        <f t="shared" si="5"/>
        <v>0</v>
      </c>
      <c r="H228" s="6">
        <f t="shared" si="6"/>
        <v>550459</v>
      </c>
      <c r="I228" s="6">
        <f t="shared" si="7"/>
        <v>-550459</v>
      </c>
      <c r="J228" s="610">
        <v>0.0</v>
      </c>
      <c r="K228" s="591"/>
      <c r="L228" s="6"/>
      <c r="M228" s="6"/>
      <c r="N228" s="6"/>
      <c r="O228" s="6"/>
      <c r="P228" s="6"/>
      <c r="Q228" s="6"/>
      <c r="R228" s="6"/>
      <c r="S228" s="6"/>
    </row>
    <row r="229" ht="11.25" customHeight="1">
      <c r="A229" s="7"/>
      <c r="B229" s="68">
        <f t="shared" si="8"/>
        <v>224</v>
      </c>
      <c r="C229" s="607"/>
      <c r="D229" s="6">
        <f t="shared" si="9"/>
        <v>0</v>
      </c>
      <c r="E229" s="6">
        <f t="shared" si="1"/>
        <v>0</v>
      </c>
      <c r="F229" s="6">
        <f t="shared" si="4"/>
        <v>550459</v>
      </c>
      <c r="G229" s="6">
        <f t="shared" si="5"/>
        <v>0</v>
      </c>
      <c r="H229" s="6">
        <f t="shared" si="6"/>
        <v>550459</v>
      </c>
      <c r="I229" s="6">
        <f t="shared" si="7"/>
        <v>-550459</v>
      </c>
      <c r="J229" s="610">
        <v>0.0</v>
      </c>
      <c r="K229" s="591"/>
      <c r="L229" s="6"/>
      <c r="M229" s="6"/>
      <c r="N229" s="6"/>
      <c r="O229" s="6"/>
      <c r="P229" s="6"/>
      <c r="Q229" s="6"/>
      <c r="R229" s="6"/>
      <c r="S229" s="6"/>
    </row>
    <row r="230" ht="11.25" customHeight="1">
      <c r="A230" s="7"/>
      <c r="B230" s="68">
        <f t="shared" si="8"/>
        <v>225</v>
      </c>
      <c r="C230" s="607"/>
      <c r="D230" s="6">
        <f t="shared" si="9"/>
        <v>0</v>
      </c>
      <c r="E230" s="6">
        <f t="shared" si="1"/>
        <v>0</v>
      </c>
      <c r="F230" s="6">
        <f t="shared" si="4"/>
        <v>550459</v>
      </c>
      <c r="G230" s="6">
        <f t="shared" si="5"/>
        <v>0</v>
      </c>
      <c r="H230" s="6">
        <f t="shared" si="6"/>
        <v>550459</v>
      </c>
      <c r="I230" s="6">
        <f t="shared" si="7"/>
        <v>-550459</v>
      </c>
      <c r="J230" s="610">
        <v>0.0</v>
      </c>
      <c r="K230" s="591"/>
      <c r="L230" s="6"/>
      <c r="M230" s="6"/>
      <c r="N230" s="6"/>
      <c r="O230" s="6"/>
      <c r="P230" s="6"/>
      <c r="Q230" s="6"/>
      <c r="R230" s="6"/>
      <c r="S230" s="6"/>
    </row>
    <row r="231" ht="11.25" customHeight="1">
      <c r="A231" s="7"/>
      <c r="B231" s="68">
        <f t="shared" si="8"/>
        <v>226</v>
      </c>
      <c r="C231" s="607"/>
      <c r="D231" s="6">
        <f t="shared" si="9"/>
        <v>0</v>
      </c>
      <c r="E231" s="6">
        <f t="shared" si="1"/>
        <v>0</v>
      </c>
      <c r="F231" s="6">
        <f t="shared" si="4"/>
        <v>550459</v>
      </c>
      <c r="G231" s="6">
        <f t="shared" si="5"/>
        <v>0</v>
      </c>
      <c r="H231" s="6">
        <f t="shared" si="6"/>
        <v>550459</v>
      </c>
      <c r="I231" s="6">
        <f t="shared" si="7"/>
        <v>-550459</v>
      </c>
      <c r="J231" s="610">
        <v>0.0</v>
      </c>
      <c r="K231" s="591"/>
      <c r="L231" s="6"/>
      <c r="M231" s="6"/>
      <c r="N231" s="6"/>
      <c r="O231" s="6"/>
      <c r="P231" s="6"/>
      <c r="Q231" s="6"/>
      <c r="R231" s="6"/>
      <c r="S231" s="6"/>
    </row>
    <row r="232" ht="11.25" customHeight="1">
      <c r="A232" s="7"/>
      <c r="B232" s="68">
        <f t="shared" si="8"/>
        <v>227</v>
      </c>
      <c r="C232" s="607"/>
      <c r="D232" s="6">
        <f t="shared" si="9"/>
        <v>0</v>
      </c>
      <c r="E232" s="6">
        <f t="shared" si="1"/>
        <v>0</v>
      </c>
      <c r="F232" s="6">
        <f t="shared" si="4"/>
        <v>550459</v>
      </c>
      <c r="G232" s="6">
        <f t="shared" si="5"/>
        <v>0</v>
      </c>
      <c r="H232" s="6">
        <f t="shared" si="6"/>
        <v>550459</v>
      </c>
      <c r="I232" s="6">
        <f t="shared" si="7"/>
        <v>-550459</v>
      </c>
      <c r="J232" s="610">
        <v>0.0</v>
      </c>
      <c r="K232" s="591"/>
      <c r="L232" s="6"/>
      <c r="M232" s="6"/>
      <c r="N232" s="6"/>
      <c r="O232" s="6"/>
      <c r="P232" s="6"/>
      <c r="Q232" s="6"/>
      <c r="R232" s="6"/>
      <c r="S232" s="6"/>
    </row>
    <row r="233" ht="11.25" customHeight="1">
      <c r="A233" s="71"/>
      <c r="B233" s="72">
        <f t="shared" si="8"/>
        <v>228</v>
      </c>
      <c r="C233" s="607"/>
      <c r="D233" s="10">
        <f t="shared" si="9"/>
        <v>0</v>
      </c>
      <c r="E233" s="10">
        <f t="shared" si="1"/>
        <v>0</v>
      </c>
      <c r="F233" s="10">
        <f t="shared" si="4"/>
        <v>550459</v>
      </c>
      <c r="G233" s="10">
        <f t="shared" si="5"/>
        <v>0</v>
      </c>
      <c r="H233" s="10">
        <f t="shared" si="6"/>
        <v>550459</v>
      </c>
      <c r="I233" s="10">
        <f t="shared" si="7"/>
        <v>-550459</v>
      </c>
      <c r="J233" s="610">
        <v>0.0</v>
      </c>
      <c r="K233" s="591"/>
      <c r="L233" s="6"/>
      <c r="M233" s="6"/>
      <c r="N233" s="6"/>
      <c r="O233" s="6"/>
      <c r="P233" s="6"/>
      <c r="Q233" s="6"/>
      <c r="R233" s="6"/>
      <c r="S233" s="6"/>
    </row>
    <row r="234" ht="11.25" customHeight="1">
      <c r="A234" s="100">
        <v>20.0</v>
      </c>
      <c r="B234" s="66">
        <f t="shared" si="8"/>
        <v>229</v>
      </c>
      <c r="C234" s="607"/>
      <c r="D234" s="617">
        <f t="shared" si="9"/>
        <v>0</v>
      </c>
      <c r="E234" s="617">
        <f t="shared" si="1"/>
        <v>0</v>
      </c>
      <c r="F234" s="617">
        <f t="shared" si="4"/>
        <v>550459</v>
      </c>
      <c r="G234" s="617">
        <f t="shared" si="5"/>
        <v>0</v>
      </c>
      <c r="H234" s="617">
        <f t="shared" si="6"/>
        <v>550459</v>
      </c>
      <c r="I234" s="617">
        <f t="shared" si="7"/>
        <v>-550459</v>
      </c>
      <c r="J234" s="610">
        <v>0.0</v>
      </c>
      <c r="K234" s="591"/>
      <c r="L234" s="6"/>
      <c r="M234" s="6"/>
      <c r="N234" s="6"/>
      <c r="O234" s="6"/>
      <c r="P234" s="6"/>
      <c r="Q234" s="6"/>
      <c r="R234" s="6"/>
      <c r="S234" s="6"/>
    </row>
    <row r="235" ht="11.25" customHeight="1">
      <c r="A235" s="7"/>
      <c r="B235" s="68">
        <f t="shared" si="8"/>
        <v>230</v>
      </c>
      <c r="C235" s="607"/>
      <c r="D235" s="6">
        <f t="shared" si="9"/>
        <v>0</v>
      </c>
      <c r="E235" s="6">
        <f t="shared" si="1"/>
        <v>0</v>
      </c>
      <c r="F235" s="6">
        <f t="shared" si="4"/>
        <v>550459</v>
      </c>
      <c r="G235" s="6">
        <f t="shared" si="5"/>
        <v>0</v>
      </c>
      <c r="H235" s="6">
        <f t="shared" si="6"/>
        <v>550459</v>
      </c>
      <c r="I235" s="6">
        <f t="shared" si="7"/>
        <v>-550459</v>
      </c>
      <c r="J235" s="610">
        <v>0.0</v>
      </c>
      <c r="K235" s="591"/>
      <c r="L235" s="6"/>
      <c r="M235" s="6"/>
      <c r="N235" s="6"/>
      <c r="O235" s="6"/>
      <c r="P235" s="6"/>
      <c r="Q235" s="6"/>
      <c r="R235" s="6"/>
      <c r="S235" s="6"/>
    </row>
    <row r="236" ht="11.25" customHeight="1">
      <c r="A236" s="7"/>
      <c r="B236" s="68">
        <f t="shared" si="8"/>
        <v>231</v>
      </c>
      <c r="C236" s="607"/>
      <c r="D236" s="6">
        <f t="shared" si="9"/>
        <v>0</v>
      </c>
      <c r="E236" s="6">
        <f t="shared" si="1"/>
        <v>0</v>
      </c>
      <c r="F236" s="6">
        <f t="shared" si="4"/>
        <v>550459</v>
      </c>
      <c r="G236" s="6">
        <f t="shared" si="5"/>
        <v>0</v>
      </c>
      <c r="H236" s="6">
        <f t="shared" si="6"/>
        <v>550459</v>
      </c>
      <c r="I236" s="6">
        <f t="shared" si="7"/>
        <v>-550459</v>
      </c>
      <c r="J236" s="610">
        <v>0.0</v>
      </c>
      <c r="K236" s="591"/>
      <c r="L236" s="6"/>
      <c r="M236" s="6"/>
      <c r="N236" s="6"/>
      <c r="O236" s="6"/>
      <c r="P236" s="6"/>
      <c r="Q236" s="6"/>
      <c r="R236" s="6"/>
      <c r="S236" s="6"/>
    </row>
    <row r="237" ht="11.25" customHeight="1">
      <c r="A237" s="7"/>
      <c r="B237" s="68">
        <f t="shared" si="8"/>
        <v>232</v>
      </c>
      <c r="C237" s="607"/>
      <c r="D237" s="6">
        <f t="shared" si="9"/>
        <v>0</v>
      </c>
      <c r="E237" s="6">
        <f t="shared" si="1"/>
        <v>0</v>
      </c>
      <c r="F237" s="6">
        <f t="shared" si="4"/>
        <v>550459</v>
      </c>
      <c r="G237" s="6">
        <f t="shared" si="5"/>
        <v>0</v>
      </c>
      <c r="H237" s="6">
        <f t="shared" si="6"/>
        <v>550459</v>
      </c>
      <c r="I237" s="6">
        <f t="shared" si="7"/>
        <v>-550459</v>
      </c>
      <c r="J237" s="610">
        <v>0.0</v>
      </c>
      <c r="K237" s="591"/>
      <c r="L237" s="6"/>
      <c r="M237" s="6"/>
      <c r="N237" s="6"/>
      <c r="O237" s="6"/>
      <c r="P237" s="6"/>
      <c r="Q237" s="6"/>
      <c r="R237" s="6"/>
      <c r="S237" s="6"/>
    </row>
    <row r="238" ht="11.25" customHeight="1">
      <c r="A238" s="7"/>
      <c r="B238" s="68">
        <f t="shared" si="8"/>
        <v>233</v>
      </c>
      <c r="C238" s="607"/>
      <c r="D238" s="6">
        <f t="shared" si="9"/>
        <v>0</v>
      </c>
      <c r="E238" s="6">
        <f t="shared" si="1"/>
        <v>0</v>
      </c>
      <c r="F238" s="6">
        <f t="shared" si="4"/>
        <v>550459</v>
      </c>
      <c r="G238" s="6">
        <f t="shared" si="5"/>
        <v>0</v>
      </c>
      <c r="H238" s="6">
        <f t="shared" si="6"/>
        <v>550459</v>
      </c>
      <c r="I238" s="6">
        <f t="shared" si="7"/>
        <v>-550459</v>
      </c>
      <c r="J238" s="610">
        <v>0.0</v>
      </c>
      <c r="K238" s="591"/>
      <c r="L238" s="6"/>
      <c r="M238" s="6"/>
      <c r="N238" s="6"/>
      <c r="O238" s="6"/>
      <c r="P238" s="6"/>
      <c r="Q238" s="6"/>
      <c r="R238" s="6"/>
      <c r="S238" s="6"/>
    </row>
    <row r="239" ht="11.25" customHeight="1">
      <c r="A239" s="7"/>
      <c r="B239" s="68">
        <f t="shared" si="8"/>
        <v>234</v>
      </c>
      <c r="C239" s="607"/>
      <c r="D239" s="6">
        <f t="shared" si="9"/>
        <v>0</v>
      </c>
      <c r="E239" s="6">
        <f t="shared" si="1"/>
        <v>0</v>
      </c>
      <c r="F239" s="6">
        <f t="shared" si="4"/>
        <v>550459</v>
      </c>
      <c r="G239" s="6">
        <f t="shared" si="5"/>
        <v>0</v>
      </c>
      <c r="H239" s="6">
        <f t="shared" si="6"/>
        <v>550459</v>
      </c>
      <c r="I239" s="6">
        <f t="shared" si="7"/>
        <v>-550459</v>
      </c>
      <c r="J239" s="610">
        <v>0.0</v>
      </c>
      <c r="K239" s="591"/>
      <c r="L239" s="6"/>
      <c r="M239" s="6"/>
      <c r="N239" s="6"/>
      <c r="O239" s="6"/>
      <c r="P239" s="6"/>
      <c r="Q239" s="6"/>
      <c r="R239" s="6"/>
      <c r="S239" s="6"/>
    </row>
    <row r="240" ht="11.25" customHeight="1">
      <c r="A240" s="7"/>
      <c r="B240" s="68">
        <f t="shared" si="8"/>
        <v>235</v>
      </c>
      <c r="C240" s="607"/>
      <c r="D240" s="6">
        <f t="shared" si="9"/>
        <v>0</v>
      </c>
      <c r="E240" s="6">
        <f t="shared" si="1"/>
        <v>0</v>
      </c>
      <c r="F240" s="6">
        <f t="shared" si="4"/>
        <v>550459</v>
      </c>
      <c r="G240" s="6">
        <f t="shared" si="5"/>
        <v>0</v>
      </c>
      <c r="H240" s="6">
        <f t="shared" si="6"/>
        <v>550459</v>
      </c>
      <c r="I240" s="6">
        <f t="shared" si="7"/>
        <v>-550459</v>
      </c>
      <c r="J240" s="610">
        <v>0.0</v>
      </c>
      <c r="K240" s="591"/>
      <c r="L240" s="6"/>
      <c r="M240" s="6"/>
      <c r="N240" s="6"/>
      <c r="O240" s="6"/>
      <c r="P240" s="6"/>
      <c r="Q240" s="6"/>
      <c r="R240" s="6"/>
      <c r="S240" s="6"/>
    </row>
    <row r="241" ht="11.25" customHeight="1">
      <c r="A241" s="7"/>
      <c r="B241" s="68">
        <f t="shared" si="8"/>
        <v>236</v>
      </c>
      <c r="C241" s="607"/>
      <c r="D241" s="6">
        <f t="shared" si="9"/>
        <v>0</v>
      </c>
      <c r="E241" s="6">
        <f t="shared" si="1"/>
        <v>0</v>
      </c>
      <c r="F241" s="6">
        <f t="shared" si="4"/>
        <v>550459</v>
      </c>
      <c r="G241" s="6">
        <f t="shared" si="5"/>
        <v>0</v>
      </c>
      <c r="H241" s="6">
        <f t="shared" si="6"/>
        <v>550459</v>
      </c>
      <c r="I241" s="6">
        <f t="shared" si="7"/>
        <v>-550459</v>
      </c>
      <c r="J241" s="610">
        <v>0.0</v>
      </c>
      <c r="K241" s="591"/>
      <c r="L241" s="6"/>
      <c r="M241" s="6"/>
      <c r="N241" s="6"/>
      <c r="O241" s="6"/>
      <c r="P241" s="6"/>
      <c r="Q241" s="6"/>
      <c r="R241" s="6"/>
      <c r="S241" s="6"/>
    </row>
    <row r="242" ht="11.25" customHeight="1">
      <c r="A242" s="7"/>
      <c r="B242" s="68">
        <f t="shared" si="8"/>
        <v>237</v>
      </c>
      <c r="C242" s="607"/>
      <c r="D242" s="6">
        <f t="shared" si="9"/>
        <v>0</v>
      </c>
      <c r="E242" s="6">
        <f t="shared" si="1"/>
        <v>0</v>
      </c>
      <c r="F242" s="6">
        <f t="shared" si="4"/>
        <v>550459</v>
      </c>
      <c r="G242" s="6">
        <f t="shared" si="5"/>
        <v>0</v>
      </c>
      <c r="H242" s="6">
        <f t="shared" si="6"/>
        <v>550459</v>
      </c>
      <c r="I242" s="6">
        <f t="shared" si="7"/>
        <v>-550459</v>
      </c>
      <c r="J242" s="610">
        <v>0.0</v>
      </c>
      <c r="K242" s="591"/>
      <c r="L242" s="6"/>
      <c r="M242" s="6"/>
      <c r="N242" s="6"/>
      <c r="O242" s="6"/>
      <c r="P242" s="6"/>
      <c r="Q242" s="6"/>
      <c r="R242" s="6"/>
      <c r="S242" s="6"/>
    </row>
    <row r="243" ht="11.25" customHeight="1">
      <c r="A243" s="7"/>
      <c r="B243" s="68">
        <f t="shared" si="8"/>
        <v>238</v>
      </c>
      <c r="C243" s="607"/>
      <c r="D243" s="6">
        <f t="shared" si="9"/>
        <v>0</v>
      </c>
      <c r="E243" s="6">
        <f t="shared" si="1"/>
        <v>0</v>
      </c>
      <c r="F243" s="6">
        <f t="shared" si="4"/>
        <v>550459</v>
      </c>
      <c r="G243" s="6">
        <f t="shared" si="5"/>
        <v>0</v>
      </c>
      <c r="H243" s="6">
        <f t="shared" si="6"/>
        <v>550459</v>
      </c>
      <c r="I243" s="6">
        <f t="shared" si="7"/>
        <v>-550459</v>
      </c>
      <c r="J243" s="610">
        <v>0.0</v>
      </c>
      <c r="K243" s="591"/>
      <c r="L243" s="6"/>
      <c r="M243" s="6"/>
      <c r="N243" s="6"/>
      <c r="O243" s="6"/>
      <c r="P243" s="6"/>
      <c r="Q243" s="6"/>
      <c r="R243" s="6"/>
      <c r="S243" s="6"/>
    </row>
    <row r="244" ht="11.25" customHeight="1">
      <c r="A244" s="7"/>
      <c r="B244" s="68">
        <f t="shared" si="8"/>
        <v>239</v>
      </c>
      <c r="C244" s="607"/>
      <c r="D244" s="6">
        <f t="shared" si="9"/>
        <v>0</v>
      </c>
      <c r="E244" s="6">
        <f t="shared" si="1"/>
        <v>0</v>
      </c>
      <c r="F244" s="6">
        <f t="shared" si="4"/>
        <v>550459</v>
      </c>
      <c r="G244" s="6">
        <f t="shared" si="5"/>
        <v>0</v>
      </c>
      <c r="H244" s="6">
        <f t="shared" si="6"/>
        <v>550459</v>
      </c>
      <c r="I244" s="6">
        <f t="shared" si="7"/>
        <v>-550459</v>
      </c>
      <c r="J244" s="610">
        <v>0.0</v>
      </c>
      <c r="K244" s="591"/>
      <c r="L244" s="6"/>
      <c r="M244" s="6"/>
      <c r="N244" s="6"/>
      <c r="O244" s="6"/>
      <c r="P244" s="6"/>
      <c r="Q244" s="6"/>
      <c r="R244" s="6"/>
      <c r="S244" s="6"/>
    </row>
    <row r="245" ht="11.25" customHeight="1">
      <c r="A245" s="71"/>
      <c r="B245" s="72">
        <f t="shared" si="8"/>
        <v>240</v>
      </c>
      <c r="C245" s="607"/>
      <c r="D245" s="10">
        <f t="shared" si="9"/>
        <v>0</v>
      </c>
      <c r="E245" s="10">
        <f t="shared" si="1"/>
        <v>0</v>
      </c>
      <c r="F245" s="10">
        <f t="shared" si="4"/>
        <v>550459</v>
      </c>
      <c r="G245" s="10">
        <f t="shared" si="5"/>
        <v>0</v>
      </c>
      <c r="H245" s="10">
        <f t="shared" si="6"/>
        <v>550459</v>
      </c>
      <c r="I245" s="10">
        <f t="shared" si="7"/>
        <v>-550459</v>
      </c>
      <c r="J245" s="610">
        <v>0.0</v>
      </c>
      <c r="K245" s="591"/>
      <c r="L245" s="6"/>
      <c r="M245" s="6"/>
      <c r="N245" s="6"/>
      <c r="O245" s="6"/>
      <c r="P245" s="6"/>
      <c r="Q245" s="6"/>
      <c r="R245" s="6"/>
      <c r="S245" s="6"/>
    </row>
    <row r="246" ht="11.25" customHeight="1">
      <c r="A246" s="100">
        <v>21.0</v>
      </c>
      <c r="B246" s="66">
        <f t="shared" si="8"/>
        <v>241</v>
      </c>
      <c r="C246" s="607"/>
      <c r="D246" s="617">
        <f t="shared" si="9"/>
        <v>0</v>
      </c>
      <c r="E246" s="617">
        <f t="shared" si="1"/>
        <v>0</v>
      </c>
      <c r="F246" s="617">
        <f t="shared" si="4"/>
        <v>550459</v>
      </c>
      <c r="G246" s="617">
        <f t="shared" si="5"/>
        <v>0</v>
      </c>
      <c r="H246" s="617">
        <f t="shared" si="6"/>
        <v>550459</v>
      </c>
      <c r="I246" s="617">
        <f t="shared" si="7"/>
        <v>-550459</v>
      </c>
      <c r="J246" s="610">
        <v>0.0</v>
      </c>
      <c r="K246" s="591"/>
      <c r="L246" s="6"/>
      <c r="M246" s="6"/>
      <c r="N246" s="6"/>
      <c r="O246" s="6"/>
      <c r="P246" s="6"/>
      <c r="Q246" s="6"/>
      <c r="R246" s="6"/>
      <c r="S246" s="6"/>
    </row>
    <row r="247" ht="11.25" customHeight="1">
      <c r="A247" s="7"/>
      <c r="B247" s="68">
        <f t="shared" si="8"/>
        <v>242</v>
      </c>
      <c r="C247" s="607"/>
      <c r="D247" s="6">
        <f t="shared" si="9"/>
        <v>0</v>
      </c>
      <c r="E247" s="6">
        <f t="shared" si="1"/>
        <v>0</v>
      </c>
      <c r="F247" s="6">
        <f t="shared" si="4"/>
        <v>550459</v>
      </c>
      <c r="G247" s="6">
        <f t="shared" si="5"/>
        <v>0</v>
      </c>
      <c r="H247" s="6">
        <f t="shared" si="6"/>
        <v>550459</v>
      </c>
      <c r="I247" s="6">
        <f t="shared" si="7"/>
        <v>-550459</v>
      </c>
      <c r="J247" s="610">
        <v>0.0</v>
      </c>
      <c r="K247" s="591"/>
      <c r="L247" s="6"/>
      <c r="M247" s="6"/>
      <c r="N247" s="6"/>
      <c r="O247" s="6"/>
      <c r="P247" s="6"/>
      <c r="Q247" s="6"/>
      <c r="R247" s="6"/>
      <c r="S247" s="6"/>
    </row>
    <row r="248" ht="11.25" customHeight="1">
      <c r="A248" s="7"/>
      <c r="B248" s="68">
        <f t="shared" si="8"/>
        <v>243</v>
      </c>
      <c r="C248" s="607"/>
      <c r="D248" s="6">
        <f t="shared" si="9"/>
        <v>0</v>
      </c>
      <c r="E248" s="6">
        <f t="shared" si="1"/>
        <v>0</v>
      </c>
      <c r="F248" s="6">
        <f t="shared" si="4"/>
        <v>550459</v>
      </c>
      <c r="G248" s="6">
        <f t="shared" si="5"/>
        <v>0</v>
      </c>
      <c r="H248" s="6">
        <f t="shared" si="6"/>
        <v>550459</v>
      </c>
      <c r="I248" s="6">
        <f t="shared" si="7"/>
        <v>-550459</v>
      </c>
      <c r="J248" s="610">
        <v>0.0</v>
      </c>
      <c r="K248" s="591"/>
      <c r="L248" s="6"/>
      <c r="M248" s="6"/>
      <c r="N248" s="6"/>
      <c r="O248" s="6"/>
      <c r="P248" s="6"/>
      <c r="Q248" s="6"/>
      <c r="R248" s="6"/>
      <c r="S248" s="6"/>
    </row>
    <row r="249" ht="11.25" customHeight="1">
      <c r="A249" s="7"/>
      <c r="B249" s="68">
        <f t="shared" si="8"/>
        <v>244</v>
      </c>
      <c r="C249" s="607"/>
      <c r="D249" s="6">
        <f t="shared" si="9"/>
        <v>0</v>
      </c>
      <c r="E249" s="6">
        <f t="shared" si="1"/>
        <v>0</v>
      </c>
      <c r="F249" s="6">
        <f t="shared" si="4"/>
        <v>550459</v>
      </c>
      <c r="G249" s="6">
        <f t="shared" si="5"/>
        <v>0</v>
      </c>
      <c r="H249" s="6">
        <f t="shared" si="6"/>
        <v>550459</v>
      </c>
      <c r="I249" s="6">
        <f t="shared" si="7"/>
        <v>-550459</v>
      </c>
      <c r="J249" s="610">
        <v>0.0</v>
      </c>
      <c r="K249" s="591"/>
      <c r="L249" s="6"/>
      <c r="M249" s="6"/>
      <c r="N249" s="6"/>
      <c r="O249" s="6"/>
      <c r="P249" s="6"/>
      <c r="Q249" s="6"/>
      <c r="R249" s="6"/>
      <c r="S249" s="6"/>
    </row>
    <row r="250" ht="11.25" customHeight="1">
      <c r="A250" s="7"/>
      <c r="B250" s="68">
        <f t="shared" si="8"/>
        <v>245</v>
      </c>
      <c r="C250" s="607"/>
      <c r="D250" s="6">
        <f t="shared" si="9"/>
        <v>0</v>
      </c>
      <c r="E250" s="6">
        <f t="shared" si="1"/>
        <v>0</v>
      </c>
      <c r="F250" s="6">
        <f t="shared" si="4"/>
        <v>550459</v>
      </c>
      <c r="G250" s="6">
        <f t="shared" si="5"/>
        <v>0</v>
      </c>
      <c r="H250" s="6">
        <f t="shared" si="6"/>
        <v>550459</v>
      </c>
      <c r="I250" s="6">
        <f t="shared" si="7"/>
        <v>-550459</v>
      </c>
      <c r="J250" s="610">
        <v>0.0</v>
      </c>
      <c r="K250" s="591"/>
      <c r="L250" s="6"/>
      <c r="M250" s="6"/>
      <c r="N250" s="6"/>
      <c r="O250" s="6"/>
      <c r="P250" s="6"/>
      <c r="Q250" s="6"/>
      <c r="R250" s="6"/>
      <c r="S250" s="6"/>
    </row>
    <row r="251" ht="11.25" customHeight="1">
      <c r="A251" s="7"/>
      <c r="B251" s="68">
        <f t="shared" si="8"/>
        <v>246</v>
      </c>
      <c r="C251" s="607"/>
      <c r="D251" s="6">
        <f t="shared" si="9"/>
        <v>0</v>
      </c>
      <c r="E251" s="6">
        <f t="shared" si="1"/>
        <v>0</v>
      </c>
      <c r="F251" s="6">
        <f t="shared" si="4"/>
        <v>550459</v>
      </c>
      <c r="G251" s="6">
        <f t="shared" si="5"/>
        <v>0</v>
      </c>
      <c r="H251" s="6">
        <f t="shared" si="6"/>
        <v>550459</v>
      </c>
      <c r="I251" s="6">
        <f t="shared" si="7"/>
        <v>-550459</v>
      </c>
      <c r="J251" s="610">
        <v>0.0</v>
      </c>
      <c r="K251" s="591"/>
      <c r="L251" s="6"/>
      <c r="M251" s="6"/>
      <c r="N251" s="6"/>
      <c r="O251" s="6"/>
      <c r="P251" s="6"/>
      <c r="Q251" s="6"/>
      <c r="R251" s="6"/>
      <c r="S251" s="6"/>
    </row>
    <row r="252" ht="11.25" customHeight="1">
      <c r="A252" s="7"/>
      <c r="B252" s="68">
        <f t="shared" si="8"/>
        <v>247</v>
      </c>
      <c r="C252" s="607"/>
      <c r="D252" s="6">
        <f t="shared" si="9"/>
        <v>0</v>
      </c>
      <c r="E252" s="6">
        <f t="shared" si="1"/>
        <v>0</v>
      </c>
      <c r="F252" s="6">
        <f t="shared" si="4"/>
        <v>550459</v>
      </c>
      <c r="G252" s="6">
        <f t="shared" si="5"/>
        <v>0</v>
      </c>
      <c r="H252" s="6">
        <f t="shared" si="6"/>
        <v>550459</v>
      </c>
      <c r="I252" s="6">
        <f t="shared" si="7"/>
        <v>-550459</v>
      </c>
      <c r="J252" s="610">
        <v>0.0</v>
      </c>
      <c r="K252" s="591"/>
      <c r="L252" s="6"/>
      <c r="M252" s="6"/>
      <c r="N252" s="6"/>
      <c r="O252" s="6"/>
      <c r="P252" s="6"/>
      <c r="Q252" s="6"/>
      <c r="R252" s="6"/>
      <c r="S252" s="6"/>
    </row>
    <row r="253" ht="11.25" customHeight="1">
      <c r="A253" s="7"/>
      <c r="B253" s="68">
        <f t="shared" si="8"/>
        <v>248</v>
      </c>
      <c r="C253" s="607"/>
      <c r="D253" s="6">
        <f t="shared" si="9"/>
        <v>0</v>
      </c>
      <c r="E253" s="6">
        <f t="shared" si="1"/>
        <v>0</v>
      </c>
      <c r="F253" s="6">
        <f t="shared" si="4"/>
        <v>550459</v>
      </c>
      <c r="G253" s="6">
        <f t="shared" si="5"/>
        <v>0</v>
      </c>
      <c r="H253" s="6">
        <f t="shared" si="6"/>
        <v>550459</v>
      </c>
      <c r="I253" s="6">
        <f t="shared" si="7"/>
        <v>-550459</v>
      </c>
      <c r="J253" s="610">
        <v>0.0</v>
      </c>
      <c r="K253" s="591"/>
      <c r="L253" s="6"/>
      <c r="M253" s="6"/>
      <c r="N253" s="6"/>
      <c r="O253" s="6"/>
      <c r="P253" s="6"/>
      <c r="Q253" s="6"/>
      <c r="R253" s="6"/>
      <c r="S253" s="6"/>
    </row>
    <row r="254" ht="11.25" customHeight="1">
      <c r="A254" s="7"/>
      <c r="B254" s="68">
        <f t="shared" si="8"/>
        <v>249</v>
      </c>
      <c r="C254" s="607"/>
      <c r="D254" s="6">
        <f t="shared" si="9"/>
        <v>0</v>
      </c>
      <c r="E254" s="6">
        <f t="shared" si="1"/>
        <v>0</v>
      </c>
      <c r="F254" s="6">
        <f t="shared" si="4"/>
        <v>550459</v>
      </c>
      <c r="G254" s="6">
        <f t="shared" si="5"/>
        <v>0</v>
      </c>
      <c r="H254" s="6">
        <f t="shared" si="6"/>
        <v>550459</v>
      </c>
      <c r="I254" s="6">
        <f t="shared" si="7"/>
        <v>-550459</v>
      </c>
      <c r="J254" s="610">
        <v>0.0</v>
      </c>
      <c r="K254" s="591"/>
      <c r="L254" s="6"/>
      <c r="M254" s="6"/>
      <c r="N254" s="6"/>
      <c r="O254" s="6"/>
      <c r="P254" s="6"/>
      <c r="Q254" s="6"/>
      <c r="R254" s="6"/>
      <c r="S254" s="6"/>
    </row>
    <row r="255" ht="11.25" customHeight="1">
      <c r="A255" s="7"/>
      <c r="B255" s="68">
        <f t="shared" si="8"/>
        <v>250</v>
      </c>
      <c r="C255" s="607"/>
      <c r="D255" s="6">
        <f t="shared" si="9"/>
        <v>0</v>
      </c>
      <c r="E255" s="6">
        <f t="shared" si="1"/>
        <v>0</v>
      </c>
      <c r="F255" s="6">
        <f t="shared" si="4"/>
        <v>550459</v>
      </c>
      <c r="G255" s="6">
        <f t="shared" si="5"/>
        <v>0</v>
      </c>
      <c r="H255" s="6">
        <f t="shared" si="6"/>
        <v>550459</v>
      </c>
      <c r="I255" s="6">
        <f t="shared" si="7"/>
        <v>-550459</v>
      </c>
      <c r="J255" s="610">
        <v>0.0</v>
      </c>
      <c r="K255" s="591"/>
      <c r="L255" s="6"/>
      <c r="M255" s="6"/>
      <c r="N255" s="6"/>
      <c r="O255" s="6"/>
      <c r="P255" s="6"/>
      <c r="Q255" s="6"/>
      <c r="R255" s="6"/>
      <c r="S255" s="6"/>
    </row>
    <row r="256" ht="11.25" customHeight="1">
      <c r="A256" s="7"/>
      <c r="B256" s="68">
        <f t="shared" si="8"/>
        <v>251</v>
      </c>
      <c r="C256" s="607"/>
      <c r="D256" s="6">
        <f t="shared" si="9"/>
        <v>0</v>
      </c>
      <c r="E256" s="6">
        <f t="shared" si="1"/>
        <v>0</v>
      </c>
      <c r="F256" s="6">
        <f t="shared" si="4"/>
        <v>550459</v>
      </c>
      <c r="G256" s="6">
        <f t="shared" si="5"/>
        <v>0</v>
      </c>
      <c r="H256" s="6">
        <f t="shared" si="6"/>
        <v>550459</v>
      </c>
      <c r="I256" s="6">
        <f t="shared" si="7"/>
        <v>-550459</v>
      </c>
      <c r="J256" s="610">
        <v>0.0</v>
      </c>
      <c r="K256" s="591"/>
      <c r="L256" s="6"/>
      <c r="M256" s="6"/>
      <c r="N256" s="6"/>
      <c r="O256" s="6"/>
      <c r="P256" s="6"/>
      <c r="Q256" s="6"/>
      <c r="R256" s="6"/>
      <c r="S256" s="6"/>
    </row>
    <row r="257" ht="11.25" customHeight="1">
      <c r="A257" s="71"/>
      <c r="B257" s="72">
        <f t="shared" si="8"/>
        <v>252</v>
      </c>
      <c r="C257" s="607"/>
      <c r="D257" s="10">
        <f t="shared" si="9"/>
        <v>0</v>
      </c>
      <c r="E257" s="10">
        <f t="shared" si="1"/>
        <v>0</v>
      </c>
      <c r="F257" s="10">
        <f t="shared" si="4"/>
        <v>550459</v>
      </c>
      <c r="G257" s="10">
        <f t="shared" si="5"/>
        <v>0</v>
      </c>
      <c r="H257" s="10">
        <f t="shared" si="6"/>
        <v>550459</v>
      </c>
      <c r="I257" s="10">
        <f t="shared" si="7"/>
        <v>-550459</v>
      </c>
      <c r="J257" s="610">
        <v>0.0</v>
      </c>
      <c r="K257" s="591"/>
      <c r="L257" s="6"/>
      <c r="M257" s="6"/>
      <c r="N257" s="6"/>
      <c r="O257" s="6"/>
      <c r="P257" s="6"/>
      <c r="Q257" s="6"/>
      <c r="R257" s="6"/>
      <c r="S257" s="6"/>
    </row>
    <row r="258" ht="11.25" customHeight="1">
      <c r="A258" s="100">
        <v>22.0</v>
      </c>
      <c r="B258" s="66">
        <f t="shared" si="8"/>
        <v>253</v>
      </c>
      <c r="C258" s="607"/>
      <c r="D258" s="617">
        <f t="shared" si="9"/>
        <v>0</v>
      </c>
      <c r="E258" s="617">
        <f t="shared" si="1"/>
        <v>0</v>
      </c>
      <c r="F258" s="617">
        <f t="shared" si="4"/>
        <v>550459</v>
      </c>
      <c r="G258" s="617">
        <f t="shared" si="5"/>
        <v>0</v>
      </c>
      <c r="H258" s="617">
        <f t="shared" si="6"/>
        <v>550459</v>
      </c>
      <c r="I258" s="617">
        <f t="shared" si="7"/>
        <v>-550459</v>
      </c>
      <c r="J258" s="610">
        <v>0.0</v>
      </c>
      <c r="K258" s="591"/>
      <c r="L258" s="6"/>
      <c r="M258" s="6"/>
      <c r="N258" s="6"/>
      <c r="O258" s="6"/>
      <c r="P258" s="6"/>
      <c r="Q258" s="6"/>
      <c r="R258" s="6"/>
      <c r="S258" s="6"/>
    </row>
    <row r="259" ht="11.25" customHeight="1">
      <c r="A259" s="7"/>
      <c r="B259" s="68">
        <f t="shared" si="8"/>
        <v>254</v>
      </c>
      <c r="C259" s="607"/>
      <c r="D259" s="6">
        <f t="shared" si="9"/>
        <v>0</v>
      </c>
      <c r="E259" s="6">
        <f t="shared" si="1"/>
        <v>0</v>
      </c>
      <c r="F259" s="6">
        <f t="shared" si="4"/>
        <v>550459</v>
      </c>
      <c r="G259" s="6">
        <f t="shared" si="5"/>
        <v>0</v>
      </c>
      <c r="H259" s="6">
        <f t="shared" si="6"/>
        <v>550459</v>
      </c>
      <c r="I259" s="6">
        <f t="shared" si="7"/>
        <v>-550459</v>
      </c>
      <c r="J259" s="610">
        <v>0.0</v>
      </c>
      <c r="K259" s="591"/>
      <c r="L259" s="6"/>
      <c r="M259" s="6"/>
      <c r="N259" s="6"/>
      <c r="O259" s="6"/>
      <c r="P259" s="6"/>
      <c r="Q259" s="6"/>
      <c r="R259" s="6"/>
      <c r="S259" s="6"/>
    </row>
    <row r="260" ht="11.25" customHeight="1">
      <c r="A260" s="7"/>
      <c r="B260" s="68">
        <f t="shared" si="8"/>
        <v>255</v>
      </c>
      <c r="C260" s="607"/>
      <c r="D260" s="6">
        <f t="shared" si="9"/>
        <v>0</v>
      </c>
      <c r="E260" s="6">
        <f t="shared" si="1"/>
        <v>0</v>
      </c>
      <c r="F260" s="6">
        <f t="shared" si="4"/>
        <v>550459</v>
      </c>
      <c r="G260" s="6">
        <f t="shared" si="5"/>
        <v>0</v>
      </c>
      <c r="H260" s="6">
        <f t="shared" si="6"/>
        <v>550459</v>
      </c>
      <c r="I260" s="6">
        <f t="shared" si="7"/>
        <v>-550459</v>
      </c>
      <c r="J260" s="610">
        <v>0.0</v>
      </c>
      <c r="K260" s="591"/>
      <c r="L260" s="6"/>
      <c r="M260" s="6"/>
      <c r="N260" s="6"/>
      <c r="O260" s="6"/>
      <c r="P260" s="6"/>
      <c r="Q260" s="6"/>
      <c r="R260" s="6"/>
      <c r="S260" s="6"/>
    </row>
    <row r="261" ht="11.25" customHeight="1">
      <c r="A261" s="7"/>
      <c r="B261" s="68">
        <f t="shared" si="8"/>
        <v>256</v>
      </c>
      <c r="C261" s="607"/>
      <c r="D261" s="6">
        <f t="shared" si="9"/>
        <v>0</v>
      </c>
      <c r="E261" s="6">
        <f t="shared" si="1"/>
        <v>0</v>
      </c>
      <c r="F261" s="6">
        <f t="shared" si="4"/>
        <v>550459</v>
      </c>
      <c r="G261" s="6">
        <f t="shared" si="5"/>
        <v>0</v>
      </c>
      <c r="H261" s="6">
        <f t="shared" si="6"/>
        <v>550459</v>
      </c>
      <c r="I261" s="6">
        <f t="shared" si="7"/>
        <v>-550459</v>
      </c>
      <c r="J261" s="610">
        <v>0.0</v>
      </c>
      <c r="K261" s="591"/>
      <c r="L261" s="6"/>
      <c r="M261" s="6"/>
      <c r="N261" s="6"/>
      <c r="O261" s="6"/>
      <c r="P261" s="6"/>
      <c r="Q261" s="6"/>
      <c r="R261" s="6"/>
      <c r="S261" s="6"/>
    </row>
    <row r="262" ht="11.25" customHeight="1">
      <c r="A262" s="7"/>
      <c r="B262" s="68">
        <f t="shared" si="8"/>
        <v>257</v>
      </c>
      <c r="C262" s="607"/>
      <c r="D262" s="6">
        <f t="shared" si="9"/>
        <v>0</v>
      </c>
      <c r="E262" s="6">
        <f t="shared" si="1"/>
        <v>0</v>
      </c>
      <c r="F262" s="6">
        <f t="shared" si="4"/>
        <v>550459</v>
      </c>
      <c r="G262" s="6">
        <f t="shared" si="5"/>
        <v>0</v>
      </c>
      <c r="H262" s="6">
        <f t="shared" si="6"/>
        <v>550459</v>
      </c>
      <c r="I262" s="6">
        <f t="shared" si="7"/>
        <v>-550459</v>
      </c>
      <c r="J262" s="610">
        <v>0.0</v>
      </c>
      <c r="K262" s="591"/>
      <c r="L262" s="6"/>
      <c r="M262" s="6"/>
      <c r="N262" s="6"/>
      <c r="O262" s="6"/>
      <c r="P262" s="6"/>
      <c r="Q262" s="6"/>
      <c r="R262" s="6"/>
      <c r="S262" s="6"/>
    </row>
    <row r="263" ht="11.25" customHeight="1">
      <c r="A263" s="7"/>
      <c r="B263" s="68">
        <f t="shared" si="8"/>
        <v>258</v>
      </c>
      <c r="C263" s="607"/>
      <c r="D263" s="6">
        <f t="shared" si="9"/>
        <v>0</v>
      </c>
      <c r="E263" s="6">
        <f t="shared" si="1"/>
        <v>0</v>
      </c>
      <c r="F263" s="6">
        <f t="shared" si="4"/>
        <v>550459</v>
      </c>
      <c r="G263" s="6">
        <f t="shared" si="5"/>
        <v>0</v>
      </c>
      <c r="H263" s="6">
        <f t="shared" si="6"/>
        <v>550459</v>
      </c>
      <c r="I263" s="6">
        <f t="shared" si="7"/>
        <v>-550459</v>
      </c>
      <c r="J263" s="610">
        <v>0.0</v>
      </c>
      <c r="K263" s="591"/>
      <c r="L263" s="6"/>
      <c r="M263" s="6"/>
      <c r="N263" s="6"/>
      <c r="O263" s="6"/>
      <c r="P263" s="6"/>
      <c r="Q263" s="6"/>
      <c r="R263" s="6"/>
      <c r="S263" s="6"/>
    </row>
    <row r="264" ht="11.25" customHeight="1">
      <c r="A264" s="7"/>
      <c r="B264" s="68">
        <f t="shared" si="8"/>
        <v>259</v>
      </c>
      <c r="C264" s="607"/>
      <c r="D264" s="6">
        <f t="shared" si="9"/>
        <v>0</v>
      </c>
      <c r="E264" s="6">
        <f t="shared" si="1"/>
        <v>0</v>
      </c>
      <c r="F264" s="6">
        <f t="shared" si="4"/>
        <v>550459</v>
      </c>
      <c r="G264" s="6">
        <f t="shared" si="5"/>
        <v>0</v>
      </c>
      <c r="H264" s="6">
        <f t="shared" si="6"/>
        <v>550459</v>
      </c>
      <c r="I264" s="6">
        <f t="shared" si="7"/>
        <v>-550459</v>
      </c>
      <c r="J264" s="610">
        <v>0.0</v>
      </c>
      <c r="K264" s="591"/>
      <c r="L264" s="6"/>
      <c r="M264" s="6"/>
      <c r="N264" s="6"/>
      <c r="O264" s="6"/>
      <c r="P264" s="6"/>
      <c r="Q264" s="6"/>
      <c r="R264" s="6"/>
      <c r="S264" s="6"/>
    </row>
    <row r="265" ht="11.25" customHeight="1">
      <c r="A265" s="7"/>
      <c r="B265" s="68">
        <f t="shared" si="8"/>
        <v>260</v>
      </c>
      <c r="C265" s="607"/>
      <c r="D265" s="6">
        <f t="shared" si="9"/>
        <v>0</v>
      </c>
      <c r="E265" s="6">
        <f t="shared" si="1"/>
        <v>0</v>
      </c>
      <c r="F265" s="6">
        <f t="shared" si="4"/>
        <v>550459</v>
      </c>
      <c r="G265" s="6">
        <f t="shared" si="5"/>
        <v>0</v>
      </c>
      <c r="H265" s="6">
        <f t="shared" si="6"/>
        <v>550459</v>
      </c>
      <c r="I265" s="6">
        <f t="shared" si="7"/>
        <v>-550459</v>
      </c>
      <c r="J265" s="610">
        <v>0.0</v>
      </c>
      <c r="K265" s="591"/>
      <c r="L265" s="6"/>
      <c r="M265" s="6"/>
      <c r="N265" s="6"/>
      <c r="O265" s="6"/>
      <c r="P265" s="6"/>
      <c r="Q265" s="6"/>
      <c r="R265" s="6"/>
      <c r="S265" s="6"/>
    </row>
    <row r="266" ht="11.25" customHeight="1">
      <c r="A266" s="7"/>
      <c r="B266" s="68">
        <f t="shared" si="8"/>
        <v>261</v>
      </c>
      <c r="C266" s="607"/>
      <c r="D266" s="6">
        <f t="shared" si="9"/>
        <v>0</v>
      </c>
      <c r="E266" s="6">
        <f t="shared" si="1"/>
        <v>0</v>
      </c>
      <c r="F266" s="6">
        <f t="shared" si="4"/>
        <v>550459</v>
      </c>
      <c r="G266" s="6">
        <f t="shared" si="5"/>
        <v>0</v>
      </c>
      <c r="H266" s="6">
        <f t="shared" si="6"/>
        <v>550459</v>
      </c>
      <c r="I266" s="6">
        <f t="shared" si="7"/>
        <v>-550459</v>
      </c>
      <c r="J266" s="610">
        <v>0.0</v>
      </c>
      <c r="K266" s="591"/>
      <c r="L266" s="6"/>
      <c r="M266" s="6"/>
      <c r="N266" s="6"/>
      <c r="O266" s="6"/>
      <c r="P266" s="6"/>
      <c r="Q266" s="6"/>
      <c r="R266" s="6"/>
      <c r="S266" s="6"/>
    </row>
    <row r="267" ht="11.25" customHeight="1">
      <c r="A267" s="7"/>
      <c r="B267" s="68">
        <f t="shared" si="8"/>
        <v>262</v>
      </c>
      <c r="C267" s="607"/>
      <c r="D267" s="6">
        <f t="shared" si="9"/>
        <v>0</v>
      </c>
      <c r="E267" s="6">
        <f t="shared" si="1"/>
        <v>0</v>
      </c>
      <c r="F267" s="6">
        <f t="shared" si="4"/>
        <v>550459</v>
      </c>
      <c r="G267" s="6">
        <f t="shared" si="5"/>
        <v>0</v>
      </c>
      <c r="H267" s="6">
        <f t="shared" si="6"/>
        <v>550459</v>
      </c>
      <c r="I267" s="6">
        <f t="shared" si="7"/>
        <v>-550459</v>
      </c>
      <c r="J267" s="610">
        <v>0.0</v>
      </c>
      <c r="K267" s="591"/>
      <c r="L267" s="6"/>
      <c r="M267" s="6"/>
      <c r="N267" s="6"/>
      <c r="O267" s="6"/>
      <c r="P267" s="6"/>
      <c r="Q267" s="6"/>
      <c r="R267" s="6"/>
      <c r="S267" s="6"/>
    </row>
    <row r="268" ht="11.25" customHeight="1">
      <c r="A268" s="7"/>
      <c r="B268" s="68">
        <f t="shared" si="8"/>
        <v>263</v>
      </c>
      <c r="C268" s="607"/>
      <c r="D268" s="6">
        <f t="shared" si="9"/>
        <v>0</v>
      </c>
      <c r="E268" s="6">
        <f t="shared" si="1"/>
        <v>0</v>
      </c>
      <c r="F268" s="6">
        <f t="shared" si="4"/>
        <v>550459</v>
      </c>
      <c r="G268" s="6">
        <f t="shared" si="5"/>
        <v>0</v>
      </c>
      <c r="H268" s="6">
        <f t="shared" si="6"/>
        <v>550459</v>
      </c>
      <c r="I268" s="6">
        <f t="shared" si="7"/>
        <v>-550459</v>
      </c>
      <c r="J268" s="610">
        <v>0.0</v>
      </c>
      <c r="K268" s="591"/>
      <c r="L268" s="6"/>
      <c r="M268" s="6"/>
      <c r="N268" s="6"/>
      <c r="O268" s="6"/>
      <c r="P268" s="6"/>
      <c r="Q268" s="6"/>
      <c r="R268" s="6"/>
      <c r="S268" s="6"/>
    </row>
    <row r="269" ht="11.25" customHeight="1">
      <c r="A269" s="71"/>
      <c r="B269" s="72">
        <f t="shared" si="8"/>
        <v>264</v>
      </c>
      <c r="C269" s="607"/>
      <c r="D269" s="10">
        <f t="shared" si="9"/>
        <v>0</v>
      </c>
      <c r="E269" s="10">
        <f t="shared" si="1"/>
        <v>0</v>
      </c>
      <c r="F269" s="10">
        <f t="shared" si="4"/>
        <v>550459</v>
      </c>
      <c r="G269" s="10">
        <f t="shared" si="5"/>
        <v>0</v>
      </c>
      <c r="H269" s="10">
        <f t="shared" si="6"/>
        <v>550459</v>
      </c>
      <c r="I269" s="10">
        <f t="shared" si="7"/>
        <v>-550459</v>
      </c>
      <c r="J269" s="610">
        <v>0.0</v>
      </c>
      <c r="K269" s="591"/>
      <c r="L269" s="6"/>
      <c r="M269" s="6"/>
      <c r="N269" s="6"/>
      <c r="O269" s="6"/>
      <c r="P269" s="6"/>
      <c r="Q269" s="6"/>
      <c r="R269" s="6"/>
      <c r="S269" s="6"/>
    </row>
    <row r="270" ht="11.25" customHeight="1">
      <c r="A270" s="100">
        <v>23.0</v>
      </c>
      <c r="B270" s="66">
        <f t="shared" si="8"/>
        <v>265</v>
      </c>
      <c r="C270" s="607"/>
      <c r="D270" s="617">
        <f t="shared" si="9"/>
        <v>0</v>
      </c>
      <c r="E270" s="617">
        <f t="shared" si="1"/>
        <v>0</v>
      </c>
      <c r="F270" s="617">
        <f t="shared" si="4"/>
        <v>550459</v>
      </c>
      <c r="G270" s="617">
        <f t="shared" si="5"/>
        <v>0</v>
      </c>
      <c r="H270" s="617">
        <f t="shared" si="6"/>
        <v>550459</v>
      </c>
      <c r="I270" s="617">
        <f t="shared" si="7"/>
        <v>-550459</v>
      </c>
      <c r="J270" s="610">
        <v>0.0</v>
      </c>
      <c r="K270" s="591"/>
      <c r="L270" s="6"/>
      <c r="M270" s="6"/>
      <c r="N270" s="6"/>
      <c r="O270" s="6"/>
      <c r="P270" s="6"/>
      <c r="Q270" s="6"/>
      <c r="R270" s="6"/>
      <c r="S270" s="6"/>
    </row>
    <row r="271" ht="11.25" customHeight="1">
      <c r="A271" s="7"/>
      <c r="B271" s="68">
        <f t="shared" si="8"/>
        <v>266</v>
      </c>
      <c r="C271" s="607"/>
      <c r="D271" s="6">
        <f t="shared" si="9"/>
        <v>0</v>
      </c>
      <c r="E271" s="6">
        <f t="shared" si="1"/>
        <v>0</v>
      </c>
      <c r="F271" s="6">
        <f t="shared" si="4"/>
        <v>550459</v>
      </c>
      <c r="G271" s="6">
        <f t="shared" si="5"/>
        <v>0</v>
      </c>
      <c r="H271" s="6">
        <f t="shared" si="6"/>
        <v>550459</v>
      </c>
      <c r="I271" s="6">
        <f t="shared" si="7"/>
        <v>-550459</v>
      </c>
      <c r="J271" s="610">
        <v>0.0</v>
      </c>
      <c r="K271" s="591"/>
      <c r="L271" s="6"/>
      <c r="M271" s="6"/>
      <c r="N271" s="6"/>
      <c r="O271" s="6"/>
      <c r="P271" s="6"/>
      <c r="Q271" s="6"/>
      <c r="R271" s="6"/>
      <c r="S271" s="6"/>
    </row>
    <row r="272" ht="11.25" customHeight="1">
      <c r="A272" s="7"/>
      <c r="B272" s="68">
        <f t="shared" si="8"/>
        <v>267</v>
      </c>
      <c r="C272" s="607"/>
      <c r="D272" s="6">
        <f t="shared" si="9"/>
        <v>0</v>
      </c>
      <c r="E272" s="6">
        <f t="shared" si="1"/>
        <v>0</v>
      </c>
      <c r="F272" s="6">
        <f t="shared" si="4"/>
        <v>550459</v>
      </c>
      <c r="G272" s="6">
        <f t="shared" si="5"/>
        <v>0</v>
      </c>
      <c r="H272" s="6">
        <f t="shared" si="6"/>
        <v>550459</v>
      </c>
      <c r="I272" s="6">
        <f t="shared" si="7"/>
        <v>-550459</v>
      </c>
      <c r="J272" s="610">
        <v>0.0</v>
      </c>
      <c r="K272" s="591"/>
      <c r="L272" s="6"/>
      <c r="M272" s="6"/>
      <c r="N272" s="6"/>
      <c r="O272" s="6"/>
      <c r="P272" s="6"/>
      <c r="Q272" s="6"/>
      <c r="R272" s="6"/>
      <c r="S272" s="6"/>
    </row>
    <row r="273" ht="11.25" customHeight="1">
      <c r="A273" s="7"/>
      <c r="B273" s="68">
        <f t="shared" si="8"/>
        <v>268</v>
      </c>
      <c r="C273" s="607"/>
      <c r="D273" s="6">
        <f t="shared" si="9"/>
        <v>0</v>
      </c>
      <c r="E273" s="6">
        <f t="shared" si="1"/>
        <v>0</v>
      </c>
      <c r="F273" s="6">
        <f t="shared" si="4"/>
        <v>550459</v>
      </c>
      <c r="G273" s="6">
        <f t="shared" si="5"/>
        <v>0</v>
      </c>
      <c r="H273" s="6">
        <f t="shared" si="6"/>
        <v>550459</v>
      </c>
      <c r="I273" s="6">
        <f t="shared" si="7"/>
        <v>-550459</v>
      </c>
      <c r="J273" s="610">
        <v>0.0</v>
      </c>
      <c r="K273" s="591"/>
      <c r="L273" s="6"/>
      <c r="M273" s="6"/>
      <c r="N273" s="6"/>
      <c r="O273" s="6"/>
      <c r="P273" s="6"/>
      <c r="Q273" s="6"/>
      <c r="R273" s="6"/>
      <c r="S273" s="6"/>
    </row>
    <row r="274" ht="11.25" customHeight="1">
      <c r="A274" s="7"/>
      <c r="B274" s="68">
        <f t="shared" si="8"/>
        <v>269</v>
      </c>
      <c r="C274" s="607"/>
      <c r="D274" s="6">
        <f t="shared" si="9"/>
        <v>0</v>
      </c>
      <c r="E274" s="6">
        <f t="shared" si="1"/>
        <v>0</v>
      </c>
      <c r="F274" s="6">
        <f t="shared" si="4"/>
        <v>550459</v>
      </c>
      <c r="G274" s="6">
        <f t="shared" si="5"/>
        <v>0</v>
      </c>
      <c r="H274" s="6">
        <f t="shared" si="6"/>
        <v>550459</v>
      </c>
      <c r="I274" s="6">
        <f t="shared" si="7"/>
        <v>-550459</v>
      </c>
      <c r="J274" s="610">
        <v>0.0</v>
      </c>
      <c r="K274" s="591"/>
      <c r="L274" s="6"/>
      <c r="M274" s="6"/>
      <c r="N274" s="6"/>
      <c r="O274" s="6"/>
      <c r="P274" s="6"/>
      <c r="Q274" s="6"/>
      <c r="R274" s="6"/>
      <c r="S274" s="6"/>
    </row>
    <row r="275" ht="11.25" customHeight="1">
      <c r="A275" s="7"/>
      <c r="B275" s="68">
        <f t="shared" si="8"/>
        <v>270</v>
      </c>
      <c r="C275" s="607"/>
      <c r="D275" s="6">
        <f t="shared" si="9"/>
        <v>0</v>
      </c>
      <c r="E275" s="6">
        <f t="shared" si="1"/>
        <v>0</v>
      </c>
      <c r="F275" s="6">
        <f t="shared" si="4"/>
        <v>550459</v>
      </c>
      <c r="G275" s="6">
        <f t="shared" si="5"/>
        <v>0</v>
      </c>
      <c r="H275" s="6">
        <f t="shared" si="6"/>
        <v>550459</v>
      </c>
      <c r="I275" s="6">
        <f t="shared" si="7"/>
        <v>-550459</v>
      </c>
      <c r="J275" s="610">
        <v>0.0</v>
      </c>
      <c r="K275" s="591"/>
      <c r="L275" s="6"/>
      <c r="M275" s="6"/>
      <c r="N275" s="6"/>
      <c r="O275" s="6"/>
      <c r="P275" s="6"/>
      <c r="Q275" s="6"/>
      <c r="R275" s="6"/>
      <c r="S275" s="6"/>
    </row>
    <row r="276" ht="11.25" customHeight="1">
      <c r="A276" s="7"/>
      <c r="B276" s="68">
        <f t="shared" si="8"/>
        <v>271</v>
      </c>
      <c r="C276" s="607"/>
      <c r="D276" s="6">
        <f t="shared" si="9"/>
        <v>0</v>
      </c>
      <c r="E276" s="6">
        <f t="shared" si="1"/>
        <v>0</v>
      </c>
      <c r="F276" s="6">
        <f t="shared" si="4"/>
        <v>550459</v>
      </c>
      <c r="G276" s="6">
        <f t="shared" si="5"/>
        <v>0</v>
      </c>
      <c r="H276" s="6">
        <f t="shared" si="6"/>
        <v>550459</v>
      </c>
      <c r="I276" s="6">
        <f t="shared" si="7"/>
        <v>-550459</v>
      </c>
      <c r="J276" s="610">
        <v>0.0</v>
      </c>
      <c r="K276" s="591"/>
      <c r="L276" s="6"/>
      <c r="M276" s="6"/>
      <c r="N276" s="6"/>
      <c r="O276" s="6"/>
      <c r="P276" s="6"/>
      <c r="Q276" s="6"/>
      <c r="R276" s="6"/>
      <c r="S276" s="6"/>
    </row>
    <row r="277" ht="11.25" customHeight="1">
      <c r="A277" s="7"/>
      <c r="B277" s="68">
        <f t="shared" si="8"/>
        <v>272</v>
      </c>
      <c r="C277" s="607"/>
      <c r="D277" s="6">
        <f t="shared" si="9"/>
        <v>0</v>
      </c>
      <c r="E277" s="6">
        <f t="shared" si="1"/>
        <v>0</v>
      </c>
      <c r="F277" s="6">
        <f t="shared" si="4"/>
        <v>550459</v>
      </c>
      <c r="G277" s="6">
        <f t="shared" si="5"/>
        <v>0</v>
      </c>
      <c r="H277" s="6">
        <f t="shared" si="6"/>
        <v>550459</v>
      </c>
      <c r="I277" s="6">
        <f t="shared" si="7"/>
        <v>-550459</v>
      </c>
      <c r="J277" s="610">
        <v>0.0</v>
      </c>
      <c r="K277" s="591"/>
      <c r="L277" s="6"/>
      <c r="M277" s="6"/>
      <c r="N277" s="6"/>
      <c r="O277" s="6"/>
      <c r="P277" s="6"/>
      <c r="Q277" s="6"/>
      <c r="R277" s="6"/>
      <c r="S277" s="6"/>
    </row>
    <row r="278" ht="11.25" customHeight="1">
      <c r="A278" s="7"/>
      <c r="B278" s="68">
        <f t="shared" si="8"/>
        <v>273</v>
      </c>
      <c r="C278" s="607"/>
      <c r="D278" s="6">
        <f t="shared" si="9"/>
        <v>0</v>
      </c>
      <c r="E278" s="6">
        <f t="shared" si="1"/>
        <v>0</v>
      </c>
      <c r="F278" s="6">
        <f t="shared" si="4"/>
        <v>550459</v>
      </c>
      <c r="G278" s="6">
        <f t="shared" si="5"/>
        <v>0</v>
      </c>
      <c r="H278" s="6">
        <f t="shared" si="6"/>
        <v>550459</v>
      </c>
      <c r="I278" s="6">
        <f t="shared" si="7"/>
        <v>-550459</v>
      </c>
      <c r="J278" s="610">
        <v>0.0</v>
      </c>
      <c r="K278" s="591"/>
      <c r="L278" s="6"/>
      <c r="M278" s="6"/>
      <c r="N278" s="6"/>
      <c r="O278" s="6"/>
      <c r="P278" s="6"/>
      <c r="Q278" s="6"/>
      <c r="R278" s="6"/>
      <c r="S278" s="6"/>
    </row>
    <row r="279" ht="11.25" customHeight="1">
      <c r="A279" s="7"/>
      <c r="B279" s="68">
        <f t="shared" si="8"/>
        <v>274</v>
      </c>
      <c r="C279" s="607"/>
      <c r="D279" s="6">
        <f t="shared" si="9"/>
        <v>0</v>
      </c>
      <c r="E279" s="6">
        <f t="shared" si="1"/>
        <v>0</v>
      </c>
      <c r="F279" s="6">
        <f t="shared" si="4"/>
        <v>550459</v>
      </c>
      <c r="G279" s="6">
        <f t="shared" si="5"/>
        <v>0</v>
      </c>
      <c r="H279" s="6">
        <f t="shared" si="6"/>
        <v>550459</v>
      </c>
      <c r="I279" s="6">
        <f t="shared" si="7"/>
        <v>-550459</v>
      </c>
      <c r="J279" s="610">
        <v>0.0</v>
      </c>
      <c r="K279" s="591"/>
      <c r="L279" s="6"/>
      <c r="M279" s="6"/>
      <c r="N279" s="6"/>
      <c r="O279" s="6"/>
      <c r="P279" s="6"/>
      <c r="Q279" s="6"/>
      <c r="R279" s="6"/>
      <c r="S279" s="6"/>
    </row>
    <row r="280" ht="11.25" customHeight="1">
      <c r="A280" s="7"/>
      <c r="B280" s="68">
        <f t="shared" si="8"/>
        <v>275</v>
      </c>
      <c r="C280" s="607"/>
      <c r="D280" s="6">
        <f t="shared" si="9"/>
        <v>0</v>
      </c>
      <c r="E280" s="6">
        <f t="shared" si="1"/>
        <v>0</v>
      </c>
      <c r="F280" s="6">
        <f t="shared" si="4"/>
        <v>550459</v>
      </c>
      <c r="G280" s="6">
        <f t="shared" si="5"/>
        <v>0</v>
      </c>
      <c r="H280" s="6">
        <f t="shared" si="6"/>
        <v>550459</v>
      </c>
      <c r="I280" s="6">
        <f t="shared" si="7"/>
        <v>-550459</v>
      </c>
      <c r="J280" s="610">
        <v>0.0</v>
      </c>
      <c r="K280" s="591"/>
      <c r="L280" s="6"/>
      <c r="M280" s="6"/>
      <c r="N280" s="6"/>
      <c r="O280" s="6"/>
      <c r="P280" s="6"/>
      <c r="Q280" s="6"/>
      <c r="R280" s="6"/>
      <c r="S280" s="6"/>
    </row>
    <row r="281" ht="11.25" customHeight="1">
      <c r="A281" s="71"/>
      <c r="B281" s="72">
        <f t="shared" si="8"/>
        <v>276</v>
      </c>
      <c r="C281" s="607"/>
      <c r="D281" s="10">
        <f t="shared" si="9"/>
        <v>0</v>
      </c>
      <c r="E281" s="10">
        <f t="shared" si="1"/>
        <v>0</v>
      </c>
      <c r="F281" s="10">
        <f t="shared" si="4"/>
        <v>550459</v>
      </c>
      <c r="G281" s="10">
        <f t="shared" si="5"/>
        <v>0</v>
      </c>
      <c r="H281" s="10">
        <f t="shared" si="6"/>
        <v>550459</v>
      </c>
      <c r="I281" s="10">
        <f t="shared" si="7"/>
        <v>-550459</v>
      </c>
      <c r="J281" s="610">
        <v>0.0</v>
      </c>
      <c r="K281" s="591"/>
      <c r="L281" s="6"/>
      <c r="M281" s="6"/>
      <c r="N281" s="6"/>
      <c r="O281" s="6"/>
      <c r="P281" s="6"/>
      <c r="Q281" s="6"/>
      <c r="R281" s="6"/>
      <c r="S281" s="6"/>
    </row>
    <row r="282" ht="11.25" customHeight="1">
      <c r="A282" s="100">
        <v>24.0</v>
      </c>
      <c r="B282" s="66">
        <f t="shared" si="8"/>
        <v>277</v>
      </c>
      <c r="C282" s="607"/>
      <c r="D282" s="617">
        <f t="shared" si="9"/>
        <v>0</v>
      </c>
      <c r="E282" s="617">
        <f t="shared" si="1"/>
        <v>0</v>
      </c>
      <c r="F282" s="617">
        <f t="shared" si="4"/>
        <v>550459</v>
      </c>
      <c r="G282" s="617">
        <f t="shared" si="5"/>
        <v>0</v>
      </c>
      <c r="H282" s="617">
        <f t="shared" si="6"/>
        <v>550459</v>
      </c>
      <c r="I282" s="617">
        <f t="shared" si="7"/>
        <v>-550459</v>
      </c>
      <c r="J282" s="610">
        <v>0.0</v>
      </c>
      <c r="K282" s="591"/>
      <c r="L282" s="6"/>
      <c r="M282" s="6"/>
      <c r="N282" s="6"/>
      <c r="O282" s="6"/>
      <c r="P282" s="6"/>
      <c r="Q282" s="6"/>
      <c r="R282" s="6"/>
      <c r="S282" s="6"/>
    </row>
    <row r="283" ht="11.25" customHeight="1">
      <c r="A283" s="7"/>
      <c r="B283" s="68">
        <f t="shared" si="8"/>
        <v>278</v>
      </c>
      <c r="C283" s="607"/>
      <c r="D283" s="6">
        <f t="shared" si="9"/>
        <v>0</v>
      </c>
      <c r="E283" s="6">
        <f t="shared" si="1"/>
        <v>0</v>
      </c>
      <c r="F283" s="6">
        <f t="shared" si="4"/>
        <v>550459</v>
      </c>
      <c r="G283" s="6">
        <f t="shared" si="5"/>
        <v>0</v>
      </c>
      <c r="H283" s="6">
        <f t="shared" si="6"/>
        <v>550459</v>
      </c>
      <c r="I283" s="6">
        <f t="shared" si="7"/>
        <v>-550459</v>
      </c>
      <c r="J283" s="610">
        <v>0.0</v>
      </c>
      <c r="K283" s="591"/>
      <c r="L283" s="6"/>
      <c r="M283" s="6"/>
      <c r="N283" s="6"/>
      <c r="O283" s="6"/>
      <c r="P283" s="6"/>
      <c r="Q283" s="6"/>
      <c r="R283" s="6"/>
      <c r="S283" s="6"/>
    </row>
    <row r="284" ht="11.25" customHeight="1">
      <c r="A284" s="7"/>
      <c r="B284" s="68">
        <f t="shared" si="8"/>
        <v>279</v>
      </c>
      <c r="C284" s="607"/>
      <c r="D284" s="6">
        <f t="shared" si="9"/>
        <v>0</v>
      </c>
      <c r="E284" s="6">
        <f t="shared" si="1"/>
        <v>0</v>
      </c>
      <c r="F284" s="6">
        <f t="shared" si="4"/>
        <v>550459</v>
      </c>
      <c r="G284" s="6">
        <f t="shared" si="5"/>
        <v>0</v>
      </c>
      <c r="H284" s="6">
        <f t="shared" si="6"/>
        <v>550459</v>
      </c>
      <c r="I284" s="6">
        <f t="shared" si="7"/>
        <v>-550459</v>
      </c>
      <c r="J284" s="610">
        <v>0.0</v>
      </c>
      <c r="K284" s="591"/>
      <c r="L284" s="6"/>
      <c r="M284" s="6"/>
      <c r="N284" s="6"/>
      <c r="O284" s="6"/>
      <c r="P284" s="6"/>
      <c r="Q284" s="6"/>
      <c r="R284" s="6"/>
      <c r="S284" s="6"/>
    </row>
    <row r="285" ht="11.25" customHeight="1">
      <c r="A285" s="7"/>
      <c r="B285" s="68">
        <f t="shared" si="8"/>
        <v>280</v>
      </c>
      <c r="C285" s="607"/>
      <c r="D285" s="6">
        <f t="shared" si="9"/>
        <v>0</v>
      </c>
      <c r="E285" s="6">
        <f t="shared" si="1"/>
        <v>0</v>
      </c>
      <c r="F285" s="6">
        <f t="shared" si="4"/>
        <v>550459</v>
      </c>
      <c r="G285" s="6">
        <f t="shared" si="5"/>
        <v>0</v>
      </c>
      <c r="H285" s="6">
        <f t="shared" si="6"/>
        <v>550459</v>
      </c>
      <c r="I285" s="6">
        <f t="shared" si="7"/>
        <v>-550459</v>
      </c>
      <c r="J285" s="610">
        <v>0.0</v>
      </c>
      <c r="K285" s="591"/>
      <c r="L285" s="6"/>
      <c r="M285" s="6"/>
      <c r="N285" s="6"/>
      <c r="O285" s="6"/>
      <c r="P285" s="6"/>
      <c r="Q285" s="6"/>
      <c r="R285" s="6"/>
      <c r="S285" s="6"/>
    </row>
    <row r="286" ht="11.25" customHeight="1">
      <c r="A286" s="7"/>
      <c r="B286" s="68">
        <f t="shared" si="8"/>
        <v>281</v>
      </c>
      <c r="C286" s="607"/>
      <c r="D286" s="6">
        <f t="shared" si="9"/>
        <v>0</v>
      </c>
      <c r="E286" s="6">
        <f t="shared" si="1"/>
        <v>0</v>
      </c>
      <c r="F286" s="6">
        <f t="shared" si="4"/>
        <v>550459</v>
      </c>
      <c r="G286" s="6">
        <f t="shared" si="5"/>
        <v>0</v>
      </c>
      <c r="H286" s="6">
        <f t="shared" si="6"/>
        <v>550459</v>
      </c>
      <c r="I286" s="6">
        <f t="shared" si="7"/>
        <v>-550459</v>
      </c>
      <c r="J286" s="610">
        <v>0.0</v>
      </c>
      <c r="K286" s="591"/>
      <c r="L286" s="6"/>
      <c r="M286" s="6"/>
      <c r="N286" s="6"/>
      <c r="O286" s="6"/>
      <c r="P286" s="6"/>
      <c r="Q286" s="6"/>
      <c r="R286" s="6"/>
      <c r="S286" s="6"/>
    </row>
    <row r="287" ht="11.25" customHeight="1">
      <c r="A287" s="7"/>
      <c r="B287" s="68">
        <f t="shared" si="8"/>
        <v>282</v>
      </c>
      <c r="C287" s="607"/>
      <c r="D287" s="6">
        <f t="shared" si="9"/>
        <v>0</v>
      </c>
      <c r="E287" s="6">
        <f t="shared" si="1"/>
        <v>0</v>
      </c>
      <c r="F287" s="6">
        <f t="shared" si="4"/>
        <v>550459</v>
      </c>
      <c r="G287" s="6">
        <f t="shared" si="5"/>
        <v>0</v>
      </c>
      <c r="H287" s="6">
        <f t="shared" si="6"/>
        <v>550459</v>
      </c>
      <c r="I287" s="6">
        <f t="shared" si="7"/>
        <v>-550459</v>
      </c>
      <c r="J287" s="610">
        <v>0.0</v>
      </c>
      <c r="K287" s="591"/>
      <c r="L287" s="6"/>
      <c r="M287" s="6"/>
      <c r="N287" s="6"/>
      <c r="O287" s="6"/>
      <c r="P287" s="6"/>
      <c r="Q287" s="6"/>
      <c r="R287" s="6"/>
      <c r="S287" s="6"/>
    </row>
    <row r="288" ht="11.25" customHeight="1">
      <c r="A288" s="7"/>
      <c r="B288" s="68">
        <f t="shared" si="8"/>
        <v>283</v>
      </c>
      <c r="C288" s="607"/>
      <c r="D288" s="6">
        <f t="shared" si="9"/>
        <v>0</v>
      </c>
      <c r="E288" s="6">
        <f t="shared" si="1"/>
        <v>0</v>
      </c>
      <c r="F288" s="6">
        <f t="shared" si="4"/>
        <v>550459</v>
      </c>
      <c r="G288" s="6">
        <f t="shared" si="5"/>
        <v>0</v>
      </c>
      <c r="H288" s="6">
        <f t="shared" si="6"/>
        <v>550459</v>
      </c>
      <c r="I288" s="6">
        <f t="shared" si="7"/>
        <v>-550459</v>
      </c>
      <c r="J288" s="610">
        <v>0.0</v>
      </c>
      <c r="K288" s="591"/>
      <c r="L288" s="6"/>
      <c r="M288" s="6"/>
      <c r="N288" s="6"/>
      <c r="O288" s="6"/>
      <c r="P288" s="6"/>
      <c r="Q288" s="6"/>
      <c r="R288" s="6"/>
      <c r="S288" s="6"/>
    </row>
    <row r="289" ht="11.25" customHeight="1">
      <c r="A289" s="7"/>
      <c r="B289" s="68">
        <f t="shared" si="8"/>
        <v>284</v>
      </c>
      <c r="C289" s="607"/>
      <c r="D289" s="6">
        <f t="shared" si="9"/>
        <v>0</v>
      </c>
      <c r="E289" s="6">
        <f t="shared" si="1"/>
        <v>0</v>
      </c>
      <c r="F289" s="6">
        <f t="shared" si="4"/>
        <v>550459</v>
      </c>
      <c r="G289" s="6">
        <f t="shared" si="5"/>
        <v>0</v>
      </c>
      <c r="H289" s="6">
        <f t="shared" si="6"/>
        <v>550459</v>
      </c>
      <c r="I289" s="6">
        <f t="shared" si="7"/>
        <v>-550459</v>
      </c>
      <c r="J289" s="610">
        <v>0.0</v>
      </c>
      <c r="K289" s="591"/>
      <c r="L289" s="6"/>
      <c r="M289" s="6"/>
      <c r="N289" s="6"/>
      <c r="O289" s="6"/>
      <c r="P289" s="6"/>
      <c r="Q289" s="6"/>
      <c r="R289" s="6"/>
      <c r="S289" s="6"/>
    </row>
    <row r="290" ht="11.25" customHeight="1">
      <c r="A290" s="7"/>
      <c r="B290" s="68">
        <f t="shared" si="8"/>
        <v>285</v>
      </c>
      <c r="C290" s="607"/>
      <c r="D290" s="6">
        <f t="shared" si="9"/>
        <v>0</v>
      </c>
      <c r="E290" s="6">
        <f t="shared" si="1"/>
        <v>0</v>
      </c>
      <c r="F290" s="6">
        <f t="shared" si="4"/>
        <v>550459</v>
      </c>
      <c r="G290" s="6">
        <f t="shared" si="5"/>
        <v>0</v>
      </c>
      <c r="H290" s="6">
        <f t="shared" si="6"/>
        <v>550459</v>
      </c>
      <c r="I290" s="6">
        <f t="shared" si="7"/>
        <v>-550459</v>
      </c>
      <c r="J290" s="610">
        <v>0.0</v>
      </c>
      <c r="K290" s="591"/>
      <c r="L290" s="6"/>
      <c r="M290" s="6"/>
      <c r="N290" s="6"/>
      <c r="O290" s="6"/>
      <c r="P290" s="6"/>
      <c r="Q290" s="6"/>
      <c r="R290" s="6"/>
      <c r="S290" s="6"/>
    </row>
    <row r="291" ht="11.25" customHeight="1">
      <c r="A291" s="7"/>
      <c r="B291" s="68">
        <f t="shared" si="8"/>
        <v>286</v>
      </c>
      <c r="C291" s="607"/>
      <c r="D291" s="6">
        <f t="shared" si="9"/>
        <v>0</v>
      </c>
      <c r="E291" s="6">
        <f t="shared" si="1"/>
        <v>0</v>
      </c>
      <c r="F291" s="6">
        <f t="shared" si="4"/>
        <v>550459</v>
      </c>
      <c r="G291" s="6">
        <f t="shared" si="5"/>
        <v>0</v>
      </c>
      <c r="H291" s="6">
        <f t="shared" si="6"/>
        <v>550459</v>
      </c>
      <c r="I291" s="6">
        <f t="shared" si="7"/>
        <v>-550459</v>
      </c>
      <c r="J291" s="610">
        <v>0.0</v>
      </c>
      <c r="K291" s="591"/>
      <c r="L291" s="6"/>
      <c r="M291" s="6"/>
      <c r="N291" s="6"/>
      <c r="O291" s="6"/>
      <c r="P291" s="6"/>
      <c r="Q291" s="6"/>
      <c r="R291" s="6"/>
      <c r="S291" s="6"/>
    </row>
    <row r="292" ht="11.25" customHeight="1">
      <c r="A292" s="7"/>
      <c r="B292" s="68">
        <f t="shared" si="8"/>
        <v>287</v>
      </c>
      <c r="C292" s="607"/>
      <c r="D292" s="6">
        <f t="shared" si="9"/>
        <v>0</v>
      </c>
      <c r="E292" s="6">
        <f t="shared" si="1"/>
        <v>0</v>
      </c>
      <c r="F292" s="6">
        <f t="shared" si="4"/>
        <v>550459</v>
      </c>
      <c r="G292" s="6">
        <f t="shared" si="5"/>
        <v>0</v>
      </c>
      <c r="H292" s="6">
        <f t="shared" si="6"/>
        <v>550459</v>
      </c>
      <c r="I292" s="6">
        <f t="shared" si="7"/>
        <v>-550459</v>
      </c>
      <c r="J292" s="610">
        <v>0.0</v>
      </c>
      <c r="K292" s="591"/>
      <c r="L292" s="6"/>
      <c r="M292" s="6"/>
      <c r="N292" s="6"/>
      <c r="O292" s="6"/>
      <c r="P292" s="6"/>
      <c r="Q292" s="6"/>
      <c r="R292" s="6"/>
      <c r="S292" s="6"/>
    </row>
    <row r="293" ht="11.25" customHeight="1">
      <c r="A293" s="71"/>
      <c r="B293" s="72">
        <f t="shared" si="8"/>
        <v>288</v>
      </c>
      <c r="C293" s="607"/>
      <c r="D293" s="10">
        <f t="shared" si="9"/>
        <v>0</v>
      </c>
      <c r="E293" s="10">
        <f t="shared" si="1"/>
        <v>0</v>
      </c>
      <c r="F293" s="10">
        <f t="shared" si="4"/>
        <v>550459</v>
      </c>
      <c r="G293" s="10">
        <f t="shared" si="5"/>
        <v>0</v>
      </c>
      <c r="H293" s="10">
        <f t="shared" si="6"/>
        <v>550459</v>
      </c>
      <c r="I293" s="10">
        <f t="shared" si="7"/>
        <v>-550459</v>
      </c>
      <c r="J293" s="610">
        <v>0.0</v>
      </c>
      <c r="K293" s="591"/>
      <c r="L293" s="6"/>
      <c r="M293" s="6"/>
      <c r="N293" s="6"/>
      <c r="O293" s="6"/>
      <c r="P293" s="6"/>
      <c r="Q293" s="6"/>
      <c r="R293" s="6"/>
      <c r="S293" s="6"/>
    </row>
    <row r="294" ht="11.25" customHeight="1">
      <c r="A294" s="100">
        <v>25.0</v>
      </c>
      <c r="B294" s="66">
        <f t="shared" si="8"/>
        <v>289</v>
      </c>
      <c r="C294" s="607"/>
      <c r="D294" s="617">
        <f t="shared" si="9"/>
        <v>0</v>
      </c>
      <c r="E294" s="617">
        <f t="shared" si="1"/>
        <v>0</v>
      </c>
      <c r="F294" s="617">
        <f t="shared" si="4"/>
        <v>550459</v>
      </c>
      <c r="G294" s="617">
        <f t="shared" si="5"/>
        <v>0</v>
      </c>
      <c r="H294" s="617">
        <f t="shared" si="6"/>
        <v>550459</v>
      </c>
      <c r="I294" s="617">
        <f t="shared" si="7"/>
        <v>-550459</v>
      </c>
      <c r="J294" s="610">
        <v>0.0</v>
      </c>
      <c r="K294" s="591"/>
      <c r="L294" s="6"/>
      <c r="M294" s="6"/>
      <c r="N294" s="6"/>
      <c r="O294" s="6"/>
      <c r="P294" s="6"/>
      <c r="Q294" s="6"/>
      <c r="R294" s="6"/>
      <c r="S294" s="6"/>
    </row>
    <row r="295" ht="11.25" customHeight="1">
      <c r="A295" s="7"/>
      <c r="B295" s="68">
        <f t="shared" si="8"/>
        <v>290</v>
      </c>
      <c r="C295" s="607"/>
      <c r="D295" s="6">
        <f t="shared" si="9"/>
        <v>0</v>
      </c>
      <c r="E295" s="6">
        <f t="shared" si="1"/>
        <v>0</v>
      </c>
      <c r="F295" s="6">
        <f t="shared" si="4"/>
        <v>550459</v>
      </c>
      <c r="G295" s="6">
        <f t="shared" si="5"/>
        <v>0</v>
      </c>
      <c r="H295" s="6">
        <f t="shared" si="6"/>
        <v>550459</v>
      </c>
      <c r="I295" s="6">
        <f t="shared" si="7"/>
        <v>-550459</v>
      </c>
      <c r="J295" s="610">
        <v>0.0</v>
      </c>
      <c r="K295" s="591"/>
      <c r="L295" s="6"/>
      <c r="M295" s="6"/>
      <c r="N295" s="6"/>
      <c r="O295" s="6"/>
      <c r="P295" s="6"/>
      <c r="Q295" s="6"/>
      <c r="R295" s="6"/>
      <c r="S295" s="6"/>
    </row>
    <row r="296" ht="11.25" customHeight="1">
      <c r="A296" s="7"/>
      <c r="B296" s="68">
        <f t="shared" si="8"/>
        <v>291</v>
      </c>
      <c r="C296" s="607"/>
      <c r="D296" s="6">
        <f t="shared" si="9"/>
        <v>0</v>
      </c>
      <c r="E296" s="6">
        <f t="shared" si="1"/>
        <v>0</v>
      </c>
      <c r="F296" s="6">
        <f t="shared" si="4"/>
        <v>550459</v>
      </c>
      <c r="G296" s="6">
        <f t="shared" si="5"/>
        <v>0</v>
      </c>
      <c r="H296" s="6">
        <f t="shared" si="6"/>
        <v>550459</v>
      </c>
      <c r="I296" s="6">
        <f t="shared" si="7"/>
        <v>-550459</v>
      </c>
      <c r="J296" s="610">
        <v>0.0</v>
      </c>
      <c r="K296" s="591"/>
      <c r="L296" s="6"/>
      <c r="M296" s="6"/>
      <c r="N296" s="6"/>
      <c r="O296" s="6"/>
      <c r="P296" s="6"/>
      <c r="Q296" s="6"/>
      <c r="R296" s="6"/>
      <c r="S296" s="6"/>
    </row>
    <row r="297" ht="11.25" customHeight="1">
      <c r="A297" s="7"/>
      <c r="B297" s="68">
        <f t="shared" si="8"/>
        <v>292</v>
      </c>
      <c r="C297" s="607"/>
      <c r="D297" s="6">
        <f t="shared" si="9"/>
        <v>0</v>
      </c>
      <c r="E297" s="6">
        <f t="shared" si="1"/>
        <v>0</v>
      </c>
      <c r="F297" s="6">
        <f t="shared" si="4"/>
        <v>550459</v>
      </c>
      <c r="G297" s="6">
        <f t="shared" si="5"/>
        <v>0</v>
      </c>
      <c r="H297" s="6">
        <f t="shared" si="6"/>
        <v>550459</v>
      </c>
      <c r="I297" s="6">
        <f t="shared" si="7"/>
        <v>-550459</v>
      </c>
      <c r="J297" s="610">
        <v>0.0</v>
      </c>
      <c r="K297" s="591"/>
      <c r="L297" s="6"/>
      <c r="M297" s="6"/>
      <c r="N297" s="6"/>
      <c r="O297" s="6"/>
      <c r="P297" s="6"/>
      <c r="Q297" s="6"/>
      <c r="R297" s="6"/>
      <c r="S297" s="6"/>
    </row>
    <row r="298" ht="11.25" customHeight="1">
      <c r="A298" s="7"/>
      <c r="B298" s="68">
        <f t="shared" si="8"/>
        <v>293</v>
      </c>
      <c r="C298" s="607"/>
      <c r="D298" s="6">
        <f t="shared" si="9"/>
        <v>0</v>
      </c>
      <c r="E298" s="6">
        <f t="shared" si="1"/>
        <v>0</v>
      </c>
      <c r="F298" s="6">
        <f t="shared" si="4"/>
        <v>550459</v>
      </c>
      <c r="G298" s="6">
        <f t="shared" si="5"/>
        <v>0</v>
      </c>
      <c r="H298" s="6">
        <f t="shared" si="6"/>
        <v>550459</v>
      </c>
      <c r="I298" s="6">
        <f t="shared" si="7"/>
        <v>-550459</v>
      </c>
      <c r="J298" s="610">
        <v>0.0</v>
      </c>
      <c r="K298" s="591"/>
      <c r="L298" s="6"/>
      <c r="M298" s="6"/>
      <c r="N298" s="6"/>
      <c r="O298" s="6"/>
      <c r="P298" s="6"/>
      <c r="Q298" s="6"/>
      <c r="R298" s="6"/>
      <c r="S298" s="6"/>
    </row>
    <row r="299" ht="11.25" customHeight="1">
      <c r="A299" s="7"/>
      <c r="B299" s="68">
        <f t="shared" si="8"/>
        <v>294</v>
      </c>
      <c r="C299" s="607"/>
      <c r="D299" s="6">
        <f t="shared" si="9"/>
        <v>0</v>
      </c>
      <c r="E299" s="6">
        <f t="shared" si="1"/>
        <v>0</v>
      </c>
      <c r="F299" s="6">
        <f t="shared" si="4"/>
        <v>550459</v>
      </c>
      <c r="G299" s="6">
        <f t="shared" si="5"/>
        <v>0</v>
      </c>
      <c r="H299" s="6">
        <f t="shared" si="6"/>
        <v>550459</v>
      </c>
      <c r="I299" s="6">
        <f t="shared" si="7"/>
        <v>-550459</v>
      </c>
      <c r="J299" s="610">
        <v>0.0</v>
      </c>
      <c r="K299" s="591"/>
      <c r="L299" s="6"/>
      <c r="M299" s="6"/>
      <c r="N299" s="6"/>
      <c r="O299" s="6"/>
      <c r="P299" s="6"/>
      <c r="Q299" s="6"/>
      <c r="R299" s="6"/>
      <c r="S299" s="6"/>
    </row>
    <row r="300" ht="11.25" customHeight="1">
      <c r="A300" s="7"/>
      <c r="B300" s="68">
        <f t="shared" si="8"/>
        <v>295</v>
      </c>
      <c r="C300" s="607"/>
      <c r="D300" s="6">
        <f t="shared" si="9"/>
        <v>0</v>
      </c>
      <c r="E300" s="6">
        <f t="shared" si="1"/>
        <v>0</v>
      </c>
      <c r="F300" s="6">
        <f t="shared" si="4"/>
        <v>550459</v>
      </c>
      <c r="G300" s="6">
        <f t="shared" si="5"/>
        <v>0</v>
      </c>
      <c r="H300" s="6">
        <f t="shared" si="6"/>
        <v>550459</v>
      </c>
      <c r="I300" s="6">
        <f t="shared" si="7"/>
        <v>-550459</v>
      </c>
      <c r="J300" s="610">
        <v>0.0</v>
      </c>
      <c r="K300" s="591"/>
      <c r="L300" s="6"/>
      <c r="M300" s="6"/>
      <c r="N300" s="6"/>
      <c r="O300" s="6"/>
      <c r="P300" s="6"/>
      <c r="Q300" s="6"/>
      <c r="R300" s="6"/>
      <c r="S300" s="6"/>
    </row>
    <row r="301" ht="11.25" customHeight="1">
      <c r="A301" s="7"/>
      <c r="B301" s="68">
        <f t="shared" si="8"/>
        <v>296</v>
      </c>
      <c r="C301" s="607"/>
      <c r="D301" s="6">
        <f t="shared" si="9"/>
        <v>0</v>
      </c>
      <c r="E301" s="6">
        <f t="shared" si="1"/>
        <v>0</v>
      </c>
      <c r="F301" s="6">
        <f t="shared" si="4"/>
        <v>550459</v>
      </c>
      <c r="G301" s="6">
        <f t="shared" si="5"/>
        <v>0</v>
      </c>
      <c r="H301" s="6">
        <f t="shared" si="6"/>
        <v>550459</v>
      </c>
      <c r="I301" s="6">
        <f t="shared" si="7"/>
        <v>-550459</v>
      </c>
      <c r="J301" s="610">
        <v>0.0</v>
      </c>
      <c r="K301" s="591"/>
      <c r="L301" s="6"/>
      <c r="M301" s="6"/>
      <c r="N301" s="6"/>
      <c r="O301" s="6"/>
      <c r="P301" s="6"/>
      <c r="Q301" s="6"/>
      <c r="R301" s="6"/>
      <c r="S301" s="6"/>
    </row>
    <row r="302" ht="11.25" customHeight="1">
      <c r="A302" s="7"/>
      <c r="B302" s="68">
        <f t="shared" si="8"/>
        <v>297</v>
      </c>
      <c r="C302" s="607"/>
      <c r="D302" s="6">
        <f t="shared" si="9"/>
        <v>0</v>
      </c>
      <c r="E302" s="6">
        <f t="shared" si="1"/>
        <v>0</v>
      </c>
      <c r="F302" s="6">
        <f t="shared" si="4"/>
        <v>550459</v>
      </c>
      <c r="G302" s="6">
        <f t="shared" si="5"/>
        <v>0</v>
      </c>
      <c r="H302" s="6">
        <f t="shared" si="6"/>
        <v>550459</v>
      </c>
      <c r="I302" s="6">
        <f t="shared" si="7"/>
        <v>-550459</v>
      </c>
      <c r="J302" s="610">
        <v>0.0</v>
      </c>
      <c r="K302" s="591"/>
      <c r="L302" s="6"/>
      <c r="M302" s="6"/>
      <c r="N302" s="6"/>
      <c r="O302" s="6"/>
      <c r="P302" s="6"/>
      <c r="Q302" s="6"/>
      <c r="R302" s="6"/>
      <c r="S302" s="6"/>
    </row>
    <row r="303" ht="11.25" customHeight="1">
      <c r="A303" s="7"/>
      <c r="B303" s="68">
        <f t="shared" si="8"/>
        <v>298</v>
      </c>
      <c r="C303" s="607"/>
      <c r="D303" s="6">
        <f t="shared" si="9"/>
        <v>0</v>
      </c>
      <c r="E303" s="6">
        <f t="shared" si="1"/>
        <v>0</v>
      </c>
      <c r="F303" s="6">
        <f t="shared" si="4"/>
        <v>550459</v>
      </c>
      <c r="G303" s="6">
        <f t="shared" si="5"/>
        <v>0</v>
      </c>
      <c r="H303" s="6">
        <f t="shared" si="6"/>
        <v>550459</v>
      </c>
      <c r="I303" s="6">
        <f t="shared" si="7"/>
        <v>-550459</v>
      </c>
      <c r="J303" s="610">
        <v>0.0</v>
      </c>
      <c r="K303" s="591"/>
      <c r="L303" s="6"/>
      <c r="M303" s="6"/>
      <c r="N303" s="6"/>
      <c r="O303" s="6"/>
      <c r="P303" s="6"/>
      <c r="Q303" s="6"/>
      <c r="R303" s="6"/>
      <c r="S303" s="6"/>
    </row>
    <row r="304" ht="11.25" customHeight="1">
      <c r="A304" s="7"/>
      <c r="B304" s="68">
        <f t="shared" si="8"/>
        <v>299</v>
      </c>
      <c r="C304" s="607"/>
      <c r="D304" s="6">
        <f t="shared" si="9"/>
        <v>0</v>
      </c>
      <c r="E304" s="6">
        <f t="shared" si="1"/>
        <v>0</v>
      </c>
      <c r="F304" s="6">
        <f t="shared" si="4"/>
        <v>550459</v>
      </c>
      <c r="G304" s="6">
        <f t="shared" si="5"/>
        <v>0</v>
      </c>
      <c r="H304" s="6">
        <f t="shared" si="6"/>
        <v>550459</v>
      </c>
      <c r="I304" s="6">
        <f t="shared" si="7"/>
        <v>-550459</v>
      </c>
      <c r="J304" s="610">
        <v>0.0</v>
      </c>
      <c r="K304" s="591"/>
      <c r="L304" s="6"/>
      <c r="M304" s="6"/>
      <c r="N304" s="6"/>
      <c r="O304" s="6"/>
      <c r="P304" s="6"/>
      <c r="Q304" s="6"/>
      <c r="R304" s="6"/>
      <c r="S304" s="6"/>
    </row>
    <row r="305" ht="11.25" customHeight="1">
      <c r="A305" s="71"/>
      <c r="B305" s="72">
        <f t="shared" si="8"/>
        <v>300</v>
      </c>
      <c r="C305" s="607"/>
      <c r="D305" s="10">
        <f t="shared" si="9"/>
        <v>0</v>
      </c>
      <c r="E305" s="10">
        <f t="shared" si="1"/>
        <v>0</v>
      </c>
      <c r="F305" s="10">
        <f t="shared" si="4"/>
        <v>550459</v>
      </c>
      <c r="G305" s="10">
        <f t="shared" si="5"/>
        <v>0</v>
      </c>
      <c r="H305" s="10">
        <f t="shared" si="6"/>
        <v>550459</v>
      </c>
      <c r="I305" s="10">
        <f t="shared" si="7"/>
        <v>-550459</v>
      </c>
      <c r="J305" s="610">
        <v>0.0</v>
      </c>
      <c r="K305" s="591"/>
      <c r="L305" s="6"/>
      <c r="M305" s="6"/>
      <c r="N305" s="6"/>
      <c r="O305" s="6"/>
      <c r="P305" s="6"/>
      <c r="Q305" s="6"/>
      <c r="R305" s="6"/>
      <c r="S305" s="6"/>
    </row>
    <row r="306" ht="11.25" customHeight="1">
      <c r="A306" s="100">
        <v>26.0</v>
      </c>
      <c r="B306" s="66">
        <f t="shared" si="8"/>
        <v>301</v>
      </c>
      <c r="C306" s="607"/>
      <c r="D306" s="617">
        <f t="shared" si="9"/>
        <v>0</v>
      </c>
      <c r="E306" s="617">
        <f t="shared" si="1"/>
        <v>0</v>
      </c>
      <c r="F306" s="617">
        <f t="shared" si="4"/>
        <v>550459</v>
      </c>
      <c r="G306" s="617">
        <f t="shared" si="5"/>
        <v>0</v>
      </c>
      <c r="H306" s="617">
        <f t="shared" si="6"/>
        <v>550459</v>
      </c>
      <c r="I306" s="617">
        <f t="shared" si="7"/>
        <v>-550459</v>
      </c>
      <c r="J306" s="610">
        <v>0.0</v>
      </c>
      <c r="K306" s="591"/>
      <c r="L306" s="6"/>
      <c r="M306" s="6"/>
      <c r="N306" s="6"/>
      <c r="O306" s="6"/>
      <c r="P306" s="6"/>
      <c r="Q306" s="6"/>
      <c r="R306" s="6"/>
      <c r="S306" s="6"/>
    </row>
    <row r="307" ht="11.25" customHeight="1">
      <c r="A307" s="7"/>
      <c r="B307" s="68">
        <f t="shared" si="8"/>
        <v>302</v>
      </c>
      <c r="C307" s="607"/>
      <c r="D307" s="6">
        <f t="shared" si="9"/>
        <v>0</v>
      </c>
      <c r="E307" s="6">
        <f t="shared" si="1"/>
        <v>0</v>
      </c>
      <c r="F307" s="6">
        <f t="shared" si="4"/>
        <v>550459</v>
      </c>
      <c r="G307" s="6">
        <f t="shared" si="5"/>
        <v>0</v>
      </c>
      <c r="H307" s="6">
        <f t="shared" si="6"/>
        <v>550459</v>
      </c>
      <c r="I307" s="6">
        <f t="shared" si="7"/>
        <v>-550459</v>
      </c>
      <c r="J307" s="610">
        <v>0.0</v>
      </c>
      <c r="K307" s="591"/>
      <c r="L307" s="6"/>
      <c r="M307" s="6"/>
      <c r="N307" s="6"/>
      <c r="O307" s="6"/>
      <c r="P307" s="6"/>
      <c r="Q307" s="6"/>
      <c r="R307" s="6"/>
      <c r="S307" s="6"/>
    </row>
    <row r="308" ht="11.25" customHeight="1">
      <c r="A308" s="7"/>
      <c r="B308" s="68">
        <f t="shared" si="8"/>
        <v>303</v>
      </c>
      <c r="C308" s="607"/>
      <c r="D308" s="6">
        <f t="shared" si="9"/>
        <v>0</v>
      </c>
      <c r="E308" s="6">
        <f t="shared" si="1"/>
        <v>0</v>
      </c>
      <c r="F308" s="6">
        <f t="shared" si="4"/>
        <v>550459</v>
      </c>
      <c r="G308" s="6">
        <f t="shared" si="5"/>
        <v>0</v>
      </c>
      <c r="H308" s="6">
        <f t="shared" si="6"/>
        <v>550459</v>
      </c>
      <c r="I308" s="6">
        <f t="shared" si="7"/>
        <v>-550459</v>
      </c>
      <c r="J308" s="610">
        <v>0.0</v>
      </c>
      <c r="K308" s="591"/>
      <c r="L308" s="6"/>
      <c r="M308" s="6"/>
      <c r="N308" s="6"/>
      <c r="O308" s="6"/>
      <c r="P308" s="6"/>
      <c r="Q308" s="6"/>
      <c r="R308" s="6"/>
      <c r="S308" s="6"/>
    </row>
    <row r="309" ht="11.25" customHeight="1">
      <c r="A309" s="7"/>
      <c r="B309" s="68">
        <f t="shared" si="8"/>
        <v>304</v>
      </c>
      <c r="C309" s="607"/>
      <c r="D309" s="6">
        <f t="shared" si="9"/>
        <v>0</v>
      </c>
      <c r="E309" s="6">
        <f t="shared" si="1"/>
        <v>0</v>
      </c>
      <c r="F309" s="6">
        <f t="shared" si="4"/>
        <v>550459</v>
      </c>
      <c r="G309" s="6">
        <f t="shared" si="5"/>
        <v>0</v>
      </c>
      <c r="H309" s="6">
        <f t="shared" si="6"/>
        <v>550459</v>
      </c>
      <c r="I309" s="6">
        <f t="shared" si="7"/>
        <v>-550459</v>
      </c>
      <c r="J309" s="610">
        <v>0.0</v>
      </c>
      <c r="K309" s="591"/>
      <c r="L309" s="6"/>
      <c r="M309" s="6"/>
      <c r="N309" s="6"/>
      <c r="O309" s="6"/>
      <c r="P309" s="6"/>
      <c r="Q309" s="6"/>
      <c r="R309" s="6"/>
      <c r="S309" s="6"/>
    </row>
    <row r="310" ht="11.25" customHeight="1">
      <c r="A310" s="7"/>
      <c r="B310" s="68">
        <f t="shared" si="8"/>
        <v>305</v>
      </c>
      <c r="C310" s="607"/>
      <c r="D310" s="6">
        <f t="shared" si="9"/>
        <v>0</v>
      </c>
      <c r="E310" s="6">
        <f t="shared" si="1"/>
        <v>0</v>
      </c>
      <c r="F310" s="6">
        <f t="shared" si="4"/>
        <v>550459</v>
      </c>
      <c r="G310" s="6">
        <f t="shared" si="5"/>
        <v>0</v>
      </c>
      <c r="H310" s="6">
        <f t="shared" si="6"/>
        <v>550459</v>
      </c>
      <c r="I310" s="6">
        <f t="shared" si="7"/>
        <v>-550459</v>
      </c>
      <c r="J310" s="610">
        <v>0.0</v>
      </c>
      <c r="K310" s="591"/>
      <c r="L310" s="6"/>
      <c r="M310" s="6"/>
      <c r="N310" s="6"/>
      <c r="O310" s="6"/>
      <c r="P310" s="6"/>
      <c r="Q310" s="6"/>
      <c r="R310" s="6"/>
      <c r="S310" s="6"/>
    </row>
    <row r="311" ht="11.25" customHeight="1">
      <c r="A311" s="7"/>
      <c r="B311" s="68">
        <f t="shared" si="8"/>
        <v>306</v>
      </c>
      <c r="C311" s="607"/>
      <c r="D311" s="6">
        <f t="shared" si="9"/>
        <v>0</v>
      </c>
      <c r="E311" s="6">
        <f t="shared" si="1"/>
        <v>0</v>
      </c>
      <c r="F311" s="6">
        <f t="shared" si="4"/>
        <v>550459</v>
      </c>
      <c r="G311" s="6">
        <f t="shared" si="5"/>
        <v>0</v>
      </c>
      <c r="H311" s="6">
        <f t="shared" si="6"/>
        <v>550459</v>
      </c>
      <c r="I311" s="6">
        <f t="shared" si="7"/>
        <v>-550459</v>
      </c>
      <c r="J311" s="610">
        <v>0.0</v>
      </c>
      <c r="K311" s="591"/>
      <c r="L311" s="6"/>
      <c r="M311" s="6"/>
      <c r="N311" s="6"/>
      <c r="O311" s="6"/>
      <c r="P311" s="6"/>
      <c r="Q311" s="6"/>
      <c r="R311" s="6"/>
      <c r="S311" s="6"/>
    </row>
    <row r="312" ht="11.25" customHeight="1">
      <c r="A312" s="7"/>
      <c r="B312" s="68">
        <f t="shared" si="8"/>
        <v>307</v>
      </c>
      <c r="C312" s="607"/>
      <c r="D312" s="6">
        <f t="shared" si="9"/>
        <v>0</v>
      </c>
      <c r="E312" s="6">
        <f t="shared" si="1"/>
        <v>0</v>
      </c>
      <c r="F312" s="6">
        <f t="shared" si="4"/>
        <v>550459</v>
      </c>
      <c r="G312" s="6">
        <f t="shared" si="5"/>
        <v>0</v>
      </c>
      <c r="H312" s="6">
        <f t="shared" si="6"/>
        <v>550459</v>
      </c>
      <c r="I312" s="6">
        <f t="shared" si="7"/>
        <v>-550459</v>
      </c>
      <c r="J312" s="610">
        <v>0.0</v>
      </c>
      <c r="K312" s="591"/>
      <c r="L312" s="6"/>
      <c r="M312" s="6"/>
      <c r="N312" s="6"/>
      <c r="O312" s="6"/>
      <c r="P312" s="6"/>
      <c r="Q312" s="6"/>
      <c r="R312" s="6"/>
      <c r="S312" s="6"/>
    </row>
    <row r="313" ht="11.25" customHeight="1">
      <c r="A313" s="7"/>
      <c r="B313" s="68">
        <f t="shared" si="8"/>
        <v>308</v>
      </c>
      <c r="C313" s="607"/>
      <c r="D313" s="6">
        <f t="shared" si="9"/>
        <v>0</v>
      </c>
      <c r="E313" s="6">
        <f t="shared" si="1"/>
        <v>0</v>
      </c>
      <c r="F313" s="6">
        <f t="shared" si="4"/>
        <v>550459</v>
      </c>
      <c r="G313" s="6">
        <f t="shared" si="5"/>
        <v>0</v>
      </c>
      <c r="H313" s="6">
        <f t="shared" si="6"/>
        <v>550459</v>
      </c>
      <c r="I313" s="6">
        <f t="shared" si="7"/>
        <v>-550459</v>
      </c>
      <c r="J313" s="610">
        <v>0.0</v>
      </c>
      <c r="K313" s="591"/>
      <c r="L313" s="6"/>
      <c r="M313" s="6"/>
      <c r="N313" s="6"/>
      <c r="O313" s="6"/>
      <c r="P313" s="6"/>
      <c r="Q313" s="6"/>
      <c r="R313" s="6"/>
      <c r="S313" s="6"/>
    </row>
    <row r="314" ht="11.25" customHeight="1">
      <c r="A314" s="7"/>
      <c r="B314" s="68">
        <f t="shared" si="8"/>
        <v>309</v>
      </c>
      <c r="C314" s="607"/>
      <c r="D314" s="6">
        <f t="shared" si="9"/>
        <v>0</v>
      </c>
      <c r="E314" s="6">
        <f t="shared" si="1"/>
        <v>0</v>
      </c>
      <c r="F314" s="6">
        <f t="shared" si="4"/>
        <v>550459</v>
      </c>
      <c r="G314" s="6">
        <f t="shared" si="5"/>
        <v>0</v>
      </c>
      <c r="H314" s="6">
        <f t="shared" si="6"/>
        <v>550459</v>
      </c>
      <c r="I314" s="6">
        <f t="shared" si="7"/>
        <v>-550459</v>
      </c>
      <c r="J314" s="610">
        <v>0.0</v>
      </c>
      <c r="K314" s="591"/>
      <c r="L314" s="6"/>
      <c r="M314" s="6"/>
      <c r="N314" s="6"/>
      <c r="O314" s="6"/>
      <c r="P314" s="6"/>
      <c r="Q314" s="6"/>
      <c r="R314" s="6"/>
      <c r="S314" s="6"/>
    </row>
    <row r="315" ht="11.25" customHeight="1">
      <c r="A315" s="7"/>
      <c r="B315" s="68">
        <f t="shared" si="8"/>
        <v>310</v>
      </c>
      <c r="C315" s="607"/>
      <c r="D315" s="6">
        <f t="shared" si="9"/>
        <v>0</v>
      </c>
      <c r="E315" s="6">
        <f t="shared" si="1"/>
        <v>0</v>
      </c>
      <c r="F315" s="6">
        <f t="shared" si="4"/>
        <v>550459</v>
      </c>
      <c r="G315" s="6">
        <f t="shared" si="5"/>
        <v>0</v>
      </c>
      <c r="H315" s="6">
        <f t="shared" si="6"/>
        <v>550459</v>
      </c>
      <c r="I315" s="6">
        <f t="shared" si="7"/>
        <v>-550459</v>
      </c>
      <c r="J315" s="610">
        <v>0.0</v>
      </c>
      <c r="K315" s="591"/>
      <c r="L315" s="6"/>
      <c r="M315" s="6"/>
      <c r="N315" s="6"/>
      <c r="O315" s="6"/>
      <c r="P315" s="6"/>
      <c r="Q315" s="6"/>
      <c r="R315" s="6"/>
      <c r="S315" s="6"/>
    </row>
    <row r="316" ht="11.25" customHeight="1">
      <c r="A316" s="7"/>
      <c r="B316" s="68">
        <f t="shared" si="8"/>
        <v>311</v>
      </c>
      <c r="C316" s="607"/>
      <c r="D316" s="6">
        <f t="shared" si="9"/>
        <v>0</v>
      </c>
      <c r="E316" s="6">
        <f t="shared" si="1"/>
        <v>0</v>
      </c>
      <c r="F316" s="6">
        <f t="shared" si="4"/>
        <v>550459</v>
      </c>
      <c r="G316" s="6">
        <f t="shared" si="5"/>
        <v>0</v>
      </c>
      <c r="H316" s="6">
        <f t="shared" si="6"/>
        <v>550459</v>
      </c>
      <c r="I316" s="6">
        <f t="shared" si="7"/>
        <v>-550459</v>
      </c>
      <c r="J316" s="610">
        <v>0.0</v>
      </c>
      <c r="K316" s="591"/>
      <c r="L316" s="6"/>
      <c r="M316" s="6"/>
      <c r="N316" s="6"/>
      <c r="O316" s="6"/>
      <c r="P316" s="6"/>
      <c r="Q316" s="6"/>
      <c r="R316" s="6"/>
      <c r="S316" s="6"/>
    </row>
    <row r="317" ht="11.25" customHeight="1">
      <c r="A317" s="71"/>
      <c r="B317" s="72">
        <f t="shared" si="8"/>
        <v>312</v>
      </c>
      <c r="C317" s="607"/>
      <c r="D317" s="10">
        <f t="shared" si="9"/>
        <v>0</v>
      </c>
      <c r="E317" s="10">
        <f t="shared" si="1"/>
        <v>0</v>
      </c>
      <c r="F317" s="10">
        <f t="shared" si="4"/>
        <v>550459</v>
      </c>
      <c r="G317" s="10">
        <f t="shared" si="5"/>
        <v>0</v>
      </c>
      <c r="H317" s="10">
        <f t="shared" si="6"/>
        <v>550459</v>
      </c>
      <c r="I317" s="10">
        <f t="shared" si="7"/>
        <v>-550459</v>
      </c>
      <c r="J317" s="610">
        <v>0.0</v>
      </c>
      <c r="K317" s="591"/>
      <c r="L317" s="6"/>
      <c r="M317" s="6"/>
      <c r="N317" s="6"/>
      <c r="O317" s="6"/>
      <c r="P317" s="6"/>
      <c r="Q317" s="6"/>
      <c r="R317" s="6"/>
      <c r="S317" s="6"/>
    </row>
    <row r="318" ht="11.25" customHeight="1">
      <c r="A318" s="100">
        <v>27.0</v>
      </c>
      <c r="B318" s="66">
        <f t="shared" si="8"/>
        <v>313</v>
      </c>
      <c r="C318" s="607"/>
      <c r="D318" s="617">
        <f t="shared" si="9"/>
        <v>0</v>
      </c>
      <c r="E318" s="617">
        <f t="shared" si="1"/>
        <v>0</v>
      </c>
      <c r="F318" s="617">
        <f t="shared" si="4"/>
        <v>550459</v>
      </c>
      <c r="G318" s="617">
        <f t="shared" si="5"/>
        <v>0</v>
      </c>
      <c r="H318" s="617">
        <f t="shared" si="6"/>
        <v>550459</v>
      </c>
      <c r="I318" s="617">
        <f t="shared" si="7"/>
        <v>-550459</v>
      </c>
      <c r="J318" s="610">
        <v>0.0</v>
      </c>
      <c r="K318" s="591"/>
      <c r="L318" s="6"/>
      <c r="M318" s="6"/>
      <c r="N318" s="6"/>
      <c r="O318" s="6"/>
      <c r="P318" s="6"/>
      <c r="Q318" s="6"/>
      <c r="R318" s="6"/>
      <c r="S318" s="6"/>
    </row>
    <row r="319" ht="11.25" customHeight="1">
      <c r="A319" s="7"/>
      <c r="B319" s="68">
        <f t="shared" si="8"/>
        <v>314</v>
      </c>
      <c r="C319" s="607"/>
      <c r="D319" s="6">
        <f t="shared" si="9"/>
        <v>0</v>
      </c>
      <c r="E319" s="6">
        <f t="shared" si="1"/>
        <v>0</v>
      </c>
      <c r="F319" s="6">
        <f t="shared" si="4"/>
        <v>550459</v>
      </c>
      <c r="G319" s="6">
        <f t="shared" si="5"/>
        <v>0</v>
      </c>
      <c r="H319" s="6">
        <f t="shared" si="6"/>
        <v>550459</v>
      </c>
      <c r="I319" s="6">
        <f t="shared" si="7"/>
        <v>-550459</v>
      </c>
      <c r="J319" s="610">
        <v>0.0</v>
      </c>
      <c r="K319" s="591"/>
      <c r="L319" s="6"/>
      <c r="M319" s="6"/>
      <c r="N319" s="6"/>
      <c r="O319" s="6"/>
      <c r="P319" s="6"/>
      <c r="Q319" s="6"/>
      <c r="R319" s="6"/>
      <c r="S319" s="6"/>
    </row>
    <row r="320" ht="11.25" customHeight="1">
      <c r="A320" s="7"/>
      <c r="B320" s="68">
        <f t="shared" si="8"/>
        <v>315</v>
      </c>
      <c r="C320" s="607"/>
      <c r="D320" s="6">
        <f t="shared" si="9"/>
        <v>0</v>
      </c>
      <c r="E320" s="6">
        <f t="shared" si="1"/>
        <v>0</v>
      </c>
      <c r="F320" s="6">
        <f t="shared" si="4"/>
        <v>550459</v>
      </c>
      <c r="G320" s="6">
        <f t="shared" si="5"/>
        <v>0</v>
      </c>
      <c r="H320" s="6">
        <f t="shared" si="6"/>
        <v>550459</v>
      </c>
      <c r="I320" s="6">
        <f t="shared" si="7"/>
        <v>-550459</v>
      </c>
      <c r="J320" s="610">
        <v>0.0</v>
      </c>
      <c r="K320" s="591"/>
      <c r="L320" s="6"/>
      <c r="M320" s="6"/>
      <c r="N320" s="6"/>
      <c r="O320" s="6"/>
      <c r="P320" s="6"/>
      <c r="Q320" s="6"/>
      <c r="R320" s="6"/>
      <c r="S320" s="6"/>
    </row>
    <row r="321" ht="11.25" customHeight="1">
      <c r="A321" s="7"/>
      <c r="B321" s="68">
        <f t="shared" si="8"/>
        <v>316</v>
      </c>
      <c r="C321" s="607"/>
      <c r="D321" s="6">
        <f t="shared" si="9"/>
        <v>0</v>
      </c>
      <c r="E321" s="6">
        <f t="shared" si="1"/>
        <v>0</v>
      </c>
      <c r="F321" s="6">
        <f t="shared" si="4"/>
        <v>550459</v>
      </c>
      <c r="G321" s="6">
        <f t="shared" si="5"/>
        <v>0</v>
      </c>
      <c r="H321" s="6">
        <f t="shared" si="6"/>
        <v>550459</v>
      </c>
      <c r="I321" s="6">
        <f t="shared" si="7"/>
        <v>-550459</v>
      </c>
      <c r="J321" s="610">
        <v>0.0</v>
      </c>
      <c r="K321" s="591"/>
      <c r="L321" s="6"/>
      <c r="M321" s="6"/>
      <c r="N321" s="6"/>
      <c r="O321" s="6"/>
      <c r="P321" s="6"/>
      <c r="Q321" s="6"/>
      <c r="R321" s="6"/>
      <c r="S321" s="6"/>
    </row>
    <row r="322" ht="11.25" customHeight="1">
      <c r="A322" s="7"/>
      <c r="B322" s="68">
        <f t="shared" si="8"/>
        <v>317</v>
      </c>
      <c r="C322" s="607"/>
      <c r="D322" s="6">
        <f t="shared" si="9"/>
        <v>0</v>
      </c>
      <c r="E322" s="6">
        <f t="shared" si="1"/>
        <v>0</v>
      </c>
      <c r="F322" s="6">
        <f t="shared" si="4"/>
        <v>550459</v>
      </c>
      <c r="G322" s="6">
        <f t="shared" si="5"/>
        <v>0</v>
      </c>
      <c r="H322" s="6">
        <f t="shared" si="6"/>
        <v>550459</v>
      </c>
      <c r="I322" s="6">
        <f t="shared" si="7"/>
        <v>-550459</v>
      </c>
      <c r="J322" s="610">
        <v>0.0</v>
      </c>
      <c r="K322" s="591"/>
      <c r="L322" s="6"/>
      <c r="M322" s="6"/>
      <c r="N322" s="6"/>
      <c r="O322" s="6"/>
      <c r="P322" s="6"/>
      <c r="Q322" s="6"/>
      <c r="R322" s="6"/>
      <c r="S322" s="6"/>
    </row>
    <row r="323" ht="11.25" customHeight="1">
      <c r="A323" s="7"/>
      <c r="B323" s="68">
        <f t="shared" si="8"/>
        <v>318</v>
      </c>
      <c r="C323" s="607"/>
      <c r="D323" s="6">
        <f t="shared" si="9"/>
        <v>0</v>
      </c>
      <c r="E323" s="6">
        <f t="shared" si="1"/>
        <v>0</v>
      </c>
      <c r="F323" s="6">
        <f t="shared" si="4"/>
        <v>550459</v>
      </c>
      <c r="G323" s="6">
        <f t="shared" si="5"/>
        <v>0</v>
      </c>
      <c r="H323" s="6">
        <f t="shared" si="6"/>
        <v>550459</v>
      </c>
      <c r="I323" s="6">
        <f t="shared" si="7"/>
        <v>-550459</v>
      </c>
      <c r="J323" s="610">
        <v>0.0</v>
      </c>
      <c r="K323" s="591"/>
      <c r="L323" s="6"/>
      <c r="M323" s="6"/>
      <c r="N323" s="6"/>
      <c r="O323" s="6"/>
      <c r="P323" s="6"/>
      <c r="Q323" s="6"/>
      <c r="R323" s="6"/>
      <c r="S323" s="6"/>
    </row>
    <row r="324" ht="11.25" customHeight="1">
      <c r="A324" s="7"/>
      <c r="B324" s="68">
        <f t="shared" si="8"/>
        <v>319</v>
      </c>
      <c r="C324" s="607"/>
      <c r="D324" s="6">
        <f t="shared" si="9"/>
        <v>0</v>
      </c>
      <c r="E324" s="6">
        <f t="shared" si="1"/>
        <v>0</v>
      </c>
      <c r="F324" s="6">
        <f t="shared" si="4"/>
        <v>550459</v>
      </c>
      <c r="G324" s="6">
        <f t="shared" si="5"/>
        <v>0</v>
      </c>
      <c r="H324" s="6">
        <f t="shared" si="6"/>
        <v>550459</v>
      </c>
      <c r="I324" s="6">
        <f t="shared" si="7"/>
        <v>-550459</v>
      </c>
      <c r="J324" s="610">
        <v>0.0</v>
      </c>
      <c r="K324" s="591"/>
      <c r="L324" s="6"/>
      <c r="M324" s="6"/>
      <c r="N324" s="6"/>
      <c r="O324" s="6"/>
      <c r="P324" s="6"/>
      <c r="Q324" s="6"/>
      <c r="R324" s="6"/>
      <c r="S324" s="6"/>
    </row>
    <row r="325" ht="11.25" customHeight="1">
      <c r="A325" s="7"/>
      <c r="B325" s="68">
        <f t="shared" si="8"/>
        <v>320</v>
      </c>
      <c r="C325" s="607"/>
      <c r="D325" s="6">
        <f t="shared" si="9"/>
        <v>0</v>
      </c>
      <c r="E325" s="6">
        <f t="shared" si="1"/>
        <v>0</v>
      </c>
      <c r="F325" s="6">
        <f t="shared" si="4"/>
        <v>550459</v>
      </c>
      <c r="G325" s="6">
        <f t="shared" si="5"/>
        <v>0</v>
      </c>
      <c r="H325" s="6">
        <f t="shared" si="6"/>
        <v>550459</v>
      </c>
      <c r="I325" s="6">
        <f t="shared" si="7"/>
        <v>-550459</v>
      </c>
      <c r="J325" s="610">
        <v>0.0</v>
      </c>
      <c r="K325" s="591"/>
      <c r="L325" s="6"/>
      <c r="M325" s="6"/>
      <c r="N325" s="6"/>
      <c r="O325" s="6"/>
      <c r="P325" s="6"/>
      <c r="Q325" s="6"/>
      <c r="R325" s="6"/>
      <c r="S325" s="6"/>
    </row>
    <row r="326" ht="11.25" customHeight="1">
      <c r="A326" s="7"/>
      <c r="B326" s="68">
        <f t="shared" si="8"/>
        <v>321</v>
      </c>
      <c r="C326" s="607"/>
      <c r="D326" s="6">
        <f t="shared" si="9"/>
        <v>0</v>
      </c>
      <c r="E326" s="6">
        <f t="shared" si="1"/>
        <v>0</v>
      </c>
      <c r="F326" s="6">
        <f t="shared" si="4"/>
        <v>550459</v>
      </c>
      <c r="G326" s="6">
        <f t="shared" si="5"/>
        <v>0</v>
      </c>
      <c r="H326" s="6">
        <f t="shared" si="6"/>
        <v>550459</v>
      </c>
      <c r="I326" s="6">
        <f t="shared" si="7"/>
        <v>-550459</v>
      </c>
      <c r="J326" s="610">
        <v>0.0</v>
      </c>
      <c r="K326" s="591"/>
      <c r="L326" s="6"/>
      <c r="M326" s="6"/>
      <c r="N326" s="6"/>
      <c r="O326" s="6"/>
      <c r="P326" s="6"/>
      <c r="Q326" s="6"/>
      <c r="R326" s="6"/>
      <c r="S326" s="6"/>
    </row>
    <row r="327" ht="11.25" customHeight="1">
      <c r="A327" s="7"/>
      <c r="B327" s="68">
        <f t="shared" si="8"/>
        <v>322</v>
      </c>
      <c r="C327" s="607"/>
      <c r="D327" s="6">
        <f t="shared" si="9"/>
        <v>0</v>
      </c>
      <c r="E327" s="6">
        <f t="shared" si="1"/>
        <v>0</v>
      </c>
      <c r="F327" s="6">
        <f t="shared" si="4"/>
        <v>550459</v>
      </c>
      <c r="G327" s="6">
        <f t="shared" si="5"/>
        <v>0</v>
      </c>
      <c r="H327" s="6">
        <f t="shared" si="6"/>
        <v>550459</v>
      </c>
      <c r="I327" s="6">
        <f t="shared" si="7"/>
        <v>-550459</v>
      </c>
      <c r="J327" s="610">
        <v>0.0</v>
      </c>
      <c r="K327" s="591"/>
      <c r="L327" s="6"/>
      <c r="M327" s="6"/>
      <c r="N327" s="6"/>
      <c r="O327" s="6"/>
      <c r="P327" s="6"/>
      <c r="Q327" s="6"/>
      <c r="R327" s="6"/>
      <c r="S327" s="6"/>
    </row>
    <row r="328" ht="11.25" customHeight="1">
      <c r="A328" s="7"/>
      <c r="B328" s="68">
        <f t="shared" si="8"/>
        <v>323</v>
      </c>
      <c r="C328" s="607"/>
      <c r="D328" s="6">
        <f t="shared" si="9"/>
        <v>0</v>
      </c>
      <c r="E328" s="6">
        <f t="shared" si="1"/>
        <v>0</v>
      </c>
      <c r="F328" s="6">
        <f t="shared" si="4"/>
        <v>550459</v>
      </c>
      <c r="G328" s="6">
        <f t="shared" si="5"/>
        <v>0</v>
      </c>
      <c r="H328" s="6">
        <f t="shared" si="6"/>
        <v>550459</v>
      </c>
      <c r="I328" s="6">
        <f t="shared" si="7"/>
        <v>-550459</v>
      </c>
      <c r="J328" s="610">
        <v>0.0</v>
      </c>
      <c r="K328" s="591"/>
      <c r="L328" s="6"/>
      <c r="M328" s="6"/>
      <c r="N328" s="6"/>
      <c r="O328" s="6"/>
      <c r="P328" s="6"/>
      <c r="Q328" s="6"/>
      <c r="R328" s="6"/>
      <c r="S328" s="6"/>
    </row>
    <row r="329" ht="11.25" customHeight="1">
      <c r="A329" s="71"/>
      <c r="B329" s="72">
        <f t="shared" si="8"/>
        <v>324</v>
      </c>
      <c r="C329" s="607"/>
      <c r="D329" s="10">
        <f t="shared" si="9"/>
        <v>0</v>
      </c>
      <c r="E329" s="10">
        <f t="shared" si="1"/>
        <v>0</v>
      </c>
      <c r="F329" s="10">
        <f t="shared" si="4"/>
        <v>550459</v>
      </c>
      <c r="G329" s="10">
        <f t="shared" si="5"/>
        <v>0</v>
      </c>
      <c r="H329" s="10">
        <f t="shared" si="6"/>
        <v>550459</v>
      </c>
      <c r="I329" s="10">
        <f t="shared" si="7"/>
        <v>-550459</v>
      </c>
      <c r="J329" s="610">
        <v>0.0</v>
      </c>
      <c r="K329" s="591"/>
      <c r="L329" s="6"/>
      <c r="M329" s="6"/>
      <c r="N329" s="6"/>
      <c r="O329" s="6"/>
      <c r="P329" s="6"/>
      <c r="Q329" s="6"/>
      <c r="R329" s="6"/>
      <c r="S329" s="6"/>
    </row>
    <row r="330" ht="11.25" customHeight="1">
      <c r="A330" s="100">
        <v>28.0</v>
      </c>
      <c r="B330" s="66">
        <f t="shared" si="8"/>
        <v>325</v>
      </c>
      <c r="C330" s="607"/>
      <c r="D330" s="617">
        <f t="shared" si="9"/>
        <v>0</v>
      </c>
      <c r="E330" s="617">
        <f t="shared" si="1"/>
        <v>0</v>
      </c>
      <c r="F330" s="617">
        <f t="shared" si="4"/>
        <v>550459</v>
      </c>
      <c r="G330" s="617">
        <f t="shared" si="5"/>
        <v>0</v>
      </c>
      <c r="H330" s="617">
        <f t="shared" si="6"/>
        <v>550459</v>
      </c>
      <c r="I330" s="617">
        <f t="shared" si="7"/>
        <v>-550459</v>
      </c>
      <c r="J330" s="610">
        <v>0.0</v>
      </c>
      <c r="K330" s="591"/>
      <c r="L330" s="6"/>
      <c r="M330" s="6"/>
      <c r="N330" s="6"/>
      <c r="O330" s="6"/>
      <c r="P330" s="6"/>
      <c r="Q330" s="6"/>
      <c r="R330" s="6"/>
      <c r="S330" s="6"/>
    </row>
    <row r="331" ht="11.25" customHeight="1">
      <c r="A331" s="7"/>
      <c r="B331" s="68">
        <f t="shared" si="8"/>
        <v>326</v>
      </c>
      <c r="C331" s="607"/>
      <c r="D331" s="6">
        <f t="shared" si="9"/>
        <v>0</v>
      </c>
      <c r="E331" s="6">
        <f t="shared" si="1"/>
        <v>0</v>
      </c>
      <c r="F331" s="6">
        <f t="shared" si="4"/>
        <v>550459</v>
      </c>
      <c r="G331" s="6">
        <f t="shared" si="5"/>
        <v>0</v>
      </c>
      <c r="H331" s="6">
        <f t="shared" si="6"/>
        <v>550459</v>
      </c>
      <c r="I331" s="6">
        <f t="shared" si="7"/>
        <v>-550459</v>
      </c>
      <c r="J331" s="610">
        <v>0.0</v>
      </c>
      <c r="K331" s="591"/>
      <c r="L331" s="6"/>
      <c r="M331" s="6"/>
      <c r="N331" s="6"/>
      <c r="O331" s="6"/>
      <c r="P331" s="6"/>
      <c r="Q331" s="6"/>
      <c r="R331" s="6"/>
      <c r="S331" s="6"/>
    </row>
    <row r="332" ht="11.25" customHeight="1">
      <c r="A332" s="7"/>
      <c r="B332" s="68">
        <f t="shared" si="8"/>
        <v>327</v>
      </c>
      <c r="C332" s="607"/>
      <c r="D332" s="6">
        <f t="shared" si="9"/>
        <v>0</v>
      </c>
      <c r="E332" s="6">
        <f t="shared" si="1"/>
        <v>0</v>
      </c>
      <c r="F332" s="6">
        <f t="shared" si="4"/>
        <v>550459</v>
      </c>
      <c r="G332" s="6">
        <f t="shared" si="5"/>
        <v>0</v>
      </c>
      <c r="H332" s="6">
        <f t="shared" si="6"/>
        <v>550459</v>
      </c>
      <c r="I332" s="6">
        <f t="shared" si="7"/>
        <v>-550459</v>
      </c>
      <c r="J332" s="610">
        <v>0.0</v>
      </c>
      <c r="K332" s="591"/>
      <c r="L332" s="6"/>
      <c r="M332" s="6"/>
      <c r="N332" s="6"/>
      <c r="O332" s="6"/>
      <c r="P332" s="6"/>
      <c r="Q332" s="6"/>
      <c r="R332" s="6"/>
      <c r="S332" s="6"/>
    </row>
    <row r="333" ht="11.25" customHeight="1">
      <c r="A333" s="7"/>
      <c r="B333" s="68">
        <f t="shared" si="8"/>
        <v>328</v>
      </c>
      <c r="C333" s="607"/>
      <c r="D333" s="6">
        <f t="shared" si="9"/>
        <v>0</v>
      </c>
      <c r="E333" s="6">
        <f t="shared" si="1"/>
        <v>0</v>
      </c>
      <c r="F333" s="6">
        <f t="shared" si="4"/>
        <v>550459</v>
      </c>
      <c r="G333" s="6">
        <f t="shared" si="5"/>
        <v>0</v>
      </c>
      <c r="H333" s="6">
        <f t="shared" si="6"/>
        <v>550459</v>
      </c>
      <c r="I333" s="6">
        <f t="shared" si="7"/>
        <v>-550459</v>
      </c>
      <c r="J333" s="610">
        <v>0.0</v>
      </c>
      <c r="K333" s="591"/>
      <c r="L333" s="6"/>
      <c r="M333" s="6"/>
      <c r="N333" s="6"/>
      <c r="O333" s="6"/>
      <c r="P333" s="6"/>
      <c r="Q333" s="6"/>
      <c r="R333" s="6"/>
      <c r="S333" s="6"/>
    </row>
    <row r="334" ht="11.25" customHeight="1">
      <c r="A334" s="7"/>
      <c r="B334" s="68">
        <f t="shared" si="8"/>
        <v>329</v>
      </c>
      <c r="C334" s="607"/>
      <c r="D334" s="6">
        <f t="shared" si="9"/>
        <v>0</v>
      </c>
      <c r="E334" s="6">
        <f t="shared" si="1"/>
        <v>0</v>
      </c>
      <c r="F334" s="6">
        <f t="shared" si="4"/>
        <v>550459</v>
      </c>
      <c r="G334" s="6">
        <f t="shared" si="5"/>
        <v>0</v>
      </c>
      <c r="H334" s="6">
        <f t="shared" si="6"/>
        <v>550459</v>
      </c>
      <c r="I334" s="6">
        <f t="shared" si="7"/>
        <v>-550459</v>
      </c>
      <c r="J334" s="610">
        <v>0.0</v>
      </c>
      <c r="K334" s="591"/>
      <c r="L334" s="6"/>
      <c r="M334" s="6"/>
      <c r="N334" s="6"/>
      <c r="O334" s="6"/>
      <c r="P334" s="6"/>
      <c r="Q334" s="6"/>
      <c r="R334" s="6"/>
      <c r="S334" s="6"/>
    </row>
    <row r="335" ht="11.25" customHeight="1">
      <c r="A335" s="7"/>
      <c r="B335" s="68">
        <f t="shared" si="8"/>
        <v>330</v>
      </c>
      <c r="C335" s="607"/>
      <c r="D335" s="6">
        <f t="shared" si="9"/>
        <v>0</v>
      </c>
      <c r="E335" s="6">
        <f t="shared" si="1"/>
        <v>0</v>
      </c>
      <c r="F335" s="6">
        <f t="shared" si="4"/>
        <v>550459</v>
      </c>
      <c r="G335" s="6">
        <f t="shared" si="5"/>
        <v>0</v>
      </c>
      <c r="H335" s="6">
        <f t="shared" si="6"/>
        <v>550459</v>
      </c>
      <c r="I335" s="6">
        <f t="shared" si="7"/>
        <v>-550459</v>
      </c>
      <c r="J335" s="610">
        <v>0.0</v>
      </c>
      <c r="K335" s="591"/>
      <c r="L335" s="6"/>
      <c r="M335" s="6"/>
      <c r="N335" s="6"/>
      <c r="O335" s="6"/>
      <c r="P335" s="6"/>
      <c r="Q335" s="6"/>
      <c r="R335" s="6"/>
      <c r="S335" s="6"/>
    </row>
    <row r="336" ht="11.25" customHeight="1">
      <c r="A336" s="7"/>
      <c r="B336" s="68">
        <f t="shared" si="8"/>
        <v>331</v>
      </c>
      <c r="C336" s="607"/>
      <c r="D336" s="6">
        <f t="shared" si="9"/>
        <v>0</v>
      </c>
      <c r="E336" s="6">
        <f t="shared" si="1"/>
        <v>0</v>
      </c>
      <c r="F336" s="6">
        <f t="shared" si="4"/>
        <v>550459</v>
      </c>
      <c r="G336" s="6">
        <f t="shared" si="5"/>
        <v>0</v>
      </c>
      <c r="H336" s="6">
        <f t="shared" si="6"/>
        <v>550459</v>
      </c>
      <c r="I336" s="6">
        <f t="shared" si="7"/>
        <v>-550459</v>
      </c>
      <c r="J336" s="610">
        <v>0.0</v>
      </c>
      <c r="K336" s="591"/>
      <c r="L336" s="6"/>
      <c r="M336" s="6"/>
      <c r="N336" s="6"/>
      <c r="O336" s="6"/>
      <c r="P336" s="6"/>
      <c r="Q336" s="6"/>
      <c r="R336" s="6"/>
      <c r="S336" s="6"/>
    </row>
    <row r="337" ht="11.25" customHeight="1">
      <c r="A337" s="7"/>
      <c r="B337" s="68">
        <f t="shared" si="8"/>
        <v>332</v>
      </c>
      <c r="C337" s="607"/>
      <c r="D337" s="6">
        <f t="shared" si="9"/>
        <v>0</v>
      </c>
      <c r="E337" s="6">
        <f t="shared" si="1"/>
        <v>0</v>
      </c>
      <c r="F337" s="6">
        <f t="shared" si="4"/>
        <v>550459</v>
      </c>
      <c r="G337" s="6">
        <f t="shared" si="5"/>
        <v>0</v>
      </c>
      <c r="H337" s="6">
        <f t="shared" si="6"/>
        <v>550459</v>
      </c>
      <c r="I337" s="6">
        <f t="shared" si="7"/>
        <v>-550459</v>
      </c>
      <c r="J337" s="610">
        <v>0.0</v>
      </c>
      <c r="K337" s="591"/>
      <c r="L337" s="6"/>
      <c r="M337" s="6"/>
      <c r="N337" s="6"/>
      <c r="O337" s="6"/>
      <c r="P337" s="6"/>
      <c r="Q337" s="6"/>
      <c r="R337" s="6"/>
      <c r="S337" s="6"/>
    </row>
    <row r="338" ht="11.25" customHeight="1">
      <c r="A338" s="7"/>
      <c r="B338" s="68">
        <f t="shared" si="8"/>
        <v>333</v>
      </c>
      <c r="C338" s="607"/>
      <c r="D338" s="6">
        <f t="shared" si="9"/>
        <v>0</v>
      </c>
      <c r="E338" s="6">
        <f t="shared" si="1"/>
        <v>0</v>
      </c>
      <c r="F338" s="6">
        <f t="shared" si="4"/>
        <v>550459</v>
      </c>
      <c r="G338" s="6">
        <f t="shared" si="5"/>
        <v>0</v>
      </c>
      <c r="H338" s="6">
        <f t="shared" si="6"/>
        <v>550459</v>
      </c>
      <c r="I338" s="6">
        <f t="shared" si="7"/>
        <v>-550459</v>
      </c>
      <c r="J338" s="610">
        <v>0.0</v>
      </c>
      <c r="K338" s="591"/>
      <c r="L338" s="6"/>
      <c r="M338" s="6"/>
      <c r="N338" s="6"/>
      <c r="O338" s="6"/>
      <c r="P338" s="6"/>
      <c r="Q338" s="6"/>
      <c r="R338" s="6"/>
      <c r="S338" s="6"/>
    </row>
    <row r="339" ht="11.25" customHeight="1">
      <c r="A339" s="7"/>
      <c r="B339" s="68">
        <f t="shared" si="8"/>
        <v>334</v>
      </c>
      <c r="C339" s="607"/>
      <c r="D339" s="6">
        <f t="shared" si="9"/>
        <v>0</v>
      </c>
      <c r="E339" s="6">
        <f t="shared" si="1"/>
        <v>0</v>
      </c>
      <c r="F339" s="6">
        <f t="shared" si="4"/>
        <v>550459</v>
      </c>
      <c r="G339" s="6">
        <f t="shared" si="5"/>
        <v>0</v>
      </c>
      <c r="H339" s="6">
        <f t="shared" si="6"/>
        <v>550459</v>
      </c>
      <c r="I339" s="6">
        <f t="shared" si="7"/>
        <v>-550459</v>
      </c>
      <c r="J339" s="610">
        <v>0.0</v>
      </c>
      <c r="K339" s="591"/>
      <c r="L339" s="6"/>
      <c r="M339" s="6"/>
      <c r="N339" s="6"/>
      <c r="O339" s="6"/>
      <c r="P339" s="6"/>
      <c r="Q339" s="6"/>
      <c r="R339" s="6"/>
      <c r="S339" s="6"/>
    </row>
    <row r="340" ht="11.25" customHeight="1">
      <c r="A340" s="7"/>
      <c r="B340" s="68">
        <f t="shared" si="8"/>
        <v>335</v>
      </c>
      <c r="C340" s="607"/>
      <c r="D340" s="6">
        <f t="shared" si="9"/>
        <v>0</v>
      </c>
      <c r="E340" s="6">
        <f t="shared" si="1"/>
        <v>0</v>
      </c>
      <c r="F340" s="6">
        <f t="shared" si="4"/>
        <v>550459</v>
      </c>
      <c r="G340" s="6">
        <f t="shared" si="5"/>
        <v>0</v>
      </c>
      <c r="H340" s="6">
        <f t="shared" si="6"/>
        <v>550459</v>
      </c>
      <c r="I340" s="6">
        <f t="shared" si="7"/>
        <v>-550459</v>
      </c>
      <c r="J340" s="610">
        <v>0.0</v>
      </c>
      <c r="K340" s="591"/>
      <c r="L340" s="6"/>
      <c r="M340" s="6"/>
      <c r="N340" s="6"/>
      <c r="O340" s="6"/>
      <c r="P340" s="6"/>
      <c r="Q340" s="6"/>
      <c r="R340" s="6"/>
      <c r="S340" s="6"/>
    </row>
    <row r="341" ht="11.25" customHeight="1">
      <c r="A341" s="71"/>
      <c r="B341" s="72">
        <f t="shared" si="8"/>
        <v>336</v>
      </c>
      <c r="C341" s="607"/>
      <c r="D341" s="10">
        <f t="shared" si="9"/>
        <v>0</v>
      </c>
      <c r="E341" s="10">
        <f t="shared" si="1"/>
        <v>0</v>
      </c>
      <c r="F341" s="10">
        <f t="shared" si="4"/>
        <v>550459</v>
      </c>
      <c r="G341" s="10">
        <f t="shared" si="5"/>
        <v>0</v>
      </c>
      <c r="H341" s="10">
        <f t="shared" si="6"/>
        <v>550459</v>
      </c>
      <c r="I341" s="10">
        <f t="shared" si="7"/>
        <v>-550459</v>
      </c>
      <c r="J341" s="610">
        <v>0.0</v>
      </c>
      <c r="K341" s="591"/>
      <c r="L341" s="6"/>
      <c r="M341" s="6"/>
      <c r="N341" s="6"/>
      <c r="O341" s="6"/>
      <c r="P341" s="6"/>
      <c r="Q341" s="6"/>
      <c r="R341" s="6"/>
      <c r="S341" s="6"/>
    </row>
    <row r="342" ht="11.25" customHeight="1">
      <c r="A342" s="100">
        <v>29.0</v>
      </c>
      <c r="B342" s="66">
        <f t="shared" si="8"/>
        <v>337</v>
      </c>
      <c r="C342" s="607"/>
      <c r="D342" s="617">
        <f t="shared" si="9"/>
        <v>0</v>
      </c>
      <c r="E342" s="617">
        <f t="shared" si="1"/>
        <v>0</v>
      </c>
      <c r="F342" s="617">
        <f t="shared" si="4"/>
        <v>550459</v>
      </c>
      <c r="G342" s="617">
        <f t="shared" si="5"/>
        <v>0</v>
      </c>
      <c r="H342" s="617">
        <f t="shared" si="6"/>
        <v>550459</v>
      </c>
      <c r="I342" s="617">
        <f t="shared" si="7"/>
        <v>-550459</v>
      </c>
      <c r="J342" s="610">
        <v>0.0</v>
      </c>
      <c r="K342" s="591"/>
      <c r="L342" s="6"/>
      <c r="M342" s="6"/>
      <c r="N342" s="6"/>
      <c r="O342" s="6"/>
      <c r="P342" s="6"/>
      <c r="Q342" s="6"/>
      <c r="R342" s="6"/>
      <c r="S342" s="6"/>
    </row>
    <row r="343" ht="11.25" customHeight="1">
      <c r="A343" s="7"/>
      <c r="B343" s="68">
        <f t="shared" si="8"/>
        <v>338</v>
      </c>
      <c r="C343" s="607"/>
      <c r="D343" s="6">
        <f t="shared" si="9"/>
        <v>0</v>
      </c>
      <c r="E343" s="6">
        <f t="shared" si="1"/>
        <v>0</v>
      </c>
      <c r="F343" s="6">
        <f t="shared" si="4"/>
        <v>550459</v>
      </c>
      <c r="G343" s="6">
        <f t="shared" si="5"/>
        <v>0</v>
      </c>
      <c r="H343" s="6">
        <f t="shared" si="6"/>
        <v>550459</v>
      </c>
      <c r="I343" s="6">
        <f t="shared" si="7"/>
        <v>-550459</v>
      </c>
      <c r="J343" s="610">
        <v>0.0</v>
      </c>
      <c r="K343" s="591"/>
      <c r="L343" s="6"/>
      <c r="M343" s="6"/>
      <c r="N343" s="6"/>
      <c r="O343" s="6"/>
      <c r="P343" s="6"/>
      <c r="Q343" s="6"/>
      <c r="R343" s="6"/>
      <c r="S343" s="6"/>
    </row>
    <row r="344" ht="11.25" customHeight="1">
      <c r="A344" s="7"/>
      <c r="B344" s="68">
        <f t="shared" si="8"/>
        <v>339</v>
      </c>
      <c r="C344" s="607"/>
      <c r="D344" s="6">
        <f t="shared" si="9"/>
        <v>0</v>
      </c>
      <c r="E344" s="6">
        <f t="shared" si="1"/>
        <v>0</v>
      </c>
      <c r="F344" s="6">
        <f t="shared" si="4"/>
        <v>550459</v>
      </c>
      <c r="G344" s="6">
        <f t="shared" si="5"/>
        <v>0</v>
      </c>
      <c r="H344" s="6">
        <f t="shared" si="6"/>
        <v>550459</v>
      </c>
      <c r="I344" s="6">
        <f t="shared" si="7"/>
        <v>-550459</v>
      </c>
      <c r="J344" s="610">
        <v>0.0</v>
      </c>
      <c r="K344" s="591"/>
      <c r="L344" s="6"/>
      <c r="M344" s="6"/>
      <c r="N344" s="6"/>
      <c r="O344" s="6"/>
      <c r="P344" s="6"/>
      <c r="Q344" s="6"/>
      <c r="R344" s="6"/>
      <c r="S344" s="6"/>
    </row>
    <row r="345" ht="11.25" customHeight="1">
      <c r="A345" s="7"/>
      <c r="B345" s="68">
        <f t="shared" si="8"/>
        <v>340</v>
      </c>
      <c r="C345" s="607"/>
      <c r="D345" s="6">
        <f t="shared" si="9"/>
        <v>0</v>
      </c>
      <c r="E345" s="6">
        <f t="shared" si="1"/>
        <v>0</v>
      </c>
      <c r="F345" s="6">
        <f t="shared" si="4"/>
        <v>550459</v>
      </c>
      <c r="G345" s="6">
        <f t="shared" si="5"/>
        <v>0</v>
      </c>
      <c r="H345" s="6">
        <f t="shared" si="6"/>
        <v>550459</v>
      </c>
      <c r="I345" s="6">
        <f t="shared" si="7"/>
        <v>-550459</v>
      </c>
      <c r="J345" s="610">
        <v>0.0</v>
      </c>
      <c r="K345" s="591"/>
      <c r="L345" s="6"/>
      <c r="M345" s="6"/>
      <c r="N345" s="6"/>
      <c r="O345" s="6"/>
      <c r="P345" s="6"/>
      <c r="Q345" s="6"/>
      <c r="R345" s="6"/>
      <c r="S345" s="6"/>
    </row>
    <row r="346" ht="11.25" customHeight="1">
      <c r="A346" s="7"/>
      <c r="B346" s="68">
        <f t="shared" si="8"/>
        <v>341</v>
      </c>
      <c r="C346" s="607"/>
      <c r="D346" s="6">
        <f t="shared" si="9"/>
        <v>0</v>
      </c>
      <c r="E346" s="6">
        <f t="shared" si="1"/>
        <v>0</v>
      </c>
      <c r="F346" s="6">
        <f t="shared" si="4"/>
        <v>550459</v>
      </c>
      <c r="G346" s="6">
        <f t="shared" si="5"/>
        <v>0</v>
      </c>
      <c r="H346" s="6">
        <f t="shared" si="6"/>
        <v>550459</v>
      </c>
      <c r="I346" s="6">
        <f t="shared" si="7"/>
        <v>-550459</v>
      </c>
      <c r="J346" s="610">
        <v>0.0</v>
      </c>
      <c r="K346" s="591"/>
      <c r="L346" s="6"/>
      <c r="M346" s="6"/>
      <c r="N346" s="6"/>
      <c r="O346" s="6"/>
      <c r="P346" s="6"/>
      <c r="Q346" s="6"/>
      <c r="R346" s="6"/>
      <c r="S346" s="6"/>
    </row>
    <row r="347" ht="11.25" customHeight="1">
      <c r="A347" s="7"/>
      <c r="B347" s="68">
        <f t="shared" si="8"/>
        <v>342</v>
      </c>
      <c r="C347" s="607"/>
      <c r="D347" s="6">
        <f t="shared" si="9"/>
        <v>0</v>
      </c>
      <c r="E347" s="6">
        <f t="shared" si="1"/>
        <v>0</v>
      </c>
      <c r="F347" s="6">
        <f t="shared" si="4"/>
        <v>550459</v>
      </c>
      <c r="G347" s="6">
        <f t="shared" si="5"/>
        <v>0</v>
      </c>
      <c r="H347" s="6">
        <f t="shared" si="6"/>
        <v>550459</v>
      </c>
      <c r="I347" s="6">
        <f t="shared" si="7"/>
        <v>-550459</v>
      </c>
      <c r="J347" s="610">
        <v>0.0</v>
      </c>
      <c r="K347" s="591"/>
      <c r="L347" s="6"/>
      <c r="M347" s="6"/>
      <c r="N347" s="6"/>
      <c r="O347" s="6"/>
      <c r="P347" s="6"/>
      <c r="Q347" s="6"/>
      <c r="R347" s="6"/>
      <c r="S347" s="6"/>
    </row>
    <row r="348" ht="11.25" customHeight="1">
      <c r="A348" s="7"/>
      <c r="B348" s="68">
        <f t="shared" si="8"/>
        <v>343</v>
      </c>
      <c r="C348" s="607"/>
      <c r="D348" s="6">
        <f t="shared" si="9"/>
        <v>0</v>
      </c>
      <c r="E348" s="6">
        <f t="shared" si="1"/>
        <v>0</v>
      </c>
      <c r="F348" s="6">
        <f t="shared" si="4"/>
        <v>550459</v>
      </c>
      <c r="G348" s="6">
        <f t="shared" si="5"/>
        <v>0</v>
      </c>
      <c r="H348" s="6">
        <f t="shared" si="6"/>
        <v>550459</v>
      </c>
      <c r="I348" s="6">
        <f t="shared" si="7"/>
        <v>-550459</v>
      </c>
      <c r="J348" s="610">
        <v>0.0</v>
      </c>
      <c r="K348" s="591"/>
      <c r="L348" s="6"/>
      <c r="M348" s="6"/>
      <c r="N348" s="6"/>
      <c r="O348" s="6"/>
      <c r="P348" s="6"/>
      <c r="Q348" s="6"/>
      <c r="R348" s="6"/>
      <c r="S348" s="6"/>
    </row>
    <row r="349" ht="11.25" customHeight="1">
      <c r="A349" s="7"/>
      <c r="B349" s="68">
        <f t="shared" si="8"/>
        <v>344</v>
      </c>
      <c r="C349" s="607"/>
      <c r="D349" s="6">
        <f t="shared" si="9"/>
        <v>0</v>
      </c>
      <c r="E349" s="6">
        <f t="shared" si="1"/>
        <v>0</v>
      </c>
      <c r="F349" s="6">
        <f t="shared" si="4"/>
        <v>550459</v>
      </c>
      <c r="G349" s="6">
        <f t="shared" si="5"/>
        <v>0</v>
      </c>
      <c r="H349" s="6">
        <f t="shared" si="6"/>
        <v>550459</v>
      </c>
      <c r="I349" s="6">
        <f t="shared" si="7"/>
        <v>-550459</v>
      </c>
      <c r="J349" s="610">
        <v>0.0</v>
      </c>
      <c r="K349" s="591"/>
      <c r="L349" s="6"/>
      <c r="M349" s="6"/>
      <c r="N349" s="6"/>
      <c r="O349" s="6"/>
      <c r="P349" s="6"/>
      <c r="Q349" s="6"/>
      <c r="R349" s="6"/>
      <c r="S349" s="6"/>
    </row>
    <row r="350" ht="11.25" customHeight="1">
      <c r="A350" s="7"/>
      <c r="B350" s="68">
        <f t="shared" si="8"/>
        <v>345</v>
      </c>
      <c r="C350" s="607"/>
      <c r="D350" s="6">
        <f t="shared" si="9"/>
        <v>0</v>
      </c>
      <c r="E350" s="6">
        <f t="shared" si="1"/>
        <v>0</v>
      </c>
      <c r="F350" s="6">
        <f t="shared" si="4"/>
        <v>550459</v>
      </c>
      <c r="G350" s="6">
        <f t="shared" si="5"/>
        <v>0</v>
      </c>
      <c r="H350" s="6">
        <f t="shared" si="6"/>
        <v>550459</v>
      </c>
      <c r="I350" s="6">
        <f t="shared" si="7"/>
        <v>-550459</v>
      </c>
      <c r="J350" s="610">
        <v>0.0</v>
      </c>
      <c r="K350" s="591"/>
      <c r="L350" s="6"/>
      <c r="M350" s="6"/>
      <c r="N350" s="6"/>
      <c r="O350" s="6"/>
      <c r="P350" s="6"/>
      <c r="Q350" s="6"/>
      <c r="R350" s="6"/>
      <c r="S350" s="6"/>
    </row>
    <row r="351" ht="11.25" customHeight="1">
      <c r="A351" s="7"/>
      <c r="B351" s="68">
        <f t="shared" si="8"/>
        <v>346</v>
      </c>
      <c r="C351" s="607"/>
      <c r="D351" s="6">
        <f t="shared" si="9"/>
        <v>0</v>
      </c>
      <c r="E351" s="6">
        <f t="shared" si="1"/>
        <v>0</v>
      </c>
      <c r="F351" s="6">
        <f t="shared" si="4"/>
        <v>550459</v>
      </c>
      <c r="G351" s="6">
        <f t="shared" si="5"/>
        <v>0</v>
      </c>
      <c r="H351" s="6">
        <f t="shared" si="6"/>
        <v>550459</v>
      </c>
      <c r="I351" s="6">
        <f t="shared" si="7"/>
        <v>-550459</v>
      </c>
      <c r="J351" s="610">
        <v>0.0</v>
      </c>
      <c r="K351" s="591"/>
      <c r="L351" s="6"/>
      <c r="M351" s="6"/>
      <c r="N351" s="6"/>
      <c r="O351" s="6"/>
      <c r="P351" s="6"/>
      <c r="Q351" s="6"/>
      <c r="R351" s="6"/>
      <c r="S351" s="6"/>
    </row>
    <row r="352" ht="11.25" customHeight="1">
      <c r="A352" s="7"/>
      <c r="B352" s="68">
        <f t="shared" si="8"/>
        <v>347</v>
      </c>
      <c r="C352" s="607"/>
      <c r="D352" s="6">
        <f t="shared" si="9"/>
        <v>0</v>
      </c>
      <c r="E352" s="6">
        <f t="shared" si="1"/>
        <v>0</v>
      </c>
      <c r="F352" s="6">
        <f t="shared" si="4"/>
        <v>550459</v>
      </c>
      <c r="G352" s="6">
        <f t="shared" si="5"/>
        <v>0</v>
      </c>
      <c r="H352" s="6">
        <f t="shared" si="6"/>
        <v>550459</v>
      </c>
      <c r="I352" s="6">
        <f t="shared" si="7"/>
        <v>-550459</v>
      </c>
      <c r="J352" s="610">
        <v>0.0</v>
      </c>
      <c r="K352" s="591"/>
      <c r="L352" s="6"/>
      <c r="M352" s="6"/>
      <c r="N352" s="6"/>
      <c r="O352" s="6"/>
      <c r="P352" s="6"/>
      <c r="Q352" s="6"/>
      <c r="R352" s="6"/>
      <c r="S352" s="6"/>
    </row>
    <row r="353" ht="11.25" customHeight="1">
      <c r="A353" s="71"/>
      <c r="B353" s="72">
        <f t="shared" si="8"/>
        <v>348</v>
      </c>
      <c r="C353" s="607"/>
      <c r="D353" s="10">
        <f t="shared" si="9"/>
        <v>0</v>
      </c>
      <c r="E353" s="10">
        <f t="shared" si="1"/>
        <v>0</v>
      </c>
      <c r="F353" s="10">
        <f t="shared" si="4"/>
        <v>550459</v>
      </c>
      <c r="G353" s="10">
        <f t="shared" si="5"/>
        <v>0</v>
      </c>
      <c r="H353" s="10">
        <f t="shared" si="6"/>
        <v>550459</v>
      </c>
      <c r="I353" s="10">
        <f t="shared" si="7"/>
        <v>-550459</v>
      </c>
      <c r="J353" s="610">
        <v>0.0</v>
      </c>
      <c r="K353" s="591"/>
      <c r="L353" s="6"/>
      <c r="M353" s="6"/>
      <c r="N353" s="6"/>
      <c r="O353" s="6"/>
      <c r="P353" s="6"/>
      <c r="Q353" s="6"/>
      <c r="R353" s="6"/>
      <c r="S353" s="6"/>
    </row>
    <row r="354" ht="11.25" customHeight="1">
      <c r="A354" s="7">
        <v>30.0</v>
      </c>
      <c r="B354" s="68">
        <f t="shared" si="8"/>
        <v>349</v>
      </c>
      <c r="C354" s="607"/>
      <c r="D354" s="6">
        <f t="shared" si="9"/>
        <v>0</v>
      </c>
      <c r="E354" s="6">
        <f t="shared" si="1"/>
        <v>0</v>
      </c>
      <c r="F354" s="6">
        <f t="shared" si="4"/>
        <v>550459</v>
      </c>
      <c r="G354" s="6">
        <f t="shared" si="5"/>
        <v>0</v>
      </c>
      <c r="H354" s="6">
        <f t="shared" si="6"/>
        <v>550459</v>
      </c>
      <c r="I354" s="6">
        <f t="shared" si="7"/>
        <v>-550459</v>
      </c>
      <c r="J354" s="610">
        <v>0.0</v>
      </c>
      <c r="K354" s="591"/>
      <c r="L354" s="6"/>
      <c r="M354" s="6"/>
      <c r="N354" s="6"/>
      <c r="O354" s="6"/>
      <c r="P354" s="6"/>
      <c r="Q354" s="6"/>
      <c r="R354" s="6"/>
      <c r="S354" s="6"/>
    </row>
    <row r="355" ht="11.25" customHeight="1">
      <c r="A355" s="7"/>
      <c r="B355" s="68">
        <f t="shared" si="8"/>
        <v>350</v>
      </c>
      <c r="C355" s="607"/>
      <c r="D355" s="6">
        <f t="shared" si="9"/>
        <v>0</v>
      </c>
      <c r="E355" s="6">
        <f t="shared" si="1"/>
        <v>0</v>
      </c>
      <c r="F355" s="6">
        <f t="shared" si="4"/>
        <v>550459</v>
      </c>
      <c r="G355" s="6">
        <f t="shared" si="5"/>
        <v>0</v>
      </c>
      <c r="H355" s="6">
        <f t="shared" si="6"/>
        <v>550459</v>
      </c>
      <c r="I355" s="6">
        <f t="shared" si="7"/>
        <v>-550459</v>
      </c>
      <c r="J355" s="610">
        <v>0.0</v>
      </c>
      <c r="K355" s="591"/>
      <c r="L355" s="6"/>
      <c r="M355" s="6"/>
      <c r="N355" s="6"/>
      <c r="O355" s="6"/>
      <c r="P355" s="6"/>
      <c r="Q355" s="6"/>
      <c r="R355" s="6"/>
      <c r="S355" s="6"/>
    </row>
    <row r="356" ht="11.25" customHeight="1">
      <c r="A356" s="7"/>
      <c r="B356" s="68">
        <f t="shared" si="8"/>
        <v>351</v>
      </c>
      <c r="C356" s="607"/>
      <c r="D356" s="6">
        <f t="shared" si="9"/>
        <v>0</v>
      </c>
      <c r="E356" s="6">
        <f t="shared" si="1"/>
        <v>0</v>
      </c>
      <c r="F356" s="6">
        <f t="shared" si="4"/>
        <v>550459</v>
      </c>
      <c r="G356" s="6">
        <f t="shared" si="5"/>
        <v>0</v>
      </c>
      <c r="H356" s="6">
        <f t="shared" si="6"/>
        <v>550459</v>
      </c>
      <c r="I356" s="6">
        <f t="shared" si="7"/>
        <v>-550459</v>
      </c>
      <c r="J356" s="610">
        <v>0.0</v>
      </c>
      <c r="K356" s="591"/>
      <c r="L356" s="6"/>
      <c r="M356" s="6"/>
      <c r="N356" s="6"/>
      <c r="O356" s="6"/>
      <c r="P356" s="6"/>
      <c r="Q356" s="6"/>
      <c r="R356" s="6"/>
      <c r="S356" s="6"/>
    </row>
    <row r="357" ht="11.25" customHeight="1">
      <c r="A357" s="7"/>
      <c r="B357" s="68">
        <f t="shared" si="8"/>
        <v>352</v>
      </c>
      <c r="C357" s="607"/>
      <c r="D357" s="6">
        <f t="shared" si="9"/>
        <v>0</v>
      </c>
      <c r="E357" s="6">
        <f t="shared" si="1"/>
        <v>0</v>
      </c>
      <c r="F357" s="6">
        <f t="shared" si="4"/>
        <v>550459</v>
      </c>
      <c r="G357" s="6">
        <f t="shared" si="5"/>
        <v>0</v>
      </c>
      <c r="H357" s="6">
        <f t="shared" si="6"/>
        <v>550459</v>
      </c>
      <c r="I357" s="6">
        <f t="shared" si="7"/>
        <v>-550459</v>
      </c>
      <c r="J357" s="610">
        <v>0.0</v>
      </c>
      <c r="K357" s="591"/>
      <c r="L357" s="6"/>
      <c r="M357" s="6"/>
      <c r="N357" s="6"/>
      <c r="O357" s="6"/>
      <c r="P357" s="6"/>
      <c r="Q357" s="6"/>
      <c r="R357" s="6"/>
      <c r="S357" s="6"/>
    </row>
    <row r="358" ht="11.25" customHeight="1">
      <c r="A358" s="7"/>
      <c r="B358" s="68">
        <f t="shared" si="8"/>
        <v>353</v>
      </c>
      <c r="C358" s="607"/>
      <c r="D358" s="6">
        <f t="shared" si="9"/>
        <v>0</v>
      </c>
      <c r="E358" s="6">
        <f t="shared" si="1"/>
        <v>0</v>
      </c>
      <c r="F358" s="6">
        <f t="shared" si="4"/>
        <v>550459</v>
      </c>
      <c r="G358" s="6">
        <f t="shared" si="5"/>
        <v>0</v>
      </c>
      <c r="H358" s="6">
        <f t="shared" si="6"/>
        <v>550459</v>
      </c>
      <c r="I358" s="6">
        <f t="shared" si="7"/>
        <v>-550459</v>
      </c>
      <c r="J358" s="610">
        <v>0.0</v>
      </c>
      <c r="K358" s="591"/>
      <c r="L358" s="6"/>
      <c r="M358" s="6"/>
      <c r="N358" s="6"/>
      <c r="O358" s="6"/>
      <c r="P358" s="6"/>
      <c r="Q358" s="6"/>
      <c r="R358" s="6"/>
      <c r="S358" s="6"/>
    </row>
    <row r="359" ht="11.25" customHeight="1">
      <c r="A359" s="7"/>
      <c r="B359" s="68">
        <f t="shared" si="8"/>
        <v>354</v>
      </c>
      <c r="C359" s="607"/>
      <c r="D359" s="6">
        <f t="shared" si="9"/>
        <v>0</v>
      </c>
      <c r="E359" s="6">
        <f t="shared" si="1"/>
        <v>0</v>
      </c>
      <c r="F359" s="6">
        <f t="shared" si="4"/>
        <v>550459</v>
      </c>
      <c r="G359" s="6">
        <f t="shared" si="5"/>
        <v>0</v>
      </c>
      <c r="H359" s="6">
        <f t="shared" si="6"/>
        <v>550459</v>
      </c>
      <c r="I359" s="6">
        <f t="shared" si="7"/>
        <v>-550459</v>
      </c>
      <c r="J359" s="610">
        <v>0.0</v>
      </c>
      <c r="K359" s="591"/>
      <c r="L359" s="6"/>
      <c r="M359" s="6"/>
      <c r="N359" s="6"/>
      <c r="O359" s="6"/>
      <c r="P359" s="6"/>
      <c r="Q359" s="6"/>
      <c r="R359" s="6"/>
      <c r="S359" s="6"/>
    </row>
    <row r="360" ht="11.25" customHeight="1">
      <c r="A360" s="7"/>
      <c r="B360" s="68">
        <f t="shared" si="8"/>
        <v>355</v>
      </c>
      <c r="C360" s="607"/>
      <c r="D360" s="6">
        <f t="shared" si="9"/>
        <v>0</v>
      </c>
      <c r="E360" s="6">
        <f t="shared" si="1"/>
        <v>0</v>
      </c>
      <c r="F360" s="6">
        <f t="shared" si="4"/>
        <v>550459</v>
      </c>
      <c r="G360" s="6">
        <f t="shared" si="5"/>
        <v>0</v>
      </c>
      <c r="H360" s="6">
        <f t="shared" si="6"/>
        <v>550459</v>
      </c>
      <c r="I360" s="6">
        <f t="shared" si="7"/>
        <v>-550459</v>
      </c>
      <c r="J360" s="610">
        <v>0.0</v>
      </c>
      <c r="K360" s="591"/>
      <c r="L360" s="6"/>
      <c r="M360" s="6"/>
      <c r="N360" s="6"/>
      <c r="O360" s="6"/>
      <c r="P360" s="6"/>
      <c r="Q360" s="6"/>
      <c r="R360" s="6"/>
      <c r="S360" s="6"/>
    </row>
    <row r="361" ht="11.25" customHeight="1">
      <c r="A361" s="7"/>
      <c r="B361" s="68">
        <f t="shared" si="8"/>
        <v>356</v>
      </c>
      <c r="C361" s="607"/>
      <c r="D361" s="6">
        <f t="shared" si="9"/>
        <v>0</v>
      </c>
      <c r="E361" s="6">
        <f t="shared" si="1"/>
        <v>0</v>
      </c>
      <c r="F361" s="6">
        <f t="shared" si="4"/>
        <v>550459</v>
      </c>
      <c r="G361" s="6">
        <f t="shared" si="5"/>
        <v>0</v>
      </c>
      <c r="H361" s="6">
        <f t="shared" si="6"/>
        <v>550459</v>
      </c>
      <c r="I361" s="6">
        <f t="shared" si="7"/>
        <v>-550459</v>
      </c>
      <c r="J361" s="610">
        <v>0.0</v>
      </c>
      <c r="K361" s="591"/>
      <c r="L361" s="6"/>
      <c r="M361" s="6"/>
      <c r="N361" s="6"/>
      <c r="O361" s="6"/>
      <c r="P361" s="6"/>
      <c r="Q361" s="6"/>
      <c r="R361" s="6"/>
      <c r="S361" s="6"/>
    </row>
    <row r="362" ht="11.25" customHeight="1">
      <c r="A362" s="7"/>
      <c r="B362" s="68">
        <f t="shared" si="8"/>
        <v>357</v>
      </c>
      <c r="C362" s="607"/>
      <c r="D362" s="6">
        <f t="shared" si="9"/>
        <v>0</v>
      </c>
      <c r="E362" s="6">
        <f t="shared" si="1"/>
        <v>0</v>
      </c>
      <c r="F362" s="6">
        <f t="shared" si="4"/>
        <v>550459</v>
      </c>
      <c r="G362" s="6">
        <f t="shared" si="5"/>
        <v>0</v>
      </c>
      <c r="H362" s="6">
        <f t="shared" si="6"/>
        <v>550459</v>
      </c>
      <c r="I362" s="6">
        <f t="shared" si="7"/>
        <v>-550459</v>
      </c>
      <c r="J362" s="610">
        <v>0.0</v>
      </c>
      <c r="K362" s="591"/>
      <c r="L362" s="6"/>
      <c r="M362" s="6"/>
      <c r="N362" s="6"/>
      <c r="O362" s="6"/>
      <c r="P362" s="6"/>
      <c r="Q362" s="6"/>
      <c r="R362" s="6"/>
      <c r="S362" s="6"/>
    </row>
    <row r="363" ht="11.25" customHeight="1">
      <c r="A363" s="7"/>
      <c r="B363" s="68">
        <f t="shared" si="8"/>
        <v>358</v>
      </c>
      <c r="C363" s="607"/>
      <c r="D363" s="6">
        <f t="shared" si="9"/>
        <v>0</v>
      </c>
      <c r="E363" s="6">
        <f t="shared" si="1"/>
        <v>0</v>
      </c>
      <c r="F363" s="6">
        <f t="shared" si="4"/>
        <v>550459</v>
      </c>
      <c r="G363" s="6">
        <f t="shared" si="5"/>
        <v>0</v>
      </c>
      <c r="H363" s="6">
        <f t="shared" si="6"/>
        <v>550459</v>
      </c>
      <c r="I363" s="6">
        <f t="shared" si="7"/>
        <v>-550459</v>
      </c>
      <c r="J363" s="610">
        <v>0.0</v>
      </c>
      <c r="K363" s="591"/>
      <c r="L363" s="6"/>
      <c r="M363" s="6"/>
      <c r="N363" s="6"/>
      <c r="O363" s="6"/>
      <c r="P363" s="6"/>
      <c r="Q363" s="6"/>
      <c r="R363" s="6"/>
      <c r="S363" s="6"/>
    </row>
    <row r="364" ht="11.25" customHeight="1">
      <c r="A364" s="7"/>
      <c r="B364" s="68">
        <f t="shared" si="8"/>
        <v>359</v>
      </c>
      <c r="C364" s="607"/>
      <c r="D364" s="6">
        <f t="shared" si="9"/>
        <v>0</v>
      </c>
      <c r="E364" s="6">
        <f t="shared" si="1"/>
        <v>0</v>
      </c>
      <c r="F364" s="6">
        <f t="shared" si="4"/>
        <v>550459</v>
      </c>
      <c r="G364" s="6">
        <f t="shared" si="5"/>
        <v>0</v>
      </c>
      <c r="H364" s="6">
        <f t="shared" si="6"/>
        <v>550459</v>
      </c>
      <c r="I364" s="6">
        <f t="shared" si="7"/>
        <v>-550459</v>
      </c>
      <c r="J364" s="610">
        <v>0.0</v>
      </c>
      <c r="K364" s="591"/>
      <c r="L364" s="6"/>
      <c r="M364" s="6"/>
      <c r="N364" s="6"/>
      <c r="O364" s="6"/>
      <c r="P364" s="6"/>
      <c r="Q364" s="6"/>
      <c r="R364" s="6"/>
      <c r="S364" s="6"/>
    </row>
    <row r="365" ht="12.0" customHeight="1">
      <c r="A365" s="7"/>
      <c r="B365" s="106">
        <f t="shared" si="8"/>
        <v>360</v>
      </c>
      <c r="C365" s="607"/>
      <c r="D365" s="113">
        <f t="shared" si="9"/>
        <v>0</v>
      </c>
      <c r="E365" s="113">
        <f t="shared" si="1"/>
        <v>0</v>
      </c>
      <c r="F365" s="113">
        <f t="shared" si="4"/>
        <v>550459</v>
      </c>
      <c r="G365" s="113">
        <f t="shared" si="5"/>
        <v>0</v>
      </c>
      <c r="H365" s="113">
        <f t="shared" si="6"/>
        <v>550459</v>
      </c>
      <c r="I365" s="113">
        <f t="shared" si="7"/>
        <v>-550459</v>
      </c>
      <c r="J365" s="620">
        <v>0.0</v>
      </c>
      <c r="K365" s="591"/>
      <c r="L365" s="6"/>
      <c r="M365" s="6"/>
      <c r="N365" s="6"/>
      <c r="O365" s="6"/>
      <c r="P365" s="6"/>
      <c r="Q365" s="6"/>
      <c r="R365" s="6"/>
      <c r="S365" s="6"/>
    </row>
    <row r="366" ht="11.25" customHeight="1">
      <c r="A366" s="7"/>
      <c r="B366" s="5"/>
      <c r="C366" s="6"/>
      <c r="D366" s="6"/>
      <c r="E366" s="6"/>
      <c r="F366" s="6"/>
      <c r="G366" s="6"/>
      <c r="H366" s="6"/>
      <c r="I366" s="6"/>
      <c r="J366" s="11"/>
      <c r="K366" s="591"/>
      <c r="L366" s="6"/>
      <c r="M366" s="6"/>
      <c r="N366" s="6"/>
      <c r="O366" s="6"/>
      <c r="P366" s="6"/>
      <c r="Q366" s="6"/>
      <c r="R366" s="6"/>
      <c r="S366" s="6"/>
    </row>
    <row r="367" ht="11.25" customHeight="1">
      <c r="A367" s="7"/>
      <c r="B367" s="5"/>
      <c r="C367" s="6"/>
      <c r="D367" s="6"/>
      <c r="E367" s="6"/>
      <c r="F367" s="6"/>
      <c r="G367" s="6"/>
      <c r="H367" s="6"/>
      <c r="I367" s="6"/>
      <c r="J367" s="11"/>
      <c r="K367" s="591"/>
      <c r="L367" s="6"/>
      <c r="M367" s="6"/>
      <c r="N367" s="6"/>
      <c r="O367" s="6"/>
      <c r="P367" s="6"/>
      <c r="Q367" s="6"/>
      <c r="R367" s="6"/>
      <c r="S367" s="6"/>
    </row>
    <row r="368" ht="11.25" customHeight="1">
      <c r="A368" s="7"/>
      <c r="B368" s="5"/>
      <c r="C368" s="6"/>
      <c r="D368" s="6"/>
      <c r="E368" s="6"/>
      <c r="F368" s="6"/>
      <c r="G368" s="6"/>
      <c r="H368" s="6"/>
      <c r="I368" s="6"/>
      <c r="J368" s="11"/>
      <c r="K368" s="591"/>
      <c r="L368" s="6"/>
      <c r="M368" s="6"/>
      <c r="N368" s="6"/>
      <c r="O368" s="6"/>
      <c r="P368" s="6"/>
      <c r="Q368" s="6"/>
      <c r="R368" s="6"/>
      <c r="S368" s="6"/>
    </row>
    <row r="369" ht="11.25" customHeight="1">
      <c r="A369" s="7"/>
      <c r="B369" s="5"/>
      <c r="C369" s="6"/>
      <c r="D369" s="6"/>
      <c r="E369" s="6"/>
      <c r="F369" s="6"/>
      <c r="G369" s="6"/>
      <c r="H369" s="6"/>
      <c r="I369" s="6"/>
      <c r="J369" s="11"/>
      <c r="K369" s="591"/>
      <c r="L369" s="6"/>
      <c r="M369" s="6"/>
      <c r="N369" s="6"/>
      <c r="O369" s="6"/>
      <c r="P369" s="6"/>
      <c r="Q369" s="6"/>
      <c r="R369" s="6"/>
      <c r="S369" s="6"/>
    </row>
    <row r="370" ht="11.25" customHeight="1">
      <c r="A370" s="7"/>
      <c r="B370" s="5"/>
      <c r="C370" s="6"/>
      <c r="D370" s="6"/>
      <c r="E370" s="6"/>
      <c r="F370" s="6"/>
      <c r="G370" s="6"/>
      <c r="H370" s="6"/>
      <c r="I370" s="6"/>
      <c r="J370" s="11"/>
      <c r="K370" s="591"/>
      <c r="L370" s="6"/>
      <c r="M370" s="6"/>
      <c r="N370" s="6"/>
      <c r="O370" s="6"/>
      <c r="P370" s="6"/>
      <c r="Q370" s="6"/>
      <c r="R370" s="6"/>
      <c r="S370" s="6"/>
    </row>
    <row r="371" ht="11.25" customHeight="1">
      <c r="A371" s="7"/>
      <c r="B371" s="5"/>
      <c r="C371" s="6"/>
      <c r="D371" s="6"/>
      <c r="E371" s="6"/>
      <c r="F371" s="6"/>
      <c r="G371" s="6"/>
      <c r="H371" s="6"/>
      <c r="I371" s="6"/>
      <c r="J371" s="11"/>
      <c r="K371" s="591"/>
      <c r="L371" s="6"/>
      <c r="M371" s="6"/>
      <c r="N371" s="6"/>
      <c r="O371" s="6"/>
      <c r="P371" s="6"/>
      <c r="Q371" s="6"/>
      <c r="R371" s="6"/>
      <c r="S371" s="6"/>
    </row>
    <row r="372" ht="11.25" customHeight="1">
      <c r="A372" s="7"/>
      <c r="B372" s="5"/>
      <c r="C372" s="6"/>
      <c r="D372" s="6"/>
      <c r="E372" s="6"/>
      <c r="F372" s="6"/>
      <c r="G372" s="6"/>
      <c r="H372" s="6"/>
      <c r="I372" s="6"/>
      <c r="J372" s="11"/>
      <c r="K372" s="591"/>
      <c r="L372" s="6"/>
      <c r="M372" s="6"/>
      <c r="N372" s="6"/>
      <c r="O372" s="6"/>
      <c r="P372" s="6"/>
      <c r="Q372" s="6"/>
      <c r="R372" s="6"/>
      <c r="S372" s="6"/>
    </row>
    <row r="373" ht="11.25" customHeight="1">
      <c r="A373" s="7"/>
      <c r="B373" s="5"/>
      <c r="C373" s="6"/>
      <c r="D373" s="6"/>
      <c r="E373" s="6"/>
      <c r="F373" s="6"/>
      <c r="G373" s="6"/>
      <c r="H373" s="6"/>
      <c r="I373" s="6"/>
      <c r="J373" s="11"/>
      <c r="K373" s="591"/>
      <c r="L373" s="6"/>
      <c r="M373" s="6"/>
      <c r="N373" s="6"/>
      <c r="O373" s="6"/>
      <c r="P373" s="6"/>
      <c r="Q373" s="6"/>
      <c r="R373" s="6"/>
      <c r="S373" s="6"/>
    </row>
    <row r="374" ht="11.25" customHeight="1">
      <c r="A374" s="7"/>
      <c r="B374" s="5"/>
      <c r="C374" s="6"/>
      <c r="D374" s="6"/>
      <c r="E374" s="6"/>
      <c r="F374" s="6"/>
      <c r="G374" s="6"/>
      <c r="H374" s="6"/>
      <c r="I374" s="6"/>
      <c r="J374" s="11"/>
      <c r="K374" s="591"/>
      <c r="L374" s="6"/>
      <c r="M374" s="6"/>
      <c r="N374" s="6"/>
      <c r="O374" s="6"/>
      <c r="P374" s="6"/>
      <c r="Q374" s="6"/>
      <c r="R374" s="6"/>
      <c r="S374" s="6"/>
    </row>
    <row r="375" ht="11.25" customHeight="1">
      <c r="A375" s="7"/>
      <c r="B375" s="5"/>
      <c r="C375" s="6"/>
      <c r="D375" s="6"/>
      <c r="E375" s="6"/>
      <c r="F375" s="6"/>
      <c r="G375" s="6"/>
      <c r="H375" s="6"/>
      <c r="I375" s="6"/>
      <c r="J375" s="11"/>
      <c r="K375" s="591"/>
      <c r="L375" s="6"/>
      <c r="M375" s="6"/>
      <c r="N375" s="6"/>
      <c r="O375" s="6"/>
      <c r="P375" s="6"/>
      <c r="Q375" s="6"/>
      <c r="R375" s="6"/>
      <c r="S375" s="6"/>
    </row>
    <row r="376" ht="11.25" customHeight="1">
      <c r="A376" s="7"/>
      <c r="B376" s="5"/>
      <c r="C376" s="6"/>
      <c r="D376" s="6"/>
      <c r="E376" s="6"/>
      <c r="F376" s="6"/>
      <c r="G376" s="6"/>
      <c r="H376" s="6"/>
      <c r="I376" s="6"/>
      <c r="J376" s="11"/>
      <c r="K376" s="591"/>
      <c r="L376" s="6"/>
      <c r="M376" s="6"/>
      <c r="N376" s="6"/>
      <c r="O376" s="6"/>
      <c r="P376" s="6"/>
      <c r="Q376" s="6"/>
      <c r="R376" s="6"/>
      <c r="S376" s="6"/>
    </row>
    <row r="377" ht="11.25" customHeight="1">
      <c r="A377" s="7"/>
      <c r="B377" s="5"/>
      <c r="C377" s="6"/>
      <c r="D377" s="6"/>
      <c r="E377" s="6"/>
      <c r="F377" s="6"/>
      <c r="G377" s="6"/>
      <c r="H377" s="6"/>
      <c r="I377" s="6"/>
      <c r="J377" s="11"/>
      <c r="K377" s="591"/>
      <c r="L377" s="6"/>
      <c r="M377" s="6"/>
      <c r="N377" s="6"/>
      <c r="O377" s="6"/>
      <c r="P377" s="6"/>
      <c r="Q377" s="6"/>
      <c r="R377" s="6"/>
      <c r="S377" s="6"/>
    </row>
    <row r="378" ht="11.25" customHeight="1">
      <c r="A378" s="7"/>
      <c r="B378" s="5"/>
      <c r="C378" s="6"/>
      <c r="D378" s="6"/>
      <c r="E378" s="6"/>
      <c r="F378" s="6"/>
      <c r="G378" s="6"/>
      <c r="H378" s="6"/>
      <c r="I378" s="6"/>
      <c r="J378" s="11"/>
      <c r="K378" s="591"/>
      <c r="L378" s="6"/>
      <c r="M378" s="6"/>
      <c r="N378" s="6"/>
      <c r="O378" s="6"/>
      <c r="P378" s="6"/>
      <c r="Q378" s="6"/>
      <c r="R378" s="6"/>
      <c r="S378" s="6"/>
    </row>
    <row r="379" ht="11.25" customHeight="1">
      <c r="A379" s="7"/>
      <c r="B379" s="5"/>
      <c r="C379" s="6"/>
      <c r="D379" s="6"/>
      <c r="E379" s="6"/>
      <c r="F379" s="6"/>
      <c r="G379" s="6"/>
      <c r="H379" s="6"/>
      <c r="I379" s="6"/>
      <c r="J379" s="11"/>
      <c r="K379" s="591"/>
      <c r="L379" s="6"/>
      <c r="M379" s="6"/>
      <c r="N379" s="6"/>
      <c r="O379" s="6"/>
      <c r="P379" s="6"/>
      <c r="Q379" s="6"/>
      <c r="R379" s="6"/>
      <c r="S379" s="6"/>
    </row>
    <row r="380" ht="11.25" customHeight="1">
      <c r="A380" s="7"/>
      <c r="B380" s="5"/>
      <c r="C380" s="6"/>
      <c r="D380" s="6"/>
      <c r="E380" s="6"/>
      <c r="F380" s="6"/>
      <c r="G380" s="6"/>
      <c r="H380" s="6"/>
      <c r="I380" s="6"/>
      <c r="J380" s="11"/>
      <c r="K380" s="591"/>
      <c r="L380" s="6"/>
      <c r="M380" s="6"/>
      <c r="N380" s="6"/>
      <c r="O380" s="6"/>
      <c r="P380" s="6"/>
      <c r="Q380" s="6"/>
      <c r="R380" s="6"/>
      <c r="S380" s="6"/>
    </row>
    <row r="381" ht="11.25" customHeight="1">
      <c r="A381" s="7"/>
      <c r="B381" s="5"/>
      <c r="C381" s="6"/>
      <c r="D381" s="6"/>
      <c r="E381" s="6"/>
      <c r="F381" s="6"/>
      <c r="G381" s="6"/>
      <c r="H381" s="6"/>
      <c r="I381" s="6"/>
      <c r="J381" s="11"/>
      <c r="K381" s="591"/>
      <c r="L381" s="6"/>
      <c r="M381" s="6"/>
      <c r="N381" s="6"/>
      <c r="O381" s="6"/>
      <c r="P381" s="6"/>
      <c r="Q381" s="6"/>
      <c r="R381" s="6"/>
      <c r="S381" s="6"/>
    </row>
    <row r="382" ht="11.25" customHeight="1">
      <c r="A382" s="7"/>
      <c r="B382" s="5"/>
      <c r="C382" s="6"/>
      <c r="D382" s="6"/>
      <c r="E382" s="6"/>
      <c r="F382" s="6"/>
      <c r="G382" s="6"/>
      <c r="H382" s="6"/>
      <c r="I382" s="6"/>
      <c r="J382" s="11"/>
      <c r="K382" s="591"/>
      <c r="L382" s="6"/>
      <c r="M382" s="6"/>
      <c r="N382" s="6"/>
      <c r="O382" s="6"/>
      <c r="P382" s="6"/>
      <c r="Q382" s="6"/>
      <c r="R382" s="6"/>
      <c r="S382" s="6"/>
    </row>
    <row r="383" ht="11.25" customHeight="1">
      <c r="A383" s="7"/>
      <c r="B383" s="5"/>
      <c r="C383" s="6"/>
      <c r="D383" s="6"/>
      <c r="E383" s="6"/>
      <c r="F383" s="6"/>
      <c r="G383" s="6"/>
      <c r="H383" s="6"/>
      <c r="I383" s="6"/>
      <c r="J383" s="11"/>
      <c r="K383" s="591"/>
      <c r="L383" s="6"/>
      <c r="M383" s="6"/>
      <c r="N383" s="6"/>
      <c r="O383" s="6"/>
      <c r="P383" s="6"/>
      <c r="Q383" s="6"/>
      <c r="R383" s="6"/>
      <c r="S383" s="6"/>
    </row>
    <row r="384" ht="11.25" customHeight="1">
      <c r="A384" s="7"/>
      <c r="B384" s="5"/>
      <c r="C384" s="6"/>
      <c r="D384" s="6"/>
      <c r="E384" s="6"/>
      <c r="F384" s="6"/>
      <c r="G384" s="6"/>
      <c r="H384" s="6"/>
      <c r="I384" s="6"/>
      <c r="J384" s="11"/>
      <c r="K384" s="591"/>
      <c r="L384" s="6"/>
      <c r="M384" s="6"/>
      <c r="N384" s="6"/>
      <c r="O384" s="6"/>
      <c r="P384" s="6"/>
      <c r="Q384" s="6"/>
      <c r="R384" s="6"/>
      <c r="S384" s="6"/>
    </row>
    <row r="385" ht="11.25" customHeight="1">
      <c r="A385" s="7"/>
      <c r="B385" s="5"/>
      <c r="C385" s="6"/>
      <c r="D385" s="6"/>
      <c r="E385" s="6"/>
      <c r="F385" s="6"/>
      <c r="G385" s="6"/>
      <c r="H385" s="6"/>
      <c r="I385" s="6"/>
      <c r="J385" s="11"/>
      <c r="K385" s="591"/>
      <c r="L385" s="6"/>
      <c r="M385" s="6"/>
      <c r="N385" s="6"/>
      <c r="O385" s="6"/>
      <c r="P385" s="6"/>
      <c r="Q385" s="6"/>
      <c r="R385" s="6"/>
      <c r="S385" s="6"/>
    </row>
    <row r="386" ht="11.25" customHeight="1">
      <c r="A386" s="7"/>
      <c r="B386" s="5"/>
      <c r="C386" s="6"/>
      <c r="D386" s="6"/>
      <c r="E386" s="6"/>
      <c r="F386" s="6"/>
      <c r="G386" s="6"/>
      <c r="H386" s="6"/>
      <c r="I386" s="6"/>
      <c r="J386" s="11"/>
      <c r="K386" s="591"/>
      <c r="L386" s="6"/>
      <c r="M386" s="6"/>
      <c r="N386" s="6"/>
      <c r="O386" s="6"/>
      <c r="P386" s="6"/>
      <c r="Q386" s="6"/>
      <c r="R386" s="6"/>
      <c r="S386" s="6"/>
    </row>
    <row r="387" ht="11.25" customHeight="1">
      <c r="A387" s="7"/>
      <c r="B387" s="5"/>
      <c r="C387" s="6"/>
      <c r="D387" s="6"/>
      <c r="E387" s="6"/>
      <c r="F387" s="6"/>
      <c r="G387" s="6"/>
      <c r="H387" s="6"/>
      <c r="I387" s="6"/>
      <c r="J387" s="11"/>
      <c r="K387" s="591"/>
      <c r="L387" s="6"/>
      <c r="M387" s="6"/>
      <c r="N387" s="6"/>
      <c r="O387" s="6"/>
      <c r="P387" s="6"/>
      <c r="Q387" s="6"/>
      <c r="R387" s="6"/>
      <c r="S387" s="6"/>
    </row>
    <row r="388" ht="11.25" customHeight="1">
      <c r="A388" s="7"/>
      <c r="B388" s="5"/>
      <c r="C388" s="6"/>
      <c r="D388" s="6"/>
      <c r="E388" s="6"/>
      <c r="F388" s="6"/>
      <c r="G388" s="6"/>
      <c r="H388" s="6"/>
      <c r="I388" s="6"/>
      <c r="J388" s="11"/>
      <c r="K388" s="591"/>
      <c r="L388" s="6"/>
      <c r="M388" s="6"/>
      <c r="N388" s="6"/>
      <c r="O388" s="6"/>
      <c r="P388" s="6"/>
      <c r="Q388" s="6"/>
      <c r="R388" s="6"/>
      <c r="S388" s="6"/>
    </row>
    <row r="389" ht="11.25" customHeight="1">
      <c r="A389" s="7"/>
      <c r="B389" s="5"/>
      <c r="C389" s="6"/>
      <c r="D389" s="6"/>
      <c r="E389" s="6"/>
      <c r="F389" s="6"/>
      <c r="G389" s="6"/>
      <c r="H389" s="6"/>
      <c r="I389" s="6"/>
      <c r="J389" s="11"/>
      <c r="K389" s="591"/>
      <c r="L389" s="6"/>
      <c r="M389" s="6"/>
      <c r="N389" s="6"/>
      <c r="O389" s="6"/>
      <c r="P389" s="6"/>
      <c r="Q389" s="6"/>
      <c r="R389" s="6"/>
      <c r="S389" s="6"/>
    </row>
    <row r="390" ht="11.25" customHeight="1">
      <c r="A390" s="7"/>
      <c r="B390" s="5"/>
      <c r="C390" s="6"/>
      <c r="D390" s="6"/>
      <c r="E390" s="6"/>
      <c r="F390" s="6"/>
      <c r="G390" s="6"/>
      <c r="H390" s="6"/>
      <c r="I390" s="6"/>
      <c r="J390" s="11"/>
      <c r="K390" s="591"/>
      <c r="L390" s="6"/>
      <c r="M390" s="6"/>
      <c r="N390" s="6"/>
      <c r="O390" s="6"/>
      <c r="P390" s="6"/>
      <c r="Q390" s="6"/>
      <c r="R390" s="6"/>
      <c r="S390" s="6"/>
    </row>
    <row r="391" ht="11.25" customHeight="1">
      <c r="A391" s="7"/>
      <c r="B391" s="5"/>
      <c r="C391" s="6"/>
      <c r="D391" s="6"/>
      <c r="E391" s="6"/>
      <c r="F391" s="6"/>
      <c r="G391" s="6"/>
      <c r="H391" s="6"/>
      <c r="I391" s="6"/>
      <c r="J391" s="11"/>
      <c r="K391" s="591"/>
      <c r="L391" s="6"/>
      <c r="M391" s="6"/>
      <c r="N391" s="6"/>
      <c r="O391" s="6"/>
      <c r="P391" s="6"/>
      <c r="Q391" s="6"/>
      <c r="R391" s="6"/>
      <c r="S391" s="6"/>
    </row>
    <row r="392" ht="11.25" customHeight="1">
      <c r="A392" s="7"/>
      <c r="B392" s="5"/>
      <c r="C392" s="6"/>
      <c r="D392" s="6"/>
      <c r="E392" s="6"/>
      <c r="F392" s="6"/>
      <c r="G392" s="6"/>
      <c r="H392" s="6"/>
      <c r="I392" s="6"/>
      <c r="J392" s="11"/>
      <c r="K392" s="591"/>
      <c r="L392" s="6"/>
      <c r="M392" s="6"/>
      <c r="N392" s="6"/>
      <c r="O392" s="6"/>
      <c r="P392" s="6"/>
      <c r="Q392" s="6"/>
      <c r="R392" s="6"/>
      <c r="S392" s="6"/>
    </row>
    <row r="393" ht="11.25" customHeight="1">
      <c r="A393" s="7"/>
      <c r="B393" s="5"/>
      <c r="C393" s="6"/>
      <c r="D393" s="6"/>
      <c r="E393" s="6"/>
      <c r="F393" s="6"/>
      <c r="G393" s="6"/>
      <c r="H393" s="6"/>
      <c r="I393" s="6"/>
      <c r="J393" s="11"/>
      <c r="K393" s="591"/>
      <c r="L393" s="6"/>
      <c r="M393" s="6"/>
      <c r="N393" s="6"/>
      <c r="O393" s="6"/>
      <c r="P393" s="6"/>
      <c r="Q393" s="6"/>
      <c r="R393" s="6"/>
      <c r="S393" s="6"/>
    </row>
    <row r="394" ht="11.25" customHeight="1">
      <c r="A394" s="7"/>
      <c r="B394" s="5"/>
      <c r="C394" s="6"/>
      <c r="D394" s="6"/>
      <c r="E394" s="6"/>
      <c r="F394" s="6"/>
      <c r="G394" s="6"/>
      <c r="H394" s="6"/>
      <c r="I394" s="6"/>
      <c r="J394" s="11"/>
      <c r="K394" s="591"/>
      <c r="L394" s="6"/>
      <c r="M394" s="6"/>
      <c r="N394" s="6"/>
      <c r="O394" s="6"/>
      <c r="P394" s="6"/>
      <c r="Q394" s="6"/>
      <c r="R394" s="6"/>
      <c r="S394" s="6"/>
    </row>
    <row r="395" ht="11.25" customHeight="1">
      <c r="A395" s="7"/>
      <c r="B395" s="5"/>
      <c r="C395" s="6"/>
      <c r="D395" s="6"/>
      <c r="E395" s="6"/>
      <c r="F395" s="6"/>
      <c r="G395" s="6"/>
      <c r="H395" s="6"/>
      <c r="I395" s="6"/>
      <c r="J395" s="11"/>
      <c r="K395" s="591"/>
      <c r="L395" s="6"/>
      <c r="M395" s="6"/>
      <c r="N395" s="6"/>
      <c r="O395" s="6"/>
      <c r="P395" s="6"/>
      <c r="Q395" s="6"/>
      <c r="R395" s="6"/>
      <c r="S395" s="6"/>
    </row>
    <row r="396" ht="11.25" customHeight="1">
      <c r="A396" s="7"/>
      <c r="B396" s="5"/>
      <c r="C396" s="6"/>
      <c r="D396" s="6"/>
      <c r="E396" s="6"/>
      <c r="F396" s="6"/>
      <c r="G396" s="6"/>
      <c r="H396" s="6"/>
      <c r="I396" s="6"/>
      <c r="J396" s="11"/>
      <c r="K396" s="591"/>
      <c r="L396" s="6"/>
      <c r="M396" s="6"/>
      <c r="N396" s="6"/>
      <c r="O396" s="6"/>
      <c r="P396" s="6"/>
      <c r="Q396" s="6"/>
      <c r="R396" s="6"/>
      <c r="S396" s="6"/>
    </row>
    <row r="397" ht="11.25" customHeight="1">
      <c r="A397" s="7"/>
      <c r="B397" s="5"/>
      <c r="C397" s="6"/>
      <c r="D397" s="6"/>
      <c r="E397" s="6"/>
      <c r="F397" s="6"/>
      <c r="G397" s="6"/>
      <c r="H397" s="6"/>
      <c r="I397" s="6"/>
      <c r="J397" s="11"/>
      <c r="K397" s="591"/>
      <c r="L397" s="6"/>
      <c r="M397" s="6"/>
      <c r="N397" s="6"/>
      <c r="O397" s="6"/>
      <c r="P397" s="6"/>
      <c r="Q397" s="6"/>
      <c r="R397" s="6"/>
      <c r="S397" s="6"/>
    </row>
    <row r="398" ht="11.25" customHeight="1">
      <c r="A398" s="7"/>
      <c r="B398" s="5"/>
      <c r="C398" s="6"/>
      <c r="D398" s="6"/>
      <c r="E398" s="6"/>
      <c r="F398" s="6"/>
      <c r="G398" s="6"/>
      <c r="H398" s="6"/>
      <c r="I398" s="6"/>
      <c r="J398" s="11"/>
      <c r="K398" s="591"/>
      <c r="L398" s="6"/>
      <c r="M398" s="6"/>
      <c r="N398" s="6"/>
      <c r="O398" s="6"/>
      <c r="P398" s="6"/>
      <c r="Q398" s="6"/>
      <c r="R398" s="6"/>
      <c r="S398" s="6"/>
    </row>
    <row r="399" ht="11.25" customHeight="1">
      <c r="A399" s="7"/>
      <c r="B399" s="5"/>
      <c r="C399" s="6"/>
      <c r="D399" s="6"/>
      <c r="E399" s="6"/>
      <c r="F399" s="6"/>
      <c r="G399" s="6"/>
      <c r="H399" s="6"/>
      <c r="I399" s="6"/>
      <c r="J399" s="11"/>
      <c r="K399" s="591"/>
      <c r="L399" s="6"/>
      <c r="M399" s="6"/>
      <c r="N399" s="6"/>
      <c r="O399" s="6"/>
      <c r="P399" s="6"/>
      <c r="Q399" s="6"/>
      <c r="R399" s="6"/>
      <c r="S399" s="6"/>
    </row>
    <row r="400" ht="11.25" customHeight="1">
      <c r="A400" s="7"/>
      <c r="B400" s="5"/>
      <c r="C400" s="6"/>
      <c r="D400" s="6"/>
      <c r="E400" s="6"/>
      <c r="F400" s="6"/>
      <c r="G400" s="6"/>
      <c r="H400" s="6"/>
      <c r="I400" s="6"/>
      <c r="J400" s="11"/>
      <c r="K400" s="591"/>
      <c r="L400" s="6"/>
      <c r="M400" s="6"/>
      <c r="N400" s="6"/>
      <c r="O400" s="6"/>
      <c r="P400" s="6"/>
      <c r="Q400" s="6"/>
      <c r="R400" s="6"/>
      <c r="S400" s="6"/>
    </row>
    <row r="401" ht="11.25" customHeight="1">
      <c r="A401" s="7"/>
      <c r="B401" s="5"/>
      <c r="C401" s="6"/>
      <c r="D401" s="6"/>
      <c r="E401" s="6"/>
      <c r="F401" s="6"/>
      <c r="G401" s="6"/>
      <c r="H401" s="6"/>
      <c r="I401" s="6"/>
      <c r="J401" s="11"/>
      <c r="K401" s="591"/>
      <c r="L401" s="6"/>
      <c r="M401" s="6"/>
      <c r="N401" s="6"/>
      <c r="O401" s="6"/>
      <c r="P401" s="6"/>
      <c r="Q401" s="6"/>
      <c r="R401" s="6"/>
      <c r="S401" s="6"/>
    </row>
    <row r="402" ht="11.25" customHeight="1">
      <c r="A402" s="7"/>
      <c r="B402" s="5"/>
      <c r="C402" s="6"/>
      <c r="D402" s="6"/>
      <c r="E402" s="6"/>
      <c r="F402" s="6"/>
      <c r="G402" s="6"/>
      <c r="H402" s="6"/>
      <c r="I402" s="6"/>
      <c r="J402" s="11"/>
      <c r="K402" s="591"/>
      <c r="L402" s="6"/>
      <c r="M402" s="6"/>
      <c r="N402" s="6"/>
      <c r="O402" s="6"/>
      <c r="P402" s="6"/>
      <c r="Q402" s="6"/>
      <c r="R402" s="6"/>
      <c r="S402" s="6"/>
    </row>
    <row r="403" ht="11.25" customHeight="1">
      <c r="A403" s="7"/>
      <c r="B403" s="5"/>
      <c r="C403" s="6"/>
      <c r="D403" s="6"/>
      <c r="E403" s="6"/>
      <c r="F403" s="6"/>
      <c r="G403" s="6"/>
      <c r="H403" s="6"/>
      <c r="I403" s="6"/>
      <c r="J403" s="11"/>
      <c r="K403" s="591"/>
      <c r="L403" s="6"/>
      <c r="M403" s="6"/>
      <c r="N403" s="6"/>
      <c r="O403" s="6"/>
      <c r="P403" s="6"/>
      <c r="Q403" s="6"/>
      <c r="R403" s="6"/>
      <c r="S403" s="6"/>
    </row>
    <row r="404" ht="11.25" customHeight="1">
      <c r="A404" s="7"/>
      <c r="B404" s="5"/>
      <c r="C404" s="6"/>
      <c r="D404" s="6"/>
      <c r="E404" s="6"/>
      <c r="F404" s="6"/>
      <c r="G404" s="6"/>
      <c r="H404" s="6"/>
      <c r="I404" s="6"/>
      <c r="J404" s="11"/>
      <c r="K404" s="591"/>
      <c r="L404" s="6"/>
      <c r="M404" s="6"/>
      <c r="N404" s="6"/>
      <c r="O404" s="6"/>
      <c r="P404" s="6"/>
      <c r="Q404" s="6"/>
      <c r="R404" s="6"/>
      <c r="S404" s="6"/>
    </row>
    <row r="405" ht="11.25" customHeight="1">
      <c r="A405" s="7"/>
      <c r="B405" s="5"/>
      <c r="C405" s="6"/>
      <c r="D405" s="6"/>
      <c r="E405" s="6"/>
      <c r="F405" s="6"/>
      <c r="G405" s="6"/>
      <c r="H405" s="6"/>
      <c r="I405" s="6"/>
      <c r="J405" s="11"/>
      <c r="K405" s="591"/>
      <c r="L405" s="6"/>
      <c r="M405" s="6"/>
      <c r="N405" s="6"/>
      <c r="O405" s="6"/>
      <c r="P405" s="6"/>
      <c r="Q405" s="6"/>
      <c r="R405" s="6"/>
      <c r="S405" s="6"/>
    </row>
    <row r="406" ht="11.25" customHeight="1">
      <c r="A406" s="7"/>
      <c r="B406" s="5"/>
      <c r="C406" s="6"/>
      <c r="D406" s="6"/>
      <c r="E406" s="6"/>
      <c r="F406" s="6"/>
      <c r="G406" s="6"/>
      <c r="H406" s="6"/>
      <c r="I406" s="6"/>
      <c r="J406" s="11"/>
      <c r="K406" s="591"/>
      <c r="L406" s="6"/>
      <c r="M406" s="6"/>
      <c r="N406" s="6"/>
      <c r="O406" s="6"/>
      <c r="P406" s="6"/>
      <c r="Q406" s="6"/>
      <c r="R406" s="6"/>
      <c r="S406" s="6"/>
    </row>
    <row r="407" ht="11.25" customHeight="1">
      <c r="A407" s="7"/>
      <c r="B407" s="5"/>
      <c r="C407" s="6"/>
      <c r="D407" s="6"/>
      <c r="E407" s="6"/>
      <c r="F407" s="6"/>
      <c r="G407" s="6"/>
      <c r="H407" s="6"/>
      <c r="I407" s="6"/>
      <c r="J407" s="11"/>
      <c r="K407" s="591"/>
      <c r="L407" s="6"/>
      <c r="M407" s="6"/>
      <c r="N407" s="6"/>
      <c r="O407" s="6"/>
      <c r="P407" s="6"/>
      <c r="Q407" s="6"/>
      <c r="R407" s="6"/>
      <c r="S407" s="6"/>
    </row>
    <row r="408" ht="11.25" customHeight="1">
      <c r="A408" s="7"/>
      <c r="B408" s="5"/>
      <c r="C408" s="6"/>
      <c r="D408" s="6"/>
      <c r="E408" s="6"/>
      <c r="F408" s="6"/>
      <c r="G408" s="6"/>
      <c r="H408" s="6"/>
      <c r="I408" s="6"/>
      <c r="J408" s="11"/>
      <c r="K408" s="591"/>
      <c r="L408" s="6"/>
      <c r="M408" s="6"/>
      <c r="N408" s="6"/>
      <c r="O408" s="6"/>
      <c r="P408" s="6"/>
      <c r="Q408" s="6"/>
      <c r="R408" s="6"/>
      <c r="S408" s="6"/>
    </row>
    <row r="409" ht="11.25" customHeight="1">
      <c r="A409" s="7"/>
      <c r="B409" s="5"/>
      <c r="C409" s="6"/>
      <c r="D409" s="6"/>
      <c r="E409" s="6"/>
      <c r="F409" s="6"/>
      <c r="G409" s="6"/>
      <c r="H409" s="6"/>
      <c r="I409" s="6"/>
      <c r="J409" s="11"/>
      <c r="K409" s="591"/>
      <c r="L409" s="6"/>
      <c r="M409" s="6"/>
      <c r="N409" s="6"/>
      <c r="O409" s="6"/>
      <c r="P409" s="6"/>
      <c r="Q409" s="6"/>
      <c r="R409" s="6"/>
      <c r="S409" s="6"/>
    </row>
    <row r="410" ht="11.25" customHeight="1">
      <c r="A410" s="7"/>
      <c r="B410" s="5"/>
      <c r="C410" s="6"/>
      <c r="D410" s="6"/>
      <c r="E410" s="6"/>
      <c r="F410" s="6"/>
      <c r="G410" s="6"/>
      <c r="H410" s="6"/>
      <c r="I410" s="6"/>
      <c r="J410" s="11"/>
      <c r="K410" s="591"/>
      <c r="L410" s="6"/>
      <c r="M410" s="6"/>
      <c r="N410" s="6"/>
      <c r="O410" s="6"/>
      <c r="P410" s="6"/>
      <c r="Q410" s="6"/>
      <c r="R410" s="6"/>
      <c r="S410" s="6"/>
    </row>
    <row r="411" ht="11.25" customHeight="1">
      <c r="A411" s="7"/>
      <c r="B411" s="5"/>
      <c r="C411" s="6"/>
      <c r="D411" s="6"/>
      <c r="E411" s="6"/>
      <c r="F411" s="6"/>
      <c r="G411" s="6"/>
      <c r="H411" s="6"/>
      <c r="I411" s="6"/>
      <c r="J411" s="11"/>
      <c r="K411" s="591"/>
      <c r="L411" s="6"/>
      <c r="M411" s="6"/>
      <c r="N411" s="6"/>
      <c r="O411" s="6"/>
      <c r="P411" s="6"/>
      <c r="Q411" s="6"/>
      <c r="R411" s="6"/>
      <c r="S411" s="6"/>
    </row>
    <row r="412" ht="11.25" customHeight="1">
      <c r="A412" s="7"/>
      <c r="B412" s="5"/>
      <c r="C412" s="6"/>
      <c r="D412" s="6"/>
      <c r="E412" s="6"/>
      <c r="F412" s="6"/>
      <c r="G412" s="6"/>
      <c r="H412" s="6"/>
      <c r="I412" s="6"/>
      <c r="J412" s="11"/>
      <c r="K412" s="591"/>
      <c r="L412" s="6"/>
      <c r="M412" s="6"/>
      <c r="N412" s="6"/>
      <c r="O412" s="6"/>
      <c r="P412" s="6"/>
      <c r="Q412" s="6"/>
      <c r="R412" s="6"/>
      <c r="S412" s="6"/>
    </row>
    <row r="413" ht="11.25" customHeight="1">
      <c r="A413" s="7"/>
      <c r="B413" s="5"/>
      <c r="C413" s="6"/>
      <c r="D413" s="6"/>
      <c r="E413" s="6"/>
      <c r="F413" s="6"/>
      <c r="G413" s="6"/>
      <c r="H413" s="6"/>
      <c r="I413" s="6"/>
      <c r="J413" s="11"/>
      <c r="K413" s="591"/>
      <c r="L413" s="6"/>
      <c r="M413" s="6"/>
      <c r="N413" s="6"/>
      <c r="O413" s="6"/>
      <c r="P413" s="6"/>
      <c r="Q413" s="6"/>
      <c r="R413" s="6"/>
      <c r="S413" s="6"/>
    </row>
    <row r="414" ht="11.25" customHeight="1">
      <c r="A414" s="7"/>
      <c r="B414" s="5"/>
      <c r="C414" s="6"/>
      <c r="D414" s="6"/>
      <c r="E414" s="6"/>
      <c r="F414" s="6"/>
      <c r="G414" s="6"/>
      <c r="H414" s="6"/>
      <c r="I414" s="6"/>
      <c r="J414" s="11"/>
      <c r="K414" s="591"/>
      <c r="L414" s="6"/>
      <c r="M414" s="6"/>
      <c r="N414" s="6"/>
      <c r="O414" s="6"/>
      <c r="P414" s="6"/>
      <c r="Q414" s="6"/>
      <c r="R414" s="6"/>
      <c r="S414" s="6"/>
    </row>
    <row r="415" ht="11.25" customHeight="1">
      <c r="A415" s="7"/>
      <c r="B415" s="5"/>
      <c r="C415" s="6"/>
      <c r="D415" s="6"/>
      <c r="E415" s="6"/>
      <c r="F415" s="6"/>
      <c r="G415" s="6"/>
      <c r="H415" s="6"/>
      <c r="I415" s="6"/>
      <c r="J415" s="11"/>
      <c r="K415" s="591"/>
      <c r="L415" s="6"/>
      <c r="M415" s="6"/>
      <c r="N415" s="6"/>
      <c r="O415" s="6"/>
      <c r="P415" s="6"/>
      <c r="Q415" s="6"/>
      <c r="R415" s="6"/>
      <c r="S415" s="6"/>
    </row>
    <row r="416" ht="11.25" customHeight="1">
      <c r="A416" s="7"/>
      <c r="B416" s="5"/>
      <c r="C416" s="6"/>
      <c r="D416" s="6"/>
      <c r="E416" s="6"/>
      <c r="F416" s="6"/>
      <c r="G416" s="6"/>
      <c r="H416" s="6"/>
      <c r="I416" s="6"/>
      <c r="J416" s="11"/>
      <c r="K416" s="591"/>
      <c r="L416" s="6"/>
      <c r="M416" s="6"/>
      <c r="N416" s="6"/>
      <c r="O416" s="6"/>
      <c r="P416" s="6"/>
      <c r="Q416" s="6"/>
      <c r="R416" s="6"/>
      <c r="S416" s="6"/>
    </row>
    <row r="417" ht="11.25" customHeight="1">
      <c r="A417" s="7"/>
      <c r="B417" s="5"/>
      <c r="C417" s="6"/>
      <c r="D417" s="6"/>
      <c r="E417" s="6"/>
      <c r="F417" s="6"/>
      <c r="G417" s="6"/>
      <c r="H417" s="6"/>
      <c r="I417" s="6"/>
      <c r="J417" s="11"/>
      <c r="K417" s="591"/>
      <c r="L417" s="6"/>
      <c r="M417" s="6"/>
      <c r="N417" s="6"/>
      <c r="O417" s="6"/>
      <c r="P417" s="6"/>
      <c r="Q417" s="6"/>
      <c r="R417" s="6"/>
      <c r="S417" s="6"/>
    </row>
    <row r="418" ht="11.25" customHeight="1">
      <c r="A418" s="7"/>
      <c r="B418" s="5"/>
      <c r="C418" s="6"/>
      <c r="D418" s="6"/>
      <c r="E418" s="6"/>
      <c r="F418" s="6"/>
      <c r="G418" s="6"/>
      <c r="H418" s="6"/>
      <c r="I418" s="6"/>
      <c r="J418" s="11"/>
      <c r="K418" s="591"/>
      <c r="L418" s="6"/>
      <c r="M418" s="6"/>
      <c r="N418" s="6"/>
      <c r="O418" s="6"/>
      <c r="P418" s="6"/>
      <c r="Q418" s="6"/>
      <c r="R418" s="6"/>
      <c r="S418" s="6"/>
    </row>
    <row r="419" ht="11.25" customHeight="1">
      <c r="A419" s="7"/>
      <c r="B419" s="5"/>
      <c r="C419" s="6"/>
      <c r="D419" s="6"/>
      <c r="E419" s="6"/>
      <c r="F419" s="6"/>
      <c r="G419" s="6"/>
      <c r="H419" s="6"/>
      <c r="I419" s="6"/>
      <c r="J419" s="11"/>
      <c r="K419" s="591"/>
      <c r="L419" s="6"/>
      <c r="M419" s="6"/>
      <c r="N419" s="6"/>
      <c r="O419" s="6"/>
      <c r="P419" s="6"/>
      <c r="Q419" s="6"/>
      <c r="R419" s="6"/>
      <c r="S419" s="6"/>
    </row>
    <row r="420" ht="11.25" customHeight="1">
      <c r="A420" s="7"/>
      <c r="B420" s="5"/>
      <c r="C420" s="6"/>
      <c r="D420" s="6"/>
      <c r="E420" s="6"/>
      <c r="F420" s="6"/>
      <c r="G420" s="6"/>
      <c r="H420" s="6"/>
      <c r="I420" s="6"/>
      <c r="J420" s="11"/>
      <c r="K420" s="591"/>
      <c r="L420" s="6"/>
      <c r="M420" s="6"/>
      <c r="N420" s="6"/>
      <c r="O420" s="6"/>
      <c r="P420" s="6"/>
      <c r="Q420" s="6"/>
      <c r="R420" s="6"/>
      <c r="S420" s="6"/>
    </row>
    <row r="421" ht="11.25" customHeight="1">
      <c r="A421" s="7"/>
      <c r="B421" s="5"/>
      <c r="C421" s="6"/>
      <c r="D421" s="6"/>
      <c r="E421" s="6"/>
      <c r="F421" s="6"/>
      <c r="G421" s="6"/>
      <c r="H421" s="6"/>
      <c r="I421" s="6"/>
      <c r="J421" s="11"/>
      <c r="K421" s="591"/>
      <c r="L421" s="6"/>
      <c r="M421" s="6"/>
      <c r="N421" s="6"/>
      <c r="O421" s="6"/>
      <c r="P421" s="6"/>
      <c r="Q421" s="6"/>
      <c r="R421" s="6"/>
      <c r="S421" s="6"/>
    </row>
    <row r="422" ht="11.25" customHeight="1">
      <c r="A422" s="7"/>
      <c r="B422" s="5"/>
      <c r="C422" s="6"/>
      <c r="D422" s="6"/>
      <c r="E422" s="6"/>
      <c r="F422" s="6"/>
      <c r="G422" s="6"/>
      <c r="H422" s="6"/>
      <c r="I422" s="6"/>
      <c r="J422" s="11"/>
      <c r="K422" s="591"/>
      <c r="L422" s="6"/>
      <c r="M422" s="6"/>
      <c r="N422" s="6"/>
      <c r="O422" s="6"/>
      <c r="P422" s="6"/>
      <c r="Q422" s="6"/>
      <c r="R422" s="6"/>
      <c r="S422" s="6"/>
    </row>
    <row r="423" ht="11.25" customHeight="1">
      <c r="A423" s="7"/>
      <c r="B423" s="5"/>
      <c r="C423" s="6"/>
      <c r="D423" s="6"/>
      <c r="E423" s="6"/>
      <c r="F423" s="6"/>
      <c r="G423" s="6"/>
      <c r="H423" s="6"/>
      <c r="I423" s="6"/>
      <c r="J423" s="11"/>
      <c r="K423" s="591"/>
      <c r="L423" s="6"/>
      <c r="M423" s="6"/>
      <c r="N423" s="6"/>
      <c r="O423" s="6"/>
      <c r="P423" s="6"/>
      <c r="Q423" s="6"/>
      <c r="R423" s="6"/>
      <c r="S423" s="6"/>
    </row>
    <row r="424" ht="11.25" customHeight="1">
      <c r="A424" s="7"/>
      <c r="B424" s="5"/>
      <c r="C424" s="6"/>
      <c r="D424" s="6"/>
      <c r="E424" s="6"/>
      <c r="F424" s="6"/>
      <c r="G424" s="6"/>
      <c r="H424" s="6"/>
      <c r="I424" s="6"/>
      <c r="J424" s="11"/>
      <c r="K424" s="591"/>
      <c r="L424" s="6"/>
      <c r="M424" s="6"/>
      <c r="N424" s="6"/>
      <c r="O424" s="6"/>
      <c r="P424" s="6"/>
      <c r="Q424" s="6"/>
      <c r="R424" s="6"/>
      <c r="S424" s="6"/>
    </row>
    <row r="425" ht="11.25" customHeight="1">
      <c r="A425" s="7"/>
      <c r="B425" s="5"/>
      <c r="C425" s="6"/>
      <c r="D425" s="6"/>
      <c r="E425" s="6"/>
      <c r="F425" s="6"/>
      <c r="G425" s="6"/>
      <c r="H425" s="6"/>
      <c r="I425" s="6"/>
      <c r="J425" s="11"/>
      <c r="K425" s="591"/>
      <c r="L425" s="6"/>
      <c r="M425" s="6"/>
      <c r="N425" s="6"/>
      <c r="O425" s="6"/>
      <c r="P425" s="6"/>
      <c r="Q425" s="6"/>
      <c r="R425" s="6"/>
      <c r="S425" s="6"/>
    </row>
    <row r="426" ht="11.25" customHeight="1">
      <c r="A426" s="7"/>
      <c r="B426" s="5"/>
      <c r="C426" s="6"/>
      <c r="D426" s="6"/>
      <c r="E426" s="6"/>
      <c r="F426" s="6"/>
      <c r="G426" s="6"/>
      <c r="H426" s="6"/>
      <c r="I426" s="6"/>
      <c r="J426" s="11"/>
      <c r="K426" s="591"/>
      <c r="L426" s="6"/>
      <c r="M426" s="6"/>
      <c r="N426" s="6"/>
      <c r="O426" s="6"/>
      <c r="P426" s="6"/>
      <c r="Q426" s="6"/>
      <c r="R426" s="6"/>
      <c r="S426" s="6"/>
    </row>
    <row r="427" ht="11.25" customHeight="1">
      <c r="A427" s="7"/>
      <c r="B427" s="5"/>
      <c r="C427" s="6"/>
      <c r="D427" s="6"/>
      <c r="E427" s="6"/>
      <c r="F427" s="6"/>
      <c r="G427" s="6"/>
      <c r="H427" s="6"/>
      <c r="I427" s="6"/>
      <c r="J427" s="11"/>
      <c r="K427" s="591"/>
      <c r="L427" s="6"/>
      <c r="M427" s="6"/>
      <c r="N427" s="6"/>
      <c r="O427" s="6"/>
      <c r="P427" s="6"/>
      <c r="Q427" s="6"/>
      <c r="R427" s="6"/>
      <c r="S427" s="6"/>
    </row>
    <row r="428" ht="11.25" customHeight="1">
      <c r="A428" s="7"/>
      <c r="B428" s="5"/>
      <c r="C428" s="6"/>
      <c r="D428" s="6"/>
      <c r="E428" s="6"/>
      <c r="F428" s="6"/>
      <c r="G428" s="6"/>
      <c r="H428" s="6"/>
      <c r="I428" s="6"/>
      <c r="J428" s="11"/>
      <c r="K428" s="591"/>
      <c r="L428" s="6"/>
      <c r="M428" s="6"/>
      <c r="N428" s="6"/>
      <c r="O428" s="6"/>
      <c r="P428" s="6"/>
      <c r="Q428" s="6"/>
      <c r="R428" s="6"/>
      <c r="S428" s="6"/>
    </row>
    <row r="429" ht="11.25" customHeight="1">
      <c r="A429" s="7"/>
      <c r="B429" s="5"/>
      <c r="C429" s="6"/>
      <c r="D429" s="6"/>
      <c r="E429" s="6"/>
      <c r="F429" s="6"/>
      <c r="G429" s="6"/>
      <c r="H429" s="6"/>
      <c r="I429" s="6"/>
      <c r="J429" s="11"/>
      <c r="K429" s="591"/>
      <c r="L429" s="6"/>
      <c r="M429" s="6"/>
      <c r="N429" s="6"/>
      <c r="O429" s="6"/>
      <c r="P429" s="6"/>
      <c r="Q429" s="6"/>
      <c r="R429" s="6"/>
      <c r="S429" s="6"/>
    </row>
    <row r="430" ht="11.25" customHeight="1">
      <c r="A430" s="7"/>
      <c r="B430" s="5"/>
      <c r="C430" s="6"/>
      <c r="D430" s="6"/>
      <c r="E430" s="6"/>
      <c r="F430" s="6"/>
      <c r="G430" s="6"/>
      <c r="H430" s="6"/>
      <c r="I430" s="6"/>
      <c r="J430" s="11"/>
      <c r="K430" s="591"/>
      <c r="L430" s="6"/>
      <c r="M430" s="6"/>
      <c r="N430" s="6"/>
      <c r="O430" s="6"/>
      <c r="P430" s="6"/>
      <c r="Q430" s="6"/>
      <c r="R430" s="6"/>
      <c r="S430" s="6"/>
    </row>
    <row r="431" ht="11.25" customHeight="1">
      <c r="A431" s="7"/>
      <c r="B431" s="5"/>
      <c r="C431" s="6"/>
      <c r="D431" s="6"/>
      <c r="E431" s="6"/>
      <c r="F431" s="6"/>
      <c r="G431" s="6"/>
      <c r="H431" s="6"/>
      <c r="I431" s="6"/>
      <c r="J431" s="11"/>
      <c r="K431" s="591"/>
      <c r="L431" s="6"/>
      <c r="M431" s="6"/>
      <c r="N431" s="6"/>
      <c r="O431" s="6"/>
      <c r="P431" s="6"/>
      <c r="Q431" s="6"/>
      <c r="R431" s="6"/>
      <c r="S431" s="6"/>
    </row>
    <row r="432" ht="11.25" customHeight="1">
      <c r="A432" s="7"/>
      <c r="B432" s="5"/>
      <c r="C432" s="6"/>
      <c r="D432" s="6"/>
      <c r="E432" s="6"/>
      <c r="F432" s="6"/>
      <c r="G432" s="6"/>
      <c r="H432" s="6"/>
      <c r="I432" s="6"/>
      <c r="J432" s="11"/>
      <c r="K432" s="591"/>
      <c r="L432" s="6"/>
      <c r="M432" s="6"/>
      <c r="N432" s="6"/>
      <c r="O432" s="6"/>
      <c r="P432" s="6"/>
      <c r="Q432" s="6"/>
      <c r="R432" s="6"/>
      <c r="S432" s="6"/>
    </row>
    <row r="433" ht="11.25" customHeight="1">
      <c r="A433" s="7"/>
      <c r="B433" s="5"/>
      <c r="C433" s="6"/>
      <c r="D433" s="6"/>
      <c r="E433" s="6"/>
      <c r="F433" s="6"/>
      <c r="G433" s="6"/>
      <c r="H433" s="6"/>
      <c r="I433" s="6"/>
      <c r="J433" s="11"/>
      <c r="K433" s="591"/>
      <c r="L433" s="6"/>
      <c r="M433" s="6"/>
      <c r="N433" s="6"/>
      <c r="O433" s="6"/>
      <c r="P433" s="6"/>
      <c r="Q433" s="6"/>
      <c r="R433" s="6"/>
      <c r="S433" s="6"/>
    </row>
    <row r="434" ht="11.25" customHeight="1">
      <c r="A434" s="7"/>
      <c r="B434" s="5"/>
      <c r="C434" s="6"/>
      <c r="D434" s="6"/>
      <c r="E434" s="6"/>
      <c r="F434" s="6"/>
      <c r="G434" s="6"/>
      <c r="H434" s="6"/>
      <c r="I434" s="6"/>
      <c r="J434" s="11"/>
      <c r="K434" s="591"/>
      <c r="L434" s="6"/>
      <c r="M434" s="6"/>
      <c r="N434" s="6"/>
      <c r="O434" s="6"/>
      <c r="P434" s="6"/>
      <c r="Q434" s="6"/>
      <c r="R434" s="6"/>
      <c r="S434" s="6"/>
    </row>
    <row r="435" ht="11.25" customHeight="1">
      <c r="A435" s="7"/>
      <c r="B435" s="5"/>
      <c r="C435" s="6"/>
      <c r="D435" s="6"/>
      <c r="E435" s="6"/>
      <c r="F435" s="6"/>
      <c r="G435" s="6"/>
      <c r="H435" s="6"/>
      <c r="I435" s="6"/>
      <c r="J435" s="11"/>
      <c r="K435" s="591"/>
      <c r="L435" s="6"/>
      <c r="M435" s="6"/>
      <c r="N435" s="6"/>
      <c r="O435" s="6"/>
      <c r="P435" s="6"/>
      <c r="Q435" s="6"/>
      <c r="R435" s="6"/>
      <c r="S435" s="6"/>
    </row>
    <row r="436" ht="11.25" customHeight="1">
      <c r="A436" s="7"/>
      <c r="B436" s="5"/>
      <c r="C436" s="6"/>
      <c r="D436" s="6"/>
      <c r="E436" s="6"/>
      <c r="F436" s="6"/>
      <c r="G436" s="6"/>
      <c r="H436" s="6"/>
      <c r="I436" s="6"/>
      <c r="J436" s="11"/>
      <c r="K436" s="591"/>
      <c r="L436" s="6"/>
      <c r="M436" s="6"/>
      <c r="N436" s="6"/>
      <c r="O436" s="6"/>
      <c r="P436" s="6"/>
      <c r="Q436" s="6"/>
      <c r="R436" s="6"/>
      <c r="S436" s="6"/>
    </row>
    <row r="437" ht="11.25" customHeight="1">
      <c r="A437" s="7"/>
      <c r="B437" s="5"/>
      <c r="C437" s="6"/>
      <c r="D437" s="6"/>
      <c r="E437" s="6"/>
      <c r="F437" s="6"/>
      <c r="G437" s="6"/>
      <c r="H437" s="6"/>
      <c r="I437" s="6"/>
      <c r="J437" s="11"/>
      <c r="K437" s="591"/>
      <c r="L437" s="6"/>
      <c r="M437" s="6"/>
      <c r="N437" s="6"/>
      <c r="O437" s="6"/>
      <c r="P437" s="6"/>
      <c r="Q437" s="6"/>
      <c r="R437" s="6"/>
      <c r="S437" s="6"/>
    </row>
    <row r="438" ht="11.25" customHeight="1">
      <c r="A438" s="7"/>
      <c r="B438" s="5"/>
      <c r="C438" s="6"/>
      <c r="D438" s="6"/>
      <c r="E438" s="6"/>
      <c r="F438" s="6"/>
      <c r="G438" s="6"/>
      <c r="H438" s="6"/>
      <c r="I438" s="6"/>
      <c r="J438" s="11"/>
      <c r="K438" s="591"/>
      <c r="L438" s="6"/>
      <c r="M438" s="6"/>
      <c r="N438" s="6"/>
      <c r="O438" s="6"/>
      <c r="P438" s="6"/>
      <c r="Q438" s="6"/>
      <c r="R438" s="6"/>
      <c r="S438" s="6"/>
    </row>
    <row r="439" ht="11.25" customHeight="1">
      <c r="A439" s="7"/>
      <c r="B439" s="5"/>
      <c r="C439" s="6"/>
      <c r="D439" s="6"/>
      <c r="E439" s="6"/>
      <c r="F439" s="6"/>
      <c r="G439" s="6"/>
      <c r="H439" s="6"/>
      <c r="I439" s="6"/>
      <c r="J439" s="11"/>
      <c r="K439" s="591"/>
      <c r="L439" s="6"/>
      <c r="M439" s="6"/>
      <c r="N439" s="6"/>
      <c r="O439" s="6"/>
      <c r="P439" s="6"/>
      <c r="Q439" s="6"/>
      <c r="R439" s="6"/>
      <c r="S439" s="6"/>
    </row>
    <row r="440" ht="11.25" customHeight="1">
      <c r="A440" s="7"/>
      <c r="B440" s="5"/>
      <c r="C440" s="6"/>
      <c r="D440" s="6"/>
      <c r="E440" s="6"/>
      <c r="F440" s="6"/>
      <c r="G440" s="6"/>
      <c r="H440" s="6"/>
      <c r="I440" s="6"/>
      <c r="J440" s="11"/>
      <c r="K440" s="591"/>
      <c r="L440" s="6"/>
      <c r="M440" s="6"/>
      <c r="N440" s="6"/>
      <c r="O440" s="6"/>
      <c r="P440" s="6"/>
      <c r="Q440" s="6"/>
      <c r="R440" s="6"/>
      <c r="S440" s="6"/>
    </row>
    <row r="441" ht="11.25" customHeight="1">
      <c r="A441" s="7"/>
      <c r="B441" s="5"/>
      <c r="C441" s="6"/>
      <c r="D441" s="6"/>
      <c r="E441" s="6"/>
      <c r="F441" s="6"/>
      <c r="G441" s="6"/>
      <c r="H441" s="6"/>
      <c r="I441" s="6"/>
      <c r="J441" s="11"/>
      <c r="K441" s="591"/>
      <c r="L441" s="6"/>
      <c r="M441" s="6"/>
      <c r="N441" s="6"/>
      <c r="O441" s="6"/>
      <c r="P441" s="6"/>
      <c r="Q441" s="6"/>
      <c r="R441" s="6"/>
      <c r="S441" s="6"/>
    </row>
    <row r="442" ht="11.25" customHeight="1">
      <c r="A442" s="7"/>
      <c r="B442" s="5"/>
      <c r="C442" s="6"/>
      <c r="D442" s="6"/>
      <c r="E442" s="6"/>
      <c r="F442" s="6"/>
      <c r="G442" s="6"/>
      <c r="H442" s="6"/>
      <c r="I442" s="6"/>
      <c r="J442" s="11"/>
      <c r="K442" s="591"/>
      <c r="L442" s="6"/>
      <c r="M442" s="6"/>
      <c r="N442" s="6"/>
      <c r="O442" s="6"/>
      <c r="P442" s="6"/>
      <c r="Q442" s="6"/>
      <c r="R442" s="6"/>
      <c r="S442" s="6"/>
    </row>
    <row r="443" ht="11.25" customHeight="1">
      <c r="A443" s="7"/>
      <c r="B443" s="5"/>
      <c r="C443" s="6"/>
      <c r="D443" s="6"/>
      <c r="E443" s="6"/>
      <c r="F443" s="6"/>
      <c r="G443" s="6"/>
      <c r="H443" s="6"/>
      <c r="I443" s="6"/>
      <c r="J443" s="11"/>
      <c r="K443" s="591"/>
      <c r="L443" s="6"/>
      <c r="M443" s="6"/>
      <c r="N443" s="6"/>
      <c r="O443" s="6"/>
      <c r="P443" s="6"/>
      <c r="Q443" s="6"/>
      <c r="R443" s="6"/>
      <c r="S443" s="6"/>
    </row>
    <row r="444" ht="11.25" customHeight="1">
      <c r="A444" s="7"/>
      <c r="B444" s="5"/>
      <c r="C444" s="6"/>
      <c r="D444" s="6"/>
      <c r="E444" s="6"/>
      <c r="F444" s="6"/>
      <c r="G444" s="6"/>
      <c r="H444" s="6"/>
      <c r="I444" s="6"/>
      <c r="J444" s="11"/>
      <c r="K444" s="591"/>
      <c r="L444" s="6"/>
      <c r="M444" s="6"/>
      <c r="N444" s="6"/>
      <c r="O444" s="6"/>
      <c r="P444" s="6"/>
      <c r="Q444" s="6"/>
      <c r="R444" s="6"/>
      <c r="S444" s="6"/>
    </row>
    <row r="445" ht="11.25" customHeight="1">
      <c r="A445" s="7"/>
      <c r="B445" s="5"/>
      <c r="C445" s="6"/>
      <c r="D445" s="6"/>
      <c r="E445" s="6"/>
      <c r="F445" s="6"/>
      <c r="G445" s="6"/>
      <c r="H445" s="6"/>
      <c r="I445" s="6"/>
      <c r="J445" s="11"/>
      <c r="K445" s="591"/>
      <c r="L445" s="6"/>
      <c r="M445" s="6"/>
      <c r="N445" s="6"/>
      <c r="O445" s="6"/>
      <c r="P445" s="6"/>
      <c r="Q445" s="6"/>
      <c r="R445" s="6"/>
      <c r="S445" s="6"/>
    </row>
    <row r="446" ht="11.25" customHeight="1">
      <c r="A446" s="7"/>
      <c r="B446" s="5"/>
      <c r="C446" s="6"/>
      <c r="D446" s="6"/>
      <c r="E446" s="6"/>
      <c r="F446" s="6"/>
      <c r="G446" s="6"/>
      <c r="H446" s="6"/>
      <c r="I446" s="6"/>
      <c r="J446" s="11"/>
      <c r="K446" s="591"/>
      <c r="L446" s="6"/>
      <c r="M446" s="6"/>
      <c r="N446" s="6"/>
      <c r="O446" s="6"/>
      <c r="P446" s="6"/>
      <c r="Q446" s="6"/>
      <c r="R446" s="6"/>
      <c r="S446" s="6"/>
    </row>
    <row r="447" ht="11.25" customHeight="1">
      <c r="A447" s="7"/>
      <c r="B447" s="5"/>
      <c r="C447" s="6"/>
      <c r="D447" s="6"/>
      <c r="E447" s="6"/>
      <c r="F447" s="6"/>
      <c r="G447" s="6"/>
      <c r="H447" s="6"/>
      <c r="I447" s="6"/>
      <c r="J447" s="11"/>
      <c r="K447" s="591"/>
      <c r="L447" s="6"/>
      <c r="M447" s="6"/>
      <c r="N447" s="6"/>
      <c r="O447" s="6"/>
      <c r="P447" s="6"/>
      <c r="Q447" s="6"/>
      <c r="R447" s="6"/>
      <c r="S447" s="6"/>
    </row>
    <row r="448" ht="11.25" customHeight="1">
      <c r="A448" s="7"/>
      <c r="B448" s="5"/>
      <c r="C448" s="6"/>
      <c r="D448" s="6"/>
      <c r="E448" s="6"/>
      <c r="F448" s="6"/>
      <c r="G448" s="6"/>
      <c r="H448" s="6"/>
      <c r="I448" s="6"/>
      <c r="J448" s="11"/>
      <c r="K448" s="591"/>
      <c r="L448" s="6"/>
      <c r="M448" s="6"/>
      <c r="N448" s="6"/>
      <c r="O448" s="6"/>
      <c r="P448" s="6"/>
      <c r="Q448" s="6"/>
      <c r="R448" s="6"/>
      <c r="S448" s="6"/>
    </row>
    <row r="449" ht="11.25" customHeight="1">
      <c r="A449" s="7"/>
      <c r="B449" s="5"/>
      <c r="C449" s="6"/>
      <c r="D449" s="6"/>
      <c r="E449" s="6"/>
      <c r="F449" s="6"/>
      <c r="G449" s="6"/>
      <c r="H449" s="6"/>
      <c r="I449" s="6"/>
      <c r="J449" s="11"/>
      <c r="K449" s="591"/>
      <c r="L449" s="6"/>
      <c r="M449" s="6"/>
      <c r="N449" s="6"/>
      <c r="O449" s="6"/>
      <c r="P449" s="6"/>
      <c r="Q449" s="6"/>
      <c r="R449" s="6"/>
      <c r="S449" s="6"/>
    </row>
    <row r="450" ht="11.25" customHeight="1">
      <c r="A450" s="7"/>
      <c r="B450" s="5"/>
      <c r="C450" s="6"/>
      <c r="D450" s="6"/>
      <c r="E450" s="6"/>
      <c r="F450" s="6"/>
      <c r="G450" s="6"/>
      <c r="H450" s="6"/>
      <c r="I450" s="6"/>
      <c r="J450" s="11"/>
      <c r="K450" s="591"/>
      <c r="L450" s="6"/>
      <c r="M450" s="6"/>
      <c r="N450" s="6"/>
      <c r="O450" s="6"/>
      <c r="P450" s="6"/>
      <c r="Q450" s="6"/>
      <c r="R450" s="6"/>
      <c r="S450" s="6"/>
    </row>
    <row r="451" ht="11.25" customHeight="1">
      <c r="A451" s="7"/>
      <c r="B451" s="5"/>
      <c r="C451" s="6"/>
      <c r="D451" s="6"/>
      <c r="E451" s="6"/>
      <c r="F451" s="6"/>
      <c r="G451" s="6"/>
      <c r="H451" s="6"/>
      <c r="I451" s="6"/>
      <c r="J451" s="11"/>
      <c r="K451" s="591"/>
      <c r="L451" s="6"/>
      <c r="M451" s="6"/>
      <c r="N451" s="6"/>
      <c r="O451" s="6"/>
      <c r="P451" s="6"/>
      <c r="Q451" s="6"/>
      <c r="R451" s="6"/>
      <c r="S451" s="6"/>
    </row>
    <row r="452" ht="11.25" customHeight="1">
      <c r="A452" s="7"/>
      <c r="B452" s="5"/>
      <c r="C452" s="6"/>
      <c r="D452" s="6"/>
      <c r="E452" s="6"/>
      <c r="F452" s="6"/>
      <c r="G452" s="6"/>
      <c r="H452" s="6"/>
      <c r="I452" s="6"/>
      <c r="J452" s="11"/>
      <c r="K452" s="591"/>
      <c r="L452" s="6"/>
      <c r="M452" s="6"/>
      <c r="N452" s="6"/>
      <c r="O452" s="6"/>
      <c r="P452" s="6"/>
      <c r="Q452" s="6"/>
      <c r="R452" s="6"/>
      <c r="S452" s="6"/>
    </row>
    <row r="453" ht="11.25" customHeight="1">
      <c r="A453" s="7"/>
      <c r="B453" s="5"/>
      <c r="C453" s="6"/>
      <c r="D453" s="6"/>
      <c r="E453" s="6"/>
      <c r="F453" s="6"/>
      <c r="G453" s="6"/>
      <c r="H453" s="6"/>
      <c r="I453" s="6"/>
      <c r="J453" s="11"/>
      <c r="K453" s="591"/>
      <c r="L453" s="6"/>
      <c r="M453" s="6"/>
      <c r="N453" s="6"/>
      <c r="O453" s="6"/>
      <c r="P453" s="6"/>
      <c r="Q453" s="6"/>
      <c r="R453" s="6"/>
      <c r="S453" s="6"/>
    </row>
    <row r="454" ht="11.25" customHeight="1">
      <c r="A454" s="7"/>
      <c r="B454" s="5"/>
      <c r="C454" s="6"/>
      <c r="D454" s="6"/>
      <c r="E454" s="6"/>
      <c r="F454" s="6"/>
      <c r="G454" s="6"/>
      <c r="H454" s="6"/>
      <c r="I454" s="6"/>
      <c r="J454" s="11"/>
      <c r="K454" s="591"/>
      <c r="L454" s="6"/>
      <c r="M454" s="6"/>
      <c r="N454" s="6"/>
      <c r="O454" s="6"/>
      <c r="P454" s="6"/>
      <c r="Q454" s="6"/>
      <c r="R454" s="6"/>
      <c r="S454" s="6"/>
    </row>
    <row r="455" ht="11.25" customHeight="1">
      <c r="A455" s="7"/>
      <c r="B455" s="5"/>
      <c r="C455" s="6"/>
      <c r="D455" s="6"/>
      <c r="E455" s="6"/>
      <c r="F455" s="6"/>
      <c r="G455" s="6"/>
      <c r="H455" s="6"/>
      <c r="I455" s="6"/>
      <c r="J455" s="11"/>
      <c r="K455" s="591"/>
      <c r="L455" s="6"/>
      <c r="M455" s="6"/>
      <c r="N455" s="6"/>
      <c r="O455" s="6"/>
      <c r="P455" s="6"/>
      <c r="Q455" s="6"/>
      <c r="R455" s="6"/>
      <c r="S455" s="6"/>
    </row>
    <row r="456" ht="11.25" customHeight="1">
      <c r="A456" s="7"/>
      <c r="B456" s="5"/>
      <c r="C456" s="6"/>
      <c r="D456" s="6"/>
      <c r="E456" s="6"/>
      <c r="F456" s="6"/>
      <c r="G456" s="6"/>
      <c r="H456" s="6"/>
      <c r="I456" s="6"/>
      <c r="J456" s="11"/>
      <c r="K456" s="591"/>
      <c r="L456" s="6"/>
      <c r="M456" s="6"/>
      <c r="N456" s="6"/>
      <c r="O456" s="6"/>
      <c r="P456" s="6"/>
      <c r="Q456" s="6"/>
      <c r="R456" s="6"/>
      <c r="S456" s="6"/>
    </row>
    <row r="457" ht="11.25" customHeight="1">
      <c r="A457" s="7"/>
      <c r="B457" s="5"/>
      <c r="C457" s="6"/>
      <c r="D457" s="6"/>
      <c r="E457" s="6"/>
      <c r="F457" s="6"/>
      <c r="G457" s="6"/>
      <c r="H457" s="6"/>
      <c r="I457" s="6"/>
      <c r="J457" s="11"/>
      <c r="K457" s="591"/>
      <c r="L457" s="6"/>
      <c r="M457" s="6"/>
      <c r="N457" s="6"/>
      <c r="O457" s="6"/>
      <c r="P457" s="6"/>
      <c r="Q457" s="6"/>
      <c r="R457" s="6"/>
      <c r="S457" s="6"/>
    </row>
    <row r="458" ht="11.25" customHeight="1">
      <c r="A458" s="7"/>
      <c r="B458" s="5"/>
      <c r="C458" s="6"/>
      <c r="D458" s="6"/>
      <c r="E458" s="6"/>
      <c r="F458" s="6"/>
      <c r="G458" s="6"/>
      <c r="H458" s="6"/>
      <c r="I458" s="6"/>
      <c r="J458" s="11"/>
      <c r="K458" s="591"/>
      <c r="L458" s="6"/>
      <c r="M458" s="6"/>
      <c r="N458" s="6"/>
      <c r="O458" s="6"/>
      <c r="P458" s="6"/>
      <c r="Q458" s="6"/>
      <c r="R458" s="6"/>
      <c r="S458" s="6"/>
    </row>
    <row r="459" ht="11.25" customHeight="1">
      <c r="A459" s="7"/>
      <c r="B459" s="5"/>
      <c r="C459" s="6"/>
      <c r="D459" s="6"/>
      <c r="E459" s="6"/>
      <c r="F459" s="6"/>
      <c r="G459" s="6"/>
      <c r="H459" s="6"/>
      <c r="I459" s="6"/>
      <c r="J459" s="11"/>
      <c r="K459" s="591"/>
      <c r="L459" s="6"/>
      <c r="M459" s="6"/>
      <c r="N459" s="6"/>
      <c r="O459" s="6"/>
      <c r="P459" s="6"/>
      <c r="Q459" s="6"/>
      <c r="R459" s="6"/>
      <c r="S459" s="6"/>
    </row>
    <row r="460" ht="11.25" customHeight="1">
      <c r="A460" s="7"/>
      <c r="B460" s="5"/>
      <c r="C460" s="6"/>
      <c r="D460" s="6"/>
      <c r="E460" s="6"/>
      <c r="F460" s="6"/>
      <c r="G460" s="6"/>
      <c r="H460" s="6"/>
      <c r="I460" s="6"/>
      <c r="J460" s="11"/>
      <c r="K460" s="591"/>
      <c r="L460" s="6"/>
      <c r="M460" s="6"/>
      <c r="N460" s="6"/>
      <c r="O460" s="6"/>
      <c r="P460" s="6"/>
      <c r="Q460" s="6"/>
      <c r="R460" s="6"/>
      <c r="S460" s="6"/>
    </row>
    <row r="461" ht="11.25" customHeight="1">
      <c r="A461" s="7"/>
      <c r="B461" s="5"/>
      <c r="C461" s="6"/>
      <c r="D461" s="6"/>
      <c r="E461" s="6"/>
      <c r="F461" s="6"/>
      <c r="G461" s="6"/>
      <c r="H461" s="6"/>
      <c r="I461" s="6"/>
      <c r="J461" s="11"/>
      <c r="K461" s="591"/>
      <c r="L461" s="6"/>
      <c r="M461" s="6"/>
      <c r="N461" s="6"/>
      <c r="O461" s="6"/>
      <c r="P461" s="6"/>
      <c r="Q461" s="6"/>
      <c r="R461" s="6"/>
      <c r="S461" s="6"/>
    </row>
    <row r="462" ht="11.25" customHeight="1">
      <c r="A462" s="7"/>
      <c r="B462" s="5"/>
      <c r="C462" s="6"/>
      <c r="D462" s="6"/>
      <c r="E462" s="6"/>
      <c r="F462" s="6"/>
      <c r="G462" s="6"/>
      <c r="H462" s="6"/>
      <c r="I462" s="6"/>
      <c r="J462" s="11"/>
      <c r="K462" s="591"/>
      <c r="L462" s="6"/>
      <c r="M462" s="6"/>
      <c r="N462" s="6"/>
      <c r="O462" s="6"/>
      <c r="P462" s="6"/>
      <c r="Q462" s="6"/>
      <c r="R462" s="6"/>
      <c r="S462" s="6"/>
    </row>
    <row r="463" ht="11.25" customHeight="1">
      <c r="A463" s="7"/>
      <c r="B463" s="5"/>
      <c r="C463" s="6"/>
      <c r="D463" s="6"/>
      <c r="E463" s="6"/>
      <c r="F463" s="6"/>
      <c r="G463" s="6"/>
      <c r="H463" s="6"/>
      <c r="I463" s="6"/>
      <c r="J463" s="11"/>
      <c r="K463" s="591"/>
      <c r="L463" s="6"/>
      <c r="M463" s="6"/>
      <c r="N463" s="6"/>
      <c r="O463" s="6"/>
      <c r="P463" s="6"/>
      <c r="Q463" s="6"/>
      <c r="R463" s="6"/>
      <c r="S463" s="6"/>
    </row>
    <row r="464" ht="11.25" customHeight="1">
      <c r="A464" s="7"/>
      <c r="B464" s="5"/>
      <c r="C464" s="6"/>
      <c r="D464" s="6"/>
      <c r="E464" s="6"/>
      <c r="F464" s="6"/>
      <c r="G464" s="6"/>
      <c r="H464" s="6"/>
      <c r="I464" s="6"/>
      <c r="J464" s="11"/>
      <c r="K464" s="591"/>
      <c r="L464" s="6"/>
      <c r="M464" s="6"/>
      <c r="N464" s="6"/>
      <c r="O464" s="6"/>
      <c r="P464" s="6"/>
      <c r="Q464" s="6"/>
      <c r="R464" s="6"/>
      <c r="S464" s="6"/>
    </row>
    <row r="465" ht="11.25" customHeight="1">
      <c r="A465" s="7"/>
      <c r="B465" s="5"/>
      <c r="C465" s="6"/>
      <c r="D465" s="6"/>
      <c r="E465" s="6"/>
      <c r="F465" s="6"/>
      <c r="G465" s="6"/>
      <c r="H465" s="6"/>
      <c r="I465" s="6"/>
      <c r="J465" s="11"/>
      <c r="K465" s="591"/>
      <c r="L465" s="6"/>
      <c r="M465" s="6"/>
      <c r="N465" s="6"/>
      <c r="O465" s="6"/>
      <c r="P465" s="6"/>
      <c r="Q465" s="6"/>
      <c r="R465" s="6"/>
      <c r="S465" s="6"/>
    </row>
    <row r="466" ht="11.25" customHeight="1">
      <c r="A466" s="7"/>
      <c r="B466" s="5"/>
      <c r="C466" s="6"/>
      <c r="D466" s="6"/>
      <c r="E466" s="6"/>
      <c r="F466" s="6"/>
      <c r="G466" s="6"/>
      <c r="H466" s="6"/>
      <c r="I466" s="6"/>
      <c r="J466" s="11"/>
      <c r="K466" s="591"/>
      <c r="L466" s="6"/>
      <c r="M466" s="6"/>
      <c r="N466" s="6"/>
      <c r="O466" s="6"/>
      <c r="P466" s="6"/>
      <c r="Q466" s="6"/>
      <c r="R466" s="6"/>
      <c r="S466" s="6"/>
    </row>
    <row r="467" ht="11.25" customHeight="1">
      <c r="A467" s="7"/>
      <c r="B467" s="5"/>
      <c r="C467" s="6"/>
      <c r="D467" s="6"/>
      <c r="E467" s="6"/>
      <c r="F467" s="6"/>
      <c r="G467" s="6"/>
      <c r="H467" s="6"/>
      <c r="I467" s="6"/>
      <c r="J467" s="11"/>
      <c r="K467" s="591"/>
      <c r="L467" s="6"/>
      <c r="M467" s="6"/>
      <c r="N467" s="6"/>
      <c r="O467" s="6"/>
      <c r="P467" s="6"/>
      <c r="Q467" s="6"/>
      <c r="R467" s="6"/>
      <c r="S467" s="6"/>
    </row>
    <row r="468" ht="11.25" customHeight="1">
      <c r="A468" s="7"/>
      <c r="B468" s="5"/>
      <c r="C468" s="6"/>
      <c r="D468" s="6"/>
      <c r="E468" s="6"/>
      <c r="F468" s="6"/>
      <c r="G468" s="6"/>
      <c r="H468" s="6"/>
      <c r="I468" s="6"/>
      <c r="J468" s="11"/>
      <c r="K468" s="591"/>
      <c r="L468" s="6"/>
      <c r="M468" s="6"/>
      <c r="N468" s="6"/>
      <c r="O468" s="6"/>
      <c r="P468" s="6"/>
      <c r="Q468" s="6"/>
      <c r="R468" s="6"/>
      <c r="S468" s="6"/>
    </row>
    <row r="469" ht="11.25" customHeight="1">
      <c r="A469" s="7"/>
      <c r="B469" s="5"/>
      <c r="C469" s="6"/>
      <c r="D469" s="6"/>
      <c r="E469" s="6"/>
      <c r="F469" s="6"/>
      <c r="G469" s="6"/>
      <c r="H469" s="6"/>
      <c r="I469" s="6"/>
      <c r="J469" s="11"/>
      <c r="K469" s="591"/>
      <c r="L469" s="6"/>
      <c r="M469" s="6"/>
      <c r="N469" s="6"/>
      <c r="O469" s="6"/>
      <c r="P469" s="6"/>
      <c r="Q469" s="6"/>
      <c r="R469" s="6"/>
      <c r="S469" s="6"/>
    </row>
    <row r="470" ht="11.25" customHeight="1">
      <c r="A470" s="7"/>
      <c r="B470" s="5"/>
      <c r="C470" s="6"/>
      <c r="D470" s="6"/>
      <c r="E470" s="6"/>
      <c r="F470" s="6"/>
      <c r="G470" s="6"/>
      <c r="H470" s="6"/>
      <c r="I470" s="6"/>
      <c r="J470" s="11"/>
      <c r="K470" s="591"/>
      <c r="L470" s="6"/>
      <c r="M470" s="6"/>
      <c r="N470" s="6"/>
      <c r="O470" s="6"/>
      <c r="P470" s="6"/>
      <c r="Q470" s="6"/>
      <c r="R470" s="6"/>
      <c r="S470" s="6"/>
    </row>
    <row r="471" ht="11.25" customHeight="1">
      <c r="A471" s="7"/>
      <c r="B471" s="5"/>
      <c r="C471" s="6"/>
      <c r="D471" s="6"/>
      <c r="E471" s="6"/>
      <c r="F471" s="6"/>
      <c r="G471" s="6"/>
      <c r="H471" s="6"/>
      <c r="I471" s="6"/>
      <c r="J471" s="11"/>
      <c r="K471" s="591"/>
      <c r="L471" s="6"/>
      <c r="M471" s="6"/>
      <c r="N471" s="6"/>
      <c r="O471" s="6"/>
      <c r="P471" s="6"/>
      <c r="Q471" s="6"/>
      <c r="R471" s="6"/>
      <c r="S471" s="6"/>
    </row>
    <row r="472" ht="11.25" customHeight="1">
      <c r="A472" s="7"/>
      <c r="B472" s="5"/>
      <c r="C472" s="6"/>
      <c r="D472" s="6"/>
      <c r="E472" s="6"/>
      <c r="F472" s="6"/>
      <c r="G472" s="6"/>
      <c r="H472" s="6"/>
      <c r="I472" s="6"/>
      <c r="J472" s="11"/>
      <c r="K472" s="591"/>
      <c r="L472" s="6"/>
      <c r="M472" s="6"/>
      <c r="N472" s="6"/>
      <c r="O472" s="6"/>
      <c r="P472" s="6"/>
      <c r="Q472" s="6"/>
      <c r="R472" s="6"/>
      <c r="S472" s="6"/>
    </row>
    <row r="473" ht="11.25" customHeight="1">
      <c r="A473" s="7"/>
      <c r="B473" s="5"/>
      <c r="C473" s="6"/>
      <c r="D473" s="6"/>
      <c r="E473" s="6"/>
      <c r="F473" s="6"/>
      <c r="G473" s="6"/>
      <c r="H473" s="6"/>
      <c r="I473" s="6"/>
      <c r="J473" s="11"/>
      <c r="K473" s="591"/>
      <c r="L473" s="6"/>
      <c r="M473" s="6"/>
      <c r="N473" s="6"/>
      <c r="O473" s="6"/>
      <c r="P473" s="6"/>
      <c r="Q473" s="6"/>
      <c r="R473" s="6"/>
      <c r="S473" s="6"/>
    </row>
    <row r="474" ht="11.25" customHeight="1">
      <c r="A474" s="7"/>
      <c r="B474" s="5"/>
      <c r="C474" s="6"/>
      <c r="D474" s="6"/>
      <c r="E474" s="6"/>
      <c r="F474" s="6"/>
      <c r="G474" s="6"/>
      <c r="H474" s="6"/>
      <c r="I474" s="6"/>
      <c r="J474" s="11"/>
      <c r="K474" s="591"/>
      <c r="L474" s="6"/>
      <c r="M474" s="6"/>
      <c r="N474" s="6"/>
      <c r="O474" s="6"/>
      <c r="P474" s="6"/>
      <c r="Q474" s="6"/>
      <c r="R474" s="6"/>
      <c r="S474" s="6"/>
    </row>
    <row r="475" ht="11.25" customHeight="1">
      <c r="A475" s="7"/>
      <c r="B475" s="5"/>
      <c r="C475" s="6"/>
      <c r="D475" s="6"/>
      <c r="E475" s="6"/>
      <c r="F475" s="6"/>
      <c r="G475" s="6"/>
      <c r="H475" s="6"/>
      <c r="I475" s="6"/>
      <c r="J475" s="11"/>
      <c r="K475" s="591"/>
      <c r="L475" s="6"/>
      <c r="M475" s="6"/>
      <c r="N475" s="6"/>
      <c r="O475" s="6"/>
      <c r="P475" s="6"/>
      <c r="Q475" s="6"/>
      <c r="R475" s="6"/>
      <c r="S475" s="6"/>
    </row>
    <row r="476" ht="11.25" customHeight="1">
      <c r="A476" s="7"/>
      <c r="B476" s="5"/>
      <c r="C476" s="6"/>
      <c r="D476" s="6"/>
      <c r="E476" s="6"/>
      <c r="F476" s="6"/>
      <c r="G476" s="6"/>
      <c r="H476" s="6"/>
      <c r="I476" s="6"/>
      <c r="J476" s="11"/>
      <c r="K476" s="591"/>
      <c r="L476" s="6"/>
      <c r="M476" s="6"/>
      <c r="N476" s="6"/>
      <c r="O476" s="6"/>
      <c r="P476" s="6"/>
      <c r="Q476" s="6"/>
      <c r="R476" s="6"/>
      <c r="S476" s="6"/>
    </row>
    <row r="477" ht="11.25" customHeight="1">
      <c r="A477" s="7"/>
      <c r="B477" s="5"/>
      <c r="C477" s="6"/>
      <c r="D477" s="6"/>
      <c r="E477" s="6"/>
      <c r="F477" s="6"/>
      <c r="G477" s="6"/>
      <c r="H477" s="6"/>
      <c r="I477" s="6"/>
      <c r="J477" s="11"/>
      <c r="K477" s="591"/>
      <c r="L477" s="6"/>
      <c r="M477" s="6"/>
      <c r="N477" s="6"/>
      <c r="O477" s="6"/>
      <c r="P477" s="6"/>
      <c r="Q477" s="6"/>
      <c r="R477" s="6"/>
      <c r="S477" s="6"/>
    </row>
    <row r="478" ht="11.25" customHeight="1">
      <c r="A478" s="7"/>
      <c r="B478" s="5"/>
      <c r="C478" s="6"/>
      <c r="D478" s="6"/>
      <c r="E478" s="6"/>
      <c r="F478" s="6"/>
      <c r="G478" s="6"/>
      <c r="H478" s="6"/>
      <c r="I478" s="6"/>
      <c r="J478" s="11"/>
      <c r="K478" s="591"/>
      <c r="L478" s="6"/>
      <c r="M478" s="6"/>
      <c r="N478" s="6"/>
      <c r="O478" s="6"/>
      <c r="P478" s="6"/>
      <c r="Q478" s="6"/>
      <c r="R478" s="6"/>
      <c r="S478" s="6"/>
    </row>
    <row r="479" ht="11.25" customHeight="1">
      <c r="A479" s="7"/>
      <c r="B479" s="5"/>
      <c r="C479" s="6"/>
      <c r="D479" s="6"/>
      <c r="E479" s="6"/>
      <c r="F479" s="6"/>
      <c r="G479" s="6"/>
      <c r="H479" s="6"/>
      <c r="I479" s="6"/>
      <c r="J479" s="11"/>
      <c r="K479" s="591"/>
      <c r="L479" s="6"/>
      <c r="M479" s="6"/>
      <c r="N479" s="6"/>
      <c r="O479" s="6"/>
      <c r="P479" s="6"/>
      <c r="Q479" s="6"/>
      <c r="R479" s="6"/>
      <c r="S479" s="6"/>
    </row>
    <row r="480" ht="11.25" customHeight="1">
      <c r="A480" s="7"/>
      <c r="B480" s="5"/>
      <c r="C480" s="6"/>
      <c r="D480" s="6"/>
      <c r="E480" s="6"/>
      <c r="F480" s="6"/>
      <c r="G480" s="6"/>
      <c r="H480" s="6"/>
      <c r="I480" s="6"/>
      <c r="J480" s="11"/>
      <c r="K480" s="591"/>
      <c r="L480" s="6"/>
      <c r="M480" s="6"/>
      <c r="N480" s="6"/>
      <c r="O480" s="6"/>
      <c r="P480" s="6"/>
      <c r="Q480" s="6"/>
      <c r="R480" s="6"/>
      <c r="S480" s="6"/>
    </row>
    <row r="481" ht="11.25" customHeight="1">
      <c r="A481" s="7"/>
      <c r="B481" s="5"/>
      <c r="C481" s="6"/>
      <c r="D481" s="6"/>
      <c r="E481" s="6"/>
      <c r="F481" s="6"/>
      <c r="G481" s="6"/>
      <c r="H481" s="6"/>
      <c r="I481" s="6"/>
      <c r="J481" s="11"/>
      <c r="K481" s="591"/>
      <c r="L481" s="6"/>
      <c r="M481" s="6"/>
      <c r="N481" s="6"/>
      <c r="O481" s="6"/>
      <c r="P481" s="6"/>
      <c r="Q481" s="6"/>
      <c r="R481" s="6"/>
      <c r="S481" s="6"/>
    </row>
    <row r="482" ht="11.25" customHeight="1">
      <c r="A482" s="7"/>
      <c r="B482" s="5"/>
      <c r="C482" s="6"/>
      <c r="D482" s="6"/>
      <c r="E482" s="6"/>
      <c r="F482" s="6"/>
      <c r="G482" s="6"/>
      <c r="H482" s="6"/>
      <c r="I482" s="6"/>
      <c r="J482" s="11"/>
      <c r="K482" s="591"/>
      <c r="L482" s="6"/>
      <c r="M482" s="6"/>
      <c r="N482" s="6"/>
      <c r="O482" s="6"/>
      <c r="P482" s="6"/>
      <c r="Q482" s="6"/>
      <c r="R482" s="6"/>
      <c r="S482" s="6"/>
    </row>
    <row r="483" ht="11.25" customHeight="1">
      <c r="A483" s="7"/>
      <c r="B483" s="5"/>
      <c r="C483" s="6"/>
      <c r="D483" s="6"/>
      <c r="E483" s="6"/>
      <c r="F483" s="6"/>
      <c r="G483" s="6"/>
      <c r="H483" s="6"/>
      <c r="I483" s="6"/>
      <c r="J483" s="11"/>
      <c r="K483" s="591"/>
      <c r="L483" s="6"/>
      <c r="M483" s="6"/>
      <c r="N483" s="6"/>
      <c r="O483" s="6"/>
      <c r="P483" s="6"/>
      <c r="Q483" s="6"/>
      <c r="R483" s="6"/>
      <c r="S483" s="6"/>
    </row>
    <row r="484" ht="11.25" customHeight="1">
      <c r="A484" s="7"/>
      <c r="B484" s="5"/>
      <c r="C484" s="6"/>
      <c r="D484" s="6"/>
      <c r="E484" s="6"/>
      <c r="F484" s="6"/>
      <c r="G484" s="6"/>
      <c r="H484" s="6"/>
      <c r="I484" s="6"/>
      <c r="J484" s="11"/>
      <c r="K484" s="591"/>
      <c r="L484" s="6"/>
      <c r="M484" s="6"/>
      <c r="N484" s="6"/>
      <c r="O484" s="6"/>
      <c r="P484" s="6"/>
      <c r="Q484" s="6"/>
      <c r="R484" s="6"/>
      <c r="S484" s="6"/>
    </row>
    <row r="485" ht="11.25" customHeight="1">
      <c r="A485" s="7"/>
      <c r="B485" s="5"/>
      <c r="C485" s="6"/>
      <c r="D485" s="6"/>
      <c r="E485" s="6"/>
      <c r="F485" s="6"/>
      <c r="G485" s="6"/>
      <c r="H485" s="6"/>
      <c r="I485" s="6"/>
      <c r="J485" s="11"/>
      <c r="K485" s="591"/>
      <c r="L485" s="6"/>
      <c r="M485" s="6"/>
      <c r="N485" s="6"/>
      <c r="O485" s="6"/>
      <c r="P485" s="6"/>
      <c r="Q485" s="6"/>
      <c r="R485" s="6"/>
      <c r="S485" s="6"/>
    </row>
    <row r="486" ht="11.25" customHeight="1">
      <c r="A486" s="7"/>
      <c r="B486" s="5"/>
      <c r="C486" s="6"/>
      <c r="D486" s="6"/>
      <c r="E486" s="6"/>
      <c r="F486" s="6"/>
      <c r="G486" s="6"/>
      <c r="H486" s="6"/>
      <c r="I486" s="6"/>
      <c r="J486" s="11"/>
      <c r="K486" s="591"/>
      <c r="L486" s="6"/>
      <c r="M486" s="6"/>
      <c r="N486" s="6"/>
      <c r="O486" s="6"/>
      <c r="P486" s="6"/>
      <c r="Q486" s="6"/>
      <c r="R486" s="6"/>
      <c r="S486" s="6"/>
    </row>
    <row r="487" ht="11.25" customHeight="1">
      <c r="A487" s="7"/>
      <c r="B487" s="5"/>
      <c r="C487" s="6"/>
      <c r="D487" s="6"/>
      <c r="E487" s="6"/>
      <c r="F487" s="6"/>
      <c r="G487" s="6"/>
      <c r="H487" s="6"/>
      <c r="I487" s="6"/>
      <c r="J487" s="11"/>
      <c r="K487" s="591"/>
      <c r="L487" s="6"/>
      <c r="M487" s="6"/>
      <c r="N487" s="6"/>
      <c r="O487" s="6"/>
      <c r="P487" s="6"/>
      <c r="Q487" s="6"/>
      <c r="R487" s="6"/>
      <c r="S487" s="6"/>
    </row>
    <row r="488" ht="11.25" customHeight="1">
      <c r="A488" s="7"/>
      <c r="B488" s="5"/>
      <c r="C488" s="6"/>
      <c r="D488" s="6"/>
      <c r="E488" s="6"/>
      <c r="F488" s="6"/>
      <c r="G488" s="6"/>
      <c r="H488" s="6"/>
      <c r="I488" s="6"/>
      <c r="J488" s="11"/>
      <c r="K488" s="591"/>
      <c r="L488" s="6"/>
      <c r="M488" s="6"/>
      <c r="N488" s="6"/>
      <c r="O488" s="6"/>
      <c r="P488" s="6"/>
      <c r="Q488" s="6"/>
      <c r="R488" s="6"/>
      <c r="S488" s="6"/>
    </row>
    <row r="489" ht="11.25" customHeight="1">
      <c r="A489" s="7"/>
      <c r="B489" s="5"/>
      <c r="C489" s="6"/>
      <c r="D489" s="6"/>
      <c r="E489" s="6"/>
      <c r="F489" s="6"/>
      <c r="G489" s="6"/>
      <c r="H489" s="6"/>
      <c r="I489" s="6"/>
      <c r="J489" s="11"/>
      <c r="K489" s="591"/>
      <c r="L489" s="6"/>
      <c r="M489" s="6"/>
      <c r="N489" s="6"/>
      <c r="O489" s="6"/>
      <c r="P489" s="6"/>
      <c r="Q489" s="6"/>
      <c r="R489" s="6"/>
      <c r="S489" s="6"/>
    </row>
    <row r="490" ht="11.25" customHeight="1">
      <c r="A490" s="7"/>
      <c r="B490" s="5"/>
      <c r="C490" s="6"/>
      <c r="D490" s="6"/>
      <c r="E490" s="6"/>
      <c r="F490" s="6"/>
      <c r="G490" s="6"/>
      <c r="H490" s="6"/>
      <c r="I490" s="6"/>
      <c r="J490" s="11"/>
      <c r="K490" s="591"/>
      <c r="L490" s="6"/>
      <c r="M490" s="6"/>
      <c r="N490" s="6"/>
      <c r="O490" s="6"/>
      <c r="P490" s="6"/>
      <c r="Q490" s="6"/>
      <c r="R490" s="6"/>
      <c r="S490" s="6"/>
    </row>
    <row r="491" ht="11.25" customHeight="1">
      <c r="A491" s="7"/>
      <c r="B491" s="5"/>
      <c r="C491" s="6"/>
      <c r="D491" s="6"/>
      <c r="E491" s="6"/>
      <c r="F491" s="6"/>
      <c r="G491" s="6"/>
      <c r="H491" s="6"/>
      <c r="I491" s="6"/>
      <c r="J491" s="11"/>
      <c r="K491" s="591"/>
      <c r="L491" s="6"/>
      <c r="M491" s="6"/>
      <c r="N491" s="6"/>
      <c r="O491" s="6"/>
      <c r="P491" s="6"/>
      <c r="Q491" s="6"/>
      <c r="R491" s="6"/>
      <c r="S491" s="6"/>
    </row>
    <row r="492" ht="11.25" customHeight="1">
      <c r="A492" s="7"/>
      <c r="B492" s="5"/>
      <c r="C492" s="6"/>
      <c r="D492" s="6"/>
      <c r="E492" s="6"/>
      <c r="F492" s="6"/>
      <c r="G492" s="6"/>
      <c r="H492" s="6"/>
      <c r="I492" s="6"/>
      <c r="J492" s="11"/>
      <c r="K492" s="591"/>
      <c r="L492" s="6"/>
      <c r="M492" s="6"/>
      <c r="N492" s="6"/>
      <c r="O492" s="6"/>
      <c r="P492" s="6"/>
      <c r="Q492" s="6"/>
      <c r="R492" s="6"/>
      <c r="S492" s="6"/>
    </row>
    <row r="493" ht="11.25" customHeight="1">
      <c r="A493" s="7"/>
      <c r="B493" s="5"/>
      <c r="C493" s="6"/>
      <c r="D493" s="6"/>
      <c r="E493" s="6"/>
      <c r="F493" s="6"/>
      <c r="G493" s="6"/>
      <c r="H493" s="6"/>
      <c r="I493" s="6"/>
      <c r="J493" s="11"/>
      <c r="K493" s="591"/>
      <c r="L493" s="6"/>
      <c r="M493" s="6"/>
      <c r="N493" s="6"/>
      <c r="O493" s="6"/>
      <c r="P493" s="6"/>
      <c r="Q493" s="6"/>
      <c r="R493" s="6"/>
      <c r="S493" s="6"/>
    </row>
    <row r="494" ht="11.25" customHeight="1">
      <c r="A494" s="7"/>
      <c r="B494" s="5"/>
      <c r="C494" s="6"/>
      <c r="D494" s="6"/>
      <c r="E494" s="6"/>
      <c r="F494" s="6"/>
      <c r="G494" s="6"/>
      <c r="H494" s="6"/>
      <c r="I494" s="6"/>
      <c r="J494" s="11"/>
      <c r="K494" s="591"/>
      <c r="L494" s="6"/>
      <c r="M494" s="6"/>
      <c r="N494" s="6"/>
      <c r="O494" s="6"/>
      <c r="P494" s="6"/>
      <c r="Q494" s="6"/>
      <c r="R494" s="6"/>
      <c r="S494" s="6"/>
    </row>
    <row r="495" ht="11.25" customHeight="1">
      <c r="A495" s="7"/>
      <c r="B495" s="5"/>
      <c r="C495" s="6"/>
      <c r="D495" s="6"/>
      <c r="E495" s="6"/>
      <c r="F495" s="6"/>
      <c r="G495" s="6"/>
      <c r="H495" s="6"/>
      <c r="I495" s="6"/>
      <c r="J495" s="11"/>
      <c r="K495" s="591"/>
      <c r="L495" s="6"/>
      <c r="M495" s="6"/>
      <c r="N495" s="6"/>
      <c r="O495" s="6"/>
      <c r="P495" s="6"/>
      <c r="Q495" s="6"/>
      <c r="R495" s="6"/>
      <c r="S495" s="6"/>
    </row>
    <row r="496" ht="11.25" customHeight="1">
      <c r="A496" s="7"/>
      <c r="B496" s="5"/>
      <c r="C496" s="6"/>
      <c r="D496" s="6"/>
      <c r="E496" s="6"/>
      <c r="F496" s="6"/>
      <c r="G496" s="6"/>
      <c r="H496" s="6"/>
      <c r="I496" s="6"/>
      <c r="J496" s="11"/>
      <c r="K496" s="591"/>
      <c r="L496" s="6"/>
      <c r="M496" s="6"/>
      <c r="N496" s="6"/>
      <c r="O496" s="6"/>
      <c r="P496" s="6"/>
      <c r="Q496" s="6"/>
      <c r="R496" s="6"/>
      <c r="S496" s="6"/>
    </row>
    <row r="497" ht="11.25" customHeight="1">
      <c r="A497" s="7"/>
      <c r="B497" s="5"/>
      <c r="C497" s="6"/>
      <c r="D497" s="6"/>
      <c r="E497" s="6"/>
      <c r="F497" s="6"/>
      <c r="G497" s="6"/>
      <c r="H497" s="6"/>
      <c r="I497" s="6"/>
      <c r="J497" s="11"/>
      <c r="K497" s="591"/>
      <c r="L497" s="6"/>
      <c r="M497" s="6"/>
      <c r="N497" s="6"/>
      <c r="O497" s="6"/>
      <c r="P497" s="6"/>
      <c r="Q497" s="6"/>
      <c r="R497" s="6"/>
      <c r="S497" s="6"/>
    </row>
    <row r="498" ht="11.25" customHeight="1">
      <c r="A498" s="7"/>
      <c r="B498" s="5"/>
      <c r="C498" s="6"/>
      <c r="D498" s="6"/>
      <c r="E498" s="6"/>
      <c r="F498" s="6"/>
      <c r="G498" s="6"/>
      <c r="H498" s="6"/>
      <c r="I498" s="6"/>
      <c r="J498" s="11"/>
      <c r="K498" s="591"/>
      <c r="L498" s="6"/>
      <c r="M498" s="6"/>
      <c r="N498" s="6"/>
      <c r="O498" s="6"/>
      <c r="P498" s="6"/>
      <c r="Q498" s="6"/>
      <c r="R498" s="6"/>
      <c r="S498" s="6"/>
    </row>
    <row r="499" ht="11.25" customHeight="1">
      <c r="A499" s="7"/>
      <c r="B499" s="5"/>
      <c r="C499" s="6"/>
      <c r="D499" s="6"/>
      <c r="E499" s="6"/>
      <c r="F499" s="6"/>
      <c r="G499" s="6"/>
      <c r="H499" s="6"/>
      <c r="I499" s="6"/>
      <c r="J499" s="11"/>
      <c r="K499" s="591"/>
      <c r="L499" s="6"/>
      <c r="M499" s="6"/>
      <c r="N499" s="6"/>
      <c r="O499" s="6"/>
      <c r="P499" s="6"/>
      <c r="Q499" s="6"/>
      <c r="R499" s="6"/>
      <c r="S499" s="6"/>
    </row>
    <row r="500" ht="11.25" customHeight="1">
      <c r="A500" s="7"/>
      <c r="B500" s="5"/>
      <c r="C500" s="6"/>
      <c r="D500" s="6"/>
      <c r="E500" s="6"/>
      <c r="F500" s="6"/>
      <c r="G500" s="6"/>
      <c r="H500" s="6"/>
      <c r="I500" s="6"/>
      <c r="J500" s="11"/>
      <c r="K500" s="591"/>
      <c r="L500" s="6"/>
      <c r="M500" s="6"/>
      <c r="N500" s="6"/>
      <c r="O500" s="6"/>
      <c r="P500" s="6"/>
      <c r="Q500" s="6"/>
      <c r="R500" s="6"/>
      <c r="S500" s="6"/>
    </row>
    <row r="501" ht="11.25" customHeight="1">
      <c r="A501" s="7"/>
      <c r="B501" s="5"/>
      <c r="C501" s="6"/>
      <c r="D501" s="6"/>
      <c r="E501" s="6"/>
      <c r="F501" s="6"/>
      <c r="G501" s="6"/>
      <c r="H501" s="6"/>
      <c r="I501" s="6"/>
      <c r="J501" s="11"/>
      <c r="K501" s="591"/>
      <c r="L501" s="6"/>
      <c r="M501" s="6"/>
      <c r="N501" s="6"/>
      <c r="O501" s="6"/>
      <c r="P501" s="6"/>
      <c r="Q501" s="6"/>
      <c r="R501" s="6"/>
      <c r="S501" s="6"/>
    </row>
    <row r="502" ht="11.25" customHeight="1">
      <c r="A502" s="7"/>
      <c r="B502" s="5"/>
      <c r="C502" s="6"/>
      <c r="D502" s="6"/>
      <c r="E502" s="6"/>
      <c r="F502" s="6"/>
      <c r="G502" s="6"/>
      <c r="H502" s="6"/>
      <c r="I502" s="6"/>
      <c r="J502" s="11"/>
      <c r="K502" s="591"/>
      <c r="L502" s="6"/>
      <c r="M502" s="6"/>
      <c r="N502" s="6"/>
      <c r="O502" s="6"/>
      <c r="P502" s="6"/>
      <c r="Q502" s="6"/>
      <c r="R502" s="6"/>
      <c r="S502" s="6"/>
    </row>
    <row r="503" ht="11.25" customHeight="1">
      <c r="A503" s="7"/>
      <c r="B503" s="5"/>
      <c r="C503" s="6"/>
      <c r="D503" s="6"/>
      <c r="E503" s="6"/>
      <c r="F503" s="6"/>
      <c r="G503" s="6"/>
      <c r="H503" s="6"/>
      <c r="I503" s="6"/>
      <c r="J503" s="11"/>
      <c r="K503" s="591"/>
      <c r="L503" s="6"/>
      <c r="M503" s="6"/>
      <c r="N503" s="6"/>
      <c r="O503" s="6"/>
      <c r="P503" s="6"/>
      <c r="Q503" s="6"/>
      <c r="R503" s="6"/>
      <c r="S503" s="6"/>
    </row>
    <row r="504" ht="11.25" customHeight="1">
      <c r="A504" s="7"/>
      <c r="B504" s="5"/>
      <c r="C504" s="6"/>
      <c r="D504" s="6"/>
      <c r="E504" s="6"/>
      <c r="F504" s="6"/>
      <c r="G504" s="6"/>
      <c r="H504" s="6"/>
      <c r="I504" s="6"/>
      <c r="J504" s="11"/>
      <c r="K504" s="591"/>
      <c r="L504" s="6"/>
      <c r="M504" s="6"/>
      <c r="N504" s="6"/>
      <c r="O504" s="6"/>
      <c r="P504" s="6"/>
      <c r="Q504" s="6"/>
      <c r="R504" s="6"/>
      <c r="S504" s="6"/>
    </row>
    <row r="505" ht="11.25" customHeight="1">
      <c r="A505" s="7"/>
      <c r="B505" s="5"/>
      <c r="C505" s="6"/>
      <c r="D505" s="6"/>
      <c r="E505" s="6"/>
      <c r="F505" s="6"/>
      <c r="G505" s="6"/>
      <c r="H505" s="6"/>
      <c r="I505" s="6"/>
      <c r="J505" s="11"/>
      <c r="K505" s="591"/>
      <c r="L505" s="6"/>
      <c r="M505" s="6"/>
      <c r="N505" s="6"/>
      <c r="O505" s="6"/>
      <c r="P505" s="6"/>
      <c r="Q505" s="6"/>
      <c r="R505" s="6"/>
      <c r="S505" s="6"/>
    </row>
    <row r="506" ht="11.25" customHeight="1">
      <c r="A506" s="7"/>
      <c r="B506" s="5"/>
      <c r="C506" s="6"/>
      <c r="D506" s="6"/>
      <c r="E506" s="6"/>
      <c r="F506" s="6"/>
      <c r="G506" s="6"/>
      <c r="H506" s="6"/>
      <c r="I506" s="6"/>
      <c r="J506" s="11"/>
      <c r="K506" s="591"/>
      <c r="L506" s="6"/>
      <c r="M506" s="6"/>
      <c r="N506" s="6"/>
      <c r="O506" s="6"/>
      <c r="P506" s="6"/>
      <c r="Q506" s="6"/>
      <c r="R506" s="6"/>
      <c r="S506" s="6"/>
    </row>
    <row r="507" ht="11.25" customHeight="1">
      <c r="A507" s="7"/>
      <c r="B507" s="5"/>
      <c r="C507" s="6"/>
      <c r="D507" s="6"/>
      <c r="E507" s="6"/>
      <c r="F507" s="6"/>
      <c r="G507" s="6"/>
      <c r="H507" s="6"/>
      <c r="I507" s="6"/>
      <c r="J507" s="11"/>
      <c r="K507" s="591"/>
      <c r="L507" s="6"/>
      <c r="M507" s="6"/>
      <c r="N507" s="6"/>
      <c r="O507" s="6"/>
      <c r="P507" s="6"/>
      <c r="Q507" s="6"/>
      <c r="R507" s="6"/>
      <c r="S507" s="6"/>
    </row>
    <row r="508" ht="11.25" customHeight="1">
      <c r="A508" s="7"/>
      <c r="B508" s="5"/>
      <c r="C508" s="6"/>
      <c r="D508" s="6"/>
      <c r="E508" s="6"/>
      <c r="F508" s="6"/>
      <c r="G508" s="6"/>
      <c r="H508" s="6"/>
      <c r="I508" s="6"/>
      <c r="J508" s="11"/>
      <c r="K508" s="591"/>
      <c r="L508" s="6"/>
      <c r="M508" s="6"/>
      <c r="N508" s="6"/>
      <c r="O508" s="6"/>
      <c r="P508" s="6"/>
      <c r="Q508" s="6"/>
      <c r="R508" s="6"/>
      <c r="S508" s="6"/>
    </row>
    <row r="509" ht="11.25" customHeight="1">
      <c r="A509" s="7"/>
      <c r="B509" s="5"/>
      <c r="C509" s="6"/>
      <c r="D509" s="6"/>
      <c r="E509" s="6"/>
      <c r="F509" s="6"/>
      <c r="G509" s="6"/>
      <c r="H509" s="6"/>
      <c r="I509" s="6"/>
      <c r="J509" s="11"/>
      <c r="K509" s="591"/>
      <c r="L509" s="6"/>
      <c r="M509" s="6"/>
      <c r="N509" s="6"/>
      <c r="O509" s="6"/>
      <c r="P509" s="6"/>
      <c r="Q509" s="6"/>
      <c r="R509" s="6"/>
      <c r="S509" s="6"/>
    </row>
    <row r="510" ht="11.25" customHeight="1">
      <c r="A510" s="7"/>
      <c r="B510" s="5"/>
      <c r="C510" s="6"/>
      <c r="D510" s="6"/>
      <c r="E510" s="6"/>
      <c r="F510" s="6"/>
      <c r="G510" s="6"/>
      <c r="H510" s="6"/>
      <c r="I510" s="6"/>
      <c r="J510" s="11"/>
      <c r="K510" s="591"/>
      <c r="L510" s="6"/>
      <c r="M510" s="6"/>
      <c r="N510" s="6"/>
      <c r="O510" s="6"/>
      <c r="P510" s="6"/>
      <c r="Q510" s="6"/>
      <c r="R510" s="6"/>
      <c r="S510" s="6"/>
    </row>
    <row r="511" ht="11.25" customHeight="1">
      <c r="A511" s="7"/>
      <c r="B511" s="5"/>
      <c r="C511" s="6"/>
      <c r="D511" s="6"/>
      <c r="E511" s="6"/>
      <c r="F511" s="6"/>
      <c r="G511" s="6"/>
      <c r="H511" s="6"/>
      <c r="I511" s="6"/>
      <c r="J511" s="11"/>
      <c r="K511" s="591"/>
      <c r="L511" s="6"/>
      <c r="M511" s="6"/>
      <c r="N511" s="6"/>
      <c r="O511" s="6"/>
      <c r="P511" s="6"/>
      <c r="Q511" s="6"/>
      <c r="R511" s="6"/>
      <c r="S511" s="6"/>
    </row>
    <row r="512" ht="11.25" customHeight="1">
      <c r="A512" s="7"/>
      <c r="B512" s="5"/>
      <c r="C512" s="6"/>
      <c r="D512" s="6"/>
      <c r="E512" s="6"/>
      <c r="F512" s="6"/>
      <c r="G512" s="6"/>
      <c r="H512" s="6"/>
      <c r="I512" s="6"/>
      <c r="J512" s="11"/>
      <c r="K512" s="591"/>
      <c r="L512" s="6"/>
      <c r="M512" s="6"/>
      <c r="N512" s="6"/>
      <c r="O512" s="6"/>
      <c r="P512" s="6"/>
      <c r="Q512" s="6"/>
      <c r="R512" s="6"/>
      <c r="S512" s="6"/>
    </row>
    <row r="513" ht="11.25" customHeight="1">
      <c r="A513" s="7"/>
      <c r="B513" s="5"/>
      <c r="C513" s="6"/>
      <c r="D513" s="6"/>
      <c r="E513" s="6"/>
      <c r="F513" s="6"/>
      <c r="G513" s="6"/>
      <c r="H513" s="6"/>
      <c r="I513" s="6"/>
      <c r="J513" s="11"/>
      <c r="K513" s="591"/>
      <c r="L513" s="6"/>
      <c r="M513" s="6"/>
      <c r="N513" s="6"/>
      <c r="O513" s="6"/>
      <c r="P513" s="6"/>
      <c r="Q513" s="6"/>
      <c r="R513" s="6"/>
      <c r="S513" s="6"/>
    </row>
    <row r="514" ht="11.25" customHeight="1">
      <c r="A514" s="7"/>
      <c r="B514" s="5"/>
      <c r="C514" s="6"/>
      <c r="D514" s="6"/>
      <c r="E514" s="6"/>
      <c r="F514" s="6"/>
      <c r="G514" s="6"/>
      <c r="H514" s="6"/>
      <c r="I514" s="6"/>
      <c r="J514" s="11"/>
      <c r="K514" s="591"/>
      <c r="L514" s="6"/>
      <c r="M514" s="6"/>
      <c r="N514" s="6"/>
      <c r="O514" s="6"/>
      <c r="P514" s="6"/>
      <c r="Q514" s="6"/>
      <c r="R514" s="6"/>
      <c r="S514" s="6"/>
    </row>
    <row r="515" ht="11.25" customHeight="1">
      <c r="A515" s="7"/>
      <c r="B515" s="5"/>
      <c r="C515" s="6"/>
      <c r="D515" s="6"/>
      <c r="E515" s="6"/>
      <c r="F515" s="6"/>
      <c r="G515" s="6"/>
      <c r="H515" s="6"/>
      <c r="I515" s="6"/>
      <c r="J515" s="11"/>
      <c r="K515" s="591"/>
      <c r="L515" s="6"/>
      <c r="M515" s="6"/>
      <c r="N515" s="6"/>
      <c r="O515" s="6"/>
      <c r="P515" s="6"/>
      <c r="Q515" s="6"/>
      <c r="R515" s="6"/>
      <c r="S515" s="6"/>
    </row>
    <row r="516" ht="11.25" customHeight="1">
      <c r="A516" s="7"/>
      <c r="B516" s="5"/>
      <c r="C516" s="6"/>
      <c r="D516" s="6"/>
      <c r="E516" s="6"/>
      <c r="F516" s="6"/>
      <c r="G516" s="6"/>
      <c r="H516" s="6"/>
      <c r="I516" s="6"/>
      <c r="J516" s="11"/>
      <c r="K516" s="591"/>
      <c r="L516" s="6"/>
      <c r="M516" s="6"/>
      <c r="N516" s="6"/>
      <c r="O516" s="6"/>
      <c r="P516" s="6"/>
      <c r="Q516" s="6"/>
      <c r="R516" s="6"/>
      <c r="S516" s="6"/>
    </row>
    <row r="517" ht="11.25" customHeight="1">
      <c r="A517" s="7"/>
      <c r="B517" s="5"/>
      <c r="C517" s="6"/>
      <c r="D517" s="6"/>
      <c r="E517" s="6"/>
      <c r="F517" s="6"/>
      <c r="G517" s="6"/>
      <c r="H517" s="6"/>
      <c r="I517" s="6"/>
      <c r="J517" s="11"/>
      <c r="K517" s="591"/>
      <c r="L517" s="6"/>
      <c r="M517" s="6"/>
      <c r="N517" s="6"/>
      <c r="O517" s="6"/>
      <c r="P517" s="6"/>
      <c r="Q517" s="6"/>
      <c r="R517" s="6"/>
      <c r="S517" s="6"/>
    </row>
    <row r="518" ht="11.25" customHeight="1">
      <c r="A518" s="7"/>
      <c r="B518" s="5"/>
      <c r="C518" s="6"/>
      <c r="D518" s="6"/>
      <c r="E518" s="6"/>
      <c r="F518" s="6"/>
      <c r="G518" s="6"/>
      <c r="H518" s="6"/>
      <c r="I518" s="6"/>
      <c r="J518" s="11"/>
      <c r="K518" s="591"/>
      <c r="L518" s="6"/>
      <c r="M518" s="6"/>
      <c r="N518" s="6"/>
      <c r="O518" s="6"/>
      <c r="P518" s="6"/>
      <c r="Q518" s="6"/>
      <c r="R518" s="6"/>
      <c r="S518" s="6"/>
    </row>
    <row r="519" ht="11.25" customHeight="1">
      <c r="A519" s="7"/>
      <c r="B519" s="5"/>
      <c r="C519" s="6"/>
      <c r="D519" s="6"/>
      <c r="E519" s="6"/>
      <c r="F519" s="6"/>
      <c r="G519" s="6"/>
      <c r="H519" s="6"/>
      <c r="I519" s="6"/>
      <c r="J519" s="11"/>
      <c r="K519" s="591"/>
      <c r="L519" s="6"/>
      <c r="M519" s="6"/>
      <c r="N519" s="6"/>
      <c r="O519" s="6"/>
      <c r="P519" s="6"/>
      <c r="Q519" s="6"/>
      <c r="R519" s="6"/>
      <c r="S519" s="6"/>
    </row>
    <row r="520" ht="11.25" customHeight="1">
      <c r="A520" s="7"/>
      <c r="B520" s="5"/>
      <c r="C520" s="6"/>
      <c r="D520" s="6"/>
      <c r="E520" s="6"/>
      <c r="F520" s="6"/>
      <c r="G520" s="6"/>
      <c r="H520" s="6"/>
      <c r="I520" s="6"/>
      <c r="J520" s="11"/>
      <c r="K520" s="591"/>
      <c r="L520" s="6"/>
      <c r="M520" s="6"/>
      <c r="N520" s="6"/>
      <c r="O520" s="6"/>
      <c r="P520" s="6"/>
      <c r="Q520" s="6"/>
      <c r="R520" s="6"/>
      <c r="S520" s="6"/>
    </row>
    <row r="521" ht="11.25" customHeight="1">
      <c r="A521" s="7"/>
      <c r="B521" s="5"/>
      <c r="C521" s="6"/>
      <c r="D521" s="6"/>
      <c r="E521" s="6"/>
      <c r="F521" s="6"/>
      <c r="G521" s="6"/>
      <c r="H521" s="6"/>
      <c r="I521" s="6"/>
      <c r="J521" s="11"/>
      <c r="K521" s="591"/>
      <c r="L521" s="6"/>
      <c r="M521" s="6"/>
      <c r="N521" s="6"/>
      <c r="O521" s="6"/>
      <c r="P521" s="6"/>
      <c r="Q521" s="6"/>
      <c r="R521" s="6"/>
      <c r="S521" s="6"/>
    </row>
    <row r="522" ht="11.25" customHeight="1">
      <c r="A522" s="7"/>
      <c r="B522" s="5"/>
      <c r="C522" s="6"/>
      <c r="D522" s="6"/>
      <c r="E522" s="6"/>
      <c r="F522" s="6"/>
      <c r="G522" s="6"/>
      <c r="H522" s="6"/>
      <c r="I522" s="6"/>
      <c r="J522" s="11"/>
      <c r="K522" s="591"/>
      <c r="L522" s="6"/>
      <c r="M522" s="6"/>
      <c r="N522" s="6"/>
      <c r="O522" s="6"/>
      <c r="P522" s="6"/>
      <c r="Q522" s="6"/>
      <c r="R522" s="6"/>
      <c r="S522" s="6"/>
    </row>
    <row r="523" ht="11.25" customHeight="1">
      <c r="A523" s="7"/>
      <c r="B523" s="5"/>
      <c r="C523" s="6"/>
      <c r="D523" s="6"/>
      <c r="E523" s="6"/>
      <c r="F523" s="6"/>
      <c r="G523" s="6"/>
      <c r="H523" s="6"/>
      <c r="I523" s="6"/>
      <c r="J523" s="11"/>
      <c r="K523" s="591"/>
      <c r="L523" s="6"/>
      <c r="M523" s="6"/>
      <c r="N523" s="6"/>
      <c r="O523" s="6"/>
      <c r="P523" s="6"/>
      <c r="Q523" s="6"/>
      <c r="R523" s="6"/>
      <c r="S523" s="6"/>
    </row>
    <row r="524" ht="11.25" customHeight="1">
      <c r="A524" s="7"/>
      <c r="B524" s="5"/>
      <c r="C524" s="6"/>
      <c r="D524" s="6"/>
      <c r="E524" s="6"/>
      <c r="F524" s="6"/>
      <c r="G524" s="6"/>
      <c r="H524" s="6"/>
      <c r="I524" s="6"/>
      <c r="J524" s="11"/>
      <c r="K524" s="591"/>
      <c r="L524" s="6"/>
      <c r="M524" s="6"/>
      <c r="N524" s="6"/>
      <c r="O524" s="6"/>
      <c r="P524" s="6"/>
      <c r="Q524" s="6"/>
      <c r="R524" s="6"/>
      <c r="S524" s="6"/>
    </row>
    <row r="525" ht="11.25" customHeight="1">
      <c r="A525" s="7"/>
      <c r="B525" s="5"/>
      <c r="C525" s="6"/>
      <c r="D525" s="6"/>
      <c r="E525" s="6"/>
      <c r="F525" s="6"/>
      <c r="G525" s="6"/>
      <c r="H525" s="6"/>
      <c r="I525" s="6"/>
      <c r="J525" s="11"/>
      <c r="K525" s="591"/>
      <c r="L525" s="6"/>
      <c r="M525" s="6"/>
      <c r="N525" s="6"/>
      <c r="O525" s="6"/>
      <c r="P525" s="6"/>
      <c r="Q525" s="6"/>
      <c r="R525" s="6"/>
      <c r="S525" s="6"/>
    </row>
    <row r="526" ht="11.25" customHeight="1">
      <c r="A526" s="7"/>
      <c r="B526" s="5"/>
      <c r="C526" s="6"/>
      <c r="D526" s="6"/>
      <c r="E526" s="6"/>
      <c r="F526" s="6"/>
      <c r="G526" s="6"/>
      <c r="H526" s="6"/>
      <c r="I526" s="6"/>
      <c r="J526" s="11"/>
      <c r="K526" s="591"/>
      <c r="L526" s="6"/>
      <c r="M526" s="6"/>
      <c r="N526" s="6"/>
      <c r="O526" s="6"/>
      <c r="P526" s="6"/>
      <c r="Q526" s="6"/>
      <c r="R526" s="6"/>
      <c r="S526" s="6"/>
    </row>
    <row r="527" ht="11.25" customHeight="1">
      <c r="A527" s="7"/>
      <c r="B527" s="5"/>
      <c r="C527" s="6"/>
      <c r="D527" s="6"/>
      <c r="E527" s="6"/>
      <c r="F527" s="6"/>
      <c r="G527" s="6"/>
      <c r="H527" s="6"/>
      <c r="I527" s="6"/>
      <c r="J527" s="11"/>
      <c r="K527" s="591"/>
      <c r="L527" s="6"/>
      <c r="M527" s="6"/>
      <c r="N527" s="6"/>
      <c r="O527" s="6"/>
      <c r="P527" s="6"/>
      <c r="Q527" s="6"/>
      <c r="R527" s="6"/>
      <c r="S527" s="6"/>
    </row>
    <row r="528" ht="11.25" customHeight="1">
      <c r="A528" s="7"/>
      <c r="B528" s="5"/>
      <c r="C528" s="6"/>
      <c r="D528" s="6"/>
      <c r="E528" s="6"/>
      <c r="F528" s="6"/>
      <c r="G528" s="6"/>
      <c r="H528" s="6"/>
      <c r="I528" s="6"/>
      <c r="J528" s="11"/>
      <c r="K528" s="591"/>
      <c r="L528" s="6"/>
      <c r="M528" s="6"/>
      <c r="N528" s="6"/>
      <c r="O528" s="6"/>
      <c r="P528" s="6"/>
      <c r="Q528" s="6"/>
      <c r="R528" s="6"/>
      <c r="S528" s="6"/>
    </row>
    <row r="529" ht="11.25" customHeight="1">
      <c r="A529" s="7"/>
      <c r="B529" s="5"/>
      <c r="C529" s="6"/>
      <c r="D529" s="6"/>
      <c r="E529" s="6"/>
      <c r="F529" s="6"/>
      <c r="G529" s="6"/>
      <c r="H529" s="6"/>
      <c r="I529" s="6"/>
      <c r="J529" s="11"/>
      <c r="K529" s="591"/>
      <c r="L529" s="6"/>
      <c r="M529" s="6"/>
      <c r="N529" s="6"/>
      <c r="O529" s="6"/>
      <c r="P529" s="6"/>
      <c r="Q529" s="6"/>
      <c r="R529" s="6"/>
      <c r="S529" s="6"/>
    </row>
    <row r="530" ht="11.25" customHeight="1">
      <c r="A530" s="7"/>
      <c r="B530" s="5"/>
      <c r="C530" s="6"/>
      <c r="D530" s="6"/>
      <c r="E530" s="6"/>
      <c r="F530" s="6"/>
      <c r="G530" s="6"/>
      <c r="H530" s="6"/>
      <c r="I530" s="6"/>
      <c r="J530" s="11"/>
      <c r="K530" s="591"/>
      <c r="L530" s="6"/>
      <c r="M530" s="6"/>
      <c r="N530" s="6"/>
      <c r="O530" s="6"/>
      <c r="P530" s="6"/>
      <c r="Q530" s="6"/>
      <c r="R530" s="6"/>
      <c r="S530" s="6"/>
    </row>
    <row r="531" ht="11.25" customHeight="1">
      <c r="A531" s="7"/>
      <c r="B531" s="5"/>
      <c r="C531" s="6"/>
      <c r="D531" s="6"/>
      <c r="E531" s="6"/>
      <c r="F531" s="6"/>
      <c r="G531" s="6"/>
      <c r="H531" s="6"/>
      <c r="I531" s="6"/>
      <c r="J531" s="11"/>
      <c r="K531" s="591"/>
      <c r="L531" s="6"/>
      <c r="M531" s="6"/>
      <c r="N531" s="6"/>
      <c r="O531" s="6"/>
      <c r="P531" s="6"/>
      <c r="Q531" s="6"/>
      <c r="R531" s="6"/>
      <c r="S531" s="6"/>
    </row>
    <row r="532" ht="11.25" customHeight="1">
      <c r="A532" s="7"/>
      <c r="B532" s="5"/>
      <c r="C532" s="6"/>
      <c r="D532" s="6"/>
      <c r="E532" s="6"/>
      <c r="F532" s="6"/>
      <c r="G532" s="6"/>
      <c r="H532" s="6"/>
      <c r="I532" s="6"/>
      <c r="J532" s="11"/>
      <c r="K532" s="591"/>
      <c r="L532" s="6"/>
      <c r="M532" s="6"/>
      <c r="N532" s="6"/>
      <c r="O532" s="6"/>
      <c r="P532" s="6"/>
      <c r="Q532" s="6"/>
      <c r="R532" s="6"/>
      <c r="S532" s="6"/>
    </row>
    <row r="533" ht="11.25" customHeight="1">
      <c r="A533" s="7"/>
      <c r="B533" s="5"/>
      <c r="C533" s="6"/>
      <c r="D533" s="6"/>
      <c r="E533" s="6"/>
      <c r="F533" s="6"/>
      <c r="G533" s="6"/>
      <c r="H533" s="6"/>
      <c r="I533" s="6"/>
      <c r="J533" s="11"/>
      <c r="K533" s="591"/>
      <c r="L533" s="6"/>
      <c r="M533" s="6"/>
      <c r="N533" s="6"/>
      <c r="O533" s="6"/>
      <c r="P533" s="6"/>
      <c r="Q533" s="6"/>
      <c r="R533" s="6"/>
      <c r="S533" s="6"/>
    </row>
    <row r="534" ht="11.25" customHeight="1">
      <c r="A534" s="7"/>
      <c r="B534" s="5"/>
      <c r="C534" s="6"/>
      <c r="D534" s="6"/>
      <c r="E534" s="6"/>
      <c r="F534" s="6"/>
      <c r="G534" s="6"/>
      <c r="H534" s="6"/>
      <c r="I534" s="6"/>
      <c r="J534" s="11"/>
      <c r="K534" s="591"/>
      <c r="L534" s="6"/>
      <c r="M534" s="6"/>
      <c r="N534" s="6"/>
      <c r="O534" s="6"/>
      <c r="P534" s="6"/>
      <c r="Q534" s="6"/>
      <c r="R534" s="6"/>
      <c r="S534" s="6"/>
    </row>
    <row r="535" ht="11.25" customHeight="1">
      <c r="A535" s="7"/>
      <c r="B535" s="5"/>
      <c r="C535" s="6"/>
      <c r="D535" s="6"/>
      <c r="E535" s="6"/>
      <c r="F535" s="6"/>
      <c r="G535" s="6"/>
      <c r="H535" s="6"/>
      <c r="I535" s="6"/>
      <c r="J535" s="11"/>
      <c r="K535" s="591"/>
      <c r="L535" s="6"/>
      <c r="M535" s="6"/>
      <c r="N535" s="6"/>
      <c r="O535" s="6"/>
      <c r="P535" s="6"/>
      <c r="Q535" s="6"/>
      <c r="R535" s="6"/>
      <c r="S535" s="6"/>
    </row>
    <row r="536" ht="11.25" customHeight="1">
      <c r="A536" s="7"/>
      <c r="B536" s="5"/>
      <c r="C536" s="6"/>
      <c r="D536" s="6"/>
      <c r="E536" s="6"/>
      <c r="F536" s="6"/>
      <c r="G536" s="6"/>
      <c r="H536" s="6"/>
      <c r="I536" s="6"/>
      <c r="J536" s="11"/>
      <c r="K536" s="591"/>
      <c r="L536" s="6"/>
      <c r="M536" s="6"/>
      <c r="N536" s="6"/>
      <c r="O536" s="6"/>
      <c r="P536" s="6"/>
      <c r="Q536" s="6"/>
      <c r="R536" s="6"/>
      <c r="S536" s="6"/>
    </row>
    <row r="537" ht="11.25" customHeight="1">
      <c r="A537" s="7"/>
      <c r="B537" s="5"/>
      <c r="C537" s="6"/>
      <c r="D537" s="6"/>
      <c r="E537" s="6"/>
      <c r="F537" s="6"/>
      <c r="G537" s="6"/>
      <c r="H537" s="6"/>
      <c r="I537" s="6"/>
      <c r="J537" s="11"/>
      <c r="K537" s="591"/>
      <c r="L537" s="6"/>
      <c r="M537" s="6"/>
      <c r="N537" s="6"/>
      <c r="O537" s="6"/>
      <c r="P537" s="6"/>
      <c r="Q537" s="6"/>
      <c r="R537" s="6"/>
      <c r="S537" s="6"/>
    </row>
    <row r="538" ht="11.25" customHeight="1">
      <c r="A538" s="7"/>
      <c r="B538" s="5"/>
      <c r="C538" s="6"/>
      <c r="D538" s="6"/>
      <c r="E538" s="6"/>
      <c r="F538" s="6"/>
      <c r="G538" s="6"/>
      <c r="H538" s="6"/>
      <c r="I538" s="6"/>
      <c r="J538" s="11"/>
      <c r="K538" s="591"/>
      <c r="L538" s="6"/>
      <c r="M538" s="6"/>
      <c r="N538" s="6"/>
      <c r="O538" s="6"/>
      <c r="P538" s="6"/>
      <c r="Q538" s="6"/>
      <c r="R538" s="6"/>
      <c r="S538" s="6"/>
    </row>
    <row r="539" ht="11.25" customHeight="1">
      <c r="A539" s="7"/>
      <c r="B539" s="5"/>
      <c r="C539" s="6"/>
      <c r="D539" s="6"/>
      <c r="E539" s="6"/>
      <c r="F539" s="6"/>
      <c r="G539" s="6"/>
      <c r="H539" s="6"/>
      <c r="I539" s="6"/>
      <c r="J539" s="11"/>
      <c r="K539" s="591"/>
      <c r="L539" s="6"/>
      <c r="M539" s="6"/>
      <c r="N539" s="6"/>
      <c r="O539" s="6"/>
      <c r="P539" s="6"/>
      <c r="Q539" s="6"/>
      <c r="R539" s="6"/>
      <c r="S539" s="6"/>
    </row>
    <row r="540" ht="11.25" customHeight="1">
      <c r="A540" s="7"/>
      <c r="B540" s="5"/>
      <c r="C540" s="6"/>
      <c r="D540" s="6"/>
      <c r="E540" s="6"/>
      <c r="F540" s="6"/>
      <c r="G540" s="6"/>
      <c r="H540" s="6"/>
      <c r="I540" s="6"/>
      <c r="J540" s="11"/>
      <c r="K540" s="591"/>
      <c r="L540" s="6"/>
      <c r="M540" s="6"/>
      <c r="N540" s="6"/>
      <c r="O540" s="6"/>
      <c r="P540" s="6"/>
      <c r="Q540" s="6"/>
      <c r="R540" s="6"/>
      <c r="S540" s="6"/>
    </row>
    <row r="541" ht="11.25" customHeight="1">
      <c r="A541" s="7"/>
      <c r="B541" s="5"/>
      <c r="C541" s="6"/>
      <c r="D541" s="6"/>
      <c r="E541" s="6"/>
      <c r="F541" s="6"/>
      <c r="G541" s="6"/>
      <c r="H541" s="6"/>
      <c r="I541" s="6"/>
      <c r="J541" s="11"/>
      <c r="K541" s="591"/>
      <c r="L541" s="6"/>
      <c r="M541" s="6"/>
      <c r="N541" s="6"/>
      <c r="O541" s="6"/>
      <c r="P541" s="6"/>
      <c r="Q541" s="6"/>
      <c r="R541" s="6"/>
      <c r="S541" s="6"/>
    </row>
    <row r="542" ht="11.25" customHeight="1">
      <c r="A542" s="7"/>
      <c r="B542" s="5"/>
      <c r="C542" s="6"/>
      <c r="D542" s="6"/>
      <c r="E542" s="6"/>
      <c r="F542" s="6"/>
      <c r="G542" s="6"/>
      <c r="H542" s="6"/>
      <c r="I542" s="6"/>
      <c r="J542" s="11"/>
      <c r="K542" s="591"/>
      <c r="L542" s="6"/>
      <c r="M542" s="6"/>
      <c r="N542" s="6"/>
      <c r="O542" s="6"/>
      <c r="P542" s="6"/>
      <c r="Q542" s="6"/>
      <c r="R542" s="6"/>
      <c r="S542" s="6"/>
    </row>
    <row r="543" ht="11.25" customHeight="1">
      <c r="A543" s="7"/>
      <c r="B543" s="5"/>
      <c r="C543" s="6"/>
      <c r="D543" s="6"/>
      <c r="E543" s="6"/>
      <c r="F543" s="6"/>
      <c r="G543" s="6"/>
      <c r="H543" s="6"/>
      <c r="I543" s="6"/>
      <c r="J543" s="11"/>
      <c r="K543" s="591"/>
      <c r="L543" s="6"/>
      <c r="M543" s="6"/>
      <c r="N543" s="6"/>
      <c r="O543" s="6"/>
      <c r="P543" s="6"/>
      <c r="Q543" s="6"/>
      <c r="R543" s="6"/>
      <c r="S543" s="6"/>
    </row>
    <row r="544" ht="11.25" customHeight="1">
      <c r="A544" s="7"/>
      <c r="B544" s="5"/>
      <c r="C544" s="6"/>
      <c r="D544" s="6"/>
      <c r="E544" s="6"/>
      <c r="F544" s="6"/>
      <c r="G544" s="6"/>
      <c r="H544" s="6"/>
      <c r="I544" s="6"/>
      <c r="J544" s="11"/>
      <c r="K544" s="591"/>
      <c r="L544" s="6"/>
      <c r="M544" s="6"/>
      <c r="N544" s="6"/>
      <c r="O544" s="6"/>
      <c r="P544" s="6"/>
      <c r="Q544" s="6"/>
      <c r="R544" s="6"/>
      <c r="S544" s="6"/>
    </row>
    <row r="545" ht="11.25" customHeight="1">
      <c r="A545" s="7"/>
      <c r="B545" s="5"/>
      <c r="C545" s="6"/>
      <c r="D545" s="6"/>
      <c r="E545" s="6"/>
      <c r="F545" s="6"/>
      <c r="G545" s="6"/>
      <c r="H545" s="6"/>
      <c r="I545" s="6"/>
      <c r="J545" s="11"/>
      <c r="K545" s="591"/>
      <c r="L545" s="6"/>
      <c r="M545" s="6"/>
      <c r="N545" s="6"/>
      <c r="O545" s="6"/>
      <c r="P545" s="6"/>
      <c r="Q545" s="6"/>
      <c r="R545" s="6"/>
      <c r="S545" s="6"/>
    </row>
    <row r="546" ht="11.25" customHeight="1">
      <c r="A546" s="7"/>
      <c r="B546" s="5"/>
      <c r="C546" s="6"/>
      <c r="D546" s="6"/>
      <c r="E546" s="6"/>
      <c r="F546" s="6"/>
      <c r="G546" s="6"/>
      <c r="H546" s="6"/>
      <c r="I546" s="6"/>
      <c r="J546" s="11"/>
      <c r="K546" s="591"/>
      <c r="L546" s="6"/>
      <c r="M546" s="6"/>
      <c r="N546" s="6"/>
      <c r="O546" s="6"/>
      <c r="P546" s="6"/>
      <c r="Q546" s="6"/>
      <c r="R546" s="6"/>
      <c r="S546" s="6"/>
    </row>
    <row r="547" ht="11.25" customHeight="1">
      <c r="A547" s="7"/>
      <c r="B547" s="5"/>
      <c r="C547" s="6"/>
      <c r="D547" s="6"/>
      <c r="E547" s="6"/>
      <c r="F547" s="6"/>
      <c r="G547" s="6"/>
      <c r="H547" s="6"/>
      <c r="I547" s="6"/>
      <c r="J547" s="11"/>
      <c r="K547" s="591"/>
      <c r="L547" s="6"/>
      <c r="M547" s="6"/>
      <c r="N547" s="6"/>
      <c r="O547" s="6"/>
      <c r="P547" s="6"/>
      <c r="Q547" s="6"/>
      <c r="R547" s="6"/>
      <c r="S547" s="6"/>
    </row>
    <row r="548" ht="11.25" customHeight="1">
      <c r="A548" s="7"/>
      <c r="B548" s="5"/>
      <c r="C548" s="6"/>
      <c r="D548" s="6"/>
      <c r="E548" s="6"/>
      <c r="F548" s="6"/>
      <c r="G548" s="6"/>
      <c r="H548" s="6"/>
      <c r="I548" s="6"/>
      <c r="J548" s="11"/>
      <c r="K548" s="591"/>
      <c r="L548" s="6"/>
      <c r="M548" s="6"/>
      <c r="N548" s="6"/>
      <c r="O548" s="6"/>
      <c r="P548" s="6"/>
      <c r="Q548" s="6"/>
      <c r="R548" s="6"/>
      <c r="S548" s="6"/>
    </row>
    <row r="549" ht="11.25" customHeight="1">
      <c r="A549" s="7"/>
      <c r="B549" s="5"/>
      <c r="C549" s="6"/>
      <c r="D549" s="6"/>
      <c r="E549" s="6"/>
      <c r="F549" s="6"/>
      <c r="G549" s="6"/>
      <c r="H549" s="6"/>
      <c r="I549" s="6"/>
      <c r="J549" s="11"/>
      <c r="K549" s="591"/>
      <c r="L549" s="6"/>
      <c r="M549" s="6"/>
      <c r="N549" s="6"/>
      <c r="O549" s="6"/>
      <c r="P549" s="6"/>
      <c r="Q549" s="6"/>
      <c r="R549" s="6"/>
      <c r="S549" s="6"/>
    </row>
    <row r="550" ht="11.25" customHeight="1">
      <c r="A550" s="7"/>
      <c r="B550" s="5"/>
      <c r="C550" s="6"/>
      <c r="D550" s="6"/>
      <c r="E550" s="6"/>
      <c r="F550" s="6"/>
      <c r="G550" s="6"/>
      <c r="H550" s="6"/>
      <c r="I550" s="6"/>
      <c r="J550" s="11"/>
      <c r="K550" s="591"/>
      <c r="L550" s="6"/>
      <c r="M550" s="6"/>
      <c r="N550" s="6"/>
      <c r="O550" s="6"/>
      <c r="P550" s="6"/>
      <c r="Q550" s="6"/>
      <c r="R550" s="6"/>
      <c r="S550" s="6"/>
    </row>
    <row r="551" ht="11.25" customHeight="1">
      <c r="A551" s="7"/>
      <c r="B551" s="5"/>
      <c r="C551" s="6"/>
      <c r="D551" s="6"/>
      <c r="E551" s="6"/>
      <c r="F551" s="6"/>
      <c r="G551" s="6"/>
      <c r="H551" s="6"/>
      <c r="I551" s="6"/>
      <c r="J551" s="11"/>
      <c r="K551" s="591"/>
      <c r="L551" s="6"/>
      <c r="M551" s="6"/>
      <c r="N551" s="6"/>
      <c r="O551" s="6"/>
      <c r="P551" s="6"/>
      <c r="Q551" s="6"/>
      <c r="R551" s="6"/>
      <c r="S551" s="6"/>
    </row>
    <row r="552" ht="11.25" customHeight="1">
      <c r="A552" s="7"/>
      <c r="B552" s="5"/>
      <c r="C552" s="6"/>
      <c r="D552" s="6"/>
      <c r="E552" s="6"/>
      <c r="F552" s="6"/>
      <c r="G552" s="6"/>
      <c r="H552" s="6"/>
      <c r="I552" s="6"/>
      <c r="J552" s="11"/>
      <c r="K552" s="591"/>
      <c r="L552" s="6"/>
      <c r="M552" s="6"/>
      <c r="N552" s="6"/>
      <c r="O552" s="6"/>
      <c r="P552" s="6"/>
      <c r="Q552" s="6"/>
      <c r="R552" s="6"/>
      <c r="S552" s="6"/>
    </row>
    <row r="553" ht="11.25" customHeight="1">
      <c r="A553" s="7"/>
      <c r="B553" s="5"/>
      <c r="C553" s="6"/>
      <c r="D553" s="6"/>
      <c r="E553" s="6"/>
      <c r="F553" s="6"/>
      <c r="G553" s="6"/>
      <c r="H553" s="6"/>
      <c r="I553" s="6"/>
      <c r="J553" s="11"/>
      <c r="K553" s="591"/>
      <c r="L553" s="6"/>
      <c r="M553" s="6"/>
      <c r="N553" s="6"/>
      <c r="O553" s="6"/>
      <c r="P553" s="6"/>
      <c r="Q553" s="6"/>
      <c r="R553" s="6"/>
      <c r="S553" s="6"/>
    </row>
    <row r="554" ht="11.25" customHeight="1">
      <c r="A554" s="7"/>
      <c r="B554" s="5"/>
      <c r="C554" s="6"/>
      <c r="D554" s="6"/>
      <c r="E554" s="6"/>
      <c r="F554" s="6"/>
      <c r="G554" s="6"/>
      <c r="H554" s="6"/>
      <c r="I554" s="6"/>
      <c r="J554" s="11"/>
      <c r="K554" s="591"/>
      <c r="L554" s="6"/>
      <c r="M554" s="6"/>
      <c r="N554" s="6"/>
      <c r="O554" s="6"/>
      <c r="P554" s="6"/>
      <c r="Q554" s="6"/>
      <c r="R554" s="6"/>
      <c r="S554" s="6"/>
    </row>
    <row r="555" ht="11.25" customHeight="1">
      <c r="A555" s="7"/>
      <c r="B555" s="5"/>
      <c r="C555" s="6"/>
      <c r="D555" s="6"/>
      <c r="E555" s="6"/>
      <c r="F555" s="6"/>
      <c r="G555" s="6"/>
      <c r="H555" s="6"/>
      <c r="I555" s="6"/>
      <c r="J555" s="11"/>
      <c r="K555" s="591"/>
      <c r="L555" s="6"/>
      <c r="M555" s="6"/>
      <c r="N555" s="6"/>
      <c r="O555" s="6"/>
      <c r="P555" s="6"/>
      <c r="Q555" s="6"/>
      <c r="R555" s="6"/>
      <c r="S555" s="6"/>
    </row>
    <row r="556" ht="11.25" customHeight="1">
      <c r="A556" s="7"/>
      <c r="B556" s="5"/>
      <c r="C556" s="6"/>
      <c r="D556" s="6"/>
      <c r="E556" s="6"/>
      <c r="F556" s="6"/>
      <c r="G556" s="6"/>
      <c r="H556" s="6"/>
      <c r="I556" s="6"/>
      <c r="J556" s="11"/>
      <c r="K556" s="591"/>
      <c r="L556" s="6"/>
      <c r="M556" s="6"/>
      <c r="N556" s="6"/>
      <c r="O556" s="6"/>
      <c r="P556" s="6"/>
      <c r="Q556" s="6"/>
      <c r="R556" s="6"/>
      <c r="S556" s="6"/>
    </row>
    <row r="557" ht="11.25" customHeight="1">
      <c r="A557" s="7"/>
      <c r="B557" s="5"/>
      <c r="C557" s="6"/>
      <c r="D557" s="6"/>
      <c r="E557" s="6"/>
      <c r="F557" s="6"/>
      <c r="G557" s="6"/>
      <c r="H557" s="6"/>
      <c r="I557" s="6"/>
      <c r="J557" s="11"/>
      <c r="K557" s="591"/>
      <c r="L557" s="6"/>
      <c r="M557" s="6"/>
      <c r="N557" s="6"/>
      <c r="O557" s="6"/>
      <c r="P557" s="6"/>
      <c r="Q557" s="6"/>
      <c r="R557" s="6"/>
      <c r="S557" s="6"/>
    </row>
    <row r="558" ht="11.25" customHeight="1">
      <c r="A558" s="7"/>
      <c r="B558" s="5"/>
      <c r="C558" s="6"/>
      <c r="D558" s="6"/>
      <c r="E558" s="6"/>
      <c r="F558" s="6"/>
      <c r="G558" s="6"/>
      <c r="H558" s="6"/>
      <c r="I558" s="6"/>
      <c r="J558" s="11"/>
      <c r="K558" s="591"/>
      <c r="L558" s="6"/>
      <c r="M558" s="6"/>
      <c r="N558" s="6"/>
      <c r="O558" s="6"/>
      <c r="P558" s="6"/>
      <c r="Q558" s="6"/>
      <c r="R558" s="6"/>
      <c r="S558" s="6"/>
    </row>
    <row r="559" ht="11.25" customHeight="1">
      <c r="A559" s="7"/>
      <c r="B559" s="5"/>
      <c r="C559" s="6"/>
      <c r="D559" s="6"/>
      <c r="E559" s="6"/>
      <c r="F559" s="6"/>
      <c r="G559" s="6"/>
      <c r="H559" s="6"/>
      <c r="I559" s="6"/>
      <c r="J559" s="11"/>
      <c r="K559" s="591"/>
      <c r="L559" s="6"/>
      <c r="M559" s="6"/>
      <c r="N559" s="6"/>
      <c r="O559" s="6"/>
      <c r="P559" s="6"/>
      <c r="Q559" s="6"/>
      <c r="R559" s="6"/>
      <c r="S559" s="6"/>
    </row>
    <row r="560" ht="11.25" customHeight="1">
      <c r="A560" s="7"/>
      <c r="B560" s="5"/>
      <c r="C560" s="6"/>
      <c r="D560" s="6"/>
      <c r="E560" s="6"/>
      <c r="F560" s="6"/>
      <c r="G560" s="6"/>
      <c r="H560" s="6"/>
      <c r="I560" s="6"/>
      <c r="J560" s="11"/>
      <c r="K560" s="591"/>
      <c r="L560" s="6"/>
      <c r="M560" s="6"/>
      <c r="N560" s="6"/>
      <c r="O560" s="6"/>
      <c r="P560" s="6"/>
      <c r="Q560" s="6"/>
      <c r="R560" s="6"/>
      <c r="S560" s="6"/>
    </row>
    <row r="561" ht="11.25" customHeight="1">
      <c r="A561" s="7"/>
      <c r="B561" s="5"/>
      <c r="C561" s="6"/>
      <c r="D561" s="6"/>
      <c r="E561" s="6"/>
      <c r="F561" s="6"/>
      <c r="G561" s="6"/>
      <c r="H561" s="6"/>
      <c r="I561" s="6"/>
      <c r="J561" s="11"/>
      <c r="K561" s="591"/>
      <c r="L561" s="6"/>
      <c r="M561" s="6"/>
      <c r="N561" s="6"/>
      <c r="O561" s="6"/>
      <c r="P561" s="6"/>
      <c r="Q561" s="6"/>
      <c r="R561" s="6"/>
      <c r="S561" s="6"/>
    </row>
    <row r="562" ht="11.25" customHeight="1">
      <c r="A562" s="7"/>
      <c r="B562" s="5"/>
      <c r="C562" s="6"/>
      <c r="D562" s="6"/>
      <c r="E562" s="6"/>
      <c r="F562" s="6"/>
      <c r="G562" s="6"/>
      <c r="H562" s="6"/>
      <c r="I562" s="6"/>
      <c r="J562" s="11"/>
      <c r="K562" s="591"/>
      <c r="L562" s="6"/>
      <c r="M562" s="6"/>
      <c r="N562" s="6"/>
      <c r="O562" s="6"/>
      <c r="P562" s="6"/>
      <c r="Q562" s="6"/>
      <c r="R562" s="6"/>
      <c r="S562" s="6"/>
    </row>
    <row r="563" ht="11.25" customHeight="1">
      <c r="A563" s="7"/>
      <c r="B563" s="5"/>
      <c r="C563" s="6"/>
      <c r="D563" s="6"/>
      <c r="E563" s="6"/>
      <c r="F563" s="6"/>
      <c r="G563" s="6"/>
      <c r="H563" s="6"/>
      <c r="I563" s="6"/>
      <c r="J563" s="11"/>
      <c r="K563" s="591"/>
      <c r="L563" s="6"/>
      <c r="M563" s="6"/>
      <c r="N563" s="6"/>
      <c r="O563" s="6"/>
      <c r="P563" s="6"/>
      <c r="Q563" s="6"/>
      <c r="R563" s="6"/>
      <c r="S563" s="6"/>
    </row>
    <row r="564" ht="11.25" customHeight="1">
      <c r="A564" s="7"/>
      <c r="B564" s="5"/>
      <c r="C564" s="6"/>
      <c r="D564" s="6"/>
      <c r="E564" s="6"/>
      <c r="F564" s="6"/>
      <c r="G564" s="6"/>
      <c r="H564" s="6"/>
      <c r="I564" s="6"/>
      <c r="J564" s="11"/>
      <c r="K564" s="591"/>
      <c r="L564" s="6"/>
      <c r="M564" s="6"/>
      <c r="N564" s="6"/>
      <c r="O564" s="6"/>
      <c r="P564" s="6"/>
      <c r="Q564" s="6"/>
      <c r="R564" s="6"/>
      <c r="S564" s="6"/>
    </row>
    <row r="565" ht="11.25" customHeight="1">
      <c r="A565" s="7"/>
      <c r="B565" s="5"/>
      <c r="C565" s="6"/>
      <c r="D565" s="6"/>
      <c r="E565" s="6"/>
      <c r="F565" s="6"/>
      <c r="G565" s="6"/>
      <c r="H565" s="6"/>
      <c r="I565" s="6"/>
      <c r="J565" s="11"/>
      <c r="K565" s="591"/>
      <c r="L565" s="6"/>
      <c r="M565" s="6"/>
      <c r="N565" s="6"/>
      <c r="O565" s="6"/>
      <c r="P565" s="6"/>
      <c r="Q565" s="6"/>
      <c r="R565" s="6"/>
      <c r="S565" s="6"/>
    </row>
    <row r="566" ht="11.25" customHeight="1">
      <c r="A566" s="7"/>
      <c r="B566" s="5"/>
      <c r="C566" s="6"/>
      <c r="D566" s="6"/>
      <c r="E566" s="6"/>
      <c r="F566" s="6"/>
      <c r="G566" s="6"/>
      <c r="H566" s="6"/>
      <c r="I566" s="6"/>
      <c r="J566" s="11"/>
      <c r="K566" s="591"/>
      <c r="L566" s="6"/>
      <c r="M566" s="6"/>
      <c r="N566" s="6"/>
      <c r="O566" s="6"/>
      <c r="P566" s="6"/>
      <c r="Q566" s="6"/>
      <c r="R566" s="6"/>
      <c r="S566" s="6"/>
    </row>
    <row r="567" ht="11.25" customHeight="1">
      <c r="A567" s="7"/>
      <c r="B567" s="5"/>
      <c r="C567" s="6"/>
      <c r="D567" s="6"/>
      <c r="E567" s="6"/>
      <c r="F567" s="6"/>
      <c r="G567" s="6"/>
      <c r="H567" s="6"/>
      <c r="I567" s="6"/>
      <c r="J567" s="11"/>
      <c r="K567" s="591"/>
      <c r="L567" s="6"/>
      <c r="M567" s="6"/>
      <c r="N567" s="6"/>
      <c r="O567" s="6"/>
      <c r="P567" s="6"/>
      <c r="Q567" s="6"/>
      <c r="R567" s="6"/>
      <c r="S567" s="6"/>
    </row>
    <row r="568" ht="11.25" customHeight="1">
      <c r="A568" s="7"/>
      <c r="B568" s="5"/>
      <c r="C568" s="6"/>
      <c r="D568" s="6"/>
      <c r="E568" s="6"/>
      <c r="F568" s="6"/>
      <c r="G568" s="6"/>
      <c r="H568" s="6"/>
      <c r="I568" s="6"/>
      <c r="J568" s="11"/>
      <c r="K568" s="591"/>
      <c r="L568" s="6"/>
      <c r="M568" s="6"/>
      <c r="N568" s="6"/>
      <c r="O568" s="6"/>
      <c r="P568" s="6"/>
      <c r="Q568" s="6"/>
      <c r="R568" s="6"/>
      <c r="S568" s="6"/>
    </row>
    <row r="569" ht="11.25" customHeight="1">
      <c r="A569" s="7"/>
      <c r="B569" s="5"/>
      <c r="C569" s="6"/>
      <c r="D569" s="6"/>
      <c r="E569" s="6"/>
      <c r="F569" s="6"/>
      <c r="G569" s="6"/>
      <c r="H569" s="6"/>
      <c r="I569" s="6"/>
      <c r="J569" s="11"/>
      <c r="K569" s="591"/>
      <c r="L569" s="6"/>
      <c r="M569" s="6"/>
      <c r="N569" s="6"/>
      <c r="O569" s="6"/>
      <c r="P569" s="6"/>
      <c r="Q569" s="6"/>
      <c r="R569" s="6"/>
      <c r="S569" s="6"/>
    </row>
    <row r="570" ht="11.25" customHeight="1">
      <c r="A570" s="7"/>
      <c r="B570" s="5"/>
      <c r="C570" s="6"/>
      <c r="D570" s="6"/>
      <c r="E570" s="6"/>
      <c r="F570" s="6"/>
      <c r="G570" s="6"/>
      <c r="H570" s="6"/>
      <c r="I570" s="6"/>
      <c r="J570" s="11"/>
      <c r="K570" s="591"/>
      <c r="L570" s="6"/>
      <c r="M570" s="6"/>
      <c r="N570" s="6"/>
      <c r="O570" s="6"/>
      <c r="P570" s="6"/>
      <c r="Q570" s="6"/>
      <c r="R570" s="6"/>
      <c r="S570" s="6"/>
    </row>
    <row r="571" ht="11.25" customHeight="1">
      <c r="A571" s="7"/>
      <c r="B571" s="5"/>
      <c r="C571" s="6"/>
      <c r="D571" s="6"/>
      <c r="E571" s="6"/>
      <c r="F571" s="6"/>
      <c r="G571" s="6"/>
      <c r="H571" s="6"/>
      <c r="I571" s="6"/>
      <c r="J571" s="11"/>
      <c r="K571" s="591"/>
      <c r="L571" s="6"/>
      <c r="M571" s="6"/>
      <c r="N571" s="6"/>
      <c r="O571" s="6"/>
      <c r="P571" s="6"/>
      <c r="Q571" s="6"/>
      <c r="R571" s="6"/>
      <c r="S571" s="6"/>
    </row>
    <row r="572" ht="11.25" customHeight="1">
      <c r="A572" s="7"/>
      <c r="B572" s="5"/>
      <c r="C572" s="6"/>
      <c r="D572" s="6"/>
      <c r="E572" s="6"/>
      <c r="F572" s="6"/>
      <c r="G572" s="6"/>
      <c r="H572" s="6"/>
      <c r="I572" s="6"/>
      <c r="J572" s="11"/>
      <c r="K572" s="591"/>
      <c r="L572" s="6"/>
      <c r="M572" s="6"/>
      <c r="N572" s="6"/>
      <c r="O572" s="6"/>
      <c r="P572" s="6"/>
      <c r="Q572" s="6"/>
      <c r="R572" s="6"/>
      <c r="S572" s="6"/>
    </row>
    <row r="573" ht="11.25" customHeight="1">
      <c r="A573" s="7"/>
      <c r="B573" s="5"/>
      <c r="C573" s="6"/>
      <c r="D573" s="6"/>
      <c r="E573" s="6"/>
      <c r="F573" s="6"/>
      <c r="G573" s="6"/>
      <c r="H573" s="6"/>
      <c r="I573" s="6"/>
      <c r="J573" s="11"/>
      <c r="K573" s="591"/>
      <c r="L573" s="6"/>
      <c r="M573" s="6"/>
      <c r="N573" s="6"/>
      <c r="O573" s="6"/>
      <c r="P573" s="6"/>
      <c r="Q573" s="6"/>
      <c r="R573" s="6"/>
      <c r="S573" s="6"/>
    </row>
    <row r="574" ht="11.25" customHeight="1">
      <c r="A574" s="7"/>
      <c r="B574" s="5"/>
      <c r="C574" s="6"/>
      <c r="D574" s="6"/>
      <c r="E574" s="6"/>
      <c r="F574" s="6"/>
      <c r="G574" s="6"/>
      <c r="H574" s="6"/>
      <c r="I574" s="6"/>
      <c r="J574" s="11"/>
      <c r="K574" s="591"/>
      <c r="L574" s="6"/>
      <c r="M574" s="6"/>
      <c r="N574" s="6"/>
      <c r="O574" s="6"/>
      <c r="P574" s="6"/>
      <c r="Q574" s="6"/>
      <c r="R574" s="6"/>
      <c r="S574" s="6"/>
    </row>
    <row r="575" ht="11.25" customHeight="1">
      <c r="A575" s="7"/>
      <c r="B575" s="5"/>
      <c r="C575" s="6"/>
      <c r="D575" s="6"/>
      <c r="E575" s="6"/>
      <c r="F575" s="6"/>
      <c r="G575" s="6"/>
      <c r="H575" s="6"/>
      <c r="I575" s="6"/>
      <c r="J575" s="11"/>
      <c r="K575" s="591"/>
      <c r="L575" s="6"/>
      <c r="M575" s="6"/>
      <c r="N575" s="6"/>
      <c r="O575" s="6"/>
      <c r="P575" s="6"/>
      <c r="Q575" s="6"/>
      <c r="R575" s="6"/>
      <c r="S575" s="6"/>
    </row>
    <row r="576" ht="11.25" customHeight="1">
      <c r="A576" s="7"/>
      <c r="B576" s="5"/>
      <c r="C576" s="6"/>
      <c r="D576" s="6"/>
      <c r="E576" s="6"/>
      <c r="F576" s="6"/>
      <c r="G576" s="6"/>
      <c r="H576" s="6"/>
      <c r="I576" s="6"/>
      <c r="J576" s="11"/>
      <c r="K576" s="591"/>
      <c r="L576" s="6"/>
      <c r="M576" s="6"/>
      <c r="N576" s="6"/>
      <c r="O576" s="6"/>
      <c r="P576" s="6"/>
      <c r="Q576" s="6"/>
      <c r="R576" s="6"/>
      <c r="S576" s="6"/>
    </row>
    <row r="577" ht="11.25" customHeight="1">
      <c r="A577" s="7"/>
      <c r="B577" s="5"/>
      <c r="C577" s="6"/>
      <c r="D577" s="6"/>
      <c r="E577" s="6"/>
      <c r="F577" s="6"/>
      <c r="G577" s="6"/>
      <c r="H577" s="6"/>
      <c r="I577" s="6"/>
      <c r="J577" s="11"/>
      <c r="K577" s="591"/>
      <c r="L577" s="6"/>
      <c r="M577" s="6"/>
      <c r="N577" s="6"/>
      <c r="O577" s="6"/>
      <c r="P577" s="6"/>
      <c r="Q577" s="6"/>
      <c r="R577" s="6"/>
      <c r="S577" s="6"/>
    </row>
    <row r="578" ht="11.25" customHeight="1">
      <c r="A578" s="7"/>
      <c r="B578" s="5"/>
      <c r="C578" s="6"/>
      <c r="D578" s="6"/>
      <c r="E578" s="6"/>
      <c r="F578" s="6"/>
      <c r="G578" s="6"/>
      <c r="H578" s="6"/>
      <c r="I578" s="6"/>
      <c r="J578" s="11"/>
      <c r="K578" s="591"/>
      <c r="L578" s="6"/>
      <c r="M578" s="6"/>
      <c r="N578" s="6"/>
      <c r="O578" s="6"/>
      <c r="P578" s="6"/>
      <c r="Q578" s="6"/>
      <c r="R578" s="6"/>
      <c r="S578" s="6"/>
    </row>
    <row r="579" ht="11.25" customHeight="1">
      <c r="A579" s="7"/>
      <c r="B579" s="5"/>
      <c r="C579" s="6"/>
      <c r="D579" s="6"/>
      <c r="E579" s="6"/>
      <c r="F579" s="6"/>
      <c r="G579" s="6"/>
      <c r="H579" s="6"/>
      <c r="I579" s="6"/>
      <c r="J579" s="11"/>
      <c r="K579" s="591"/>
      <c r="L579" s="6"/>
      <c r="M579" s="6"/>
      <c r="N579" s="6"/>
      <c r="O579" s="6"/>
      <c r="P579" s="6"/>
      <c r="Q579" s="6"/>
      <c r="R579" s="6"/>
      <c r="S579" s="6"/>
    </row>
    <row r="580" ht="11.25" customHeight="1">
      <c r="A580" s="7"/>
      <c r="B580" s="5"/>
      <c r="C580" s="6"/>
      <c r="D580" s="6"/>
      <c r="E580" s="6"/>
      <c r="F580" s="6"/>
      <c r="G580" s="6"/>
      <c r="H580" s="6"/>
      <c r="I580" s="6"/>
      <c r="J580" s="11"/>
      <c r="K580" s="591"/>
      <c r="L580" s="6"/>
      <c r="M580" s="6"/>
      <c r="N580" s="6"/>
      <c r="O580" s="6"/>
      <c r="P580" s="6"/>
      <c r="Q580" s="6"/>
      <c r="R580" s="6"/>
      <c r="S580" s="6"/>
    </row>
    <row r="581" ht="11.25" customHeight="1">
      <c r="A581" s="7"/>
      <c r="B581" s="5"/>
      <c r="C581" s="6"/>
      <c r="D581" s="6"/>
      <c r="E581" s="6"/>
      <c r="F581" s="6"/>
      <c r="G581" s="6"/>
      <c r="H581" s="6"/>
      <c r="I581" s="6"/>
      <c r="J581" s="11"/>
      <c r="K581" s="591"/>
      <c r="L581" s="6"/>
      <c r="M581" s="6"/>
      <c r="N581" s="6"/>
      <c r="O581" s="6"/>
      <c r="P581" s="6"/>
      <c r="Q581" s="6"/>
      <c r="R581" s="6"/>
      <c r="S581" s="6"/>
    </row>
    <row r="582" ht="11.25" customHeight="1">
      <c r="A582" s="7"/>
      <c r="B582" s="5"/>
      <c r="C582" s="6"/>
      <c r="D582" s="6"/>
      <c r="E582" s="6"/>
      <c r="F582" s="6"/>
      <c r="G582" s="6"/>
      <c r="H582" s="6"/>
      <c r="I582" s="6"/>
      <c r="J582" s="11"/>
      <c r="K582" s="591"/>
      <c r="L582" s="6"/>
      <c r="M582" s="6"/>
      <c r="N582" s="6"/>
      <c r="O582" s="6"/>
      <c r="P582" s="6"/>
      <c r="Q582" s="6"/>
      <c r="R582" s="6"/>
      <c r="S582" s="6"/>
    </row>
    <row r="583" ht="11.25" customHeight="1">
      <c r="A583" s="7"/>
      <c r="B583" s="5"/>
      <c r="C583" s="6"/>
      <c r="D583" s="6"/>
      <c r="E583" s="6"/>
      <c r="F583" s="6"/>
      <c r="G583" s="6"/>
      <c r="H583" s="6"/>
      <c r="I583" s="6"/>
      <c r="J583" s="11"/>
      <c r="K583" s="591"/>
      <c r="L583" s="6"/>
      <c r="M583" s="6"/>
      <c r="N583" s="6"/>
      <c r="O583" s="6"/>
      <c r="P583" s="6"/>
      <c r="Q583" s="6"/>
      <c r="R583" s="6"/>
      <c r="S583" s="6"/>
    </row>
    <row r="584" ht="11.25" customHeight="1">
      <c r="A584" s="7"/>
      <c r="B584" s="5"/>
      <c r="C584" s="6"/>
      <c r="D584" s="6"/>
      <c r="E584" s="6"/>
      <c r="F584" s="6"/>
      <c r="G584" s="6"/>
      <c r="H584" s="6"/>
      <c r="I584" s="6"/>
      <c r="J584" s="11"/>
      <c r="K584" s="591"/>
      <c r="L584" s="6"/>
      <c r="M584" s="6"/>
      <c r="N584" s="6"/>
      <c r="O584" s="6"/>
      <c r="P584" s="6"/>
      <c r="Q584" s="6"/>
      <c r="R584" s="6"/>
      <c r="S584" s="6"/>
    </row>
    <row r="585" ht="11.25" customHeight="1">
      <c r="A585" s="7"/>
      <c r="B585" s="5"/>
      <c r="C585" s="6"/>
      <c r="D585" s="6"/>
      <c r="E585" s="6"/>
      <c r="F585" s="6"/>
      <c r="G585" s="6"/>
      <c r="H585" s="6"/>
      <c r="I585" s="6"/>
      <c r="J585" s="11"/>
      <c r="K585" s="591"/>
      <c r="L585" s="6"/>
      <c r="M585" s="6"/>
      <c r="N585" s="6"/>
      <c r="O585" s="6"/>
      <c r="P585" s="6"/>
      <c r="Q585" s="6"/>
      <c r="R585" s="6"/>
      <c r="S585" s="6"/>
    </row>
    <row r="586" ht="11.25" customHeight="1">
      <c r="A586" s="7"/>
      <c r="B586" s="5"/>
      <c r="C586" s="6"/>
      <c r="D586" s="6"/>
      <c r="E586" s="6"/>
      <c r="F586" s="6"/>
      <c r="G586" s="6"/>
      <c r="H586" s="6"/>
      <c r="I586" s="6"/>
      <c r="J586" s="11"/>
      <c r="K586" s="591"/>
      <c r="L586" s="6"/>
      <c r="M586" s="6"/>
      <c r="N586" s="6"/>
      <c r="O586" s="6"/>
      <c r="P586" s="6"/>
      <c r="Q586" s="6"/>
      <c r="R586" s="6"/>
      <c r="S586" s="6"/>
    </row>
    <row r="587" ht="11.25" customHeight="1">
      <c r="A587" s="7"/>
      <c r="B587" s="5"/>
      <c r="C587" s="6"/>
      <c r="D587" s="6"/>
      <c r="E587" s="6"/>
      <c r="F587" s="6"/>
      <c r="G587" s="6"/>
      <c r="H587" s="6"/>
      <c r="I587" s="6"/>
      <c r="J587" s="11"/>
      <c r="K587" s="591"/>
      <c r="L587" s="6"/>
      <c r="M587" s="6"/>
      <c r="N587" s="6"/>
      <c r="O587" s="6"/>
      <c r="P587" s="6"/>
      <c r="Q587" s="6"/>
      <c r="R587" s="6"/>
      <c r="S587" s="6"/>
    </row>
    <row r="588" ht="11.25" customHeight="1">
      <c r="A588" s="7"/>
      <c r="B588" s="5"/>
      <c r="C588" s="6"/>
      <c r="D588" s="6"/>
      <c r="E588" s="6"/>
      <c r="F588" s="6"/>
      <c r="G588" s="6"/>
      <c r="H588" s="6"/>
      <c r="I588" s="6"/>
      <c r="J588" s="11"/>
      <c r="K588" s="591"/>
      <c r="L588" s="6"/>
      <c r="M588" s="6"/>
      <c r="N588" s="6"/>
      <c r="O588" s="6"/>
      <c r="P588" s="6"/>
      <c r="Q588" s="6"/>
      <c r="R588" s="6"/>
      <c r="S588" s="6"/>
    </row>
    <row r="589" ht="11.25" customHeight="1">
      <c r="A589" s="7"/>
      <c r="B589" s="5"/>
      <c r="C589" s="6"/>
      <c r="D589" s="6"/>
      <c r="E589" s="6"/>
      <c r="F589" s="6"/>
      <c r="G589" s="6"/>
      <c r="H589" s="6"/>
      <c r="I589" s="6"/>
      <c r="J589" s="11"/>
      <c r="K589" s="591"/>
      <c r="L589" s="6"/>
      <c r="M589" s="6"/>
      <c r="N589" s="6"/>
      <c r="O589" s="6"/>
      <c r="P589" s="6"/>
      <c r="Q589" s="6"/>
      <c r="R589" s="6"/>
      <c r="S589" s="6"/>
    </row>
    <row r="590" ht="11.25" customHeight="1">
      <c r="A590" s="7"/>
      <c r="B590" s="5"/>
      <c r="C590" s="6"/>
      <c r="D590" s="6"/>
      <c r="E590" s="6"/>
      <c r="F590" s="6"/>
      <c r="G590" s="6"/>
      <c r="H590" s="6"/>
      <c r="I590" s="6"/>
      <c r="J590" s="11"/>
      <c r="K590" s="591"/>
      <c r="L590" s="6"/>
      <c r="M590" s="6"/>
      <c r="N590" s="6"/>
      <c r="O590" s="6"/>
      <c r="P590" s="6"/>
      <c r="Q590" s="6"/>
      <c r="R590" s="6"/>
      <c r="S590" s="6"/>
    </row>
    <row r="591" ht="11.25" customHeight="1">
      <c r="A591" s="7"/>
      <c r="B591" s="5"/>
      <c r="C591" s="6"/>
      <c r="D591" s="6"/>
      <c r="E591" s="6"/>
      <c r="F591" s="6"/>
      <c r="G591" s="6"/>
      <c r="H591" s="6"/>
      <c r="I591" s="6"/>
      <c r="J591" s="11"/>
      <c r="K591" s="591"/>
      <c r="L591" s="6"/>
      <c r="M591" s="6"/>
      <c r="N591" s="6"/>
      <c r="O591" s="6"/>
      <c r="P591" s="6"/>
      <c r="Q591" s="6"/>
      <c r="R591" s="6"/>
      <c r="S591" s="6"/>
    </row>
    <row r="592" ht="11.25" customHeight="1">
      <c r="A592" s="7"/>
      <c r="B592" s="5"/>
      <c r="C592" s="6"/>
      <c r="D592" s="6"/>
      <c r="E592" s="6"/>
      <c r="F592" s="6"/>
      <c r="G592" s="6"/>
      <c r="H592" s="6"/>
      <c r="I592" s="6"/>
      <c r="J592" s="11"/>
      <c r="K592" s="591"/>
      <c r="L592" s="6"/>
      <c r="M592" s="6"/>
      <c r="N592" s="6"/>
      <c r="O592" s="6"/>
      <c r="P592" s="6"/>
      <c r="Q592" s="6"/>
      <c r="R592" s="6"/>
      <c r="S592" s="6"/>
    </row>
    <row r="593" ht="11.25" customHeight="1">
      <c r="A593" s="7"/>
      <c r="B593" s="5"/>
      <c r="C593" s="6"/>
      <c r="D593" s="6"/>
      <c r="E593" s="6"/>
      <c r="F593" s="6"/>
      <c r="G593" s="6"/>
      <c r="H593" s="6"/>
      <c r="I593" s="6"/>
      <c r="J593" s="11"/>
      <c r="K593" s="591"/>
      <c r="L593" s="6"/>
      <c r="M593" s="6"/>
      <c r="N593" s="6"/>
      <c r="O593" s="6"/>
      <c r="P593" s="6"/>
      <c r="Q593" s="6"/>
      <c r="R593" s="6"/>
      <c r="S593" s="6"/>
    </row>
    <row r="594" ht="11.25" customHeight="1">
      <c r="A594" s="7"/>
      <c r="B594" s="5"/>
      <c r="C594" s="6"/>
      <c r="D594" s="6"/>
      <c r="E594" s="6"/>
      <c r="F594" s="6"/>
      <c r="G594" s="6"/>
      <c r="H594" s="6"/>
      <c r="I594" s="6"/>
      <c r="J594" s="11"/>
      <c r="K594" s="591"/>
      <c r="L594" s="6"/>
      <c r="M594" s="6"/>
      <c r="N594" s="6"/>
      <c r="O594" s="6"/>
      <c r="P594" s="6"/>
      <c r="Q594" s="6"/>
      <c r="R594" s="6"/>
      <c r="S594" s="6"/>
    </row>
    <row r="595" ht="11.25" customHeight="1">
      <c r="A595" s="7"/>
      <c r="B595" s="5"/>
      <c r="C595" s="6"/>
      <c r="D595" s="6"/>
      <c r="E595" s="6"/>
      <c r="F595" s="6"/>
      <c r="G595" s="6"/>
      <c r="H595" s="6"/>
      <c r="I595" s="6"/>
      <c r="J595" s="11"/>
      <c r="K595" s="591"/>
      <c r="L595" s="6"/>
      <c r="M595" s="6"/>
      <c r="N595" s="6"/>
      <c r="O595" s="6"/>
      <c r="P595" s="6"/>
      <c r="Q595" s="6"/>
      <c r="R595" s="6"/>
      <c r="S595" s="6"/>
    </row>
    <row r="596" ht="11.25" customHeight="1">
      <c r="A596" s="7"/>
      <c r="B596" s="5"/>
      <c r="C596" s="6"/>
      <c r="D596" s="6"/>
      <c r="E596" s="6"/>
      <c r="F596" s="6"/>
      <c r="G596" s="6"/>
      <c r="H596" s="6"/>
      <c r="I596" s="6"/>
      <c r="J596" s="11"/>
      <c r="K596" s="591"/>
      <c r="L596" s="6"/>
      <c r="M596" s="6"/>
      <c r="N596" s="6"/>
      <c r="O596" s="6"/>
      <c r="P596" s="6"/>
      <c r="Q596" s="6"/>
      <c r="R596" s="6"/>
      <c r="S596" s="6"/>
    </row>
    <row r="597" ht="11.25" customHeight="1">
      <c r="A597" s="7"/>
      <c r="B597" s="5"/>
      <c r="C597" s="6"/>
      <c r="D597" s="6"/>
      <c r="E597" s="6"/>
      <c r="F597" s="6"/>
      <c r="G597" s="6"/>
      <c r="H597" s="6"/>
      <c r="I597" s="6"/>
      <c r="J597" s="11"/>
      <c r="K597" s="591"/>
      <c r="L597" s="6"/>
      <c r="M597" s="6"/>
      <c r="N597" s="6"/>
      <c r="O597" s="6"/>
      <c r="P597" s="6"/>
      <c r="Q597" s="6"/>
      <c r="R597" s="6"/>
      <c r="S597" s="6"/>
    </row>
    <row r="598" ht="11.25" customHeight="1">
      <c r="A598" s="7"/>
      <c r="B598" s="5"/>
      <c r="C598" s="6"/>
      <c r="D598" s="6"/>
      <c r="E598" s="6"/>
      <c r="F598" s="6"/>
      <c r="G598" s="6"/>
      <c r="H598" s="6"/>
      <c r="I598" s="6"/>
      <c r="J598" s="11"/>
      <c r="K598" s="591"/>
      <c r="L598" s="6"/>
      <c r="M598" s="6"/>
      <c r="N598" s="6"/>
      <c r="O598" s="6"/>
      <c r="P598" s="6"/>
      <c r="Q598" s="6"/>
      <c r="R598" s="6"/>
      <c r="S598" s="6"/>
    </row>
    <row r="599" ht="11.25" customHeight="1">
      <c r="A599" s="7"/>
      <c r="B599" s="5"/>
      <c r="C599" s="6"/>
      <c r="D599" s="6"/>
      <c r="E599" s="6"/>
      <c r="F599" s="6"/>
      <c r="G599" s="6"/>
      <c r="H599" s="6"/>
      <c r="I599" s="6"/>
      <c r="J599" s="11"/>
      <c r="K599" s="591"/>
      <c r="L599" s="6"/>
      <c r="M599" s="6"/>
      <c r="N599" s="6"/>
      <c r="O599" s="6"/>
      <c r="P599" s="6"/>
      <c r="Q599" s="6"/>
      <c r="R599" s="6"/>
      <c r="S599" s="6"/>
    </row>
    <row r="600" ht="11.25" customHeight="1">
      <c r="A600" s="7"/>
      <c r="B600" s="5"/>
      <c r="C600" s="6"/>
      <c r="D600" s="6"/>
      <c r="E600" s="6"/>
      <c r="F600" s="6"/>
      <c r="G600" s="6"/>
      <c r="H600" s="6"/>
      <c r="I600" s="6"/>
      <c r="J600" s="11"/>
      <c r="K600" s="591"/>
      <c r="L600" s="6"/>
      <c r="M600" s="6"/>
      <c r="N600" s="6"/>
      <c r="O600" s="6"/>
      <c r="P600" s="6"/>
      <c r="Q600" s="6"/>
      <c r="R600" s="6"/>
      <c r="S600" s="6"/>
    </row>
    <row r="601" ht="11.25" customHeight="1">
      <c r="A601" s="7"/>
      <c r="B601" s="5"/>
      <c r="C601" s="6"/>
      <c r="D601" s="6"/>
      <c r="E601" s="6"/>
      <c r="F601" s="6"/>
      <c r="G601" s="6"/>
      <c r="H601" s="6"/>
      <c r="I601" s="6"/>
      <c r="J601" s="11"/>
      <c r="K601" s="591"/>
      <c r="L601" s="6"/>
      <c r="M601" s="6"/>
      <c r="N601" s="6"/>
      <c r="O601" s="6"/>
      <c r="P601" s="6"/>
      <c r="Q601" s="6"/>
      <c r="R601" s="6"/>
      <c r="S601" s="6"/>
    </row>
    <row r="602" ht="11.25" customHeight="1">
      <c r="A602" s="7"/>
      <c r="B602" s="5"/>
      <c r="C602" s="6"/>
      <c r="D602" s="6"/>
      <c r="E602" s="6"/>
      <c r="F602" s="6"/>
      <c r="G602" s="6"/>
      <c r="H602" s="6"/>
      <c r="I602" s="6"/>
      <c r="J602" s="11"/>
      <c r="K602" s="591"/>
      <c r="L602" s="6"/>
      <c r="M602" s="6"/>
      <c r="N602" s="6"/>
      <c r="O602" s="6"/>
      <c r="P602" s="6"/>
      <c r="Q602" s="6"/>
      <c r="R602" s="6"/>
      <c r="S602" s="6"/>
    </row>
    <row r="603" ht="11.25" customHeight="1">
      <c r="A603" s="7"/>
      <c r="B603" s="5"/>
      <c r="C603" s="6"/>
      <c r="D603" s="6"/>
      <c r="E603" s="6"/>
      <c r="F603" s="6"/>
      <c r="G603" s="6"/>
      <c r="H603" s="6"/>
      <c r="I603" s="6"/>
      <c r="J603" s="11"/>
      <c r="K603" s="591"/>
      <c r="L603" s="6"/>
      <c r="M603" s="6"/>
      <c r="N603" s="6"/>
      <c r="O603" s="6"/>
      <c r="P603" s="6"/>
      <c r="Q603" s="6"/>
      <c r="R603" s="6"/>
      <c r="S603" s="6"/>
    </row>
    <row r="604" ht="11.25" customHeight="1">
      <c r="A604" s="7"/>
      <c r="B604" s="5"/>
      <c r="C604" s="6"/>
      <c r="D604" s="6"/>
      <c r="E604" s="6"/>
      <c r="F604" s="6"/>
      <c r="G604" s="6"/>
      <c r="H604" s="6"/>
      <c r="I604" s="6"/>
      <c r="J604" s="11"/>
      <c r="K604" s="591"/>
      <c r="L604" s="6"/>
      <c r="M604" s="6"/>
      <c r="N604" s="6"/>
      <c r="O604" s="6"/>
      <c r="P604" s="6"/>
      <c r="Q604" s="6"/>
      <c r="R604" s="6"/>
      <c r="S604" s="6"/>
    </row>
    <row r="605" ht="11.25" customHeight="1">
      <c r="A605" s="7"/>
      <c r="B605" s="5"/>
      <c r="C605" s="6"/>
      <c r="D605" s="6"/>
      <c r="E605" s="6"/>
      <c r="F605" s="6"/>
      <c r="G605" s="6"/>
      <c r="H605" s="6"/>
      <c r="I605" s="6"/>
      <c r="J605" s="11"/>
      <c r="K605" s="591"/>
      <c r="L605" s="6"/>
      <c r="M605" s="6"/>
      <c r="N605" s="6"/>
      <c r="O605" s="6"/>
      <c r="P605" s="6"/>
      <c r="Q605" s="6"/>
      <c r="R605" s="6"/>
      <c r="S605" s="6"/>
    </row>
    <row r="606" ht="11.25" customHeight="1">
      <c r="A606" s="7"/>
      <c r="B606" s="5"/>
      <c r="C606" s="6"/>
      <c r="D606" s="6"/>
      <c r="E606" s="6"/>
      <c r="F606" s="6"/>
      <c r="G606" s="6"/>
      <c r="H606" s="6"/>
      <c r="I606" s="6"/>
      <c r="J606" s="11"/>
      <c r="K606" s="591"/>
      <c r="L606" s="6"/>
      <c r="M606" s="6"/>
      <c r="N606" s="6"/>
      <c r="O606" s="6"/>
      <c r="P606" s="6"/>
      <c r="Q606" s="6"/>
      <c r="R606" s="6"/>
      <c r="S606" s="6"/>
    </row>
    <row r="607" ht="11.25" customHeight="1">
      <c r="A607" s="7"/>
      <c r="B607" s="5"/>
      <c r="C607" s="6"/>
      <c r="D607" s="6"/>
      <c r="E607" s="6"/>
      <c r="F607" s="6"/>
      <c r="G607" s="6"/>
      <c r="H607" s="6"/>
      <c r="I607" s="6"/>
      <c r="J607" s="11"/>
      <c r="K607" s="591"/>
      <c r="L607" s="6"/>
      <c r="M607" s="6"/>
      <c r="N607" s="6"/>
      <c r="O607" s="6"/>
      <c r="P607" s="6"/>
      <c r="Q607" s="6"/>
      <c r="R607" s="6"/>
      <c r="S607" s="6"/>
    </row>
    <row r="608" ht="11.25" customHeight="1">
      <c r="A608" s="7"/>
      <c r="B608" s="5"/>
      <c r="C608" s="6"/>
      <c r="D608" s="6"/>
      <c r="E608" s="6"/>
      <c r="F608" s="6"/>
      <c r="G608" s="6"/>
      <c r="H608" s="6"/>
      <c r="I608" s="6"/>
      <c r="J608" s="11"/>
      <c r="K608" s="591"/>
      <c r="L608" s="6"/>
      <c r="M608" s="6"/>
      <c r="N608" s="6"/>
      <c r="O608" s="6"/>
      <c r="P608" s="6"/>
      <c r="Q608" s="6"/>
      <c r="R608" s="6"/>
      <c r="S608" s="6"/>
    </row>
    <row r="609" ht="11.25" customHeight="1">
      <c r="A609" s="7"/>
      <c r="B609" s="5"/>
      <c r="C609" s="6"/>
      <c r="D609" s="6"/>
      <c r="E609" s="6"/>
      <c r="F609" s="6"/>
      <c r="G609" s="6"/>
      <c r="H609" s="6"/>
      <c r="I609" s="6"/>
      <c r="J609" s="11"/>
      <c r="K609" s="591"/>
      <c r="L609" s="6"/>
      <c r="M609" s="6"/>
      <c r="N609" s="6"/>
      <c r="O609" s="6"/>
      <c r="P609" s="6"/>
      <c r="Q609" s="6"/>
      <c r="R609" s="6"/>
      <c r="S609" s="6"/>
    </row>
    <row r="610" ht="11.25" customHeight="1">
      <c r="A610" s="7"/>
      <c r="B610" s="5"/>
      <c r="C610" s="6"/>
      <c r="D610" s="6"/>
      <c r="E610" s="6"/>
      <c r="F610" s="6"/>
      <c r="G610" s="6"/>
      <c r="H610" s="6"/>
      <c r="I610" s="6"/>
      <c r="J610" s="11"/>
      <c r="K610" s="591"/>
      <c r="L610" s="6"/>
      <c r="M610" s="6"/>
      <c r="N610" s="6"/>
      <c r="O610" s="6"/>
      <c r="P610" s="6"/>
      <c r="Q610" s="6"/>
      <c r="R610" s="6"/>
      <c r="S610" s="6"/>
    </row>
    <row r="611" ht="11.25" customHeight="1">
      <c r="A611" s="7"/>
      <c r="B611" s="5"/>
      <c r="C611" s="6"/>
      <c r="D611" s="6"/>
      <c r="E611" s="6"/>
      <c r="F611" s="6"/>
      <c r="G611" s="6"/>
      <c r="H611" s="6"/>
      <c r="I611" s="6"/>
      <c r="J611" s="11"/>
      <c r="K611" s="591"/>
      <c r="L611" s="6"/>
      <c r="M611" s="6"/>
      <c r="N611" s="6"/>
      <c r="O611" s="6"/>
      <c r="P611" s="6"/>
      <c r="Q611" s="6"/>
      <c r="R611" s="6"/>
      <c r="S611" s="6"/>
    </row>
    <row r="612" ht="11.25" customHeight="1">
      <c r="A612" s="7"/>
      <c r="B612" s="5"/>
      <c r="C612" s="6"/>
      <c r="D612" s="6"/>
      <c r="E612" s="6"/>
      <c r="F612" s="6"/>
      <c r="G612" s="6"/>
      <c r="H612" s="6"/>
      <c r="I612" s="6"/>
      <c r="J612" s="11"/>
      <c r="K612" s="591"/>
      <c r="L612" s="6"/>
      <c r="M612" s="6"/>
      <c r="N612" s="6"/>
      <c r="O612" s="6"/>
      <c r="P612" s="6"/>
      <c r="Q612" s="6"/>
      <c r="R612" s="6"/>
      <c r="S612" s="6"/>
    </row>
    <row r="613" ht="11.25" customHeight="1">
      <c r="A613" s="7"/>
      <c r="B613" s="5"/>
      <c r="C613" s="6"/>
      <c r="D613" s="6"/>
      <c r="E613" s="6"/>
      <c r="F613" s="6"/>
      <c r="G613" s="6"/>
      <c r="H613" s="6"/>
      <c r="I613" s="6"/>
      <c r="J613" s="11"/>
      <c r="K613" s="591"/>
      <c r="L613" s="6"/>
      <c r="M613" s="6"/>
      <c r="N613" s="6"/>
      <c r="O613" s="6"/>
      <c r="P613" s="6"/>
      <c r="Q613" s="6"/>
      <c r="R613" s="6"/>
      <c r="S613" s="6"/>
    </row>
    <row r="614" ht="11.25" customHeight="1">
      <c r="A614" s="7"/>
      <c r="B614" s="5"/>
      <c r="C614" s="6"/>
      <c r="D614" s="6"/>
      <c r="E614" s="6"/>
      <c r="F614" s="6"/>
      <c r="G614" s="6"/>
      <c r="H614" s="6"/>
      <c r="I614" s="6"/>
      <c r="J614" s="11"/>
      <c r="K614" s="591"/>
      <c r="L614" s="6"/>
      <c r="M614" s="6"/>
      <c r="N614" s="6"/>
      <c r="O614" s="6"/>
      <c r="P614" s="6"/>
      <c r="Q614" s="6"/>
      <c r="R614" s="6"/>
      <c r="S614" s="6"/>
    </row>
    <row r="615" ht="11.25" customHeight="1">
      <c r="A615" s="7"/>
      <c r="B615" s="5"/>
      <c r="C615" s="6"/>
      <c r="D615" s="6"/>
      <c r="E615" s="6"/>
      <c r="F615" s="6"/>
      <c r="G615" s="6"/>
      <c r="H615" s="6"/>
      <c r="I615" s="6"/>
      <c r="J615" s="11"/>
      <c r="K615" s="591"/>
      <c r="L615" s="6"/>
      <c r="M615" s="6"/>
      <c r="N615" s="6"/>
      <c r="O615" s="6"/>
      <c r="P615" s="6"/>
      <c r="Q615" s="6"/>
      <c r="R615" s="6"/>
      <c r="S615" s="6"/>
    </row>
    <row r="616" ht="11.25" customHeight="1">
      <c r="A616" s="7"/>
      <c r="B616" s="5"/>
      <c r="C616" s="6"/>
      <c r="D616" s="6"/>
      <c r="E616" s="6"/>
      <c r="F616" s="6"/>
      <c r="G616" s="6"/>
      <c r="H616" s="6"/>
      <c r="I616" s="6"/>
      <c r="J616" s="11"/>
      <c r="K616" s="591"/>
      <c r="L616" s="6"/>
      <c r="M616" s="6"/>
      <c r="N616" s="6"/>
      <c r="O616" s="6"/>
      <c r="P616" s="6"/>
      <c r="Q616" s="6"/>
      <c r="R616" s="6"/>
      <c r="S616" s="6"/>
    </row>
    <row r="617" ht="11.25" customHeight="1">
      <c r="A617" s="7"/>
      <c r="B617" s="5"/>
      <c r="C617" s="6"/>
      <c r="D617" s="6"/>
      <c r="E617" s="6"/>
      <c r="F617" s="6"/>
      <c r="G617" s="6"/>
      <c r="H617" s="6"/>
      <c r="I617" s="6"/>
      <c r="J617" s="11"/>
      <c r="K617" s="591"/>
      <c r="L617" s="6"/>
      <c r="M617" s="6"/>
      <c r="N617" s="6"/>
      <c r="O617" s="6"/>
      <c r="P617" s="6"/>
      <c r="Q617" s="6"/>
      <c r="R617" s="6"/>
      <c r="S617" s="6"/>
    </row>
    <row r="618" ht="11.25" customHeight="1">
      <c r="A618" s="7"/>
      <c r="B618" s="5"/>
      <c r="C618" s="6"/>
      <c r="D618" s="6"/>
      <c r="E618" s="6"/>
      <c r="F618" s="6"/>
      <c r="G618" s="6"/>
      <c r="H618" s="6"/>
      <c r="I618" s="6"/>
      <c r="J618" s="11"/>
      <c r="K618" s="591"/>
      <c r="L618" s="6"/>
      <c r="M618" s="6"/>
      <c r="N618" s="6"/>
      <c r="O618" s="6"/>
      <c r="P618" s="6"/>
      <c r="Q618" s="6"/>
      <c r="R618" s="6"/>
      <c r="S618" s="6"/>
    </row>
    <row r="619" ht="11.25" customHeight="1">
      <c r="A619" s="7"/>
      <c r="B619" s="5"/>
      <c r="C619" s="6"/>
      <c r="D619" s="6"/>
      <c r="E619" s="6"/>
      <c r="F619" s="6"/>
      <c r="G619" s="6"/>
      <c r="H619" s="6"/>
      <c r="I619" s="6"/>
      <c r="J619" s="11"/>
      <c r="K619" s="591"/>
      <c r="L619" s="6"/>
      <c r="M619" s="6"/>
      <c r="N619" s="6"/>
      <c r="O619" s="6"/>
      <c r="P619" s="6"/>
      <c r="Q619" s="6"/>
      <c r="R619" s="6"/>
      <c r="S619" s="6"/>
    </row>
    <row r="620" ht="11.25" customHeight="1">
      <c r="A620" s="7"/>
      <c r="B620" s="5"/>
      <c r="C620" s="6"/>
      <c r="D620" s="6"/>
      <c r="E620" s="6"/>
      <c r="F620" s="6"/>
      <c r="G620" s="6"/>
      <c r="H620" s="6"/>
      <c r="I620" s="6"/>
      <c r="J620" s="11"/>
      <c r="K620" s="591"/>
      <c r="L620" s="6"/>
      <c r="M620" s="6"/>
      <c r="N620" s="6"/>
      <c r="O620" s="6"/>
      <c r="P620" s="6"/>
      <c r="Q620" s="6"/>
      <c r="R620" s="6"/>
      <c r="S620" s="6"/>
    </row>
    <row r="621" ht="11.25" customHeight="1">
      <c r="A621" s="7"/>
      <c r="B621" s="5"/>
      <c r="C621" s="6"/>
      <c r="D621" s="6"/>
      <c r="E621" s="6"/>
      <c r="F621" s="6"/>
      <c r="G621" s="6"/>
      <c r="H621" s="6"/>
      <c r="I621" s="6"/>
      <c r="J621" s="11"/>
      <c r="K621" s="591"/>
      <c r="L621" s="6"/>
      <c r="M621" s="6"/>
      <c r="N621" s="6"/>
      <c r="O621" s="6"/>
      <c r="P621" s="6"/>
      <c r="Q621" s="6"/>
      <c r="R621" s="6"/>
      <c r="S621" s="6"/>
    </row>
    <row r="622" ht="11.25" customHeight="1">
      <c r="A622" s="7"/>
      <c r="B622" s="5"/>
      <c r="C622" s="6"/>
      <c r="D622" s="6"/>
      <c r="E622" s="6"/>
      <c r="F622" s="6"/>
      <c r="G622" s="6"/>
      <c r="H622" s="6"/>
      <c r="I622" s="6"/>
      <c r="J622" s="11"/>
      <c r="K622" s="591"/>
      <c r="L622" s="6"/>
      <c r="M622" s="6"/>
      <c r="N622" s="6"/>
      <c r="O622" s="6"/>
      <c r="P622" s="6"/>
      <c r="Q622" s="6"/>
      <c r="R622" s="6"/>
      <c r="S622" s="6"/>
    </row>
    <row r="623" ht="11.25" customHeight="1">
      <c r="A623" s="7"/>
      <c r="B623" s="5"/>
      <c r="C623" s="6"/>
      <c r="D623" s="6"/>
      <c r="E623" s="6"/>
      <c r="F623" s="6"/>
      <c r="G623" s="6"/>
      <c r="H623" s="6"/>
      <c r="I623" s="6"/>
      <c r="J623" s="11"/>
      <c r="K623" s="591"/>
      <c r="L623" s="6"/>
      <c r="M623" s="6"/>
      <c r="N623" s="6"/>
      <c r="O623" s="6"/>
      <c r="P623" s="6"/>
      <c r="Q623" s="6"/>
      <c r="R623" s="6"/>
      <c r="S623" s="6"/>
    </row>
    <row r="624" ht="11.25" customHeight="1">
      <c r="A624" s="7"/>
      <c r="B624" s="5"/>
      <c r="C624" s="6"/>
      <c r="D624" s="6"/>
      <c r="E624" s="6"/>
      <c r="F624" s="6"/>
      <c r="G624" s="6"/>
      <c r="H624" s="6"/>
      <c r="I624" s="6"/>
      <c r="J624" s="11"/>
      <c r="K624" s="591"/>
      <c r="L624" s="6"/>
      <c r="M624" s="6"/>
      <c r="N624" s="6"/>
      <c r="O624" s="6"/>
      <c r="P624" s="6"/>
      <c r="Q624" s="6"/>
      <c r="R624" s="6"/>
      <c r="S624" s="6"/>
    </row>
    <row r="625" ht="11.25" customHeight="1">
      <c r="A625" s="7"/>
      <c r="B625" s="5"/>
      <c r="C625" s="6"/>
      <c r="D625" s="6"/>
      <c r="E625" s="6"/>
      <c r="F625" s="6"/>
      <c r="G625" s="6"/>
      <c r="H625" s="6"/>
      <c r="I625" s="6"/>
      <c r="J625" s="11"/>
      <c r="K625" s="591"/>
      <c r="L625" s="6"/>
      <c r="M625" s="6"/>
      <c r="N625" s="6"/>
      <c r="O625" s="6"/>
      <c r="P625" s="6"/>
      <c r="Q625" s="6"/>
      <c r="R625" s="6"/>
      <c r="S625" s="6"/>
    </row>
    <row r="626" ht="11.25" customHeight="1">
      <c r="A626" s="7"/>
      <c r="B626" s="5"/>
      <c r="C626" s="6"/>
      <c r="D626" s="6"/>
      <c r="E626" s="6"/>
      <c r="F626" s="6"/>
      <c r="G626" s="6"/>
      <c r="H626" s="6"/>
      <c r="I626" s="6"/>
      <c r="J626" s="11"/>
      <c r="K626" s="591"/>
      <c r="L626" s="6"/>
      <c r="M626" s="6"/>
      <c r="N626" s="6"/>
      <c r="O626" s="6"/>
      <c r="P626" s="6"/>
      <c r="Q626" s="6"/>
      <c r="R626" s="6"/>
      <c r="S626" s="6"/>
    </row>
    <row r="627" ht="11.25" customHeight="1">
      <c r="A627" s="7"/>
      <c r="B627" s="5"/>
      <c r="C627" s="6"/>
      <c r="D627" s="6"/>
      <c r="E627" s="6"/>
      <c r="F627" s="6"/>
      <c r="G627" s="6"/>
      <c r="H627" s="6"/>
      <c r="I627" s="6"/>
      <c r="J627" s="11"/>
      <c r="K627" s="591"/>
      <c r="L627" s="6"/>
      <c r="M627" s="6"/>
      <c r="N627" s="6"/>
      <c r="O627" s="6"/>
      <c r="P627" s="6"/>
      <c r="Q627" s="6"/>
      <c r="R627" s="6"/>
      <c r="S627" s="6"/>
    </row>
    <row r="628" ht="11.25" customHeight="1">
      <c r="A628" s="7"/>
      <c r="B628" s="5"/>
      <c r="C628" s="6"/>
      <c r="D628" s="6"/>
      <c r="E628" s="6"/>
      <c r="F628" s="6"/>
      <c r="G628" s="6"/>
      <c r="H628" s="6"/>
      <c r="I628" s="6"/>
      <c r="J628" s="11"/>
      <c r="K628" s="591"/>
      <c r="L628" s="6"/>
      <c r="M628" s="6"/>
      <c r="N628" s="6"/>
      <c r="O628" s="6"/>
      <c r="P628" s="6"/>
      <c r="Q628" s="6"/>
      <c r="R628" s="6"/>
      <c r="S628" s="6"/>
    </row>
    <row r="629" ht="11.25" customHeight="1">
      <c r="A629" s="7"/>
      <c r="B629" s="5"/>
      <c r="C629" s="6"/>
      <c r="D629" s="6"/>
      <c r="E629" s="6"/>
      <c r="F629" s="6"/>
      <c r="G629" s="6"/>
      <c r="H629" s="6"/>
      <c r="I629" s="6"/>
      <c r="J629" s="11"/>
      <c r="K629" s="591"/>
      <c r="L629" s="6"/>
      <c r="M629" s="6"/>
      <c r="N629" s="6"/>
      <c r="O629" s="6"/>
      <c r="P629" s="6"/>
      <c r="Q629" s="6"/>
      <c r="R629" s="6"/>
      <c r="S629" s="6"/>
    </row>
    <row r="630" ht="11.25" customHeight="1">
      <c r="A630" s="7"/>
      <c r="B630" s="5"/>
      <c r="C630" s="6"/>
      <c r="D630" s="6"/>
      <c r="E630" s="6"/>
      <c r="F630" s="6"/>
      <c r="G630" s="6"/>
      <c r="H630" s="6"/>
      <c r="I630" s="6"/>
      <c r="J630" s="11"/>
      <c r="K630" s="591"/>
      <c r="L630" s="6"/>
      <c r="M630" s="6"/>
      <c r="N630" s="6"/>
      <c r="O630" s="6"/>
      <c r="P630" s="6"/>
      <c r="Q630" s="6"/>
      <c r="R630" s="6"/>
      <c r="S630" s="6"/>
    </row>
    <row r="631" ht="11.25" customHeight="1">
      <c r="A631" s="7"/>
      <c r="B631" s="5"/>
      <c r="C631" s="6"/>
      <c r="D631" s="6"/>
      <c r="E631" s="6"/>
      <c r="F631" s="6"/>
      <c r="G631" s="6"/>
      <c r="H631" s="6"/>
      <c r="I631" s="6"/>
      <c r="J631" s="11"/>
      <c r="K631" s="591"/>
      <c r="L631" s="6"/>
      <c r="M631" s="6"/>
      <c r="N631" s="6"/>
      <c r="O631" s="6"/>
      <c r="P631" s="6"/>
      <c r="Q631" s="6"/>
      <c r="R631" s="6"/>
      <c r="S631" s="6"/>
    </row>
    <row r="632" ht="11.25" customHeight="1">
      <c r="A632" s="7"/>
      <c r="B632" s="5"/>
      <c r="C632" s="6"/>
      <c r="D632" s="6"/>
      <c r="E632" s="6"/>
      <c r="F632" s="6"/>
      <c r="G632" s="6"/>
      <c r="H632" s="6"/>
      <c r="I632" s="6"/>
      <c r="J632" s="11"/>
      <c r="K632" s="591"/>
      <c r="L632" s="6"/>
      <c r="M632" s="6"/>
      <c r="N632" s="6"/>
      <c r="O632" s="6"/>
      <c r="P632" s="6"/>
      <c r="Q632" s="6"/>
      <c r="R632" s="6"/>
      <c r="S632" s="6"/>
    </row>
    <row r="633" ht="11.25" customHeight="1">
      <c r="A633" s="7"/>
      <c r="B633" s="5"/>
      <c r="C633" s="6"/>
      <c r="D633" s="6"/>
      <c r="E633" s="6"/>
      <c r="F633" s="6"/>
      <c r="G633" s="6"/>
      <c r="H633" s="6"/>
      <c r="I633" s="6"/>
      <c r="J633" s="11"/>
      <c r="K633" s="591"/>
      <c r="L633" s="6"/>
      <c r="M633" s="6"/>
      <c r="N633" s="6"/>
      <c r="O633" s="6"/>
      <c r="P633" s="6"/>
      <c r="Q633" s="6"/>
      <c r="R633" s="6"/>
      <c r="S633" s="6"/>
    </row>
    <row r="634" ht="11.25" customHeight="1">
      <c r="A634" s="7"/>
      <c r="B634" s="5"/>
      <c r="C634" s="6"/>
      <c r="D634" s="6"/>
      <c r="E634" s="6"/>
      <c r="F634" s="6"/>
      <c r="G634" s="6"/>
      <c r="H634" s="6"/>
      <c r="I634" s="6"/>
      <c r="J634" s="11"/>
      <c r="K634" s="591"/>
      <c r="L634" s="6"/>
      <c r="M634" s="6"/>
      <c r="N634" s="6"/>
      <c r="O634" s="6"/>
      <c r="P634" s="6"/>
      <c r="Q634" s="6"/>
      <c r="R634" s="6"/>
      <c r="S634" s="6"/>
    </row>
    <row r="635" ht="11.25" customHeight="1">
      <c r="A635" s="7"/>
      <c r="B635" s="5"/>
      <c r="C635" s="6"/>
      <c r="D635" s="6"/>
      <c r="E635" s="6"/>
      <c r="F635" s="6"/>
      <c r="G635" s="6"/>
      <c r="H635" s="6"/>
      <c r="I635" s="6"/>
      <c r="J635" s="11"/>
      <c r="K635" s="591"/>
      <c r="L635" s="6"/>
      <c r="M635" s="6"/>
      <c r="N635" s="6"/>
      <c r="O635" s="6"/>
      <c r="P635" s="6"/>
      <c r="Q635" s="6"/>
      <c r="R635" s="6"/>
      <c r="S635" s="6"/>
    </row>
    <row r="636" ht="11.25" customHeight="1">
      <c r="A636" s="7"/>
      <c r="B636" s="5"/>
      <c r="C636" s="6"/>
      <c r="D636" s="6"/>
      <c r="E636" s="6"/>
      <c r="F636" s="6"/>
      <c r="G636" s="6"/>
      <c r="H636" s="6"/>
      <c r="I636" s="6"/>
      <c r="J636" s="11"/>
      <c r="K636" s="591"/>
      <c r="L636" s="6"/>
      <c r="M636" s="6"/>
      <c r="N636" s="6"/>
      <c r="O636" s="6"/>
      <c r="P636" s="6"/>
      <c r="Q636" s="6"/>
      <c r="R636" s="6"/>
      <c r="S636" s="6"/>
    </row>
    <row r="637" ht="11.25" customHeight="1">
      <c r="A637" s="7"/>
      <c r="B637" s="5"/>
      <c r="C637" s="6"/>
      <c r="D637" s="6"/>
      <c r="E637" s="6"/>
      <c r="F637" s="6"/>
      <c r="G637" s="6"/>
      <c r="H637" s="6"/>
      <c r="I637" s="6"/>
      <c r="J637" s="11"/>
      <c r="K637" s="591"/>
      <c r="L637" s="6"/>
      <c r="M637" s="6"/>
      <c r="N637" s="6"/>
      <c r="O637" s="6"/>
      <c r="P637" s="6"/>
      <c r="Q637" s="6"/>
      <c r="R637" s="6"/>
      <c r="S637" s="6"/>
    </row>
    <row r="638" ht="11.25" customHeight="1">
      <c r="A638" s="7"/>
      <c r="B638" s="5"/>
      <c r="C638" s="6"/>
      <c r="D638" s="6"/>
      <c r="E638" s="6"/>
      <c r="F638" s="6"/>
      <c r="G638" s="6"/>
      <c r="H638" s="6"/>
      <c r="I638" s="6"/>
      <c r="J638" s="11"/>
      <c r="K638" s="591"/>
      <c r="L638" s="6"/>
      <c r="M638" s="6"/>
      <c r="N638" s="6"/>
      <c r="O638" s="6"/>
      <c r="P638" s="6"/>
      <c r="Q638" s="6"/>
      <c r="R638" s="6"/>
      <c r="S638" s="6"/>
    </row>
    <row r="639" ht="11.25" customHeight="1">
      <c r="A639" s="7"/>
      <c r="B639" s="5"/>
      <c r="C639" s="6"/>
      <c r="D639" s="6"/>
      <c r="E639" s="6"/>
      <c r="F639" s="6"/>
      <c r="G639" s="6"/>
      <c r="H639" s="6"/>
      <c r="I639" s="6"/>
      <c r="J639" s="11"/>
      <c r="K639" s="591"/>
      <c r="L639" s="6"/>
      <c r="M639" s="6"/>
      <c r="N639" s="6"/>
      <c r="O639" s="6"/>
      <c r="P639" s="6"/>
      <c r="Q639" s="6"/>
      <c r="R639" s="6"/>
      <c r="S639" s="6"/>
    </row>
    <row r="640" ht="11.25" customHeight="1">
      <c r="A640" s="7"/>
      <c r="B640" s="5"/>
      <c r="C640" s="6"/>
      <c r="D640" s="6"/>
      <c r="E640" s="6"/>
      <c r="F640" s="6"/>
      <c r="G640" s="6"/>
      <c r="H640" s="6"/>
      <c r="I640" s="6"/>
      <c r="J640" s="11"/>
      <c r="K640" s="591"/>
      <c r="L640" s="6"/>
      <c r="M640" s="6"/>
      <c r="N640" s="6"/>
      <c r="O640" s="6"/>
      <c r="P640" s="6"/>
      <c r="Q640" s="6"/>
      <c r="R640" s="6"/>
      <c r="S640" s="6"/>
    </row>
    <row r="641" ht="11.25" customHeight="1">
      <c r="A641" s="7"/>
      <c r="B641" s="5"/>
      <c r="C641" s="6"/>
      <c r="D641" s="6"/>
      <c r="E641" s="6"/>
      <c r="F641" s="6"/>
      <c r="G641" s="6"/>
      <c r="H641" s="6"/>
      <c r="I641" s="6"/>
      <c r="J641" s="11"/>
      <c r="K641" s="591"/>
      <c r="L641" s="6"/>
      <c r="M641" s="6"/>
      <c r="N641" s="6"/>
      <c r="O641" s="6"/>
      <c r="P641" s="6"/>
      <c r="Q641" s="6"/>
      <c r="R641" s="6"/>
      <c r="S641" s="6"/>
    </row>
    <row r="642" ht="11.25" customHeight="1">
      <c r="A642" s="7"/>
      <c r="B642" s="5"/>
      <c r="C642" s="6"/>
      <c r="D642" s="6"/>
      <c r="E642" s="6"/>
      <c r="F642" s="6"/>
      <c r="G642" s="6"/>
      <c r="H642" s="6"/>
      <c r="I642" s="6"/>
      <c r="J642" s="11"/>
      <c r="K642" s="591"/>
      <c r="L642" s="6"/>
      <c r="M642" s="6"/>
      <c r="N642" s="6"/>
      <c r="O642" s="6"/>
      <c r="P642" s="6"/>
      <c r="Q642" s="6"/>
      <c r="R642" s="6"/>
      <c r="S642" s="6"/>
    </row>
    <row r="643" ht="11.25" customHeight="1">
      <c r="A643" s="7"/>
      <c r="B643" s="5"/>
      <c r="C643" s="6"/>
      <c r="D643" s="6"/>
      <c r="E643" s="6"/>
      <c r="F643" s="6"/>
      <c r="G643" s="6"/>
      <c r="H643" s="6"/>
      <c r="I643" s="6"/>
      <c r="J643" s="11"/>
      <c r="K643" s="591"/>
      <c r="L643" s="6"/>
      <c r="M643" s="6"/>
      <c r="N643" s="6"/>
      <c r="O643" s="6"/>
      <c r="P643" s="6"/>
      <c r="Q643" s="6"/>
      <c r="R643" s="6"/>
      <c r="S643" s="6"/>
    </row>
    <row r="644" ht="11.25" customHeight="1">
      <c r="A644" s="7"/>
      <c r="B644" s="5"/>
      <c r="C644" s="6"/>
      <c r="D644" s="6"/>
      <c r="E644" s="6"/>
      <c r="F644" s="6"/>
      <c r="G644" s="6"/>
      <c r="H644" s="6"/>
      <c r="I644" s="6"/>
      <c r="J644" s="11"/>
      <c r="K644" s="591"/>
      <c r="L644" s="6"/>
      <c r="M644" s="6"/>
      <c r="N644" s="6"/>
      <c r="O644" s="6"/>
      <c r="P644" s="6"/>
      <c r="Q644" s="6"/>
      <c r="R644" s="6"/>
      <c r="S644" s="6"/>
    </row>
    <row r="645" ht="11.25" customHeight="1">
      <c r="A645" s="7"/>
      <c r="B645" s="5"/>
      <c r="C645" s="6"/>
      <c r="D645" s="6"/>
      <c r="E645" s="6"/>
      <c r="F645" s="6"/>
      <c r="G645" s="6"/>
      <c r="H645" s="6"/>
      <c r="I645" s="6"/>
      <c r="J645" s="11"/>
      <c r="K645" s="591"/>
      <c r="L645" s="6"/>
      <c r="M645" s="6"/>
      <c r="N645" s="6"/>
      <c r="O645" s="6"/>
      <c r="P645" s="6"/>
      <c r="Q645" s="6"/>
      <c r="R645" s="6"/>
      <c r="S645" s="6"/>
    </row>
    <row r="646" ht="11.25" customHeight="1">
      <c r="A646" s="7"/>
      <c r="B646" s="5"/>
      <c r="C646" s="6"/>
      <c r="D646" s="6"/>
      <c r="E646" s="6"/>
      <c r="F646" s="6"/>
      <c r="G646" s="6"/>
      <c r="H646" s="6"/>
      <c r="I646" s="6"/>
      <c r="J646" s="11"/>
      <c r="K646" s="591"/>
      <c r="L646" s="6"/>
      <c r="M646" s="6"/>
      <c r="N646" s="6"/>
      <c r="O646" s="6"/>
      <c r="P646" s="6"/>
      <c r="Q646" s="6"/>
      <c r="R646" s="6"/>
      <c r="S646" s="6"/>
    </row>
    <row r="647" ht="11.25" customHeight="1">
      <c r="A647" s="7"/>
      <c r="B647" s="5"/>
      <c r="C647" s="6"/>
      <c r="D647" s="6"/>
      <c r="E647" s="6"/>
      <c r="F647" s="6"/>
      <c r="G647" s="6"/>
      <c r="H647" s="6"/>
      <c r="I647" s="6"/>
      <c r="J647" s="11"/>
      <c r="K647" s="591"/>
      <c r="L647" s="6"/>
      <c r="M647" s="6"/>
      <c r="N647" s="6"/>
      <c r="O647" s="6"/>
      <c r="P647" s="6"/>
      <c r="Q647" s="6"/>
      <c r="R647" s="6"/>
      <c r="S647" s="6"/>
    </row>
    <row r="648" ht="11.25" customHeight="1">
      <c r="A648" s="7"/>
      <c r="B648" s="5"/>
      <c r="C648" s="6"/>
      <c r="D648" s="6"/>
      <c r="E648" s="6"/>
      <c r="F648" s="6"/>
      <c r="G648" s="6"/>
      <c r="H648" s="6"/>
      <c r="I648" s="6"/>
      <c r="J648" s="11"/>
      <c r="K648" s="591"/>
      <c r="L648" s="6"/>
      <c r="M648" s="6"/>
      <c r="N648" s="6"/>
      <c r="O648" s="6"/>
      <c r="P648" s="6"/>
      <c r="Q648" s="6"/>
      <c r="R648" s="6"/>
      <c r="S648" s="6"/>
    </row>
    <row r="649" ht="11.25" customHeight="1">
      <c r="A649" s="7"/>
      <c r="B649" s="5"/>
      <c r="C649" s="6"/>
      <c r="D649" s="6"/>
      <c r="E649" s="6"/>
      <c r="F649" s="6"/>
      <c r="G649" s="6"/>
      <c r="H649" s="6"/>
      <c r="I649" s="6"/>
      <c r="J649" s="11"/>
      <c r="K649" s="591"/>
      <c r="L649" s="6"/>
      <c r="M649" s="6"/>
      <c r="N649" s="6"/>
      <c r="O649" s="6"/>
      <c r="P649" s="6"/>
      <c r="Q649" s="6"/>
      <c r="R649" s="6"/>
      <c r="S649" s="6"/>
    </row>
    <row r="650" ht="11.25" customHeight="1">
      <c r="A650" s="7"/>
      <c r="B650" s="5"/>
      <c r="C650" s="6"/>
      <c r="D650" s="6"/>
      <c r="E650" s="6"/>
      <c r="F650" s="6"/>
      <c r="G650" s="6"/>
      <c r="H650" s="6"/>
      <c r="I650" s="6"/>
      <c r="J650" s="11"/>
      <c r="K650" s="591"/>
      <c r="L650" s="6"/>
      <c r="M650" s="6"/>
      <c r="N650" s="6"/>
      <c r="O650" s="6"/>
      <c r="P650" s="6"/>
      <c r="Q650" s="6"/>
      <c r="R650" s="6"/>
      <c r="S650" s="6"/>
    </row>
    <row r="651" ht="11.25" customHeight="1">
      <c r="A651" s="7"/>
      <c r="B651" s="5"/>
      <c r="C651" s="6"/>
      <c r="D651" s="6"/>
      <c r="E651" s="6"/>
      <c r="F651" s="6"/>
      <c r="G651" s="6"/>
      <c r="H651" s="6"/>
      <c r="I651" s="6"/>
      <c r="J651" s="11"/>
      <c r="K651" s="591"/>
      <c r="L651" s="6"/>
      <c r="M651" s="6"/>
      <c r="N651" s="6"/>
      <c r="O651" s="6"/>
      <c r="P651" s="6"/>
      <c r="Q651" s="6"/>
      <c r="R651" s="6"/>
      <c r="S651" s="6"/>
    </row>
    <row r="652" ht="11.25" customHeight="1">
      <c r="A652" s="7"/>
      <c r="B652" s="5"/>
      <c r="C652" s="6"/>
      <c r="D652" s="6"/>
      <c r="E652" s="6"/>
      <c r="F652" s="6"/>
      <c r="G652" s="6"/>
      <c r="H652" s="6"/>
      <c r="I652" s="6"/>
      <c r="J652" s="11"/>
      <c r="K652" s="591"/>
      <c r="L652" s="6"/>
      <c r="M652" s="6"/>
      <c r="N652" s="6"/>
      <c r="O652" s="6"/>
      <c r="P652" s="6"/>
      <c r="Q652" s="6"/>
      <c r="R652" s="6"/>
      <c r="S652" s="6"/>
    </row>
    <row r="653" ht="11.25" customHeight="1">
      <c r="A653" s="7"/>
      <c r="B653" s="5"/>
      <c r="C653" s="6"/>
      <c r="D653" s="6"/>
      <c r="E653" s="6"/>
      <c r="F653" s="6"/>
      <c r="G653" s="6"/>
      <c r="H653" s="6"/>
      <c r="I653" s="6"/>
      <c r="J653" s="11"/>
      <c r="K653" s="591"/>
      <c r="L653" s="6"/>
      <c r="M653" s="6"/>
      <c r="N653" s="6"/>
      <c r="O653" s="6"/>
      <c r="P653" s="6"/>
      <c r="Q653" s="6"/>
      <c r="R653" s="6"/>
      <c r="S653" s="6"/>
    </row>
    <row r="654" ht="11.25" customHeight="1">
      <c r="A654" s="7"/>
      <c r="B654" s="5"/>
      <c r="C654" s="6"/>
      <c r="D654" s="6"/>
      <c r="E654" s="6"/>
      <c r="F654" s="6"/>
      <c r="G654" s="6"/>
      <c r="H654" s="6"/>
      <c r="I654" s="6"/>
      <c r="J654" s="11"/>
      <c r="K654" s="591"/>
      <c r="L654" s="6"/>
      <c r="M654" s="6"/>
      <c r="N654" s="6"/>
      <c r="O654" s="6"/>
      <c r="P654" s="6"/>
      <c r="Q654" s="6"/>
      <c r="R654" s="6"/>
      <c r="S654" s="6"/>
    </row>
    <row r="655" ht="11.25" customHeight="1">
      <c r="A655" s="7"/>
      <c r="B655" s="5"/>
      <c r="C655" s="6"/>
      <c r="D655" s="6"/>
      <c r="E655" s="6"/>
      <c r="F655" s="6"/>
      <c r="G655" s="6"/>
      <c r="H655" s="6"/>
      <c r="I655" s="6"/>
      <c r="J655" s="11"/>
      <c r="K655" s="591"/>
      <c r="L655" s="6"/>
      <c r="M655" s="6"/>
      <c r="N655" s="6"/>
      <c r="O655" s="6"/>
      <c r="P655" s="6"/>
      <c r="Q655" s="6"/>
      <c r="R655" s="6"/>
      <c r="S655" s="6"/>
    </row>
    <row r="656" ht="11.25" customHeight="1">
      <c r="A656" s="7"/>
      <c r="B656" s="5"/>
      <c r="C656" s="6"/>
      <c r="D656" s="6"/>
      <c r="E656" s="6"/>
      <c r="F656" s="6"/>
      <c r="G656" s="6"/>
      <c r="H656" s="6"/>
      <c r="I656" s="6"/>
      <c r="J656" s="11"/>
      <c r="K656" s="591"/>
      <c r="L656" s="6"/>
      <c r="M656" s="6"/>
      <c r="N656" s="6"/>
      <c r="O656" s="6"/>
      <c r="P656" s="6"/>
      <c r="Q656" s="6"/>
      <c r="R656" s="6"/>
      <c r="S656" s="6"/>
    </row>
    <row r="657" ht="11.25" customHeight="1">
      <c r="A657" s="7"/>
      <c r="B657" s="5"/>
      <c r="C657" s="6"/>
      <c r="D657" s="6"/>
      <c r="E657" s="6"/>
      <c r="F657" s="6"/>
      <c r="G657" s="6"/>
      <c r="H657" s="6"/>
      <c r="I657" s="6"/>
      <c r="J657" s="11"/>
      <c r="K657" s="591"/>
      <c r="L657" s="6"/>
      <c r="M657" s="6"/>
      <c r="N657" s="6"/>
      <c r="O657" s="6"/>
      <c r="P657" s="6"/>
      <c r="Q657" s="6"/>
      <c r="R657" s="6"/>
      <c r="S657" s="6"/>
    </row>
    <row r="658" ht="11.25" customHeight="1">
      <c r="A658" s="7"/>
      <c r="B658" s="5"/>
      <c r="C658" s="6"/>
      <c r="D658" s="6"/>
      <c r="E658" s="6"/>
      <c r="F658" s="6"/>
      <c r="G658" s="6"/>
      <c r="H658" s="6"/>
      <c r="I658" s="6"/>
      <c r="J658" s="11"/>
      <c r="K658" s="591"/>
      <c r="L658" s="6"/>
      <c r="M658" s="6"/>
      <c r="N658" s="6"/>
      <c r="O658" s="6"/>
      <c r="P658" s="6"/>
      <c r="Q658" s="6"/>
      <c r="R658" s="6"/>
      <c r="S658" s="6"/>
    </row>
    <row r="659" ht="11.25" customHeight="1">
      <c r="A659" s="7"/>
      <c r="B659" s="5"/>
      <c r="C659" s="6"/>
      <c r="D659" s="6"/>
      <c r="E659" s="6"/>
      <c r="F659" s="6"/>
      <c r="G659" s="6"/>
      <c r="H659" s="6"/>
      <c r="I659" s="6"/>
      <c r="J659" s="11"/>
      <c r="K659" s="591"/>
      <c r="L659" s="6"/>
      <c r="M659" s="6"/>
      <c r="N659" s="6"/>
      <c r="O659" s="6"/>
      <c r="P659" s="6"/>
      <c r="Q659" s="6"/>
      <c r="R659" s="6"/>
      <c r="S659" s="6"/>
    </row>
    <row r="660" ht="11.25" customHeight="1">
      <c r="A660" s="7"/>
      <c r="B660" s="5"/>
      <c r="C660" s="6"/>
      <c r="D660" s="6"/>
      <c r="E660" s="6"/>
      <c r="F660" s="6"/>
      <c r="G660" s="6"/>
      <c r="H660" s="6"/>
      <c r="I660" s="6"/>
      <c r="J660" s="11"/>
      <c r="K660" s="591"/>
      <c r="L660" s="6"/>
      <c r="M660" s="6"/>
      <c r="N660" s="6"/>
      <c r="O660" s="6"/>
      <c r="P660" s="6"/>
      <c r="Q660" s="6"/>
      <c r="R660" s="6"/>
      <c r="S660" s="6"/>
    </row>
    <row r="661" ht="11.25" customHeight="1">
      <c r="A661" s="7"/>
      <c r="B661" s="5"/>
      <c r="C661" s="6"/>
      <c r="D661" s="6"/>
      <c r="E661" s="6"/>
      <c r="F661" s="6"/>
      <c r="G661" s="6"/>
      <c r="H661" s="6"/>
      <c r="I661" s="6"/>
      <c r="J661" s="11"/>
      <c r="K661" s="591"/>
      <c r="L661" s="6"/>
      <c r="M661" s="6"/>
      <c r="N661" s="6"/>
      <c r="O661" s="6"/>
      <c r="P661" s="6"/>
      <c r="Q661" s="6"/>
      <c r="R661" s="6"/>
      <c r="S661" s="6"/>
    </row>
    <row r="662" ht="11.25" customHeight="1">
      <c r="A662" s="7"/>
      <c r="B662" s="5"/>
      <c r="C662" s="6"/>
      <c r="D662" s="6"/>
      <c r="E662" s="6"/>
      <c r="F662" s="6"/>
      <c r="G662" s="6"/>
      <c r="H662" s="6"/>
      <c r="I662" s="6"/>
      <c r="J662" s="11"/>
      <c r="K662" s="591"/>
      <c r="L662" s="6"/>
      <c r="M662" s="6"/>
      <c r="N662" s="6"/>
      <c r="O662" s="6"/>
      <c r="P662" s="6"/>
      <c r="Q662" s="6"/>
      <c r="R662" s="6"/>
      <c r="S662" s="6"/>
    </row>
    <row r="663" ht="11.25" customHeight="1">
      <c r="A663" s="7"/>
      <c r="B663" s="5"/>
      <c r="C663" s="6"/>
      <c r="D663" s="6"/>
      <c r="E663" s="6"/>
      <c r="F663" s="6"/>
      <c r="G663" s="6"/>
      <c r="H663" s="6"/>
      <c r="I663" s="6"/>
      <c r="J663" s="11"/>
      <c r="K663" s="591"/>
      <c r="L663" s="6"/>
      <c r="M663" s="6"/>
      <c r="N663" s="6"/>
      <c r="O663" s="6"/>
      <c r="P663" s="6"/>
      <c r="Q663" s="6"/>
      <c r="R663" s="6"/>
      <c r="S663" s="6"/>
    </row>
    <row r="664" ht="11.25" customHeight="1">
      <c r="A664" s="7"/>
      <c r="B664" s="5"/>
      <c r="C664" s="6"/>
      <c r="D664" s="6"/>
      <c r="E664" s="6"/>
      <c r="F664" s="6"/>
      <c r="G664" s="6"/>
      <c r="H664" s="6"/>
      <c r="I664" s="6"/>
      <c r="J664" s="11"/>
      <c r="K664" s="591"/>
      <c r="L664" s="6"/>
      <c r="M664" s="6"/>
      <c r="N664" s="6"/>
      <c r="O664" s="6"/>
      <c r="P664" s="6"/>
      <c r="Q664" s="6"/>
      <c r="R664" s="6"/>
      <c r="S664" s="6"/>
    </row>
    <row r="665" ht="11.25" customHeight="1">
      <c r="A665" s="7"/>
      <c r="B665" s="5"/>
      <c r="C665" s="6"/>
      <c r="D665" s="6"/>
      <c r="E665" s="6"/>
      <c r="F665" s="6"/>
      <c r="G665" s="6"/>
      <c r="H665" s="6"/>
      <c r="I665" s="6"/>
      <c r="J665" s="11"/>
      <c r="K665" s="591"/>
      <c r="L665" s="6"/>
      <c r="M665" s="6"/>
      <c r="N665" s="6"/>
      <c r="O665" s="6"/>
      <c r="P665" s="6"/>
      <c r="Q665" s="6"/>
      <c r="R665" s="6"/>
      <c r="S665" s="6"/>
    </row>
    <row r="666" ht="11.25" customHeight="1">
      <c r="A666" s="7"/>
      <c r="B666" s="5"/>
      <c r="C666" s="6"/>
      <c r="D666" s="6"/>
      <c r="E666" s="6"/>
      <c r="F666" s="6"/>
      <c r="G666" s="6"/>
      <c r="H666" s="6"/>
      <c r="I666" s="6"/>
      <c r="J666" s="11"/>
      <c r="K666" s="591"/>
      <c r="L666" s="6"/>
      <c r="M666" s="6"/>
      <c r="N666" s="6"/>
      <c r="O666" s="6"/>
      <c r="P666" s="6"/>
      <c r="Q666" s="6"/>
      <c r="R666" s="6"/>
      <c r="S666" s="6"/>
    </row>
    <row r="667" ht="11.25" customHeight="1">
      <c r="A667" s="7"/>
      <c r="B667" s="5"/>
      <c r="C667" s="6"/>
      <c r="D667" s="6"/>
      <c r="E667" s="6"/>
      <c r="F667" s="6"/>
      <c r="G667" s="6"/>
      <c r="H667" s="6"/>
      <c r="I667" s="6"/>
      <c r="J667" s="11"/>
      <c r="K667" s="591"/>
      <c r="L667" s="6"/>
      <c r="M667" s="6"/>
      <c r="N667" s="6"/>
      <c r="O667" s="6"/>
      <c r="P667" s="6"/>
      <c r="Q667" s="6"/>
      <c r="R667" s="6"/>
      <c r="S667" s="6"/>
    </row>
    <row r="668" ht="11.25" customHeight="1">
      <c r="A668" s="7"/>
      <c r="B668" s="5"/>
      <c r="C668" s="6"/>
      <c r="D668" s="6"/>
      <c r="E668" s="6"/>
      <c r="F668" s="6"/>
      <c r="G668" s="6"/>
      <c r="H668" s="6"/>
      <c r="I668" s="6"/>
      <c r="J668" s="11"/>
      <c r="K668" s="591"/>
      <c r="L668" s="6"/>
      <c r="M668" s="6"/>
      <c r="N668" s="6"/>
      <c r="O668" s="6"/>
      <c r="P668" s="6"/>
      <c r="Q668" s="6"/>
      <c r="R668" s="6"/>
      <c r="S668" s="6"/>
    </row>
    <row r="669" ht="11.25" customHeight="1">
      <c r="A669" s="7"/>
      <c r="B669" s="5"/>
      <c r="C669" s="6"/>
      <c r="D669" s="6"/>
      <c r="E669" s="6"/>
      <c r="F669" s="6"/>
      <c r="G669" s="6"/>
      <c r="H669" s="6"/>
      <c r="I669" s="6"/>
      <c r="J669" s="11"/>
      <c r="K669" s="591"/>
      <c r="L669" s="6"/>
      <c r="M669" s="6"/>
      <c r="N669" s="6"/>
      <c r="O669" s="6"/>
      <c r="P669" s="6"/>
      <c r="Q669" s="6"/>
      <c r="R669" s="6"/>
      <c r="S669" s="6"/>
    </row>
    <row r="670" ht="11.25" customHeight="1">
      <c r="A670" s="7"/>
      <c r="B670" s="5"/>
      <c r="C670" s="6"/>
      <c r="D670" s="6"/>
      <c r="E670" s="6"/>
      <c r="F670" s="6"/>
      <c r="G670" s="6"/>
      <c r="H670" s="6"/>
      <c r="I670" s="6"/>
      <c r="J670" s="11"/>
      <c r="K670" s="591"/>
      <c r="L670" s="6"/>
      <c r="M670" s="6"/>
      <c r="N670" s="6"/>
      <c r="O670" s="6"/>
      <c r="P670" s="6"/>
      <c r="Q670" s="6"/>
      <c r="R670" s="6"/>
      <c r="S670" s="6"/>
    </row>
    <row r="671" ht="11.25" customHeight="1">
      <c r="A671" s="7"/>
      <c r="B671" s="5"/>
      <c r="C671" s="6"/>
      <c r="D671" s="6"/>
      <c r="E671" s="6"/>
      <c r="F671" s="6"/>
      <c r="G671" s="6"/>
      <c r="H671" s="6"/>
      <c r="I671" s="6"/>
      <c r="J671" s="11"/>
      <c r="K671" s="591"/>
      <c r="L671" s="6"/>
      <c r="M671" s="6"/>
      <c r="N671" s="6"/>
      <c r="O671" s="6"/>
      <c r="P671" s="6"/>
      <c r="Q671" s="6"/>
      <c r="R671" s="6"/>
      <c r="S671" s="6"/>
    </row>
    <row r="672" ht="11.25" customHeight="1">
      <c r="A672" s="7"/>
      <c r="B672" s="5"/>
      <c r="C672" s="6"/>
      <c r="D672" s="6"/>
      <c r="E672" s="6"/>
      <c r="F672" s="6"/>
      <c r="G672" s="6"/>
      <c r="H672" s="6"/>
      <c r="I672" s="6"/>
      <c r="J672" s="11"/>
      <c r="K672" s="591"/>
      <c r="L672" s="6"/>
      <c r="M672" s="6"/>
      <c r="N672" s="6"/>
      <c r="O672" s="6"/>
      <c r="P672" s="6"/>
      <c r="Q672" s="6"/>
      <c r="R672" s="6"/>
      <c r="S672" s="6"/>
    </row>
    <row r="673" ht="11.25" customHeight="1">
      <c r="A673" s="7"/>
      <c r="B673" s="5"/>
      <c r="C673" s="6"/>
      <c r="D673" s="6"/>
      <c r="E673" s="6"/>
      <c r="F673" s="6"/>
      <c r="G673" s="6"/>
      <c r="H673" s="6"/>
      <c r="I673" s="6"/>
      <c r="J673" s="11"/>
      <c r="K673" s="591"/>
      <c r="L673" s="6"/>
      <c r="M673" s="6"/>
      <c r="N673" s="6"/>
      <c r="O673" s="6"/>
      <c r="P673" s="6"/>
      <c r="Q673" s="6"/>
      <c r="R673" s="6"/>
      <c r="S673" s="6"/>
    </row>
    <row r="674" ht="11.25" customHeight="1">
      <c r="A674" s="7"/>
      <c r="B674" s="5"/>
      <c r="C674" s="6"/>
      <c r="D674" s="6"/>
      <c r="E674" s="6"/>
      <c r="F674" s="6"/>
      <c r="G674" s="6"/>
      <c r="H674" s="6"/>
      <c r="I674" s="6"/>
      <c r="J674" s="11"/>
      <c r="K674" s="591"/>
      <c r="L674" s="6"/>
      <c r="M674" s="6"/>
      <c r="N674" s="6"/>
      <c r="O674" s="6"/>
      <c r="P674" s="6"/>
      <c r="Q674" s="6"/>
      <c r="R674" s="6"/>
      <c r="S674" s="6"/>
    </row>
    <row r="675" ht="11.25" customHeight="1">
      <c r="A675" s="7"/>
      <c r="B675" s="5"/>
      <c r="C675" s="6"/>
      <c r="D675" s="6"/>
      <c r="E675" s="6"/>
      <c r="F675" s="6"/>
      <c r="G675" s="6"/>
      <c r="H675" s="6"/>
      <c r="I675" s="6"/>
      <c r="J675" s="11"/>
      <c r="K675" s="591"/>
      <c r="L675" s="6"/>
      <c r="M675" s="6"/>
      <c r="N675" s="6"/>
      <c r="O675" s="6"/>
      <c r="P675" s="6"/>
      <c r="Q675" s="6"/>
      <c r="R675" s="6"/>
      <c r="S675" s="6"/>
    </row>
    <row r="676" ht="11.25" customHeight="1">
      <c r="A676" s="7"/>
      <c r="B676" s="5"/>
      <c r="C676" s="6"/>
      <c r="D676" s="6"/>
      <c r="E676" s="6"/>
      <c r="F676" s="6"/>
      <c r="G676" s="6"/>
      <c r="H676" s="6"/>
      <c r="I676" s="6"/>
      <c r="J676" s="11"/>
      <c r="K676" s="591"/>
      <c r="L676" s="6"/>
      <c r="M676" s="6"/>
      <c r="N676" s="6"/>
      <c r="O676" s="6"/>
      <c r="P676" s="6"/>
      <c r="Q676" s="6"/>
      <c r="R676" s="6"/>
      <c r="S676" s="6"/>
    </row>
    <row r="677" ht="11.25" customHeight="1">
      <c r="A677" s="7"/>
      <c r="B677" s="5"/>
      <c r="C677" s="6"/>
      <c r="D677" s="6"/>
      <c r="E677" s="6"/>
      <c r="F677" s="6"/>
      <c r="G677" s="6"/>
      <c r="H677" s="6"/>
      <c r="I677" s="6"/>
      <c r="J677" s="11"/>
      <c r="K677" s="591"/>
      <c r="L677" s="6"/>
      <c r="M677" s="6"/>
      <c r="N677" s="6"/>
      <c r="O677" s="6"/>
      <c r="P677" s="6"/>
      <c r="Q677" s="6"/>
      <c r="R677" s="6"/>
      <c r="S677" s="6"/>
    </row>
    <row r="678" ht="11.25" customHeight="1">
      <c r="A678" s="7"/>
      <c r="B678" s="5"/>
      <c r="C678" s="6"/>
      <c r="D678" s="6"/>
      <c r="E678" s="6"/>
      <c r="F678" s="6"/>
      <c r="G678" s="6"/>
      <c r="H678" s="6"/>
      <c r="I678" s="6"/>
      <c r="J678" s="11"/>
      <c r="K678" s="591"/>
      <c r="L678" s="6"/>
      <c r="M678" s="6"/>
      <c r="N678" s="6"/>
      <c r="O678" s="6"/>
      <c r="P678" s="6"/>
      <c r="Q678" s="6"/>
      <c r="R678" s="6"/>
      <c r="S678" s="6"/>
    </row>
    <row r="679" ht="11.25" customHeight="1">
      <c r="A679" s="7"/>
      <c r="B679" s="5"/>
      <c r="C679" s="6"/>
      <c r="D679" s="6"/>
      <c r="E679" s="6"/>
      <c r="F679" s="6"/>
      <c r="G679" s="6"/>
      <c r="H679" s="6"/>
      <c r="I679" s="6"/>
      <c r="J679" s="11"/>
      <c r="K679" s="591"/>
      <c r="L679" s="6"/>
      <c r="M679" s="6"/>
      <c r="N679" s="6"/>
      <c r="O679" s="6"/>
      <c r="P679" s="6"/>
      <c r="Q679" s="6"/>
      <c r="R679" s="6"/>
      <c r="S679" s="6"/>
    </row>
    <row r="680" ht="11.25" customHeight="1">
      <c r="A680" s="7"/>
      <c r="B680" s="5"/>
      <c r="C680" s="6"/>
      <c r="D680" s="6"/>
      <c r="E680" s="6"/>
      <c r="F680" s="6"/>
      <c r="G680" s="6"/>
      <c r="H680" s="6"/>
      <c r="I680" s="6"/>
      <c r="J680" s="11"/>
      <c r="K680" s="591"/>
      <c r="L680" s="6"/>
      <c r="M680" s="6"/>
      <c r="N680" s="6"/>
      <c r="O680" s="6"/>
      <c r="P680" s="6"/>
      <c r="Q680" s="6"/>
      <c r="R680" s="6"/>
      <c r="S680" s="6"/>
    </row>
    <row r="681" ht="11.25" customHeight="1">
      <c r="A681" s="7"/>
      <c r="B681" s="5"/>
      <c r="C681" s="6"/>
      <c r="D681" s="6"/>
      <c r="E681" s="6"/>
      <c r="F681" s="6"/>
      <c r="G681" s="6"/>
      <c r="H681" s="6"/>
      <c r="I681" s="6"/>
      <c r="J681" s="11"/>
      <c r="K681" s="591"/>
      <c r="L681" s="6"/>
      <c r="M681" s="6"/>
      <c r="N681" s="6"/>
      <c r="O681" s="6"/>
      <c r="P681" s="6"/>
      <c r="Q681" s="6"/>
      <c r="R681" s="6"/>
      <c r="S681" s="6"/>
    </row>
    <row r="682" ht="11.25" customHeight="1">
      <c r="A682" s="7"/>
      <c r="B682" s="5"/>
      <c r="C682" s="6"/>
      <c r="D682" s="6"/>
      <c r="E682" s="6"/>
      <c r="F682" s="6"/>
      <c r="G682" s="6"/>
      <c r="H682" s="6"/>
      <c r="I682" s="6"/>
      <c r="J682" s="11"/>
      <c r="K682" s="591"/>
      <c r="L682" s="6"/>
      <c r="M682" s="6"/>
      <c r="N682" s="6"/>
      <c r="O682" s="6"/>
      <c r="P682" s="6"/>
      <c r="Q682" s="6"/>
      <c r="R682" s="6"/>
      <c r="S682" s="6"/>
    </row>
    <row r="683" ht="11.25" customHeight="1">
      <c r="A683" s="7"/>
      <c r="B683" s="5"/>
      <c r="C683" s="6"/>
      <c r="D683" s="6"/>
      <c r="E683" s="6"/>
      <c r="F683" s="6"/>
      <c r="G683" s="6"/>
      <c r="H683" s="6"/>
      <c r="I683" s="6"/>
      <c r="J683" s="11"/>
      <c r="K683" s="591"/>
      <c r="L683" s="6"/>
      <c r="M683" s="6"/>
      <c r="N683" s="6"/>
      <c r="O683" s="6"/>
      <c r="P683" s="6"/>
      <c r="Q683" s="6"/>
      <c r="R683" s="6"/>
      <c r="S683" s="6"/>
    </row>
    <row r="684" ht="11.25" customHeight="1">
      <c r="A684" s="7"/>
      <c r="B684" s="5"/>
      <c r="C684" s="6"/>
      <c r="D684" s="6"/>
      <c r="E684" s="6"/>
      <c r="F684" s="6"/>
      <c r="G684" s="6"/>
      <c r="H684" s="6"/>
      <c r="I684" s="6"/>
      <c r="J684" s="11"/>
      <c r="K684" s="591"/>
      <c r="L684" s="6"/>
      <c r="M684" s="6"/>
      <c r="N684" s="6"/>
      <c r="O684" s="6"/>
      <c r="P684" s="6"/>
      <c r="Q684" s="6"/>
      <c r="R684" s="6"/>
      <c r="S684" s="6"/>
    </row>
    <row r="685" ht="11.25" customHeight="1">
      <c r="A685" s="7"/>
      <c r="B685" s="5"/>
      <c r="C685" s="6"/>
      <c r="D685" s="6"/>
      <c r="E685" s="6"/>
      <c r="F685" s="6"/>
      <c r="G685" s="6"/>
      <c r="H685" s="6"/>
      <c r="I685" s="6"/>
      <c r="J685" s="11"/>
      <c r="K685" s="591"/>
      <c r="L685" s="6"/>
      <c r="M685" s="6"/>
      <c r="N685" s="6"/>
      <c r="O685" s="6"/>
      <c r="P685" s="6"/>
      <c r="Q685" s="6"/>
      <c r="R685" s="6"/>
      <c r="S685" s="6"/>
    </row>
    <row r="686" ht="11.25" customHeight="1">
      <c r="A686" s="7"/>
      <c r="B686" s="5"/>
      <c r="C686" s="6"/>
      <c r="D686" s="6"/>
      <c r="E686" s="6"/>
      <c r="F686" s="6"/>
      <c r="G686" s="6"/>
      <c r="H686" s="6"/>
      <c r="I686" s="6"/>
      <c r="J686" s="11"/>
      <c r="K686" s="591"/>
      <c r="L686" s="6"/>
      <c r="M686" s="6"/>
      <c r="N686" s="6"/>
      <c r="O686" s="6"/>
      <c r="P686" s="6"/>
      <c r="Q686" s="6"/>
      <c r="R686" s="6"/>
      <c r="S686" s="6"/>
    </row>
    <row r="687" ht="11.25" customHeight="1">
      <c r="A687" s="7"/>
      <c r="B687" s="5"/>
      <c r="C687" s="6"/>
      <c r="D687" s="6"/>
      <c r="E687" s="6"/>
      <c r="F687" s="6"/>
      <c r="G687" s="6"/>
      <c r="H687" s="6"/>
      <c r="I687" s="6"/>
      <c r="J687" s="11"/>
      <c r="K687" s="591"/>
      <c r="L687" s="6"/>
      <c r="M687" s="6"/>
      <c r="N687" s="6"/>
      <c r="O687" s="6"/>
      <c r="P687" s="6"/>
      <c r="Q687" s="6"/>
      <c r="R687" s="6"/>
      <c r="S687" s="6"/>
    </row>
    <row r="688" ht="11.25" customHeight="1">
      <c r="A688" s="7"/>
      <c r="B688" s="5"/>
      <c r="C688" s="6"/>
      <c r="D688" s="6"/>
      <c r="E688" s="6"/>
      <c r="F688" s="6"/>
      <c r="G688" s="6"/>
      <c r="H688" s="6"/>
      <c r="I688" s="6"/>
      <c r="J688" s="11"/>
      <c r="K688" s="591"/>
      <c r="L688" s="6"/>
      <c r="M688" s="6"/>
      <c r="N688" s="6"/>
      <c r="O688" s="6"/>
      <c r="P688" s="6"/>
      <c r="Q688" s="6"/>
      <c r="R688" s="6"/>
      <c r="S688" s="6"/>
    </row>
    <row r="689" ht="11.25" customHeight="1">
      <c r="A689" s="7"/>
      <c r="B689" s="5"/>
      <c r="C689" s="6"/>
      <c r="D689" s="6"/>
      <c r="E689" s="6"/>
      <c r="F689" s="6"/>
      <c r="G689" s="6"/>
      <c r="H689" s="6"/>
      <c r="I689" s="6"/>
      <c r="J689" s="11"/>
      <c r="K689" s="591"/>
      <c r="L689" s="6"/>
      <c r="M689" s="6"/>
      <c r="N689" s="6"/>
      <c r="O689" s="6"/>
      <c r="P689" s="6"/>
      <c r="Q689" s="6"/>
      <c r="R689" s="6"/>
      <c r="S689" s="6"/>
    </row>
    <row r="690" ht="11.25" customHeight="1">
      <c r="A690" s="7"/>
      <c r="B690" s="5"/>
      <c r="C690" s="6"/>
      <c r="D690" s="6"/>
      <c r="E690" s="6"/>
      <c r="F690" s="6"/>
      <c r="G690" s="6"/>
      <c r="H690" s="6"/>
      <c r="I690" s="6"/>
      <c r="J690" s="11"/>
      <c r="K690" s="591"/>
      <c r="L690" s="6"/>
      <c r="M690" s="6"/>
      <c r="N690" s="6"/>
      <c r="O690" s="6"/>
      <c r="P690" s="6"/>
      <c r="Q690" s="6"/>
      <c r="R690" s="6"/>
      <c r="S690" s="6"/>
    </row>
    <row r="691" ht="11.25" customHeight="1">
      <c r="A691" s="7"/>
      <c r="B691" s="5"/>
      <c r="C691" s="6"/>
      <c r="D691" s="6"/>
      <c r="E691" s="6"/>
      <c r="F691" s="6"/>
      <c r="G691" s="6"/>
      <c r="H691" s="6"/>
      <c r="I691" s="6"/>
      <c r="J691" s="11"/>
      <c r="K691" s="591"/>
      <c r="L691" s="6"/>
      <c r="M691" s="6"/>
      <c r="N691" s="6"/>
      <c r="O691" s="6"/>
      <c r="P691" s="6"/>
      <c r="Q691" s="6"/>
      <c r="R691" s="6"/>
      <c r="S691" s="6"/>
    </row>
    <row r="692" ht="11.25" customHeight="1">
      <c r="A692" s="7"/>
      <c r="B692" s="5"/>
      <c r="C692" s="6"/>
      <c r="D692" s="6"/>
      <c r="E692" s="6"/>
      <c r="F692" s="6"/>
      <c r="G692" s="6"/>
      <c r="H692" s="6"/>
      <c r="I692" s="6"/>
      <c r="J692" s="11"/>
      <c r="K692" s="591"/>
      <c r="L692" s="6"/>
      <c r="M692" s="6"/>
      <c r="N692" s="6"/>
      <c r="O692" s="6"/>
      <c r="P692" s="6"/>
      <c r="Q692" s="6"/>
      <c r="R692" s="6"/>
      <c r="S692" s="6"/>
    </row>
    <row r="693" ht="11.25" customHeight="1">
      <c r="A693" s="7"/>
      <c r="B693" s="5"/>
      <c r="C693" s="6"/>
      <c r="D693" s="6"/>
      <c r="E693" s="6"/>
      <c r="F693" s="6"/>
      <c r="G693" s="6"/>
      <c r="H693" s="6"/>
      <c r="I693" s="6"/>
      <c r="J693" s="11"/>
      <c r="K693" s="591"/>
      <c r="L693" s="6"/>
      <c r="M693" s="6"/>
      <c r="N693" s="6"/>
      <c r="O693" s="6"/>
      <c r="P693" s="6"/>
      <c r="Q693" s="6"/>
      <c r="R693" s="6"/>
      <c r="S693" s="6"/>
    </row>
    <row r="694" ht="11.25" customHeight="1">
      <c r="A694" s="7"/>
      <c r="B694" s="5"/>
      <c r="C694" s="6"/>
      <c r="D694" s="6"/>
      <c r="E694" s="6"/>
      <c r="F694" s="6"/>
      <c r="G694" s="6"/>
      <c r="H694" s="6"/>
      <c r="I694" s="6"/>
      <c r="J694" s="11"/>
      <c r="K694" s="591"/>
      <c r="L694" s="6"/>
      <c r="M694" s="6"/>
      <c r="N694" s="6"/>
      <c r="O694" s="6"/>
      <c r="P694" s="6"/>
      <c r="Q694" s="6"/>
      <c r="R694" s="6"/>
      <c r="S694" s="6"/>
    </row>
    <row r="695" ht="11.25" customHeight="1">
      <c r="A695" s="7"/>
      <c r="B695" s="5"/>
      <c r="C695" s="6"/>
      <c r="D695" s="6"/>
      <c r="E695" s="6"/>
      <c r="F695" s="6"/>
      <c r="G695" s="6"/>
      <c r="H695" s="6"/>
      <c r="I695" s="6"/>
      <c r="J695" s="11"/>
      <c r="K695" s="591"/>
      <c r="L695" s="6"/>
      <c r="M695" s="6"/>
      <c r="N695" s="6"/>
      <c r="O695" s="6"/>
      <c r="P695" s="6"/>
      <c r="Q695" s="6"/>
      <c r="R695" s="6"/>
      <c r="S695" s="6"/>
    </row>
    <row r="696" ht="11.25" customHeight="1">
      <c r="A696" s="7"/>
      <c r="B696" s="5"/>
      <c r="C696" s="6"/>
      <c r="D696" s="6"/>
      <c r="E696" s="6"/>
      <c r="F696" s="6"/>
      <c r="G696" s="6"/>
      <c r="H696" s="6"/>
      <c r="I696" s="6"/>
      <c r="J696" s="11"/>
      <c r="K696" s="591"/>
      <c r="L696" s="6"/>
      <c r="M696" s="6"/>
      <c r="N696" s="6"/>
      <c r="O696" s="6"/>
      <c r="P696" s="6"/>
      <c r="Q696" s="6"/>
      <c r="R696" s="6"/>
      <c r="S696" s="6"/>
    </row>
    <row r="697" ht="11.25" customHeight="1">
      <c r="A697" s="7"/>
      <c r="B697" s="5"/>
      <c r="C697" s="6"/>
      <c r="D697" s="6"/>
      <c r="E697" s="6"/>
      <c r="F697" s="6"/>
      <c r="G697" s="6"/>
      <c r="H697" s="6"/>
      <c r="I697" s="6"/>
      <c r="J697" s="11"/>
      <c r="K697" s="591"/>
      <c r="L697" s="6"/>
      <c r="M697" s="6"/>
      <c r="N697" s="6"/>
      <c r="O697" s="6"/>
      <c r="P697" s="6"/>
      <c r="Q697" s="6"/>
      <c r="R697" s="6"/>
      <c r="S697" s="6"/>
    </row>
    <row r="698" ht="11.25" customHeight="1">
      <c r="A698" s="7"/>
      <c r="B698" s="5"/>
      <c r="C698" s="6"/>
      <c r="D698" s="6"/>
      <c r="E698" s="6"/>
      <c r="F698" s="6"/>
      <c r="G698" s="6"/>
      <c r="H698" s="6"/>
      <c r="I698" s="6"/>
      <c r="J698" s="11"/>
      <c r="K698" s="591"/>
      <c r="L698" s="6"/>
      <c r="M698" s="6"/>
      <c r="N698" s="6"/>
      <c r="O698" s="6"/>
      <c r="P698" s="6"/>
      <c r="Q698" s="6"/>
      <c r="R698" s="6"/>
      <c r="S698" s="6"/>
    </row>
    <row r="699" ht="11.25" customHeight="1">
      <c r="A699" s="7"/>
      <c r="B699" s="5"/>
      <c r="C699" s="6"/>
      <c r="D699" s="6"/>
      <c r="E699" s="6"/>
      <c r="F699" s="6"/>
      <c r="G699" s="6"/>
      <c r="H699" s="6"/>
      <c r="I699" s="6"/>
      <c r="J699" s="11"/>
      <c r="K699" s="591"/>
      <c r="L699" s="6"/>
      <c r="M699" s="6"/>
      <c r="N699" s="6"/>
      <c r="O699" s="6"/>
      <c r="P699" s="6"/>
      <c r="Q699" s="6"/>
      <c r="R699" s="6"/>
      <c r="S699" s="6"/>
    </row>
    <row r="700" ht="11.25" customHeight="1">
      <c r="A700" s="7"/>
      <c r="B700" s="5"/>
      <c r="C700" s="6"/>
      <c r="D700" s="6"/>
      <c r="E700" s="6"/>
      <c r="F700" s="6"/>
      <c r="G700" s="6"/>
      <c r="H700" s="6"/>
      <c r="I700" s="6"/>
      <c r="J700" s="11"/>
      <c r="K700" s="591"/>
      <c r="L700" s="6"/>
      <c r="M700" s="6"/>
      <c r="N700" s="6"/>
      <c r="O700" s="6"/>
      <c r="P700" s="6"/>
      <c r="Q700" s="6"/>
      <c r="R700" s="6"/>
      <c r="S700" s="6"/>
    </row>
    <row r="701" ht="11.25" customHeight="1">
      <c r="A701" s="7"/>
      <c r="B701" s="5"/>
      <c r="C701" s="6"/>
      <c r="D701" s="6"/>
      <c r="E701" s="6"/>
      <c r="F701" s="6"/>
      <c r="G701" s="6"/>
      <c r="H701" s="6"/>
      <c r="I701" s="6"/>
      <c r="J701" s="11"/>
      <c r="K701" s="591"/>
      <c r="L701" s="6"/>
      <c r="M701" s="6"/>
      <c r="N701" s="6"/>
      <c r="O701" s="6"/>
      <c r="P701" s="6"/>
      <c r="Q701" s="6"/>
      <c r="R701" s="6"/>
      <c r="S701" s="6"/>
    </row>
    <row r="702" ht="11.25" customHeight="1">
      <c r="A702" s="7"/>
      <c r="B702" s="5"/>
      <c r="C702" s="6"/>
      <c r="D702" s="6"/>
      <c r="E702" s="6"/>
      <c r="F702" s="6"/>
      <c r="G702" s="6"/>
      <c r="H702" s="6"/>
      <c r="I702" s="6"/>
      <c r="J702" s="11"/>
      <c r="K702" s="591"/>
      <c r="L702" s="6"/>
      <c r="M702" s="6"/>
      <c r="N702" s="6"/>
      <c r="O702" s="6"/>
      <c r="P702" s="6"/>
      <c r="Q702" s="6"/>
      <c r="R702" s="6"/>
      <c r="S702" s="6"/>
    </row>
    <row r="703" ht="11.25" customHeight="1">
      <c r="A703" s="7"/>
      <c r="B703" s="5"/>
      <c r="C703" s="6"/>
      <c r="D703" s="6"/>
      <c r="E703" s="6"/>
      <c r="F703" s="6"/>
      <c r="G703" s="6"/>
      <c r="H703" s="6"/>
      <c r="I703" s="6"/>
      <c r="J703" s="11"/>
      <c r="K703" s="591"/>
      <c r="L703" s="6"/>
      <c r="M703" s="6"/>
      <c r="N703" s="6"/>
      <c r="O703" s="6"/>
      <c r="P703" s="6"/>
      <c r="Q703" s="6"/>
      <c r="R703" s="6"/>
      <c r="S703" s="6"/>
    </row>
    <row r="704" ht="11.25" customHeight="1">
      <c r="A704" s="7"/>
      <c r="B704" s="5"/>
      <c r="C704" s="6"/>
      <c r="D704" s="6"/>
      <c r="E704" s="6"/>
      <c r="F704" s="6"/>
      <c r="G704" s="6"/>
      <c r="H704" s="6"/>
      <c r="I704" s="6"/>
      <c r="J704" s="11"/>
      <c r="K704" s="591"/>
      <c r="L704" s="6"/>
      <c r="M704" s="6"/>
      <c r="N704" s="6"/>
      <c r="O704" s="6"/>
      <c r="P704" s="6"/>
      <c r="Q704" s="6"/>
      <c r="R704" s="6"/>
      <c r="S704" s="6"/>
    </row>
    <row r="705" ht="11.25" customHeight="1">
      <c r="A705" s="7"/>
      <c r="B705" s="5"/>
      <c r="C705" s="6"/>
      <c r="D705" s="6"/>
      <c r="E705" s="6"/>
      <c r="F705" s="6"/>
      <c r="G705" s="6"/>
      <c r="H705" s="6"/>
      <c r="I705" s="6"/>
      <c r="J705" s="11"/>
      <c r="K705" s="591"/>
      <c r="L705" s="6"/>
      <c r="M705" s="6"/>
      <c r="N705" s="6"/>
      <c r="O705" s="6"/>
      <c r="P705" s="6"/>
      <c r="Q705" s="6"/>
      <c r="R705" s="6"/>
      <c r="S705" s="6"/>
    </row>
    <row r="706" ht="11.25" customHeight="1">
      <c r="A706" s="7"/>
      <c r="B706" s="5"/>
      <c r="C706" s="6"/>
      <c r="D706" s="6"/>
      <c r="E706" s="6"/>
      <c r="F706" s="6"/>
      <c r="G706" s="6"/>
      <c r="H706" s="6"/>
      <c r="I706" s="6"/>
      <c r="J706" s="11"/>
      <c r="K706" s="591"/>
      <c r="L706" s="6"/>
      <c r="M706" s="6"/>
      <c r="N706" s="6"/>
      <c r="O706" s="6"/>
      <c r="P706" s="6"/>
      <c r="Q706" s="6"/>
      <c r="R706" s="6"/>
      <c r="S706" s="6"/>
    </row>
    <row r="707" ht="11.25" customHeight="1">
      <c r="A707" s="7"/>
      <c r="B707" s="5"/>
      <c r="C707" s="6"/>
      <c r="D707" s="6"/>
      <c r="E707" s="6"/>
      <c r="F707" s="6"/>
      <c r="G707" s="6"/>
      <c r="H707" s="6"/>
      <c r="I707" s="6"/>
      <c r="J707" s="11"/>
      <c r="K707" s="591"/>
      <c r="L707" s="6"/>
      <c r="M707" s="6"/>
      <c r="N707" s="6"/>
      <c r="O707" s="6"/>
      <c r="P707" s="6"/>
      <c r="Q707" s="6"/>
      <c r="R707" s="6"/>
      <c r="S707" s="6"/>
    </row>
    <row r="708" ht="11.25" customHeight="1">
      <c r="A708" s="7"/>
      <c r="B708" s="5"/>
      <c r="C708" s="6"/>
      <c r="D708" s="6"/>
      <c r="E708" s="6"/>
      <c r="F708" s="6"/>
      <c r="G708" s="6"/>
      <c r="H708" s="6"/>
      <c r="I708" s="6"/>
      <c r="J708" s="11"/>
      <c r="K708" s="591"/>
      <c r="L708" s="6"/>
      <c r="M708" s="6"/>
      <c r="N708" s="6"/>
      <c r="O708" s="6"/>
      <c r="P708" s="6"/>
      <c r="Q708" s="6"/>
      <c r="R708" s="6"/>
      <c r="S708" s="6"/>
    </row>
    <row r="709" ht="11.25" customHeight="1">
      <c r="A709" s="7"/>
      <c r="B709" s="5"/>
      <c r="C709" s="6"/>
      <c r="D709" s="6"/>
      <c r="E709" s="6"/>
      <c r="F709" s="6"/>
      <c r="G709" s="6"/>
      <c r="H709" s="6"/>
      <c r="I709" s="6"/>
      <c r="J709" s="11"/>
      <c r="K709" s="591"/>
      <c r="L709" s="6"/>
      <c r="M709" s="6"/>
      <c r="N709" s="6"/>
      <c r="O709" s="6"/>
      <c r="P709" s="6"/>
      <c r="Q709" s="6"/>
      <c r="R709" s="6"/>
      <c r="S709" s="6"/>
    </row>
    <row r="710" ht="11.25" customHeight="1">
      <c r="A710" s="7"/>
      <c r="B710" s="5"/>
      <c r="C710" s="6"/>
      <c r="D710" s="6"/>
      <c r="E710" s="6"/>
      <c r="F710" s="6"/>
      <c r="G710" s="6"/>
      <c r="H710" s="6"/>
      <c r="I710" s="6"/>
      <c r="J710" s="11"/>
      <c r="K710" s="591"/>
      <c r="L710" s="6"/>
      <c r="M710" s="6"/>
      <c r="N710" s="6"/>
      <c r="O710" s="6"/>
      <c r="P710" s="6"/>
      <c r="Q710" s="6"/>
      <c r="R710" s="6"/>
      <c r="S710" s="6"/>
    </row>
    <row r="711" ht="11.25" customHeight="1">
      <c r="A711" s="7"/>
      <c r="B711" s="5"/>
      <c r="C711" s="6"/>
      <c r="D711" s="6"/>
      <c r="E711" s="6"/>
      <c r="F711" s="6"/>
      <c r="G711" s="6"/>
      <c r="H711" s="6"/>
      <c r="I711" s="6"/>
      <c r="J711" s="11"/>
      <c r="K711" s="591"/>
      <c r="L711" s="6"/>
      <c r="M711" s="6"/>
      <c r="N711" s="6"/>
      <c r="O711" s="6"/>
      <c r="P711" s="6"/>
      <c r="Q711" s="6"/>
      <c r="R711" s="6"/>
      <c r="S711" s="6"/>
    </row>
    <row r="712" ht="11.25" customHeight="1">
      <c r="A712" s="7"/>
      <c r="B712" s="5"/>
      <c r="C712" s="6"/>
      <c r="D712" s="6"/>
      <c r="E712" s="6"/>
      <c r="F712" s="6"/>
      <c r="G712" s="6"/>
      <c r="H712" s="6"/>
      <c r="I712" s="6"/>
      <c r="J712" s="11"/>
      <c r="K712" s="591"/>
      <c r="L712" s="6"/>
      <c r="M712" s="6"/>
      <c r="N712" s="6"/>
      <c r="O712" s="6"/>
      <c r="P712" s="6"/>
      <c r="Q712" s="6"/>
      <c r="R712" s="6"/>
      <c r="S712" s="6"/>
    </row>
    <row r="713" ht="11.25" customHeight="1">
      <c r="A713" s="7"/>
      <c r="B713" s="5"/>
      <c r="C713" s="6"/>
      <c r="D713" s="6"/>
      <c r="E713" s="6"/>
      <c r="F713" s="6"/>
      <c r="G713" s="6"/>
      <c r="H713" s="6"/>
      <c r="I713" s="6"/>
      <c r="J713" s="11"/>
      <c r="K713" s="591"/>
      <c r="L713" s="6"/>
      <c r="M713" s="6"/>
      <c r="N713" s="6"/>
      <c r="O713" s="6"/>
      <c r="P713" s="6"/>
      <c r="Q713" s="6"/>
      <c r="R713" s="6"/>
      <c r="S713" s="6"/>
    </row>
    <row r="714" ht="11.25" customHeight="1">
      <c r="A714" s="7"/>
      <c r="B714" s="5"/>
      <c r="C714" s="6"/>
      <c r="D714" s="6"/>
      <c r="E714" s="6"/>
      <c r="F714" s="6"/>
      <c r="G714" s="6"/>
      <c r="H714" s="6"/>
      <c r="I714" s="6"/>
      <c r="J714" s="11"/>
      <c r="K714" s="591"/>
      <c r="L714" s="6"/>
      <c r="M714" s="6"/>
      <c r="N714" s="6"/>
      <c r="O714" s="6"/>
      <c r="P714" s="6"/>
      <c r="Q714" s="6"/>
      <c r="R714" s="6"/>
      <c r="S714" s="6"/>
    </row>
    <row r="715" ht="11.25" customHeight="1">
      <c r="A715" s="7"/>
      <c r="B715" s="5"/>
      <c r="C715" s="6"/>
      <c r="D715" s="6"/>
      <c r="E715" s="6"/>
      <c r="F715" s="6"/>
      <c r="G715" s="6"/>
      <c r="H715" s="6"/>
      <c r="I715" s="6"/>
      <c r="J715" s="11"/>
      <c r="K715" s="591"/>
      <c r="L715" s="6"/>
      <c r="M715" s="6"/>
      <c r="N715" s="6"/>
      <c r="O715" s="6"/>
      <c r="P715" s="6"/>
      <c r="Q715" s="6"/>
      <c r="R715" s="6"/>
      <c r="S715" s="6"/>
    </row>
    <row r="716" ht="11.25" customHeight="1">
      <c r="A716" s="7"/>
      <c r="B716" s="5"/>
      <c r="C716" s="6"/>
      <c r="D716" s="6"/>
      <c r="E716" s="6"/>
      <c r="F716" s="6"/>
      <c r="G716" s="6"/>
      <c r="H716" s="6"/>
      <c r="I716" s="6"/>
      <c r="J716" s="11"/>
      <c r="K716" s="591"/>
      <c r="L716" s="6"/>
      <c r="M716" s="6"/>
      <c r="N716" s="6"/>
      <c r="O716" s="6"/>
      <c r="P716" s="6"/>
      <c r="Q716" s="6"/>
      <c r="R716" s="6"/>
      <c r="S716" s="6"/>
    </row>
    <row r="717" ht="11.25" customHeight="1">
      <c r="A717" s="7"/>
      <c r="B717" s="5"/>
      <c r="C717" s="6"/>
      <c r="D717" s="6"/>
      <c r="E717" s="6"/>
      <c r="F717" s="6"/>
      <c r="G717" s="6"/>
      <c r="H717" s="6"/>
      <c r="I717" s="6"/>
      <c r="J717" s="11"/>
      <c r="K717" s="591"/>
      <c r="L717" s="6"/>
      <c r="M717" s="6"/>
      <c r="N717" s="6"/>
      <c r="O717" s="6"/>
      <c r="P717" s="6"/>
      <c r="Q717" s="6"/>
      <c r="R717" s="6"/>
      <c r="S717" s="6"/>
    </row>
    <row r="718" ht="11.25" customHeight="1">
      <c r="A718" s="7"/>
      <c r="B718" s="5"/>
      <c r="C718" s="6"/>
      <c r="D718" s="6"/>
      <c r="E718" s="6"/>
      <c r="F718" s="6"/>
      <c r="G718" s="6"/>
      <c r="H718" s="6"/>
      <c r="I718" s="6"/>
      <c r="J718" s="11"/>
      <c r="K718" s="591"/>
      <c r="L718" s="6"/>
      <c r="M718" s="6"/>
      <c r="N718" s="6"/>
      <c r="O718" s="6"/>
      <c r="P718" s="6"/>
      <c r="Q718" s="6"/>
      <c r="R718" s="6"/>
      <c r="S718" s="6"/>
    </row>
    <row r="719" ht="11.25" customHeight="1">
      <c r="A719" s="7"/>
      <c r="B719" s="5"/>
      <c r="C719" s="6"/>
      <c r="D719" s="6"/>
      <c r="E719" s="6"/>
      <c r="F719" s="6"/>
      <c r="G719" s="6"/>
      <c r="H719" s="6"/>
      <c r="I719" s="6"/>
      <c r="J719" s="11"/>
      <c r="K719" s="591"/>
      <c r="L719" s="6"/>
      <c r="M719" s="6"/>
      <c r="N719" s="6"/>
      <c r="O719" s="6"/>
      <c r="P719" s="6"/>
      <c r="Q719" s="6"/>
      <c r="R719" s="6"/>
      <c r="S719" s="6"/>
    </row>
    <row r="720" ht="11.25" customHeight="1">
      <c r="A720" s="7"/>
      <c r="B720" s="5"/>
      <c r="C720" s="6"/>
      <c r="D720" s="6"/>
      <c r="E720" s="6"/>
      <c r="F720" s="6"/>
      <c r="G720" s="6"/>
      <c r="H720" s="6"/>
      <c r="I720" s="6"/>
      <c r="J720" s="11"/>
      <c r="K720" s="591"/>
      <c r="L720" s="6"/>
      <c r="M720" s="6"/>
      <c r="N720" s="6"/>
      <c r="O720" s="6"/>
      <c r="P720" s="6"/>
      <c r="Q720" s="6"/>
      <c r="R720" s="6"/>
      <c r="S720" s="6"/>
    </row>
    <row r="721" ht="11.25" customHeight="1">
      <c r="A721" s="7"/>
      <c r="B721" s="5"/>
      <c r="C721" s="6"/>
      <c r="D721" s="6"/>
      <c r="E721" s="6"/>
      <c r="F721" s="6"/>
      <c r="G721" s="6"/>
      <c r="H721" s="6"/>
      <c r="I721" s="6"/>
      <c r="J721" s="11"/>
      <c r="K721" s="591"/>
      <c r="L721" s="6"/>
      <c r="M721" s="6"/>
      <c r="N721" s="6"/>
      <c r="O721" s="6"/>
      <c r="P721" s="6"/>
      <c r="Q721" s="6"/>
      <c r="R721" s="6"/>
      <c r="S721" s="6"/>
    </row>
    <row r="722" ht="11.25" customHeight="1">
      <c r="A722" s="7"/>
      <c r="B722" s="5"/>
      <c r="C722" s="6"/>
      <c r="D722" s="6"/>
      <c r="E722" s="6"/>
      <c r="F722" s="6"/>
      <c r="G722" s="6"/>
      <c r="H722" s="6"/>
      <c r="I722" s="6"/>
      <c r="J722" s="11"/>
      <c r="K722" s="591"/>
      <c r="L722" s="6"/>
      <c r="M722" s="6"/>
      <c r="N722" s="6"/>
      <c r="O722" s="6"/>
      <c r="P722" s="6"/>
      <c r="Q722" s="6"/>
      <c r="R722" s="6"/>
      <c r="S722" s="6"/>
    </row>
    <row r="723" ht="11.25" customHeight="1">
      <c r="A723" s="7"/>
      <c r="B723" s="5"/>
      <c r="C723" s="6"/>
      <c r="D723" s="6"/>
      <c r="E723" s="6"/>
      <c r="F723" s="6"/>
      <c r="G723" s="6"/>
      <c r="H723" s="6"/>
      <c r="I723" s="6"/>
      <c r="J723" s="11"/>
      <c r="K723" s="591"/>
      <c r="L723" s="6"/>
      <c r="M723" s="6"/>
      <c r="N723" s="6"/>
      <c r="O723" s="6"/>
      <c r="P723" s="6"/>
      <c r="Q723" s="6"/>
      <c r="R723" s="6"/>
      <c r="S723" s="6"/>
    </row>
    <row r="724" ht="11.25" customHeight="1">
      <c r="A724" s="7"/>
      <c r="B724" s="5"/>
      <c r="C724" s="6"/>
      <c r="D724" s="6"/>
      <c r="E724" s="6"/>
      <c r="F724" s="6"/>
      <c r="G724" s="6"/>
      <c r="H724" s="6"/>
      <c r="I724" s="6"/>
      <c r="J724" s="11"/>
      <c r="K724" s="591"/>
      <c r="L724" s="6"/>
      <c r="M724" s="6"/>
      <c r="N724" s="6"/>
      <c r="O724" s="6"/>
      <c r="P724" s="6"/>
      <c r="Q724" s="6"/>
      <c r="R724" s="6"/>
      <c r="S724" s="6"/>
    </row>
    <row r="725" ht="11.25" customHeight="1">
      <c r="A725" s="7"/>
      <c r="B725" s="5"/>
      <c r="C725" s="6"/>
      <c r="D725" s="6"/>
      <c r="E725" s="6"/>
      <c r="F725" s="6"/>
      <c r="G725" s="6"/>
      <c r="H725" s="6"/>
      <c r="I725" s="6"/>
      <c r="J725" s="11"/>
      <c r="K725" s="591"/>
      <c r="L725" s="6"/>
      <c r="M725" s="6"/>
      <c r="N725" s="6"/>
      <c r="O725" s="6"/>
      <c r="P725" s="6"/>
      <c r="Q725" s="6"/>
      <c r="R725" s="6"/>
      <c r="S725" s="6"/>
    </row>
    <row r="726" ht="11.25" customHeight="1">
      <c r="A726" s="7"/>
      <c r="B726" s="5"/>
      <c r="C726" s="6"/>
      <c r="D726" s="6"/>
      <c r="E726" s="6"/>
      <c r="F726" s="6"/>
      <c r="G726" s="6"/>
      <c r="H726" s="6"/>
      <c r="I726" s="6"/>
      <c r="J726" s="11"/>
      <c r="K726" s="591"/>
      <c r="L726" s="6"/>
      <c r="M726" s="6"/>
      <c r="N726" s="6"/>
      <c r="O726" s="6"/>
      <c r="P726" s="6"/>
      <c r="Q726" s="6"/>
      <c r="R726" s="6"/>
      <c r="S726" s="6"/>
    </row>
    <row r="727" ht="11.25" customHeight="1">
      <c r="A727" s="7"/>
      <c r="B727" s="5"/>
      <c r="C727" s="6"/>
      <c r="D727" s="6"/>
      <c r="E727" s="6"/>
      <c r="F727" s="6"/>
      <c r="G727" s="6"/>
      <c r="H727" s="6"/>
      <c r="I727" s="6"/>
      <c r="J727" s="11"/>
      <c r="K727" s="591"/>
      <c r="L727" s="6"/>
      <c r="M727" s="6"/>
      <c r="N727" s="6"/>
      <c r="O727" s="6"/>
      <c r="P727" s="6"/>
      <c r="Q727" s="6"/>
      <c r="R727" s="6"/>
      <c r="S727" s="6"/>
    </row>
    <row r="728" ht="11.25" customHeight="1">
      <c r="A728" s="7"/>
      <c r="B728" s="5"/>
      <c r="C728" s="6"/>
      <c r="D728" s="6"/>
      <c r="E728" s="6"/>
      <c r="F728" s="6"/>
      <c r="G728" s="6"/>
      <c r="H728" s="6"/>
      <c r="I728" s="6"/>
      <c r="J728" s="11"/>
      <c r="K728" s="591"/>
      <c r="L728" s="6"/>
      <c r="M728" s="6"/>
      <c r="N728" s="6"/>
      <c r="O728" s="6"/>
      <c r="P728" s="6"/>
      <c r="Q728" s="6"/>
      <c r="R728" s="6"/>
      <c r="S728" s="6"/>
    </row>
    <row r="729" ht="11.25" customHeight="1">
      <c r="A729" s="7"/>
      <c r="B729" s="5"/>
      <c r="C729" s="6"/>
      <c r="D729" s="6"/>
      <c r="E729" s="6"/>
      <c r="F729" s="6"/>
      <c r="G729" s="6"/>
      <c r="H729" s="6"/>
      <c r="I729" s="6"/>
      <c r="J729" s="11"/>
      <c r="K729" s="591"/>
      <c r="L729" s="6"/>
      <c r="M729" s="6"/>
      <c r="N729" s="6"/>
      <c r="O729" s="6"/>
      <c r="P729" s="6"/>
      <c r="Q729" s="6"/>
      <c r="R729" s="6"/>
      <c r="S729" s="6"/>
    </row>
    <row r="730" ht="11.25" customHeight="1">
      <c r="A730" s="7"/>
      <c r="B730" s="5"/>
      <c r="C730" s="6"/>
      <c r="D730" s="6"/>
      <c r="E730" s="6"/>
      <c r="F730" s="6"/>
      <c r="G730" s="6"/>
      <c r="H730" s="6"/>
      <c r="I730" s="6"/>
      <c r="J730" s="11"/>
      <c r="K730" s="591"/>
      <c r="L730" s="6"/>
      <c r="M730" s="6"/>
      <c r="N730" s="6"/>
      <c r="O730" s="6"/>
      <c r="P730" s="6"/>
      <c r="Q730" s="6"/>
      <c r="R730" s="6"/>
      <c r="S730" s="6"/>
    </row>
    <row r="731" ht="11.25" customHeight="1">
      <c r="A731" s="7"/>
      <c r="B731" s="5"/>
      <c r="C731" s="6"/>
      <c r="D731" s="6"/>
      <c r="E731" s="6"/>
      <c r="F731" s="6"/>
      <c r="G731" s="6"/>
      <c r="H731" s="6"/>
      <c r="I731" s="6"/>
      <c r="J731" s="11"/>
      <c r="K731" s="591"/>
      <c r="L731" s="6"/>
      <c r="M731" s="6"/>
      <c r="N731" s="6"/>
      <c r="O731" s="6"/>
      <c r="P731" s="6"/>
      <c r="Q731" s="6"/>
      <c r="R731" s="6"/>
      <c r="S731" s="6"/>
    </row>
    <row r="732" ht="11.25" customHeight="1">
      <c r="A732" s="7"/>
      <c r="B732" s="5"/>
      <c r="C732" s="6"/>
      <c r="D732" s="6"/>
      <c r="E732" s="6"/>
      <c r="F732" s="6"/>
      <c r="G732" s="6"/>
      <c r="H732" s="6"/>
      <c r="I732" s="6"/>
      <c r="J732" s="11"/>
      <c r="K732" s="591"/>
      <c r="L732" s="6"/>
      <c r="M732" s="6"/>
      <c r="N732" s="6"/>
      <c r="O732" s="6"/>
      <c r="P732" s="6"/>
      <c r="Q732" s="6"/>
      <c r="R732" s="6"/>
      <c r="S732" s="6"/>
    </row>
    <row r="733" ht="11.25" customHeight="1">
      <c r="A733" s="7"/>
      <c r="B733" s="5"/>
      <c r="C733" s="6"/>
      <c r="D733" s="6"/>
      <c r="E733" s="6"/>
      <c r="F733" s="6"/>
      <c r="G733" s="6"/>
      <c r="H733" s="6"/>
      <c r="I733" s="6"/>
      <c r="J733" s="11"/>
      <c r="K733" s="591"/>
      <c r="L733" s="6"/>
      <c r="M733" s="6"/>
      <c r="N733" s="6"/>
      <c r="O733" s="6"/>
      <c r="P733" s="6"/>
      <c r="Q733" s="6"/>
      <c r="R733" s="6"/>
      <c r="S733" s="6"/>
    </row>
    <row r="734" ht="11.25" customHeight="1">
      <c r="A734" s="7"/>
      <c r="B734" s="5"/>
      <c r="C734" s="6"/>
      <c r="D734" s="6"/>
      <c r="E734" s="6"/>
      <c r="F734" s="6"/>
      <c r="G734" s="6"/>
      <c r="H734" s="6"/>
      <c r="I734" s="6"/>
      <c r="J734" s="11"/>
      <c r="K734" s="591"/>
      <c r="L734" s="6"/>
      <c r="M734" s="6"/>
      <c r="N734" s="6"/>
      <c r="O734" s="6"/>
      <c r="P734" s="6"/>
      <c r="Q734" s="6"/>
      <c r="R734" s="6"/>
      <c r="S734" s="6"/>
    </row>
    <row r="735" ht="11.25" customHeight="1">
      <c r="A735" s="7"/>
      <c r="B735" s="5"/>
      <c r="C735" s="6"/>
      <c r="D735" s="6"/>
      <c r="E735" s="6"/>
      <c r="F735" s="6"/>
      <c r="G735" s="6"/>
      <c r="H735" s="6"/>
      <c r="I735" s="6"/>
      <c r="J735" s="11"/>
      <c r="K735" s="591"/>
      <c r="L735" s="6"/>
      <c r="M735" s="6"/>
      <c r="N735" s="6"/>
      <c r="O735" s="6"/>
      <c r="P735" s="6"/>
      <c r="Q735" s="6"/>
      <c r="R735" s="6"/>
      <c r="S735" s="6"/>
    </row>
    <row r="736" ht="11.25" customHeight="1">
      <c r="A736" s="7"/>
      <c r="B736" s="5"/>
      <c r="C736" s="6"/>
      <c r="D736" s="6"/>
      <c r="E736" s="6"/>
      <c r="F736" s="6"/>
      <c r="G736" s="6"/>
      <c r="H736" s="6"/>
      <c r="I736" s="6"/>
      <c r="J736" s="11"/>
      <c r="K736" s="591"/>
      <c r="L736" s="6"/>
      <c r="M736" s="6"/>
      <c r="N736" s="6"/>
      <c r="O736" s="6"/>
      <c r="P736" s="6"/>
      <c r="Q736" s="6"/>
      <c r="R736" s="6"/>
      <c r="S736" s="6"/>
    </row>
    <row r="737" ht="11.25" customHeight="1">
      <c r="A737" s="7"/>
      <c r="B737" s="5"/>
      <c r="C737" s="6"/>
      <c r="D737" s="6"/>
      <c r="E737" s="6"/>
      <c r="F737" s="6"/>
      <c r="G737" s="6"/>
      <c r="H737" s="6"/>
      <c r="I737" s="6"/>
      <c r="J737" s="11"/>
      <c r="K737" s="591"/>
      <c r="L737" s="6"/>
      <c r="M737" s="6"/>
      <c r="N737" s="6"/>
      <c r="O737" s="6"/>
      <c r="P737" s="6"/>
      <c r="Q737" s="6"/>
      <c r="R737" s="6"/>
      <c r="S737" s="6"/>
    </row>
    <row r="738" ht="11.25" customHeight="1">
      <c r="A738" s="7"/>
      <c r="B738" s="5"/>
      <c r="C738" s="6"/>
      <c r="D738" s="6"/>
      <c r="E738" s="6"/>
      <c r="F738" s="6"/>
      <c r="G738" s="6"/>
      <c r="H738" s="6"/>
      <c r="I738" s="6"/>
      <c r="J738" s="11"/>
      <c r="K738" s="591"/>
      <c r="L738" s="6"/>
      <c r="M738" s="6"/>
      <c r="N738" s="6"/>
      <c r="O738" s="6"/>
      <c r="P738" s="6"/>
      <c r="Q738" s="6"/>
      <c r="R738" s="6"/>
      <c r="S738" s="6"/>
    </row>
    <row r="739" ht="11.25" customHeight="1">
      <c r="A739" s="7"/>
      <c r="B739" s="5"/>
      <c r="C739" s="6"/>
      <c r="D739" s="6"/>
      <c r="E739" s="6"/>
      <c r="F739" s="6"/>
      <c r="G739" s="6"/>
      <c r="H739" s="6"/>
      <c r="I739" s="6"/>
      <c r="J739" s="11"/>
      <c r="K739" s="591"/>
      <c r="L739" s="6"/>
      <c r="M739" s="6"/>
      <c r="N739" s="6"/>
      <c r="O739" s="6"/>
      <c r="P739" s="6"/>
      <c r="Q739" s="6"/>
      <c r="R739" s="6"/>
      <c r="S739" s="6"/>
    </row>
    <row r="740" ht="11.25" customHeight="1">
      <c r="A740" s="7"/>
      <c r="B740" s="5"/>
      <c r="C740" s="6"/>
      <c r="D740" s="6"/>
      <c r="E740" s="6"/>
      <c r="F740" s="6"/>
      <c r="G740" s="6"/>
      <c r="H740" s="6"/>
      <c r="I740" s="6"/>
      <c r="J740" s="11"/>
      <c r="K740" s="591"/>
      <c r="L740" s="6"/>
      <c r="M740" s="6"/>
      <c r="N740" s="6"/>
      <c r="O740" s="6"/>
      <c r="P740" s="6"/>
      <c r="Q740" s="6"/>
      <c r="R740" s="6"/>
      <c r="S740" s="6"/>
    </row>
    <row r="741" ht="11.25" customHeight="1">
      <c r="A741" s="7"/>
      <c r="B741" s="5"/>
      <c r="C741" s="6"/>
      <c r="D741" s="6"/>
      <c r="E741" s="6"/>
      <c r="F741" s="6"/>
      <c r="G741" s="6"/>
      <c r="H741" s="6"/>
      <c r="I741" s="6"/>
      <c r="J741" s="11"/>
      <c r="K741" s="591"/>
      <c r="L741" s="6"/>
      <c r="M741" s="6"/>
      <c r="N741" s="6"/>
      <c r="O741" s="6"/>
      <c r="P741" s="6"/>
      <c r="Q741" s="6"/>
      <c r="R741" s="6"/>
      <c r="S741" s="6"/>
    </row>
    <row r="742" ht="11.25" customHeight="1">
      <c r="A742" s="7"/>
      <c r="B742" s="5"/>
      <c r="C742" s="6"/>
      <c r="D742" s="6"/>
      <c r="E742" s="6"/>
      <c r="F742" s="6"/>
      <c r="G742" s="6"/>
      <c r="H742" s="6"/>
      <c r="I742" s="6"/>
      <c r="J742" s="11"/>
      <c r="K742" s="591"/>
      <c r="L742" s="6"/>
      <c r="M742" s="6"/>
      <c r="N742" s="6"/>
      <c r="O742" s="6"/>
      <c r="P742" s="6"/>
      <c r="Q742" s="6"/>
      <c r="R742" s="6"/>
      <c r="S742" s="6"/>
    </row>
    <row r="743" ht="11.25" customHeight="1">
      <c r="A743" s="7"/>
      <c r="B743" s="5"/>
      <c r="C743" s="6"/>
      <c r="D743" s="6"/>
      <c r="E743" s="6"/>
      <c r="F743" s="6"/>
      <c r="G743" s="6"/>
      <c r="H743" s="6"/>
      <c r="I743" s="6"/>
      <c r="J743" s="11"/>
      <c r="K743" s="591"/>
      <c r="L743" s="6"/>
      <c r="M743" s="6"/>
      <c r="N743" s="6"/>
      <c r="O743" s="6"/>
      <c r="P743" s="6"/>
      <c r="Q743" s="6"/>
      <c r="R743" s="6"/>
      <c r="S743" s="6"/>
    </row>
    <row r="744" ht="11.25" customHeight="1">
      <c r="A744" s="7"/>
      <c r="B744" s="5"/>
      <c r="C744" s="6"/>
      <c r="D744" s="6"/>
      <c r="E744" s="6"/>
      <c r="F744" s="6"/>
      <c r="G744" s="6"/>
      <c r="H744" s="6"/>
      <c r="I744" s="6"/>
      <c r="J744" s="11"/>
      <c r="K744" s="591"/>
      <c r="L744" s="6"/>
      <c r="M744" s="6"/>
      <c r="N744" s="6"/>
      <c r="O744" s="6"/>
      <c r="P744" s="6"/>
      <c r="Q744" s="6"/>
      <c r="R744" s="6"/>
      <c r="S744" s="6"/>
    </row>
    <row r="745" ht="11.25" customHeight="1">
      <c r="A745" s="7"/>
      <c r="B745" s="5"/>
      <c r="C745" s="6"/>
      <c r="D745" s="6"/>
      <c r="E745" s="6"/>
      <c r="F745" s="6"/>
      <c r="G745" s="6"/>
      <c r="H745" s="6"/>
      <c r="I745" s="6"/>
      <c r="J745" s="11"/>
      <c r="K745" s="591"/>
      <c r="L745" s="6"/>
      <c r="M745" s="6"/>
      <c r="N745" s="6"/>
      <c r="O745" s="6"/>
      <c r="P745" s="6"/>
      <c r="Q745" s="6"/>
      <c r="R745" s="6"/>
      <c r="S745" s="6"/>
    </row>
    <row r="746" ht="11.25" customHeight="1">
      <c r="A746" s="7"/>
      <c r="B746" s="5"/>
      <c r="C746" s="6"/>
      <c r="D746" s="6"/>
      <c r="E746" s="6"/>
      <c r="F746" s="6"/>
      <c r="G746" s="6"/>
      <c r="H746" s="6"/>
      <c r="I746" s="6"/>
      <c r="J746" s="11"/>
      <c r="K746" s="591"/>
      <c r="L746" s="6"/>
      <c r="M746" s="6"/>
      <c r="N746" s="6"/>
      <c r="O746" s="6"/>
      <c r="P746" s="6"/>
      <c r="Q746" s="6"/>
      <c r="R746" s="6"/>
      <c r="S746" s="6"/>
    </row>
    <row r="747" ht="11.25" customHeight="1">
      <c r="A747" s="7"/>
      <c r="B747" s="5"/>
      <c r="C747" s="6"/>
      <c r="D747" s="6"/>
      <c r="E747" s="6"/>
      <c r="F747" s="6"/>
      <c r="G747" s="6"/>
      <c r="H747" s="6"/>
      <c r="I747" s="6"/>
      <c r="J747" s="11"/>
      <c r="K747" s="591"/>
      <c r="L747" s="6"/>
      <c r="M747" s="6"/>
      <c r="N747" s="6"/>
      <c r="O747" s="6"/>
      <c r="P747" s="6"/>
      <c r="Q747" s="6"/>
      <c r="R747" s="6"/>
      <c r="S747" s="6"/>
    </row>
    <row r="748" ht="11.25" customHeight="1">
      <c r="A748" s="7"/>
      <c r="B748" s="5"/>
      <c r="C748" s="6"/>
      <c r="D748" s="6"/>
      <c r="E748" s="6"/>
      <c r="F748" s="6"/>
      <c r="G748" s="6"/>
      <c r="H748" s="6"/>
      <c r="I748" s="6"/>
      <c r="J748" s="11"/>
      <c r="K748" s="591"/>
      <c r="L748" s="6"/>
      <c r="M748" s="6"/>
      <c r="N748" s="6"/>
      <c r="O748" s="6"/>
      <c r="P748" s="6"/>
      <c r="Q748" s="6"/>
      <c r="R748" s="6"/>
      <c r="S748" s="6"/>
    </row>
    <row r="749" ht="11.25" customHeight="1">
      <c r="A749" s="7"/>
      <c r="B749" s="5"/>
      <c r="C749" s="6"/>
      <c r="D749" s="6"/>
      <c r="E749" s="6"/>
      <c r="F749" s="6"/>
      <c r="G749" s="6"/>
      <c r="H749" s="6"/>
      <c r="I749" s="6"/>
      <c r="J749" s="11"/>
      <c r="K749" s="591"/>
      <c r="L749" s="6"/>
      <c r="M749" s="6"/>
      <c r="N749" s="6"/>
      <c r="O749" s="6"/>
      <c r="P749" s="6"/>
      <c r="Q749" s="6"/>
      <c r="R749" s="6"/>
      <c r="S749" s="6"/>
    </row>
    <row r="750" ht="11.25" customHeight="1">
      <c r="A750" s="7"/>
      <c r="B750" s="5"/>
      <c r="C750" s="6"/>
      <c r="D750" s="6"/>
      <c r="E750" s="6"/>
      <c r="F750" s="6"/>
      <c r="G750" s="6"/>
      <c r="H750" s="6"/>
      <c r="I750" s="6"/>
      <c r="J750" s="11"/>
      <c r="K750" s="591"/>
      <c r="L750" s="6"/>
      <c r="M750" s="6"/>
      <c r="N750" s="6"/>
      <c r="O750" s="6"/>
      <c r="P750" s="6"/>
      <c r="Q750" s="6"/>
      <c r="R750" s="6"/>
      <c r="S750" s="6"/>
    </row>
    <row r="751" ht="11.25" customHeight="1">
      <c r="A751" s="7"/>
      <c r="B751" s="5"/>
      <c r="C751" s="6"/>
      <c r="D751" s="6"/>
      <c r="E751" s="6"/>
      <c r="F751" s="6"/>
      <c r="G751" s="6"/>
      <c r="H751" s="6"/>
      <c r="I751" s="6"/>
      <c r="J751" s="11"/>
      <c r="K751" s="591"/>
      <c r="L751" s="6"/>
      <c r="M751" s="6"/>
      <c r="N751" s="6"/>
      <c r="O751" s="6"/>
      <c r="P751" s="6"/>
      <c r="Q751" s="6"/>
      <c r="R751" s="6"/>
      <c r="S751" s="6"/>
    </row>
    <row r="752" ht="11.25" customHeight="1">
      <c r="A752" s="7"/>
      <c r="B752" s="5"/>
      <c r="C752" s="6"/>
      <c r="D752" s="6"/>
      <c r="E752" s="6"/>
      <c r="F752" s="6"/>
      <c r="G752" s="6"/>
      <c r="H752" s="6"/>
      <c r="I752" s="6"/>
      <c r="J752" s="11"/>
      <c r="K752" s="591"/>
      <c r="L752" s="6"/>
      <c r="M752" s="6"/>
      <c r="N752" s="6"/>
      <c r="O752" s="6"/>
      <c r="P752" s="6"/>
      <c r="Q752" s="6"/>
      <c r="R752" s="6"/>
      <c r="S752" s="6"/>
    </row>
    <row r="753" ht="11.25" customHeight="1">
      <c r="A753" s="7"/>
      <c r="B753" s="5"/>
      <c r="C753" s="6"/>
      <c r="D753" s="6"/>
      <c r="E753" s="6"/>
      <c r="F753" s="6"/>
      <c r="G753" s="6"/>
      <c r="H753" s="6"/>
      <c r="I753" s="6"/>
      <c r="J753" s="11"/>
      <c r="K753" s="591"/>
      <c r="L753" s="6"/>
      <c r="M753" s="6"/>
      <c r="N753" s="6"/>
      <c r="O753" s="6"/>
      <c r="P753" s="6"/>
      <c r="Q753" s="6"/>
      <c r="R753" s="6"/>
      <c r="S753" s="6"/>
    </row>
    <row r="754" ht="11.25" customHeight="1">
      <c r="A754" s="7"/>
      <c r="B754" s="5"/>
      <c r="C754" s="6"/>
      <c r="D754" s="6"/>
      <c r="E754" s="6"/>
      <c r="F754" s="6"/>
      <c r="G754" s="6"/>
      <c r="H754" s="6"/>
      <c r="I754" s="6"/>
      <c r="J754" s="11"/>
      <c r="K754" s="591"/>
      <c r="L754" s="6"/>
      <c r="M754" s="6"/>
      <c r="N754" s="6"/>
      <c r="O754" s="6"/>
      <c r="P754" s="6"/>
      <c r="Q754" s="6"/>
      <c r="R754" s="6"/>
      <c r="S754" s="6"/>
    </row>
    <row r="755" ht="11.25" customHeight="1">
      <c r="A755" s="7"/>
      <c r="B755" s="5"/>
      <c r="C755" s="6"/>
      <c r="D755" s="6"/>
      <c r="E755" s="6"/>
      <c r="F755" s="6"/>
      <c r="G755" s="6"/>
      <c r="H755" s="6"/>
      <c r="I755" s="6"/>
      <c r="J755" s="11"/>
      <c r="K755" s="591"/>
      <c r="L755" s="6"/>
      <c r="M755" s="6"/>
      <c r="N755" s="6"/>
      <c r="O755" s="6"/>
      <c r="P755" s="6"/>
      <c r="Q755" s="6"/>
      <c r="R755" s="6"/>
      <c r="S755" s="6"/>
    </row>
    <row r="756" ht="11.25" customHeight="1">
      <c r="A756" s="7"/>
      <c r="B756" s="5"/>
      <c r="C756" s="6"/>
      <c r="D756" s="6"/>
      <c r="E756" s="6"/>
      <c r="F756" s="6"/>
      <c r="G756" s="6"/>
      <c r="H756" s="6"/>
      <c r="I756" s="6"/>
      <c r="J756" s="11"/>
      <c r="K756" s="591"/>
      <c r="L756" s="6"/>
      <c r="M756" s="6"/>
      <c r="N756" s="6"/>
      <c r="O756" s="6"/>
      <c r="P756" s="6"/>
      <c r="Q756" s="6"/>
      <c r="R756" s="6"/>
      <c r="S756" s="6"/>
    </row>
    <row r="757" ht="11.25" customHeight="1">
      <c r="A757" s="7"/>
      <c r="B757" s="5"/>
      <c r="C757" s="6"/>
      <c r="D757" s="6"/>
      <c r="E757" s="6"/>
      <c r="F757" s="6"/>
      <c r="G757" s="6"/>
      <c r="H757" s="6"/>
      <c r="I757" s="6"/>
      <c r="J757" s="11"/>
      <c r="K757" s="591"/>
      <c r="L757" s="6"/>
      <c r="M757" s="6"/>
      <c r="N757" s="6"/>
      <c r="O757" s="6"/>
      <c r="P757" s="6"/>
      <c r="Q757" s="6"/>
      <c r="R757" s="6"/>
      <c r="S757" s="6"/>
    </row>
    <row r="758" ht="11.25" customHeight="1">
      <c r="A758" s="7"/>
      <c r="B758" s="5"/>
      <c r="C758" s="6"/>
      <c r="D758" s="6"/>
      <c r="E758" s="6"/>
      <c r="F758" s="6"/>
      <c r="G758" s="6"/>
      <c r="H758" s="6"/>
      <c r="I758" s="6"/>
      <c r="J758" s="11"/>
      <c r="K758" s="591"/>
      <c r="L758" s="6"/>
      <c r="M758" s="6"/>
      <c r="N758" s="6"/>
      <c r="O758" s="6"/>
      <c r="P758" s="6"/>
      <c r="Q758" s="6"/>
      <c r="R758" s="6"/>
      <c r="S758" s="6"/>
    </row>
    <row r="759" ht="11.25" customHeight="1">
      <c r="A759" s="7"/>
      <c r="B759" s="5"/>
      <c r="C759" s="6"/>
      <c r="D759" s="6"/>
      <c r="E759" s="6"/>
      <c r="F759" s="6"/>
      <c r="G759" s="6"/>
      <c r="H759" s="6"/>
      <c r="I759" s="6"/>
      <c r="J759" s="11"/>
      <c r="K759" s="591"/>
      <c r="L759" s="6"/>
      <c r="M759" s="6"/>
      <c r="N759" s="6"/>
      <c r="O759" s="6"/>
      <c r="P759" s="6"/>
      <c r="Q759" s="6"/>
      <c r="R759" s="6"/>
      <c r="S759" s="6"/>
    </row>
    <row r="760" ht="11.25" customHeight="1">
      <c r="A760" s="7"/>
      <c r="B760" s="5"/>
      <c r="C760" s="6"/>
      <c r="D760" s="6"/>
      <c r="E760" s="6"/>
      <c r="F760" s="6"/>
      <c r="G760" s="6"/>
      <c r="H760" s="6"/>
      <c r="I760" s="6"/>
      <c r="J760" s="11"/>
      <c r="K760" s="591"/>
      <c r="L760" s="6"/>
      <c r="M760" s="6"/>
      <c r="N760" s="6"/>
      <c r="O760" s="6"/>
      <c r="P760" s="6"/>
      <c r="Q760" s="6"/>
      <c r="R760" s="6"/>
      <c r="S760" s="6"/>
    </row>
    <row r="761" ht="11.25" customHeight="1">
      <c r="A761" s="7"/>
      <c r="B761" s="5"/>
      <c r="C761" s="6"/>
      <c r="D761" s="6"/>
      <c r="E761" s="6"/>
      <c r="F761" s="6"/>
      <c r="G761" s="6"/>
      <c r="H761" s="6"/>
      <c r="I761" s="6"/>
      <c r="J761" s="11"/>
      <c r="K761" s="591"/>
      <c r="L761" s="6"/>
      <c r="M761" s="6"/>
      <c r="N761" s="6"/>
      <c r="O761" s="6"/>
      <c r="P761" s="6"/>
      <c r="Q761" s="6"/>
      <c r="R761" s="6"/>
      <c r="S761" s="6"/>
    </row>
    <row r="762" ht="11.25" customHeight="1">
      <c r="A762" s="7"/>
      <c r="B762" s="5"/>
      <c r="C762" s="6"/>
      <c r="D762" s="6"/>
      <c r="E762" s="6"/>
      <c r="F762" s="6"/>
      <c r="G762" s="6"/>
      <c r="H762" s="6"/>
      <c r="I762" s="6"/>
      <c r="J762" s="11"/>
      <c r="K762" s="591"/>
      <c r="L762" s="6"/>
      <c r="M762" s="6"/>
      <c r="N762" s="6"/>
      <c r="O762" s="6"/>
      <c r="P762" s="6"/>
      <c r="Q762" s="6"/>
      <c r="R762" s="6"/>
      <c r="S762" s="6"/>
    </row>
    <row r="763" ht="11.25" customHeight="1">
      <c r="A763" s="7"/>
      <c r="B763" s="5"/>
      <c r="C763" s="6"/>
      <c r="D763" s="6"/>
      <c r="E763" s="6"/>
      <c r="F763" s="6"/>
      <c r="G763" s="6"/>
      <c r="H763" s="6"/>
      <c r="I763" s="6"/>
      <c r="J763" s="11"/>
      <c r="K763" s="591"/>
      <c r="L763" s="6"/>
      <c r="M763" s="6"/>
      <c r="N763" s="6"/>
      <c r="O763" s="6"/>
      <c r="P763" s="6"/>
      <c r="Q763" s="6"/>
      <c r="R763" s="6"/>
      <c r="S763" s="6"/>
    </row>
    <row r="764" ht="11.25" customHeight="1">
      <c r="A764" s="7"/>
      <c r="B764" s="5"/>
      <c r="C764" s="6"/>
      <c r="D764" s="6"/>
      <c r="E764" s="6"/>
      <c r="F764" s="6"/>
      <c r="G764" s="6"/>
      <c r="H764" s="6"/>
      <c r="I764" s="6"/>
      <c r="J764" s="11"/>
      <c r="K764" s="591"/>
      <c r="L764" s="6"/>
      <c r="M764" s="6"/>
      <c r="N764" s="6"/>
      <c r="O764" s="6"/>
      <c r="P764" s="6"/>
      <c r="Q764" s="6"/>
      <c r="R764" s="6"/>
      <c r="S764" s="6"/>
    </row>
    <row r="765" ht="11.25" customHeight="1">
      <c r="A765" s="7"/>
      <c r="B765" s="5"/>
      <c r="C765" s="6"/>
      <c r="D765" s="6"/>
      <c r="E765" s="6"/>
      <c r="F765" s="6"/>
      <c r="G765" s="6"/>
      <c r="H765" s="6"/>
      <c r="I765" s="6"/>
      <c r="J765" s="11"/>
      <c r="K765" s="591"/>
      <c r="L765" s="6"/>
      <c r="M765" s="6"/>
      <c r="N765" s="6"/>
      <c r="O765" s="6"/>
      <c r="P765" s="6"/>
      <c r="Q765" s="6"/>
      <c r="R765" s="6"/>
      <c r="S765" s="6"/>
    </row>
    <row r="766" ht="11.25" customHeight="1">
      <c r="A766" s="7"/>
      <c r="B766" s="5"/>
      <c r="C766" s="6"/>
      <c r="D766" s="6"/>
      <c r="E766" s="6"/>
      <c r="F766" s="6"/>
      <c r="G766" s="6"/>
      <c r="H766" s="6"/>
      <c r="I766" s="6"/>
      <c r="J766" s="11"/>
      <c r="K766" s="591"/>
      <c r="L766" s="6"/>
      <c r="M766" s="6"/>
      <c r="N766" s="6"/>
      <c r="O766" s="6"/>
      <c r="P766" s="6"/>
      <c r="Q766" s="6"/>
      <c r="R766" s="6"/>
      <c r="S766" s="6"/>
    </row>
    <row r="767" ht="11.25" customHeight="1">
      <c r="A767" s="7"/>
      <c r="B767" s="5"/>
      <c r="C767" s="6"/>
      <c r="D767" s="6"/>
      <c r="E767" s="6"/>
      <c r="F767" s="6"/>
      <c r="G767" s="6"/>
      <c r="H767" s="6"/>
      <c r="I767" s="6"/>
      <c r="J767" s="11"/>
      <c r="K767" s="591"/>
      <c r="L767" s="6"/>
      <c r="M767" s="6"/>
      <c r="N767" s="6"/>
      <c r="O767" s="6"/>
      <c r="P767" s="6"/>
      <c r="Q767" s="6"/>
      <c r="R767" s="6"/>
      <c r="S767" s="6"/>
    </row>
    <row r="768" ht="11.25" customHeight="1">
      <c r="A768" s="7"/>
      <c r="B768" s="5"/>
      <c r="C768" s="6"/>
      <c r="D768" s="6"/>
      <c r="E768" s="6"/>
      <c r="F768" s="6"/>
      <c r="G768" s="6"/>
      <c r="H768" s="6"/>
      <c r="I768" s="6"/>
      <c r="J768" s="11"/>
      <c r="K768" s="591"/>
      <c r="L768" s="6"/>
      <c r="M768" s="6"/>
      <c r="N768" s="6"/>
      <c r="O768" s="6"/>
      <c r="P768" s="6"/>
      <c r="Q768" s="6"/>
      <c r="R768" s="6"/>
      <c r="S768" s="6"/>
    </row>
    <row r="769" ht="11.25" customHeight="1">
      <c r="A769" s="7"/>
      <c r="B769" s="5"/>
      <c r="C769" s="6"/>
      <c r="D769" s="6"/>
      <c r="E769" s="6"/>
      <c r="F769" s="6"/>
      <c r="G769" s="6"/>
      <c r="H769" s="6"/>
      <c r="I769" s="6"/>
      <c r="J769" s="11"/>
      <c r="K769" s="591"/>
      <c r="L769" s="6"/>
      <c r="M769" s="6"/>
      <c r="N769" s="6"/>
      <c r="O769" s="6"/>
      <c r="P769" s="6"/>
      <c r="Q769" s="6"/>
      <c r="R769" s="6"/>
      <c r="S769" s="6"/>
    </row>
    <row r="770" ht="11.25" customHeight="1">
      <c r="A770" s="7"/>
      <c r="B770" s="5"/>
      <c r="C770" s="6"/>
      <c r="D770" s="6"/>
      <c r="E770" s="6"/>
      <c r="F770" s="6"/>
      <c r="G770" s="6"/>
      <c r="H770" s="6"/>
      <c r="I770" s="6"/>
      <c r="J770" s="11"/>
      <c r="K770" s="591"/>
      <c r="L770" s="6"/>
      <c r="M770" s="6"/>
      <c r="N770" s="6"/>
      <c r="O770" s="6"/>
      <c r="P770" s="6"/>
      <c r="Q770" s="6"/>
      <c r="R770" s="6"/>
      <c r="S770" s="6"/>
    </row>
    <row r="771" ht="11.25" customHeight="1">
      <c r="A771" s="7"/>
      <c r="B771" s="5"/>
      <c r="C771" s="6"/>
      <c r="D771" s="6"/>
      <c r="E771" s="6"/>
      <c r="F771" s="6"/>
      <c r="G771" s="6"/>
      <c r="H771" s="6"/>
      <c r="I771" s="6"/>
      <c r="J771" s="11"/>
      <c r="K771" s="591"/>
      <c r="L771" s="6"/>
      <c r="M771" s="6"/>
      <c r="N771" s="6"/>
      <c r="O771" s="6"/>
      <c r="P771" s="6"/>
      <c r="Q771" s="6"/>
      <c r="R771" s="6"/>
      <c r="S771" s="6"/>
    </row>
    <row r="772" ht="11.25" customHeight="1">
      <c r="A772" s="7"/>
      <c r="B772" s="5"/>
      <c r="C772" s="6"/>
      <c r="D772" s="6"/>
      <c r="E772" s="6"/>
      <c r="F772" s="6"/>
      <c r="G772" s="6"/>
      <c r="H772" s="6"/>
      <c r="I772" s="6"/>
      <c r="J772" s="11"/>
      <c r="K772" s="591"/>
      <c r="L772" s="6"/>
      <c r="M772" s="6"/>
      <c r="N772" s="6"/>
      <c r="O772" s="6"/>
      <c r="P772" s="6"/>
      <c r="Q772" s="6"/>
      <c r="R772" s="6"/>
      <c r="S772" s="6"/>
    </row>
    <row r="773" ht="11.25" customHeight="1">
      <c r="A773" s="7"/>
      <c r="B773" s="5"/>
      <c r="C773" s="6"/>
      <c r="D773" s="6"/>
      <c r="E773" s="6"/>
      <c r="F773" s="6"/>
      <c r="G773" s="6"/>
      <c r="H773" s="6"/>
      <c r="I773" s="6"/>
      <c r="J773" s="11"/>
      <c r="K773" s="591"/>
      <c r="L773" s="6"/>
      <c r="M773" s="6"/>
      <c r="N773" s="6"/>
      <c r="O773" s="6"/>
      <c r="P773" s="6"/>
      <c r="Q773" s="6"/>
      <c r="R773" s="6"/>
      <c r="S773" s="6"/>
    </row>
    <row r="774" ht="11.25" customHeight="1">
      <c r="A774" s="7"/>
      <c r="B774" s="5"/>
      <c r="C774" s="6"/>
      <c r="D774" s="6"/>
      <c r="E774" s="6"/>
      <c r="F774" s="6"/>
      <c r="G774" s="6"/>
      <c r="H774" s="6"/>
      <c r="I774" s="6"/>
      <c r="J774" s="11"/>
      <c r="K774" s="591"/>
      <c r="L774" s="6"/>
      <c r="M774" s="6"/>
      <c r="N774" s="6"/>
      <c r="O774" s="6"/>
      <c r="P774" s="6"/>
      <c r="Q774" s="6"/>
      <c r="R774" s="6"/>
      <c r="S774" s="6"/>
    </row>
    <row r="775" ht="11.25" customHeight="1">
      <c r="A775" s="7"/>
      <c r="B775" s="5"/>
      <c r="C775" s="6"/>
      <c r="D775" s="6"/>
      <c r="E775" s="6"/>
      <c r="F775" s="6"/>
      <c r="G775" s="6"/>
      <c r="H775" s="6"/>
      <c r="I775" s="6"/>
      <c r="J775" s="11"/>
      <c r="K775" s="591"/>
      <c r="L775" s="6"/>
      <c r="M775" s="6"/>
      <c r="N775" s="6"/>
      <c r="O775" s="6"/>
      <c r="P775" s="6"/>
      <c r="Q775" s="6"/>
      <c r="R775" s="6"/>
      <c r="S775" s="6"/>
    </row>
    <row r="776" ht="11.25" customHeight="1">
      <c r="A776" s="7"/>
      <c r="B776" s="5"/>
      <c r="C776" s="6"/>
      <c r="D776" s="6"/>
      <c r="E776" s="6"/>
      <c r="F776" s="6"/>
      <c r="G776" s="6"/>
      <c r="H776" s="6"/>
      <c r="I776" s="6"/>
      <c r="J776" s="11"/>
      <c r="K776" s="591"/>
      <c r="L776" s="6"/>
      <c r="M776" s="6"/>
      <c r="N776" s="6"/>
      <c r="O776" s="6"/>
      <c r="P776" s="6"/>
      <c r="Q776" s="6"/>
      <c r="R776" s="6"/>
      <c r="S776" s="6"/>
    </row>
    <row r="777" ht="11.25" customHeight="1">
      <c r="A777" s="7"/>
      <c r="B777" s="5"/>
      <c r="C777" s="6"/>
      <c r="D777" s="6"/>
      <c r="E777" s="6"/>
      <c r="F777" s="6"/>
      <c r="G777" s="6"/>
      <c r="H777" s="6"/>
      <c r="I777" s="6"/>
      <c r="J777" s="11"/>
      <c r="K777" s="591"/>
      <c r="L777" s="6"/>
      <c r="M777" s="6"/>
      <c r="N777" s="6"/>
      <c r="O777" s="6"/>
      <c r="P777" s="6"/>
      <c r="Q777" s="6"/>
      <c r="R777" s="6"/>
      <c r="S777" s="6"/>
    </row>
    <row r="778" ht="11.25" customHeight="1">
      <c r="A778" s="7"/>
      <c r="B778" s="5"/>
      <c r="C778" s="6"/>
      <c r="D778" s="6"/>
      <c r="E778" s="6"/>
      <c r="F778" s="6"/>
      <c r="G778" s="6"/>
      <c r="H778" s="6"/>
      <c r="I778" s="6"/>
      <c r="J778" s="11"/>
      <c r="K778" s="591"/>
      <c r="L778" s="6"/>
      <c r="M778" s="6"/>
      <c r="N778" s="6"/>
      <c r="O778" s="6"/>
      <c r="P778" s="6"/>
      <c r="Q778" s="6"/>
      <c r="R778" s="6"/>
      <c r="S778" s="6"/>
    </row>
    <row r="779" ht="11.25" customHeight="1">
      <c r="A779" s="7"/>
      <c r="B779" s="5"/>
      <c r="C779" s="6"/>
      <c r="D779" s="6"/>
      <c r="E779" s="6"/>
      <c r="F779" s="6"/>
      <c r="G779" s="6"/>
      <c r="H779" s="6"/>
      <c r="I779" s="6"/>
      <c r="J779" s="11"/>
      <c r="K779" s="591"/>
      <c r="L779" s="6"/>
      <c r="M779" s="6"/>
      <c r="N779" s="6"/>
      <c r="O779" s="6"/>
      <c r="P779" s="6"/>
      <c r="Q779" s="6"/>
      <c r="R779" s="6"/>
      <c r="S779" s="6"/>
    </row>
    <row r="780" ht="11.25" customHeight="1">
      <c r="A780" s="7"/>
      <c r="B780" s="5"/>
      <c r="C780" s="6"/>
      <c r="D780" s="6"/>
      <c r="E780" s="6"/>
      <c r="F780" s="6"/>
      <c r="G780" s="6"/>
      <c r="H780" s="6"/>
      <c r="I780" s="6"/>
      <c r="J780" s="11"/>
      <c r="K780" s="591"/>
      <c r="L780" s="6"/>
      <c r="M780" s="6"/>
      <c r="N780" s="6"/>
      <c r="O780" s="6"/>
      <c r="P780" s="6"/>
      <c r="Q780" s="6"/>
      <c r="R780" s="6"/>
      <c r="S780" s="6"/>
    </row>
    <row r="781" ht="11.25" customHeight="1">
      <c r="A781" s="7"/>
      <c r="B781" s="5"/>
      <c r="C781" s="6"/>
      <c r="D781" s="6"/>
      <c r="E781" s="6"/>
      <c r="F781" s="6"/>
      <c r="G781" s="6"/>
      <c r="H781" s="6"/>
      <c r="I781" s="6"/>
      <c r="J781" s="11"/>
      <c r="K781" s="591"/>
      <c r="L781" s="6"/>
      <c r="M781" s="6"/>
      <c r="N781" s="6"/>
      <c r="O781" s="6"/>
      <c r="P781" s="6"/>
      <c r="Q781" s="6"/>
      <c r="R781" s="6"/>
      <c r="S781" s="6"/>
    </row>
    <row r="782" ht="11.25" customHeight="1">
      <c r="A782" s="7"/>
      <c r="B782" s="5"/>
      <c r="C782" s="6"/>
      <c r="D782" s="6"/>
      <c r="E782" s="6"/>
      <c r="F782" s="6"/>
      <c r="G782" s="6"/>
      <c r="H782" s="6"/>
      <c r="I782" s="6"/>
      <c r="J782" s="11"/>
      <c r="K782" s="591"/>
      <c r="L782" s="6"/>
      <c r="M782" s="6"/>
      <c r="N782" s="6"/>
      <c r="O782" s="6"/>
      <c r="P782" s="6"/>
      <c r="Q782" s="6"/>
      <c r="R782" s="6"/>
      <c r="S782" s="6"/>
    </row>
    <row r="783" ht="11.25" customHeight="1">
      <c r="A783" s="7"/>
      <c r="B783" s="5"/>
      <c r="C783" s="6"/>
      <c r="D783" s="6"/>
      <c r="E783" s="6"/>
      <c r="F783" s="6"/>
      <c r="G783" s="6"/>
      <c r="H783" s="6"/>
      <c r="I783" s="6"/>
      <c r="J783" s="11"/>
      <c r="K783" s="591"/>
      <c r="L783" s="6"/>
      <c r="M783" s="6"/>
      <c r="N783" s="6"/>
      <c r="O783" s="6"/>
      <c r="P783" s="6"/>
      <c r="Q783" s="6"/>
      <c r="R783" s="6"/>
      <c r="S783" s="6"/>
    </row>
    <row r="784" ht="11.25" customHeight="1">
      <c r="A784" s="7"/>
      <c r="B784" s="5"/>
      <c r="C784" s="6"/>
      <c r="D784" s="6"/>
      <c r="E784" s="6"/>
      <c r="F784" s="6"/>
      <c r="G784" s="6"/>
      <c r="H784" s="6"/>
      <c r="I784" s="6"/>
      <c r="J784" s="11"/>
      <c r="K784" s="591"/>
      <c r="L784" s="6"/>
      <c r="M784" s="6"/>
      <c r="N784" s="6"/>
      <c r="O784" s="6"/>
      <c r="P784" s="6"/>
      <c r="Q784" s="6"/>
      <c r="R784" s="6"/>
      <c r="S784" s="6"/>
    </row>
    <row r="785" ht="11.25" customHeight="1">
      <c r="A785" s="7"/>
      <c r="B785" s="5"/>
      <c r="C785" s="6"/>
      <c r="D785" s="6"/>
      <c r="E785" s="6"/>
      <c r="F785" s="6"/>
      <c r="G785" s="6"/>
      <c r="H785" s="6"/>
      <c r="I785" s="6"/>
      <c r="J785" s="11"/>
      <c r="K785" s="591"/>
      <c r="L785" s="6"/>
      <c r="M785" s="6"/>
      <c r="N785" s="6"/>
      <c r="O785" s="6"/>
      <c r="P785" s="6"/>
      <c r="Q785" s="6"/>
      <c r="R785" s="6"/>
      <c r="S785" s="6"/>
    </row>
    <row r="786" ht="11.25" customHeight="1">
      <c r="A786" s="7"/>
      <c r="B786" s="5"/>
      <c r="C786" s="6"/>
      <c r="D786" s="6"/>
      <c r="E786" s="6"/>
      <c r="F786" s="6"/>
      <c r="G786" s="6"/>
      <c r="H786" s="6"/>
      <c r="I786" s="6"/>
      <c r="J786" s="11"/>
      <c r="K786" s="591"/>
      <c r="L786" s="6"/>
      <c r="M786" s="6"/>
      <c r="N786" s="6"/>
      <c r="O786" s="6"/>
      <c r="P786" s="6"/>
      <c r="Q786" s="6"/>
      <c r="R786" s="6"/>
      <c r="S786" s="6"/>
    </row>
    <row r="787" ht="11.25" customHeight="1">
      <c r="A787" s="7"/>
      <c r="B787" s="5"/>
      <c r="C787" s="6"/>
      <c r="D787" s="6"/>
      <c r="E787" s="6"/>
      <c r="F787" s="6"/>
      <c r="G787" s="6"/>
      <c r="H787" s="6"/>
      <c r="I787" s="6"/>
      <c r="J787" s="11"/>
      <c r="K787" s="591"/>
      <c r="L787" s="6"/>
      <c r="M787" s="6"/>
      <c r="N787" s="6"/>
      <c r="O787" s="6"/>
      <c r="P787" s="6"/>
      <c r="Q787" s="6"/>
      <c r="R787" s="6"/>
      <c r="S787" s="6"/>
    </row>
    <row r="788" ht="11.25" customHeight="1">
      <c r="A788" s="7"/>
      <c r="B788" s="5"/>
      <c r="C788" s="6"/>
      <c r="D788" s="6"/>
      <c r="E788" s="6"/>
      <c r="F788" s="6"/>
      <c r="G788" s="6"/>
      <c r="H788" s="6"/>
      <c r="I788" s="6"/>
      <c r="J788" s="11"/>
      <c r="K788" s="591"/>
      <c r="L788" s="6"/>
      <c r="M788" s="6"/>
      <c r="N788" s="6"/>
      <c r="O788" s="6"/>
      <c r="P788" s="6"/>
      <c r="Q788" s="6"/>
      <c r="R788" s="6"/>
      <c r="S788" s="6"/>
    </row>
    <row r="789" ht="11.25" customHeight="1">
      <c r="A789" s="7"/>
      <c r="B789" s="5"/>
      <c r="C789" s="6"/>
      <c r="D789" s="6"/>
      <c r="E789" s="6"/>
      <c r="F789" s="6"/>
      <c r="G789" s="6"/>
      <c r="H789" s="6"/>
      <c r="I789" s="6"/>
      <c r="J789" s="11"/>
      <c r="K789" s="591"/>
      <c r="L789" s="6"/>
      <c r="M789" s="6"/>
      <c r="N789" s="6"/>
      <c r="O789" s="6"/>
      <c r="P789" s="6"/>
      <c r="Q789" s="6"/>
      <c r="R789" s="6"/>
      <c r="S789" s="6"/>
    </row>
    <row r="790" ht="11.25" customHeight="1">
      <c r="A790" s="7"/>
      <c r="B790" s="5"/>
      <c r="C790" s="6"/>
      <c r="D790" s="6"/>
      <c r="E790" s="6"/>
      <c r="F790" s="6"/>
      <c r="G790" s="6"/>
      <c r="H790" s="6"/>
      <c r="I790" s="6"/>
      <c r="J790" s="11"/>
      <c r="K790" s="591"/>
      <c r="L790" s="6"/>
      <c r="M790" s="6"/>
      <c r="N790" s="6"/>
      <c r="O790" s="6"/>
      <c r="P790" s="6"/>
      <c r="Q790" s="6"/>
      <c r="R790" s="6"/>
      <c r="S790" s="6"/>
    </row>
    <row r="791" ht="11.25" customHeight="1">
      <c r="A791" s="7"/>
      <c r="B791" s="5"/>
      <c r="C791" s="6"/>
      <c r="D791" s="6"/>
      <c r="E791" s="6"/>
      <c r="F791" s="6"/>
      <c r="G791" s="6"/>
      <c r="H791" s="6"/>
      <c r="I791" s="6"/>
      <c r="J791" s="11"/>
      <c r="K791" s="591"/>
      <c r="L791" s="6"/>
      <c r="M791" s="6"/>
      <c r="N791" s="6"/>
      <c r="O791" s="6"/>
      <c r="P791" s="6"/>
      <c r="Q791" s="6"/>
      <c r="R791" s="6"/>
      <c r="S791" s="6"/>
    </row>
    <row r="792" ht="11.25" customHeight="1">
      <c r="A792" s="7"/>
      <c r="B792" s="5"/>
      <c r="C792" s="6"/>
      <c r="D792" s="6"/>
      <c r="E792" s="6"/>
      <c r="F792" s="6"/>
      <c r="G792" s="6"/>
      <c r="H792" s="6"/>
      <c r="I792" s="6"/>
      <c r="J792" s="11"/>
      <c r="K792" s="591"/>
      <c r="L792" s="6"/>
      <c r="M792" s="6"/>
      <c r="N792" s="6"/>
      <c r="O792" s="6"/>
      <c r="P792" s="6"/>
      <c r="Q792" s="6"/>
      <c r="R792" s="6"/>
      <c r="S792" s="6"/>
    </row>
    <row r="793" ht="11.25" customHeight="1">
      <c r="A793" s="7"/>
      <c r="B793" s="5"/>
      <c r="C793" s="6"/>
      <c r="D793" s="6"/>
      <c r="E793" s="6"/>
      <c r="F793" s="6"/>
      <c r="G793" s="6"/>
      <c r="H793" s="6"/>
      <c r="I793" s="6"/>
      <c r="J793" s="11"/>
      <c r="K793" s="591"/>
      <c r="L793" s="6"/>
      <c r="M793" s="6"/>
      <c r="N793" s="6"/>
      <c r="O793" s="6"/>
      <c r="P793" s="6"/>
      <c r="Q793" s="6"/>
      <c r="R793" s="6"/>
      <c r="S793" s="6"/>
    </row>
    <row r="794" ht="11.25" customHeight="1">
      <c r="A794" s="7"/>
      <c r="B794" s="5"/>
      <c r="C794" s="6"/>
      <c r="D794" s="6"/>
      <c r="E794" s="6"/>
      <c r="F794" s="6"/>
      <c r="G794" s="6"/>
      <c r="H794" s="6"/>
      <c r="I794" s="6"/>
      <c r="J794" s="11"/>
      <c r="K794" s="591"/>
      <c r="L794" s="6"/>
      <c r="M794" s="6"/>
      <c r="N794" s="6"/>
      <c r="O794" s="6"/>
      <c r="P794" s="6"/>
      <c r="Q794" s="6"/>
      <c r="R794" s="6"/>
      <c r="S794" s="6"/>
    </row>
    <row r="795" ht="11.25" customHeight="1">
      <c r="A795" s="7"/>
      <c r="B795" s="5"/>
      <c r="C795" s="6"/>
      <c r="D795" s="6"/>
      <c r="E795" s="6"/>
      <c r="F795" s="6"/>
      <c r="G795" s="6"/>
      <c r="H795" s="6"/>
      <c r="I795" s="6"/>
      <c r="J795" s="11"/>
      <c r="K795" s="591"/>
      <c r="L795" s="6"/>
      <c r="M795" s="6"/>
      <c r="N795" s="6"/>
      <c r="O795" s="6"/>
      <c r="P795" s="6"/>
      <c r="Q795" s="6"/>
      <c r="R795" s="6"/>
      <c r="S795" s="6"/>
    </row>
    <row r="796" ht="11.25" customHeight="1">
      <c r="A796" s="7"/>
      <c r="B796" s="5"/>
      <c r="C796" s="6"/>
      <c r="D796" s="6"/>
      <c r="E796" s="6"/>
      <c r="F796" s="6"/>
      <c r="G796" s="6"/>
      <c r="H796" s="6"/>
      <c r="I796" s="6"/>
      <c r="J796" s="11"/>
      <c r="K796" s="591"/>
      <c r="L796" s="6"/>
      <c r="M796" s="6"/>
      <c r="N796" s="6"/>
      <c r="O796" s="6"/>
      <c r="P796" s="6"/>
      <c r="Q796" s="6"/>
      <c r="R796" s="6"/>
      <c r="S796" s="6"/>
    </row>
    <row r="797" ht="11.25" customHeight="1">
      <c r="A797" s="7"/>
      <c r="B797" s="5"/>
      <c r="C797" s="6"/>
      <c r="D797" s="6"/>
      <c r="E797" s="6"/>
      <c r="F797" s="6"/>
      <c r="G797" s="6"/>
      <c r="H797" s="6"/>
      <c r="I797" s="6"/>
      <c r="J797" s="11"/>
      <c r="K797" s="591"/>
      <c r="L797" s="6"/>
      <c r="M797" s="6"/>
      <c r="N797" s="6"/>
      <c r="O797" s="6"/>
      <c r="P797" s="6"/>
      <c r="Q797" s="6"/>
      <c r="R797" s="6"/>
      <c r="S797" s="6"/>
    </row>
    <row r="798" ht="11.25" customHeight="1">
      <c r="A798" s="7"/>
      <c r="B798" s="5"/>
      <c r="C798" s="6"/>
      <c r="D798" s="6"/>
      <c r="E798" s="6"/>
      <c r="F798" s="6"/>
      <c r="G798" s="6"/>
      <c r="H798" s="6"/>
      <c r="I798" s="6"/>
      <c r="J798" s="11"/>
      <c r="K798" s="591"/>
      <c r="L798" s="6"/>
      <c r="M798" s="6"/>
      <c r="N798" s="6"/>
      <c r="O798" s="6"/>
      <c r="P798" s="6"/>
      <c r="Q798" s="6"/>
      <c r="R798" s="6"/>
      <c r="S798" s="6"/>
    </row>
    <row r="799" ht="11.25" customHeight="1">
      <c r="A799" s="7"/>
      <c r="B799" s="5"/>
      <c r="C799" s="6"/>
      <c r="D799" s="6"/>
      <c r="E799" s="6"/>
      <c r="F799" s="6"/>
      <c r="G799" s="6"/>
      <c r="H799" s="6"/>
      <c r="I799" s="6"/>
      <c r="J799" s="11"/>
      <c r="K799" s="591"/>
      <c r="L799" s="6"/>
      <c r="M799" s="6"/>
      <c r="N799" s="6"/>
      <c r="O799" s="6"/>
      <c r="P799" s="6"/>
      <c r="Q799" s="6"/>
      <c r="R799" s="6"/>
      <c r="S799" s="6"/>
    </row>
    <row r="800" ht="11.25" customHeight="1">
      <c r="A800" s="7"/>
      <c r="B800" s="5"/>
      <c r="C800" s="6"/>
      <c r="D800" s="6"/>
      <c r="E800" s="6"/>
      <c r="F800" s="6"/>
      <c r="G800" s="6"/>
      <c r="H800" s="6"/>
      <c r="I800" s="6"/>
      <c r="J800" s="11"/>
      <c r="K800" s="591"/>
      <c r="L800" s="6"/>
      <c r="M800" s="6"/>
      <c r="N800" s="6"/>
      <c r="O800" s="6"/>
      <c r="P800" s="6"/>
      <c r="Q800" s="6"/>
      <c r="R800" s="6"/>
      <c r="S800" s="6"/>
    </row>
    <row r="801" ht="11.25" customHeight="1">
      <c r="A801" s="7"/>
      <c r="B801" s="5"/>
      <c r="C801" s="6"/>
      <c r="D801" s="6"/>
      <c r="E801" s="6"/>
      <c r="F801" s="6"/>
      <c r="G801" s="6"/>
      <c r="H801" s="6"/>
      <c r="I801" s="6"/>
      <c r="J801" s="11"/>
      <c r="K801" s="591"/>
      <c r="L801" s="6"/>
      <c r="M801" s="6"/>
      <c r="N801" s="6"/>
      <c r="O801" s="6"/>
      <c r="P801" s="6"/>
      <c r="Q801" s="6"/>
      <c r="R801" s="6"/>
      <c r="S801" s="6"/>
    </row>
    <row r="802" ht="11.25" customHeight="1">
      <c r="A802" s="7"/>
      <c r="B802" s="5"/>
      <c r="C802" s="6"/>
      <c r="D802" s="6"/>
      <c r="E802" s="6"/>
      <c r="F802" s="6"/>
      <c r="G802" s="6"/>
      <c r="H802" s="6"/>
      <c r="I802" s="6"/>
      <c r="J802" s="11"/>
      <c r="K802" s="591"/>
      <c r="L802" s="6"/>
      <c r="M802" s="6"/>
      <c r="N802" s="6"/>
      <c r="O802" s="6"/>
      <c r="P802" s="6"/>
      <c r="Q802" s="6"/>
      <c r="R802" s="6"/>
      <c r="S802" s="6"/>
    </row>
    <row r="803" ht="11.25" customHeight="1">
      <c r="A803" s="7"/>
      <c r="B803" s="5"/>
      <c r="C803" s="6"/>
      <c r="D803" s="6"/>
      <c r="E803" s="6"/>
      <c r="F803" s="6"/>
      <c r="G803" s="6"/>
      <c r="H803" s="6"/>
      <c r="I803" s="6"/>
      <c r="J803" s="11"/>
      <c r="K803" s="591"/>
      <c r="L803" s="6"/>
      <c r="M803" s="6"/>
      <c r="N803" s="6"/>
      <c r="O803" s="6"/>
      <c r="P803" s="6"/>
      <c r="Q803" s="6"/>
      <c r="R803" s="6"/>
      <c r="S803" s="6"/>
    </row>
    <row r="804" ht="11.25" customHeight="1">
      <c r="A804" s="7"/>
      <c r="B804" s="5"/>
      <c r="C804" s="6"/>
      <c r="D804" s="6"/>
      <c r="E804" s="6"/>
      <c r="F804" s="6"/>
      <c r="G804" s="6"/>
      <c r="H804" s="6"/>
      <c r="I804" s="6"/>
      <c r="J804" s="11"/>
      <c r="K804" s="591"/>
      <c r="L804" s="6"/>
      <c r="M804" s="6"/>
      <c r="N804" s="6"/>
      <c r="O804" s="6"/>
      <c r="P804" s="6"/>
      <c r="Q804" s="6"/>
      <c r="R804" s="6"/>
      <c r="S804" s="6"/>
    </row>
    <row r="805" ht="11.25" customHeight="1">
      <c r="A805" s="7"/>
      <c r="B805" s="5"/>
      <c r="C805" s="6"/>
      <c r="D805" s="6"/>
      <c r="E805" s="6"/>
      <c r="F805" s="6"/>
      <c r="G805" s="6"/>
      <c r="H805" s="6"/>
      <c r="I805" s="6"/>
      <c r="J805" s="11"/>
      <c r="K805" s="591"/>
      <c r="L805" s="6"/>
      <c r="M805" s="6"/>
      <c r="N805" s="6"/>
      <c r="O805" s="6"/>
      <c r="P805" s="6"/>
      <c r="Q805" s="6"/>
      <c r="R805" s="6"/>
      <c r="S805" s="6"/>
    </row>
    <row r="806" ht="11.25" customHeight="1">
      <c r="A806" s="7"/>
      <c r="B806" s="5"/>
      <c r="C806" s="6"/>
      <c r="D806" s="6"/>
      <c r="E806" s="6"/>
      <c r="F806" s="6"/>
      <c r="G806" s="6"/>
      <c r="H806" s="6"/>
      <c r="I806" s="6"/>
      <c r="J806" s="11"/>
      <c r="K806" s="591"/>
      <c r="L806" s="6"/>
      <c r="M806" s="6"/>
      <c r="N806" s="6"/>
      <c r="O806" s="6"/>
      <c r="P806" s="6"/>
      <c r="Q806" s="6"/>
      <c r="R806" s="6"/>
      <c r="S806" s="6"/>
    </row>
    <row r="807" ht="11.25" customHeight="1">
      <c r="A807" s="7"/>
      <c r="B807" s="5"/>
      <c r="C807" s="6"/>
      <c r="D807" s="6"/>
      <c r="E807" s="6"/>
      <c r="F807" s="6"/>
      <c r="G807" s="6"/>
      <c r="H807" s="6"/>
      <c r="I807" s="6"/>
      <c r="J807" s="11"/>
      <c r="K807" s="591"/>
      <c r="L807" s="6"/>
      <c r="M807" s="6"/>
      <c r="N807" s="6"/>
      <c r="O807" s="6"/>
      <c r="P807" s="6"/>
      <c r="Q807" s="6"/>
      <c r="R807" s="6"/>
      <c r="S807" s="6"/>
    </row>
    <row r="808" ht="11.25" customHeight="1">
      <c r="A808" s="7"/>
      <c r="B808" s="5"/>
      <c r="C808" s="6"/>
      <c r="D808" s="6"/>
      <c r="E808" s="6"/>
      <c r="F808" s="6"/>
      <c r="G808" s="6"/>
      <c r="H808" s="6"/>
      <c r="I808" s="6"/>
      <c r="J808" s="11"/>
      <c r="K808" s="591"/>
      <c r="L808" s="6"/>
      <c r="M808" s="6"/>
      <c r="N808" s="6"/>
      <c r="O808" s="6"/>
      <c r="P808" s="6"/>
      <c r="Q808" s="6"/>
      <c r="R808" s="6"/>
      <c r="S808" s="6"/>
    </row>
    <row r="809" ht="11.25" customHeight="1">
      <c r="A809" s="7"/>
      <c r="B809" s="5"/>
      <c r="C809" s="6"/>
      <c r="D809" s="6"/>
      <c r="E809" s="6"/>
      <c r="F809" s="6"/>
      <c r="G809" s="6"/>
      <c r="H809" s="6"/>
      <c r="I809" s="6"/>
      <c r="J809" s="11"/>
      <c r="K809" s="591"/>
      <c r="L809" s="6"/>
      <c r="M809" s="6"/>
      <c r="N809" s="6"/>
      <c r="O809" s="6"/>
      <c r="P809" s="6"/>
      <c r="Q809" s="6"/>
      <c r="R809" s="6"/>
      <c r="S809" s="6"/>
    </row>
    <row r="810" ht="11.25" customHeight="1">
      <c r="A810" s="7"/>
      <c r="B810" s="5"/>
      <c r="C810" s="6"/>
      <c r="D810" s="6"/>
      <c r="E810" s="6"/>
      <c r="F810" s="6"/>
      <c r="G810" s="6"/>
      <c r="H810" s="6"/>
      <c r="I810" s="6"/>
      <c r="J810" s="11"/>
      <c r="K810" s="591"/>
      <c r="L810" s="6"/>
      <c r="M810" s="6"/>
      <c r="N810" s="6"/>
      <c r="O810" s="6"/>
      <c r="P810" s="6"/>
      <c r="Q810" s="6"/>
      <c r="R810" s="6"/>
      <c r="S810" s="6"/>
    </row>
    <row r="811" ht="11.25" customHeight="1">
      <c r="A811" s="7"/>
      <c r="B811" s="5"/>
      <c r="C811" s="6"/>
      <c r="D811" s="6"/>
      <c r="E811" s="6"/>
      <c r="F811" s="6"/>
      <c r="G811" s="6"/>
      <c r="H811" s="6"/>
      <c r="I811" s="6"/>
      <c r="J811" s="11"/>
      <c r="K811" s="591"/>
      <c r="L811" s="6"/>
      <c r="M811" s="6"/>
      <c r="N811" s="6"/>
      <c r="O811" s="6"/>
      <c r="P811" s="6"/>
      <c r="Q811" s="6"/>
      <c r="R811" s="6"/>
      <c r="S811" s="6"/>
    </row>
    <row r="812" ht="11.25" customHeight="1">
      <c r="A812" s="7"/>
      <c r="B812" s="5"/>
      <c r="C812" s="6"/>
      <c r="D812" s="6"/>
      <c r="E812" s="6"/>
      <c r="F812" s="6"/>
      <c r="G812" s="6"/>
      <c r="H812" s="6"/>
      <c r="I812" s="6"/>
      <c r="J812" s="11"/>
      <c r="K812" s="591"/>
      <c r="L812" s="6"/>
      <c r="M812" s="6"/>
      <c r="N812" s="6"/>
      <c r="O812" s="6"/>
      <c r="P812" s="6"/>
      <c r="Q812" s="6"/>
      <c r="R812" s="6"/>
      <c r="S812" s="6"/>
    </row>
    <row r="813" ht="11.25" customHeight="1">
      <c r="A813" s="7"/>
      <c r="B813" s="5"/>
      <c r="C813" s="6"/>
      <c r="D813" s="6"/>
      <c r="E813" s="6"/>
      <c r="F813" s="6"/>
      <c r="G813" s="6"/>
      <c r="H813" s="6"/>
      <c r="I813" s="6"/>
      <c r="J813" s="11"/>
      <c r="K813" s="591"/>
      <c r="L813" s="6"/>
      <c r="M813" s="6"/>
      <c r="N813" s="6"/>
      <c r="O813" s="6"/>
      <c r="P813" s="6"/>
      <c r="Q813" s="6"/>
      <c r="R813" s="6"/>
      <c r="S813" s="6"/>
    </row>
    <row r="814" ht="11.25" customHeight="1">
      <c r="A814" s="7"/>
      <c r="B814" s="5"/>
      <c r="C814" s="6"/>
      <c r="D814" s="6"/>
      <c r="E814" s="6"/>
      <c r="F814" s="6"/>
      <c r="G814" s="6"/>
      <c r="H814" s="6"/>
      <c r="I814" s="6"/>
      <c r="J814" s="11"/>
      <c r="K814" s="591"/>
      <c r="L814" s="6"/>
      <c r="M814" s="6"/>
      <c r="N814" s="6"/>
      <c r="O814" s="6"/>
      <c r="P814" s="6"/>
      <c r="Q814" s="6"/>
      <c r="R814" s="6"/>
      <c r="S814" s="6"/>
    </row>
    <row r="815" ht="11.25" customHeight="1">
      <c r="A815" s="7"/>
      <c r="B815" s="5"/>
      <c r="C815" s="6"/>
      <c r="D815" s="6"/>
      <c r="E815" s="6"/>
      <c r="F815" s="6"/>
      <c r="G815" s="6"/>
      <c r="H815" s="6"/>
      <c r="I815" s="6"/>
      <c r="J815" s="11"/>
      <c r="K815" s="591"/>
      <c r="L815" s="6"/>
      <c r="M815" s="6"/>
      <c r="N815" s="6"/>
      <c r="O815" s="6"/>
      <c r="P815" s="6"/>
      <c r="Q815" s="6"/>
      <c r="R815" s="6"/>
      <c r="S815" s="6"/>
    </row>
    <row r="816" ht="11.25" customHeight="1">
      <c r="A816" s="7"/>
      <c r="B816" s="5"/>
      <c r="C816" s="6"/>
      <c r="D816" s="6"/>
      <c r="E816" s="6"/>
      <c r="F816" s="6"/>
      <c r="G816" s="6"/>
      <c r="H816" s="6"/>
      <c r="I816" s="6"/>
      <c r="J816" s="11"/>
      <c r="K816" s="591"/>
      <c r="L816" s="6"/>
      <c r="M816" s="6"/>
      <c r="N816" s="6"/>
      <c r="O816" s="6"/>
      <c r="P816" s="6"/>
      <c r="Q816" s="6"/>
      <c r="R816" s="6"/>
      <c r="S816" s="6"/>
    </row>
    <row r="817" ht="11.25" customHeight="1">
      <c r="A817" s="7"/>
      <c r="B817" s="5"/>
      <c r="C817" s="6"/>
      <c r="D817" s="6"/>
      <c r="E817" s="6"/>
      <c r="F817" s="6"/>
      <c r="G817" s="6"/>
      <c r="H817" s="6"/>
      <c r="I817" s="6"/>
      <c r="J817" s="11"/>
      <c r="K817" s="591"/>
      <c r="L817" s="6"/>
      <c r="M817" s="6"/>
      <c r="N817" s="6"/>
      <c r="O817" s="6"/>
      <c r="P817" s="6"/>
      <c r="Q817" s="6"/>
      <c r="R817" s="6"/>
      <c r="S817" s="6"/>
    </row>
    <row r="818" ht="11.25" customHeight="1">
      <c r="A818" s="7"/>
      <c r="B818" s="5"/>
      <c r="C818" s="6"/>
      <c r="D818" s="6"/>
      <c r="E818" s="6"/>
      <c r="F818" s="6"/>
      <c r="G818" s="6"/>
      <c r="H818" s="6"/>
      <c r="I818" s="6"/>
      <c r="J818" s="11"/>
      <c r="K818" s="591"/>
      <c r="L818" s="6"/>
      <c r="M818" s="6"/>
      <c r="N818" s="6"/>
      <c r="O818" s="6"/>
      <c r="P818" s="6"/>
      <c r="Q818" s="6"/>
      <c r="R818" s="6"/>
      <c r="S818" s="6"/>
    </row>
    <row r="819" ht="11.25" customHeight="1">
      <c r="A819" s="7"/>
      <c r="B819" s="5"/>
      <c r="C819" s="6"/>
      <c r="D819" s="6"/>
      <c r="E819" s="6"/>
      <c r="F819" s="6"/>
      <c r="G819" s="6"/>
      <c r="H819" s="6"/>
      <c r="I819" s="6"/>
      <c r="J819" s="11"/>
      <c r="K819" s="591"/>
      <c r="L819" s="6"/>
      <c r="M819" s="6"/>
      <c r="N819" s="6"/>
      <c r="O819" s="6"/>
      <c r="P819" s="6"/>
      <c r="Q819" s="6"/>
      <c r="R819" s="6"/>
      <c r="S819" s="6"/>
    </row>
    <row r="820" ht="11.25" customHeight="1">
      <c r="A820" s="7"/>
      <c r="B820" s="5"/>
      <c r="C820" s="6"/>
      <c r="D820" s="6"/>
      <c r="E820" s="6"/>
      <c r="F820" s="6"/>
      <c r="G820" s="6"/>
      <c r="H820" s="6"/>
      <c r="I820" s="6"/>
      <c r="J820" s="11"/>
      <c r="K820" s="591"/>
      <c r="L820" s="6"/>
      <c r="M820" s="6"/>
      <c r="N820" s="6"/>
      <c r="O820" s="6"/>
      <c r="P820" s="6"/>
      <c r="Q820" s="6"/>
      <c r="R820" s="6"/>
      <c r="S820" s="6"/>
    </row>
    <row r="821" ht="11.25" customHeight="1">
      <c r="A821" s="7"/>
      <c r="B821" s="5"/>
      <c r="C821" s="6"/>
      <c r="D821" s="6"/>
      <c r="E821" s="6"/>
      <c r="F821" s="6"/>
      <c r="G821" s="6"/>
      <c r="H821" s="6"/>
      <c r="I821" s="6"/>
      <c r="J821" s="11"/>
      <c r="K821" s="591"/>
      <c r="L821" s="6"/>
      <c r="M821" s="6"/>
      <c r="N821" s="6"/>
      <c r="O821" s="6"/>
      <c r="P821" s="6"/>
      <c r="Q821" s="6"/>
      <c r="R821" s="6"/>
      <c r="S821" s="6"/>
    </row>
    <row r="822" ht="11.25" customHeight="1">
      <c r="A822" s="7"/>
      <c r="B822" s="5"/>
      <c r="C822" s="6"/>
      <c r="D822" s="6"/>
      <c r="E822" s="6"/>
      <c r="F822" s="6"/>
      <c r="G822" s="6"/>
      <c r="H822" s="6"/>
      <c r="I822" s="6"/>
      <c r="J822" s="11"/>
      <c r="K822" s="591"/>
      <c r="L822" s="6"/>
      <c r="M822" s="6"/>
      <c r="N822" s="6"/>
      <c r="O822" s="6"/>
      <c r="P822" s="6"/>
      <c r="Q822" s="6"/>
      <c r="R822" s="6"/>
      <c r="S822" s="6"/>
    </row>
    <row r="823" ht="11.25" customHeight="1">
      <c r="A823" s="7"/>
      <c r="B823" s="5"/>
      <c r="C823" s="6"/>
      <c r="D823" s="6"/>
      <c r="E823" s="6"/>
      <c r="F823" s="6"/>
      <c r="G823" s="6"/>
      <c r="H823" s="6"/>
      <c r="I823" s="6"/>
      <c r="J823" s="11"/>
      <c r="K823" s="591"/>
      <c r="L823" s="6"/>
      <c r="M823" s="6"/>
      <c r="N823" s="6"/>
      <c r="O823" s="6"/>
      <c r="P823" s="6"/>
      <c r="Q823" s="6"/>
      <c r="R823" s="6"/>
      <c r="S823" s="6"/>
    </row>
    <row r="824" ht="11.25" customHeight="1">
      <c r="A824" s="7"/>
      <c r="B824" s="5"/>
      <c r="C824" s="6"/>
      <c r="D824" s="6"/>
      <c r="E824" s="6"/>
      <c r="F824" s="6"/>
      <c r="G824" s="6"/>
      <c r="H824" s="6"/>
      <c r="I824" s="6"/>
      <c r="J824" s="11"/>
      <c r="K824" s="591"/>
      <c r="L824" s="6"/>
      <c r="M824" s="6"/>
      <c r="N824" s="6"/>
      <c r="O824" s="6"/>
      <c r="P824" s="6"/>
      <c r="Q824" s="6"/>
      <c r="R824" s="6"/>
      <c r="S824" s="6"/>
    </row>
    <row r="825" ht="11.25" customHeight="1">
      <c r="A825" s="7"/>
      <c r="B825" s="5"/>
      <c r="C825" s="6"/>
      <c r="D825" s="6"/>
      <c r="E825" s="6"/>
      <c r="F825" s="6"/>
      <c r="G825" s="6"/>
      <c r="H825" s="6"/>
      <c r="I825" s="6"/>
      <c r="J825" s="11"/>
      <c r="K825" s="591"/>
      <c r="L825" s="6"/>
      <c r="M825" s="6"/>
      <c r="N825" s="6"/>
      <c r="O825" s="6"/>
      <c r="P825" s="6"/>
      <c r="Q825" s="6"/>
      <c r="R825" s="6"/>
      <c r="S825" s="6"/>
    </row>
    <row r="826" ht="11.25" customHeight="1">
      <c r="A826" s="7"/>
      <c r="B826" s="5"/>
      <c r="C826" s="6"/>
      <c r="D826" s="6"/>
      <c r="E826" s="6"/>
      <c r="F826" s="6"/>
      <c r="G826" s="6"/>
      <c r="H826" s="6"/>
      <c r="I826" s="6"/>
      <c r="J826" s="11"/>
      <c r="K826" s="591"/>
      <c r="L826" s="6"/>
      <c r="M826" s="6"/>
      <c r="N826" s="6"/>
      <c r="O826" s="6"/>
      <c r="P826" s="6"/>
      <c r="Q826" s="6"/>
      <c r="R826" s="6"/>
      <c r="S826" s="6"/>
    </row>
    <row r="827" ht="11.25" customHeight="1">
      <c r="A827" s="7"/>
      <c r="B827" s="5"/>
      <c r="C827" s="6"/>
      <c r="D827" s="6"/>
      <c r="E827" s="6"/>
      <c r="F827" s="6"/>
      <c r="G827" s="6"/>
      <c r="H827" s="6"/>
      <c r="I827" s="6"/>
      <c r="J827" s="11"/>
      <c r="K827" s="591"/>
      <c r="L827" s="6"/>
      <c r="M827" s="6"/>
      <c r="N827" s="6"/>
      <c r="O827" s="6"/>
      <c r="P827" s="6"/>
      <c r="Q827" s="6"/>
      <c r="R827" s="6"/>
      <c r="S827" s="6"/>
    </row>
    <row r="828" ht="11.25" customHeight="1">
      <c r="A828" s="7"/>
      <c r="B828" s="5"/>
      <c r="C828" s="6"/>
      <c r="D828" s="6"/>
      <c r="E828" s="6"/>
      <c r="F828" s="6"/>
      <c r="G828" s="6"/>
      <c r="H828" s="6"/>
      <c r="I828" s="6"/>
      <c r="J828" s="11"/>
      <c r="K828" s="591"/>
      <c r="L828" s="6"/>
      <c r="M828" s="6"/>
      <c r="N828" s="6"/>
      <c r="O828" s="6"/>
      <c r="P828" s="6"/>
      <c r="Q828" s="6"/>
      <c r="R828" s="6"/>
      <c r="S828" s="6"/>
    </row>
    <row r="829" ht="11.25" customHeight="1">
      <c r="A829" s="7"/>
      <c r="B829" s="5"/>
      <c r="C829" s="6"/>
      <c r="D829" s="6"/>
      <c r="E829" s="6"/>
      <c r="F829" s="6"/>
      <c r="G829" s="6"/>
      <c r="H829" s="6"/>
      <c r="I829" s="6"/>
      <c r="J829" s="11"/>
      <c r="K829" s="591"/>
      <c r="L829" s="6"/>
      <c r="M829" s="6"/>
      <c r="N829" s="6"/>
      <c r="O829" s="6"/>
      <c r="P829" s="6"/>
      <c r="Q829" s="6"/>
      <c r="R829" s="6"/>
      <c r="S829" s="6"/>
    </row>
    <row r="830" ht="11.25" customHeight="1">
      <c r="A830" s="7"/>
      <c r="B830" s="5"/>
      <c r="C830" s="6"/>
      <c r="D830" s="6"/>
      <c r="E830" s="6"/>
      <c r="F830" s="6"/>
      <c r="G830" s="6"/>
      <c r="H830" s="6"/>
      <c r="I830" s="6"/>
      <c r="J830" s="11"/>
      <c r="K830" s="591"/>
      <c r="L830" s="6"/>
      <c r="M830" s="6"/>
      <c r="N830" s="6"/>
      <c r="O830" s="6"/>
      <c r="P830" s="6"/>
      <c r="Q830" s="6"/>
      <c r="R830" s="6"/>
      <c r="S830" s="6"/>
    </row>
    <row r="831" ht="11.25" customHeight="1">
      <c r="A831" s="7"/>
      <c r="B831" s="5"/>
      <c r="C831" s="6"/>
      <c r="D831" s="6"/>
      <c r="E831" s="6"/>
      <c r="F831" s="6"/>
      <c r="G831" s="6"/>
      <c r="H831" s="6"/>
      <c r="I831" s="6"/>
      <c r="J831" s="11"/>
      <c r="K831" s="591"/>
      <c r="L831" s="6"/>
      <c r="M831" s="6"/>
      <c r="N831" s="6"/>
      <c r="O831" s="6"/>
      <c r="P831" s="6"/>
      <c r="Q831" s="6"/>
      <c r="R831" s="6"/>
      <c r="S831" s="6"/>
    </row>
    <row r="832" ht="11.25" customHeight="1">
      <c r="A832" s="7"/>
      <c r="B832" s="5"/>
      <c r="C832" s="6"/>
      <c r="D832" s="6"/>
      <c r="E832" s="6"/>
      <c r="F832" s="6"/>
      <c r="G832" s="6"/>
      <c r="H832" s="6"/>
      <c r="I832" s="6"/>
      <c r="J832" s="11"/>
      <c r="K832" s="591"/>
      <c r="L832" s="6"/>
      <c r="M832" s="6"/>
      <c r="N832" s="6"/>
      <c r="O832" s="6"/>
      <c r="P832" s="6"/>
      <c r="Q832" s="6"/>
      <c r="R832" s="6"/>
      <c r="S832" s="6"/>
    </row>
    <row r="833" ht="11.25" customHeight="1">
      <c r="A833" s="7"/>
      <c r="B833" s="5"/>
      <c r="C833" s="6"/>
      <c r="D833" s="6"/>
      <c r="E833" s="6"/>
      <c r="F833" s="6"/>
      <c r="G833" s="6"/>
      <c r="H833" s="6"/>
      <c r="I833" s="6"/>
      <c r="J833" s="11"/>
      <c r="K833" s="591"/>
      <c r="L833" s="6"/>
      <c r="M833" s="6"/>
      <c r="N833" s="6"/>
      <c r="O833" s="6"/>
      <c r="P833" s="6"/>
      <c r="Q833" s="6"/>
      <c r="R833" s="6"/>
      <c r="S833" s="6"/>
    </row>
    <row r="834" ht="11.25" customHeight="1">
      <c r="A834" s="7"/>
      <c r="B834" s="5"/>
      <c r="C834" s="6"/>
      <c r="D834" s="6"/>
      <c r="E834" s="6"/>
      <c r="F834" s="6"/>
      <c r="G834" s="6"/>
      <c r="H834" s="6"/>
      <c r="I834" s="6"/>
      <c r="J834" s="11"/>
      <c r="K834" s="591"/>
      <c r="L834" s="6"/>
      <c r="M834" s="6"/>
      <c r="N834" s="6"/>
      <c r="O834" s="6"/>
      <c r="P834" s="6"/>
      <c r="Q834" s="6"/>
      <c r="R834" s="6"/>
      <c r="S834" s="6"/>
    </row>
    <row r="835" ht="11.25" customHeight="1">
      <c r="A835" s="7"/>
      <c r="B835" s="5"/>
      <c r="C835" s="6"/>
      <c r="D835" s="6"/>
      <c r="E835" s="6"/>
      <c r="F835" s="6"/>
      <c r="G835" s="6"/>
      <c r="H835" s="6"/>
      <c r="I835" s="6"/>
      <c r="J835" s="11"/>
      <c r="K835" s="591"/>
      <c r="L835" s="6"/>
      <c r="M835" s="6"/>
      <c r="N835" s="6"/>
      <c r="O835" s="6"/>
      <c r="P835" s="6"/>
      <c r="Q835" s="6"/>
      <c r="R835" s="6"/>
      <c r="S835" s="6"/>
    </row>
    <row r="836" ht="11.25" customHeight="1">
      <c r="A836" s="7"/>
      <c r="B836" s="5"/>
      <c r="C836" s="6"/>
      <c r="D836" s="6"/>
      <c r="E836" s="6"/>
      <c r="F836" s="6"/>
      <c r="G836" s="6"/>
      <c r="H836" s="6"/>
      <c r="I836" s="6"/>
      <c r="J836" s="11"/>
      <c r="K836" s="591"/>
      <c r="L836" s="6"/>
      <c r="M836" s="6"/>
      <c r="N836" s="6"/>
      <c r="O836" s="6"/>
      <c r="P836" s="6"/>
      <c r="Q836" s="6"/>
      <c r="R836" s="6"/>
      <c r="S836" s="6"/>
    </row>
    <row r="837" ht="11.25" customHeight="1">
      <c r="A837" s="7"/>
      <c r="B837" s="5"/>
      <c r="C837" s="6"/>
      <c r="D837" s="6"/>
      <c r="E837" s="6"/>
      <c r="F837" s="6"/>
      <c r="G837" s="6"/>
      <c r="H837" s="6"/>
      <c r="I837" s="6"/>
      <c r="J837" s="11"/>
      <c r="K837" s="591"/>
      <c r="L837" s="6"/>
      <c r="M837" s="6"/>
      <c r="N837" s="6"/>
      <c r="O837" s="6"/>
      <c r="P837" s="6"/>
      <c r="Q837" s="6"/>
      <c r="R837" s="6"/>
      <c r="S837" s="6"/>
    </row>
    <row r="838" ht="11.25" customHeight="1">
      <c r="A838" s="7"/>
      <c r="B838" s="5"/>
      <c r="C838" s="6"/>
      <c r="D838" s="6"/>
      <c r="E838" s="6"/>
      <c r="F838" s="6"/>
      <c r="G838" s="6"/>
      <c r="H838" s="6"/>
      <c r="I838" s="6"/>
      <c r="J838" s="11"/>
      <c r="K838" s="591"/>
      <c r="L838" s="6"/>
      <c r="M838" s="6"/>
      <c r="N838" s="6"/>
      <c r="O838" s="6"/>
      <c r="P838" s="6"/>
      <c r="Q838" s="6"/>
      <c r="R838" s="6"/>
      <c r="S838" s="6"/>
    </row>
    <row r="839" ht="11.25" customHeight="1">
      <c r="A839" s="7"/>
      <c r="B839" s="5"/>
      <c r="C839" s="6"/>
      <c r="D839" s="6"/>
      <c r="E839" s="6"/>
      <c r="F839" s="6"/>
      <c r="G839" s="6"/>
      <c r="H839" s="6"/>
      <c r="I839" s="6"/>
      <c r="J839" s="11"/>
      <c r="K839" s="591"/>
      <c r="L839" s="6"/>
      <c r="M839" s="6"/>
      <c r="N839" s="6"/>
      <c r="O839" s="6"/>
      <c r="P839" s="6"/>
      <c r="Q839" s="6"/>
      <c r="R839" s="6"/>
      <c r="S839" s="6"/>
    </row>
    <row r="840" ht="11.25" customHeight="1">
      <c r="A840" s="7"/>
      <c r="B840" s="5"/>
      <c r="C840" s="6"/>
      <c r="D840" s="6"/>
      <c r="E840" s="6"/>
      <c r="F840" s="6"/>
      <c r="G840" s="6"/>
      <c r="H840" s="6"/>
      <c r="I840" s="6"/>
      <c r="J840" s="11"/>
      <c r="K840" s="591"/>
      <c r="L840" s="6"/>
      <c r="M840" s="6"/>
      <c r="N840" s="6"/>
      <c r="O840" s="6"/>
      <c r="P840" s="6"/>
      <c r="Q840" s="6"/>
      <c r="R840" s="6"/>
      <c r="S840" s="6"/>
    </row>
    <row r="841" ht="11.25" customHeight="1">
      <c r="A841" s="7"/>
      <c r="B841" s="5"/>
      <c r="C841" s="6"/>
      <c r="D841" s="6"/>
      <c r="E841" s="6"/>
      <c r="F841" s="6"/>
      <c r="G841" s="6"/>
      <c r="H841" s="6"/>
      <c r="I841" s="6"/>
      <c r="J841" s="11"/>
      <c r="K841" s="591"/>
      <c r="L841" s="6"/>
      <c r="M841" s="6"/>
      <c r="N841" s="6"/>
      <c r="O841" s="6"/>
      <c r="P841" s="6"/>
      <c r="Q841" s="6"/>
      <c r="R841" s="6"/>
      <c r="S841" s="6"/>
    </row>
    <row r="842" ht="11.25" customHeight="1">
      <c r="A842" s="7"/>
      <c r="B842" s="5"/>
      <c r="C842" s="6"/>
      <c r="D842" s="6"/>
      <c r="E842" s="6"/>
      <c r="F842" s="6"/>
      <c r="G842" s="6"/>
      <c r="H842" s="6"/>
      <c r="I842" s="6"/>
      <c r="J842" s="11"/>
      <c r="K842" s="591"/>
      <c r="L842" s="6"/>
      <c r="M842" s="6"/>
      <c r="N842" s="6"/>
      <c r="O842" s="6"/>
      <c r="P842" s="6"/>
      <c r="Q842" s="6"/>
      <c r="R842" s="6"/>
      <c r="S842" s="6"/>
    </row>
    <row r="843" ht="11.25" customHeight="1">
      <c r="A843" s="7"/>
      <c r="B843" s="5"/>
      <c r="C843" s="6"/>
      <c r="D843" s="6"/>
      <c r="E843" s="6"/>
      <c r="F843" s="6"/>
      <c r="G843" s="6"/>
      <c r="H843" s="6"/>
      <c r="I843" s="6"/>
      <c r="J843" s="11"/>
      <c r="K843" s="591"/>
      <c r="L843" s="6"/>
      <c r="M843" s="6"/>
      <c r="N843" s="6"/>
      <c r="O843" s="6"/>
      <c r="P843" s="6"/>
      <c r="Q843" s="6"/>
      <c r="R843" s="6"/>
      <c r="S843" s="6"/>
    </row>
    <row r="844" ht="11.25" customHeight="1">
      <c r="A844" s="7"/>
      <c r="B844" s="5"/>
      <c r="C844" s="6"/>
      <c r="D844" s="6"/>
      <c r="E844" s="6"/>
      <c r="F844" s="6"/>
      <c r="G844" s="6"/>
      <c r="H844" s="6"/>
      <c r="I844" s="6"/>
      <c r="J844" s="11"/>
      <c r="K844" s="591"/>
      <c r="L844" s="6"/>
      <c r="M844" s="6"/>
      <c r="N844" s="6"/>
      <c r="O844" s="6"/>
      <c r="P844" s="6"/>
      <c r="Q844" s="6"/>
      <c r="R844" s="6"/>
      <c r="S844" s="6"/>
    </row>
    <row r="845" ht="11.25" customHeight="1">
      <c r="A845" s="7"/>
      <c r="B845" s="5"/>
      <c r="C845" s="6"/>
      <c r="D845" s="6"/>
      <c r="E845" s="6"/>
      <c r="F845" s="6"/>
      <c r="G845" s="6"/>
      <c r="H845" s="6"/>
      <c r="I845" s="6"/>
      <c r="J845" s="11"/>
      <c r="K845" s="591"/>
      <c r="L845" s="6"/>
      <c r="M845" s="6"/>
      <c r="N845" s="6"/>
      <c r="O845" s="6"/>
      <c r="P845" s="6"/>
      <c r="Q845" s="6"/>
      <c r="R845" s="6"/>
      <c r="S845" s="6"/>
    </row>
    <row r="846" ht="11.25" customHeight="1">
      <c r="A846" s="7"/>
      <c r="B846" s="5"/>
      <c r="C846" s="6"/>
      <c r="D846" s="6"/>
      <c r="E846" s="6"/>
      <c r="F846" s="6"/>
      <c r="G846" s="6"/>
      <c r="H846" s="6"/>
      <c r="I846" s="6"/>
      <c r="J846" s="11"/>
      <c r="K846" s="591"/>
      <c r="L846" s="6"/>
      <c r="M846" s="6"/>
      <c r="N846" s="6"/>
      <c r="O846" s="6"/>
      <c r="P846" s="6"/>
      <c r="Q846" s="6"/>
      <c r="R846" s="6"/>
      <c r="S846" s="6"/>
    </row>
    <row r="847" ht="11.25" customHeight="1">
      <c r="A847" s="7"/>
      <c r="B847" s="5"/>
      <c r="C847" s="6"/>
      <c r="D847" s="6"/>
      <c r="E847" s="6"/>
      <c r="F847" s="6"/>
      <c r="G847" s="6"/>
      <c r="H847" s="6"/>
      <c r="I847" s="6"/>
      <c r="J847" s="11"/>
      <c r="K847" s="591"/>
      <c r="L847" s="6"/>
      <c r="M847" s="6"/>
      <c r="N847" s="6"/>
      <c r="O847" s="6"/>
      <c r="P847" s="6"/>
      <c r="Q847" s="6"/>
      <c r="R847" s="6"/>
      <c r="S847" s="6"/>
    </row>
    <row r="848" ht="11.25" customHeight="1">
      <c r="A848" s="7"/>
      <c r="B848" s="5"/>
      <c r="C848" s="6"/>
      <c r="D848" s="6"/>
      <c r="E848" s="6"/>
      <c r="F848" s="6"/>
      <c r="G848" s="6"/>
      <c r="H848" s="6"/>
      <c r="I848" s="6"/>
      <c r="J848" s="11"/>
      <c r="K848" s="591"/>
      <c r="L848" s="6"/>
      <c r="M848" s="6"/>
      <c r="N848" s="6"/>
      <c r="O848" s="6"/>
      <c r="P848" s="6"/>
      <c r="Q848" s="6"/>
      <c r="R848" s="6"/>
      <c r="S848" s="6"/>
    </row>
    <row r="849" ht="11.25" customHeight="1">
      <c r="A849" s="7"/>
      <c r="B849" s="5"/>
      <c r="C849" s="6"/>
      <c r="D849" s="6"/>
      <c r="E849" s="6"/>
      <c r="F849" s="6"/>
      <c r="G849" s="6"/>
      <c r="H849" s="6"/>
      <c r="I849" s="6"/>
      <c r="J849" s="11"/>
      <c r="K849" s="591"/>
      <c r="L849" s="6"/>
      <c r="M849" s="6"/>
      <c r="N849" s="6"/>
      <c r="O849" s="6"/>
      <c r="P849" s="6"/>
      <c r="Q849" s="6"/>
      <c r="R849" s="6"/>
      <c r="S849" s="6"/>
    </row>
    <row r="850" ht="11.25" customHeight="1">
      <c r="A850" s="7"/>
      <c r="B850" s="5"/>
      <c r="C850" s="6"/>
      <c r="D850" s="6"/>
      <c r="E850" s="6"/>
      <c r="F850" s="6"/>
      <c r="G850" s="6"/>
      <c r="H850" s="6"/>
      <c r="I850" s="6"/>
      <c r="J850" s="11"/>
      <c r="K850" s="591"/>
      <c r="L850" s="6"/>
      <c r="M850" s="6"/>
      <c r="N850" s="6"/>
      <c r="O850" s="6"/>
      <c r="P850" s="6"/>
      <c r="Q850" s="6"/>
      <c r="R850" s="6"/>
      <c r="S850" s="6"/>
    </row>
    <row r="851" ht="11.25" customHeight="1">
      <c r="A851" s="7"/>
      <c r="B851" s="5"/>
      <c r="C851" s="6"/>
      <c r="D851" s="6"/>
      <c r="E851" s="6"/>
      <c r="F851" s="6"/>
      <c r="G851" s="6"/>
      <c r="H851" s="6"/>
      <c r="I851" s="6"/>
      <c r="J851" s="11"/>
      <c r="K851" s="591"/>
      <c r="L851" s="6"/>
      <c r="M851" s="6"/>
      <c r="N851" s="6"/>
      <c r="O851" s="6"/>
      <c r="P851" s="6"/>
      <c r="Q851" s="6"/>
      <c r="R851" s="6"/>
      <c r="S851" s="6"/>
    </row>
    <row r="852" ht="11.25" customHeight="1">
      <c r="A852" s="7"/>
      <c r="B852" s="5"/>
      <c r="C852" s="6"/>
      <c r="D852" s="6"/>
      <c r="E852" s="6"/>
      <c r="F852" s="6"/>
      <c r="G852" s="6"/>
      <c r="H852" s="6"/>
      <c r="I852" s="6"/>
      <c r="J852" s="11"/>
      <c r="K852" s="591"/>
      <c r="L852" s="6"/>
      <c r="M852" s="6"/>
      <c r="N852" s="6"/>
      <c r="O852" s="6"/>
      <c r="P852" s="6"/>
      <c r="Q852" s="6"/>
      <c r="R852" s="6"/>
      <c r="S852" s="6"/>
    </row>
    <row r="853" ht="11.25" customHeight="1">
      <c r="A853" s="7"/>
      <c r="B853" s="5"/>
      <c r="C853" s="6"/>
      <c r="D853" s="6"/>
      <c r="E853" s="6"/>
      <c r="F853" s="6"/>
      <c r="G853" s="6"/>
      <c r="H853" s="6"/>
      <c r="I853" s="6"/>
      <c r="J853" s="11"/>
      <c r="K853" s="591"/>
      <c r="L853" s="6"/>
      <c r="M853" s="6"/>
      <c r="N853" s="6"/>
      <c r="O853" s="6"/>
      <c r="P853" s="6"/>
      <c r="Q853" s="6"/>
      <c r="R853" s="6"/>
      <c r="S853" s="6"/>
    </row>
    <row r="854" ht="11.25" customHeight="1">
      <c r="A854" s="7"/>
      <c r="B854" s="5"/>
      <c r="C854" s="6"/>
      <c r="D854" s="6"/>
      <c r="E854" s="6"/>
      <c r="F854" s="6"/>
      <c r="G854" s="6"/>
      <c r="H854" s="6"/>
      <c r="I854" s="6"/>
      <c r="J854" s="11"/>
      <c r="K854" s="591"/>
      <c r="L854" s="6"/>
      <c r="M854" s="6"/>
      <c r="N854" s="6"/>
      <c r="O854" s="6"/>
      <c r="P854" s="6"/>
      <c r="Q854" s="6"/>
      <c r="R854" s="6"/>
      <c r="S854" s="6"/>
    </row>
    <row r="855" ht="11.25" customHeight="1">
      <c r="A855" s="7"/>
      <c r="B855" s="5"/>
      <c r="C855" s="6"/>
      <c r="D855" s="6"/>
      <c r="E855" s="6"/>
      <c r="F855" s="6"/>
      <c r="G855" s="6"/>
      <c r="H855" s="6"/>
      <c r="I855" s="6"/>
      <c r="J855" s="11"/>
      <c r="K855" s="591"/>
      <c r="L855" s="6"/>
      <c r="M855" s="6"/>
      <c r="N855" s="6"/>
      <c r="O855" s="6"/>
      <c r="P855" s="6"/>
      <c r="Q855" s="6"/>
      <c r="R855" s="6"/>
      <c r="S855" s="6"/>
    </row>
    <row r="856" ht="11.25" customHeight="1">
      <c r="A856" s="7"/>
      <c r="B856" s="5"/>
      <c r="C856" s="6"/>
      <c r="D856" s="6"/>
      <c r="E856" s="6"/>
      <c r="F856" s="6"/>
      <c r="G856" s="6"/>
      <c r="H856" s="6"/>
      <c r="I856" s="6"/>
      <c r="J856" s="11"/>
      <c r="K856" s="591"/>
      <c r="L856" s="6"/>
      <c r="M856" s="6"/>
      <c r="N856" s="6"/>
      <c r="O856" s="6"/>
      <c r="P856" s="6"/>
      <c r="Q856" s="6"/>
      <c r="R856" s="6"/>
      <c r="S856" s="6"/>
    </row>
    <row r="857" ht="11.25" customHeight="1">
      <c r="A857" s="7"/>
      <c r="B857" s="5"/>
      <c r="C857" s="6"/>
      <c r="D857" s="6"/>
      <c r="E857" s="6"/>
      <c r="F857" s="6"/>
      <c r="G857" s="6"/>
      <c r="H857" s="6"/>
      <c r="I857" s="6"/>
      <c r="J857" s="11"/>
      <c r="K857" s="591"/>
      <c r="L857" s="6"/>
      <c r="M857" s="6"/>
      <c r="N857" s="6"/>
      <c r="O857" s="6"/>
      <c r="P857" s="6"/>
      <c r="Q857" s="6"/>
      <c r="R857" s="6"/>
      <c r="S857" s="6"/>
    </row>
    <row r="858" ht="11.25" customHeight="1">
      <c r="A858" s="7"/>
      <c r="B858" s="5"/>
      <c r="C858" s="6"/>
      <c r="D858" s="6"/>
      <c r="E858" s="6"/>
      <c r="F858" s="6"/>
      <c r="G858" s="6"/>
      <c r="H858" s="6"/>
      <c r="I858" s="6"/>
      <c r="J858" s="11"/>
      <c r="K858" s="591"/>
      <c r="L858" s="6"/>
      <c r="M858" s="6"/>
      <c r="N858" s="6"/>
      <c r="O858" s="6"/>
      <c r="P858" s="6"/>
      <c r="Q858" s="6"/>
      <c r="R858" s="6"/>
      <c r="S858" s="6"/>
    </row>
    <row r="859" ht="11.25" customHeight="1">
      <c r="A859" s="7"/>
      <c r="B859" s="5"/>
      <c r="C859" s="6"/>
      <c r="D859" s="6"/>
      <c r="E859" s="6"/>
      <c r="F859" s="6"/>
      <c r="G859" s="6"/>
      <c r="H859" s="6"/>
      <c r="I859" s="6"/>
      <c r="J859" s="11"/>
      <c r="K859" s="591"/>
      <c r="L859" s="6"/>
      <c r="M859" s="6"/>
      <c r="N859" s="6"/>
      <c r="O859" s="6"/>
      <c r="P859" s="6"/>
      <c r="Q859" s="6"/>
      <c r="R859" s="6"/>
      <c r="S859" s="6"/>
    </row>
    <row r="860" ht="11.25" customHeight="1">
      <c r="A860" s="7"/>
      <c r="B860" s="5"/>
      <c r="C860" s="6"/>
      <c r="D860" s="6"/>
      <c r="E860" s="6"/>
      <c r="F860" s="6"/>
      <c r="G860" s="6"/>
      <c r="H860" s="6"/>
      <c r="I860" s="6"/>
      <c r="J860" s="11"/>
      <c r="K860" s="591"/>
      <c r="L860" s="6"/>
      <c r="M860" s="6"/>
      <c r="N860" s="6"/>
      <c r="O860" s="6"/>
      <c r="P860" s="6"/>
      <c r="Q860" s="6"/>
      <c r="R860" s="6"/>
      <c r="S860" s="6"/>
    </row>
    <row r="861" ht="11.25" customHeight="1">
      <c r="A861" s="7"/>
      <c r="B861" s="5"/>
      <c r="C861" s="6"/>
      <c r="D861" s="6"/>
      <c r="E861" s="6"/>
      <c r="F861" s="6"/>
      <c r="G861" s="6"/>
      <c r="H861" s="6"/>
      <c r="I861" s="6"/>
      <c r="J861" s="11"/>
      <c r="K861" s="591"/>
      <c r="L861" s="6"/>
      <c r="M861" s="6"/>
      <c r="N861" s="6"/>
      <c r="O861" s="6"/>
      <c r="P861" s="6"/>
      <c r="Q861" s="6"/>
      <c r="R861" s="6"/>
      <c r="S861" s="6"/>
    </row>
    <row r="862" ht="11.25" customHeight="1">
      <c r="A862" s="7"/>
      <c r="B862" s="5"/>
      <c r="C862" s="6"/>
      <c r="D862" s="6"/>
      <c r="E862" s="6"/>
      <c r="F862" s="6"/>
      <c r="G862" s="6"/>
      <c r="H862" s="6"/>
      <c r="I862" s="6"/>
      <c r="J862" s="11"/>
      <c r="K862" s="591"/>
      <c r="L862" s="6"/>
      <c r="M862" s="6"/>
      <c r="N862" s="6"/>
      <c r="O862" s="6"/>
      <c r="P862" s="6"/>
      <c r="Q862" s="6"/>
      <c r="R862" s="6"/>
      <c r="S862" s="6"/>
    </row>
    <row r="863" ht="11.25" customHeight="1">
      <c r="A863" s="7"/>
      <c r="B863" s="5"/>
      <c r="C863" s="6"/>
      <c r="D863" s="6"/>
      <c r="E863" s="6"/>
      <c r="F863" s="6"/>
      <c r="G863" s="6"/>
      <c r="H863" s="6"/>
      <c r="I863" s="6"/>
      <c r="J863" s="11"/>
      <c r="K863" s="591"/>
      <c r="L863" s="6"/>
      <c r="M863" s="6"/>
      <c r="N863" s="6"/>
      <c r="O863" s="6"/>
      <c r="P863" s="6"/>
      <c r="Q863" s="6"/>
      <c r="R863" s="6"/>
      <c r="S863" s="6"/>
    </row>
    <row r="864" ht="11.25" customHeight="1">
      <c r="A864" s="7"/>
      <c r="B864" s="5"/>
      <c r="C864" s="6"/>
      <c r="D864" s="6"/>
      <c r="E864" s="6"/>
      <c r="F864" s="6"/>
      <c r="G864" s="6"/>
      <c r="H864" s="6"/>
      <c r="I864" s="6"/>
      <c r="J864" s="11"/>
      <c r="K864" s="591"/>
      <c r="L864" s="6"/>
      <c r="M864" s="6"/>
      <c r="N864" s="6"/>
      <c r="O864" s="6"/>
      <c r="P864" s="6"/>
      <c r="Q864" s="6"/>
      <c r="R864" s="6"/>
      <c r="S864" s="6"/>
    </row>
    <row r="865" ht="11.25" customHeight="1">
      <c r="A865" s="7"/>
      <c r="B865" s="5"/>
      <c r="C865" s="6"/>
      <c r="D865" s="6"/>
      <c r="E865" s="6"/>
      <c r="F865" s="6"/>
      <c r="G865" s="6"/>
      <c r="H865" s="6"/>
      <c r="I865" s="6"/>
      <c r="J865" s="11"/>
      <c r="K865" s="591"/>
      <c r="L865" s="6"/>
      <c r="M865" s="6"/>
      <c r="N865" s="6"/>
      <c r="O865" s="6"/>
      <c r="P865" s="6"/>
      <c r="Q865" s="6"/>
      <c r="R865" s="6"/>
      <c r="S865" s="6"/>
    </row>
    <row r="866" ht="11.25" customHeight="1">
      <c r="A866" s="7"/>
      <c r="B866" s="5"/>
      <c r="C866" s="6"/>
      <c r="D866" s="6"/>
      <c r="E866" s="6"/>
      <c r="F866" s="6"/>
      <c r="G866" s="6"/>
      <c r="H866" s="6"/>
      <c r="I866" s="6"/>
      <c r="J866" s="11"/>
      <c r="K866" s="591"/>
      <c r="L866" s="6"/>
      <c r="M866" s="6"/>
      <c r="N866" s="6"/>
      <c r="O866" s="6"/>
      <c r="P866" s="6"/>
      <c r="Q866" s="6"/>
      <c r="R866" s="6"/>
      <c r="S866" s="6"/>
    </row>
    <row r="867" ht="11.25" customHeight="1">
      <c r="A867" s="7"/>
      <c r="B867" s="5"/>
      <c r="C867" s="6"/>
      <c r="D867" s="6"/>
      <c r="E867" s="6"/>
      <c r="F867" s="6"/>
      <c r="G867" s="6"/>
      <c r="H867" s="6"/>
      <c r="I867" s="6"/>
      <c r="J867" s="11"/>
      <c r="K867" s="591"/>
      <c r="L867" s="6"/>
      <c r="M867" s="6"/>
      <c r="N867" s="6"/>
      <c r="O867" s="6"/>
      <c r="P867" s="6"/>
      <c r="Q867" s="6"/>
      <c r="R867" s="6"/>
      <c r="S867" s="6"/>
    </row>
    <row r="868" ht="11.25" customHeight="1">
      <c r="A868" s="7"/>
      <c r="B868" s="5"/>
      <c r="C868" s="6"/>
      <c r="D868" s="6"/>
      <c r="E868" s="6"/>
      <c r="F868" s="6"/>
      <c r="G868" s="6"/>
      <c r="H868" s="6"/>
      <c r="I868" s="6"/>
      <c r="J868" s="11"/>
      <c r="K868" s="591"/>
      <c r="L868" s="6"/>
      <c r="M868" s="6"/>
      <c r="N868" s="6"/>
      <c r="O868" s="6"/>
      <c r="P868" s="6"/>
      <c r="Q868" s="6"/>
      <c r="R868" s="6"/>
      <c r="S868" s="6"/>
    </row>
    <row r="869" ht="11.25" customHeight="1">
      <c r="A869" s="7"/>
      <c r="B869" s="5"/>
      <c r="C869" s="6"/>
      <c r="D869" s="6"/>
      <c r="E869" s="6"/>
      <c r="F869" s="6"/>
      <c r="G869" s="6"/>
      <c r="H869" s="6"/>
      <c r="I869" s="6"/>
      <c r="J869" s="11"/>
      <c r="K869" s="591"/>
      <c r="L869" s="6"/>
      <c r="M869" s="6"/>
      <c r="N869" s="6"/>
      <c r="O869" s="6"/>
      <c r="P869" s="6"/>
      <c r="Q869" s="6"/>
      <c r="R869" s="6"/>
      <c r="S869" s="6"/>
    </row>
    <row r="870" ht="11.25" customHeight="1">
      <c r="A870" s="7"/>
      <c r="B870" s="5"/>
      <c r="C870" s="6"/>
      <c r="D870" s="6"/>
      <c r="E870" s="6"/>
      <c r="F870" s="6"/>
      <c r="G870" s="6"/>
      <c r="H870" s="6"/>
      <c r="I870" s="6"/>
      <c r="J870" s="11"/>
      <c r="K870" s="591"/>
      <c r="L870" s="6"/>
      <c r="M870" s="6"/>
      <c r="N870" s="6"/>
      <c r="O870" s="6"/>
      <c r="P870" s="6"/>
      <c r="Q870" s="6"/>
      <c r="R870" s="6"/>
      <c r="S870" s="6"/>
    </row>
    <row r="871" ht="11.25" customHeight="1">
      <c r="A871" s="7"/>
      <c r="B871" s="5"/>
      <c r="C871" s="6"/>
      <c r="D871" s="6"/>
      <c r="E871" s="6"/>
      <c r="F871" s="6"/>
      <c r="G871" s="6"/>
      <c r="H871" s="6"/>
      <c r="I871" s="6"/>
      <c r="J871" s="11"/>
      <c r="K871" s="591"/>
      <c r="L871" s="6"/>
      <c r="M871" s="6"/>
      <c r="N871" s="6"/>
      <c r="O871" s="6"/>
      <c r="P871" s="6"/>
      <c r="Q871" s="6"/>
      <c r="R871" s="6"/>
      <c r="S871" s="6"/>
    </row>
    <row r="872" ht="11.25" customHeight="1">
      <c r="A872" s="7"/>
      <c r="B872" s="5"/>
      <c r="C872" s="6"/>
      <c r="D872" s="6"/>
      <c r="E872" s="6"/>
      <c r="F872" s="6"/>
      <c r="G872" s="6"/>
      <c r="H872" s="6"/>
      <c r="I872" s="6"/>
      <c r="J872" s="11"/>
      <c r="K872" s="591"/>
      <c r="L872" s="6"/>
      <c r="M872" s="6"/>
      <c r="N872" s="6"/>
      <c r="O872" s="6"/>
      <c r="P872" s="6"/>
      <c r="Q872" s="6"/>
      <c r="R872" s="6"/>
      <c r="S872" s="6"/>
    </row>
    <row r="873" ht="11.25" customHeight="1">
      <c r="A873" s="7"/>
      <c r="B873" s="5"/>
      <c r="C873" s="6"/>
      <c r="D873" s="6"/>
      <c r="E873" s="6"/>
      <c r="F873" s="6"/>
      <c r="G873" s="6"/>
      <c r="H873" s="6"/>
      <c r="I873" s="6"/>
      <c r="J873" s="11"/>
      <c r="K873" s="591"/>
      <c r="L873" s="6"/>
      <c r="M873" s="6"/>
      <c r="N873" s="6"/>
      <c r="O873" s="6"/>
      <c r="P873" s="6"/>
      <c r="Q873" s="6"/>
      <c r="R873" s="6"/>
      <c r="S873" s="6"/>
    </row>
    <row r="874" ht="11.25" customHeight="1">
      <c r="A874" s="7"/>
      <c r="B874" s="5"/>
      <c r="C874" s="6"/>
      <c r="D874" s="6"/>
      <c r="E874" s="6"/>
      <c r="F874" s="6"/>
      <c r="G874" s="6"/>
      <c r="H874" s="6"/>
      <c r="I874" s="6"/>
      <c r="J874" s="11"/>
      <c r="K874" s="591"/>
      <c r="L874" s="6"/>
      <c r="M874" s="6"/>
      <c r="N874" s="6"/>
      <c r="O874" s="6"/>
      <c r="P874" s="6"/>
      <c r="Q874" s="6"/>
      <c r="R874" s="6"/>
      <c r="S874" s="6"/>
    </row>
    <row r="875" ht="11.25" customHeight="1">
      <c r="A875" s="7"/>
      <c r="B875" s="5"/>
      <c r="C875" s="6"/>
      <c r="D875" s="6"/>
      <c r="E875" s="6"/>
      <c r="F875" s="6"/>
      <c r="G875" s="6"/>
      <c r="H875" s="6"/>
      <c r="I875" s="6"/>
      <c r="J875" s="11"/>
      <c r="K875" s="591"/>
      <c r="L875" s="6"/>
      <c r="M875" s="6"/>
      <c r="N875" s="6"/>
      <c r="O875" s="6"/>
      <c r="P875" s="6"/>
      <c r="Q875" s="6"/>
      <c r="R875" s="6"/>
      <c r="S875" s="6"/>
    </row>
    <row r="876" ht="11.25" customHeight="1">
      <c r="A876" s="7"/>
      <c r="B876" s="5"/>
      <c r="C876" s="6"/>
      <c r="D876" s="6"/>
      <c r="E876" s="6"/>
      <c r="F876" s="6"/>
      <c r="G876" s="6"/>
      <c r="H876" s="6"/>
      <c r="I876" s="6"/>
      <c r="J876" s="11"/>
      <c r="K876" s="591"/>
      <c r="L876" s="6"/>
      <c r="M876" s="6"/>
      <c r="N876" s="6"/>
      <c r="O876" s="6"/>
      <c r="P876" s="6"/>
      <c r="Q876" s="6"/>
      <c r="R876" s="6"/>
      <c r="S876" s="6"/>
    </row>
    <row r="877" ht="11.25" customHeight="1">
      <c r="A877" s="7"/>
      <c r="B877" s="5"/>
      <c r="C877" s="6"/>
      <c r="D877" s="6"/>
      <c r="E877" s="6"/>
      <c r="F877" s="6"/>
      <c r="G877" s="6"/>
      <c r="H877" s="6"/>
      <c r="I877" s="6"/>
      <c r="J877" s="11"/>
      <c r="K877" s="591"/>
      <c r="L877" s="6"/>
      <c r="M877" s="6"/>
      <c r="N877" s="6"/>
      <c r="O877" s="6"/>
      <c r="P877" s="6"/>
      <c r="Q877" s="6"/>
      <c r="R877" s="6"/>
      <c r="S877" s="6"/>
    </row>
    <row r="878" ht="11.25" customHeight="1">
      <c r="A878" s="7"/>
      <c r="B878" s="5"/>
      <c r="C878" s="6"/>
      <c r="D878" s="6"/>
      <c r="E878" s="6"/>
      <c r="F878" s="6"/>
      <c r="G878" s="6"/>
      <c r="H878" s="6"/>
      <c r="I878" s="6"/>
      <c r="J878" s="11"/>
      <c r="K878" s="591"/>
      <c r="L878" s="6"/>
      <c r="M878" s="6"/>
      <c r="N878" s="6"/>
      <c r="O878" s="6"/>
      <c r="P878" s="6"/>
      <c r="Q878" s="6"/>
      <c r="R878" s="6"/>
      <c r="S878" s="6"/>
    </row>
    <row r="879" ht="11.25" customHeight="1">
      <c r="A879" s="7"/>
      <c r="B879" s="5"/>
      <c r="C879" s="6"/>
      <c r="D879" s="6"/>
      <c r="E879" s="6"/>
      <c r="F879" s="6"/>
      <c r="G879" s="6"/>
      <c r="H879" s="6"/>
      <c r="I879" s="6"/>
      <c r="J879" s="11"/>
      <c r="K879" s="591"/>
      <c r="L879" s="6"/>
      <c r="M879" s="6"/>
      <c r="N879" s="6"/>
      <c r="O879" s="6"/>
      <c r="P879" s="6"/>
      <c r="Q879" s="6"/>
      <c r="R879" s="6"/>
      <c r="S879" s="6"/>
    </row>
    <row r="880" ht="11.25" customHeight="1">
      <c r="A880" s="7"/>
      <c r="B880" s="5"/>
      <c r="C880" s="6"/>
      <c r="D880" s="6"/>
      <c r="E880" s="6"/>
      <c r="F880" s="6"/>
      <c r="G880" s="6"/>
      <c r="H880" s="6"/>
      <c r="I880" s="6"/>
      <c r="J880" s="11"/>
      <c r="K880" s="591"/>
      <c r="L880" s="6"/>
      <c r="M880" s="6"/>
      <c r="N880" s="6"/>
      <c r="O880" s="6"/>
      <c r="P880" s="6"/>
      <c r="Q880" s="6"/>
      <c r="R880" s="6"/>
      <c r="S880" s="6"/>
    </row>
    <row r="881" ht="11.25" customHeight="1">
      <c r="A881" s="7"/>
      <c r="B881" s="5"/>
      <c r="C881" s="6"/>
      <c r="D881" s="6"/>
      <c r="E881" s="6"/>
      <c r="F881" s="6"/>
      <c r="G881" s="6"/>
      <c r="H881" s="6"/>
      <c r="I881" s="6"/>
      <c r="J881" s="11"/>
      <c r="K881" s="591"/>
      <c r="L881" s="6"/>
      <c r="M881" s="6"/>
      <c r="N881" s="6"/>
      <c r="O881" s="6"/>
      <c r="P881" s="6"/>
      <c r="Q881" s="6"/>
      <c r="R881" s="6"/>
      <c r="S881" s="6"/>
    </row>
    <row r="882" ht="11.25" customHeight="1">
      <c r="A882" s="7"/>
      <c r="B882" s="5"/>
      <c r="C882" s="6"/>
      <c r="D882" s="6"/>
      <c r="E882" s="6"/>
      <c r="F882" s="6"/>
      <c r="G882" s="6"/>
      <c r="H882" s="6"/>
      <c r="I882" s="6"/>
      <c r="J882" s="11"/>
      <c r="K882" s="591"/>
      <c r="L882" s="6"/>
      <c r="M882" s="6"/>
      <c r="N882" s="6"/>
      <c r="O882" s="6"/>
      <c r="P882" s="6"/>
      <c r="Q882" s="6"/>
      <c r="R882" s="6"/>
      <c r="S882" s="6"/>
    </row>
    <row r="883" ht="11.25" customHeight="1">
      <c r="A883" s="7"/>
      <c r="B883" s="5"/>
      <c r="C883" s="6"/>
      <c r="D883" s="6"/>
      <c r="E883" s="6"/>
      <c r="F883" s="6"/>
      <c r="G883" s="6"/>
      <c r="H883" s="6"/>
      <c r="I883" s="6"/>
      <c r="J883" s="11"/>
      <c r="K883" s="591"/>
      <c r="L883" s="6"/>
      <c r="M883" s="6"/>
      <c r="N883" s="6"/>
      <c r="O883" s="6"/>
      <c r="P883" s="6"/>
      <c r="Q883" s="6"/>
      <c r="R883" s="6"/>
      <c r="S883" s="6"/>
    </row>
    <row r="884" ht="11.25" customHeight="1">
      <c r="A884" s="7"/>
      <c r="B884" s="5"/>
      <c r="C884" s="6"/>
      <c r="D884" s="6"/>
      <c r="E884" s="6"/>
      <c r="F884" s="6"/>
      <c r="G884" s="6"/>
      <c r="H884" s="6"/>
      <c r="I884" s="6"/>
      <c r="J884" s="11"/>
      <c r="K884" s="591"/>
      <c r="L884" s="6"/>
      <c r="M884" s="6"/>
      <c r="N884" s="6"/>
      <c r="O884" s="6"/>
      <c r="P884" s="6"/>
      <c r="Q884" s="6"/>
      <c r="R884" s="6"/>
      <c r="S884" s="6"/>
    </row>
    <row r="885" ht="11.25" customHeight="1">
      <c r="A885" s="7"/>
      <c r="B885" s="5"/>
      <c r="C885" s="6"/>
      <c r="D885" s="6"/>
      <c r="E885" s="6"/>
      <c r="F885" s="6"/>
      <c r="G885" s="6"/>
      <c r="H885" s="6"/>
      <c r="I885" s="6"/>
      <c r="J885" s="11"/>
      <c r="K885" s="591"/>
      <c r="L885" s="6"/>
      <c r="M885" s="6"/>
      <c r="N885" s="6"/>
      <c r="O885" s="6"/>
      <c r="P885" s="6"/>
      <c r="Q885" s="6"/>
      <c r="R885" s="6"/>
      <c r="S885" s="6"/>
    </row>
    <row r="886" ht="11.25" customHeight="1">
      <c r="A886" s="7"/>
      <c r="B886" s="5"/>
      <c r="C886" s="6"/>
      <c r="D886" s="6"/>
      <c r="E886" s="6"/>
      <c r="F886" s="6"/>
      <c r="G886" s="6"/>
      <c r="H886" s="6"/>
      <c r="I886" s="6"/>
      <c r="J886" s="11"/>
      <c r="K886" s="591"/>
      <c r="L886" s="6"/>
      <c r="M886" s="6"/>
      <c r="N886" s="6"/>
      <c r="O886" s="6"/>
      <c r="P886" s="6"/>
      <c r="Q886" s="6"/>
      <c r="R886" s="6"/>
      <c r="S886" s="6"/>
    </row>
    <row r="887" ht="11.25" customHeight="1">
      <c r="A887" s="7"/>
      <c r="B887" s="5"/>
      <c r="C887" s="6"/>
      <c r="D887" s="6"/>
      <c r="E887" s="6"/>
      <c r="F887" s="6"/>
      <c r="G887" s="6"/>
      <c r="H887" s="6"/>
      <c r="I887" s="6"/>
      <c r="J887" s="11"/>
      <c r="K887" s="591"/>
      <c r="L887" s="6"/>
      <c r="M887" s="6"/>
      <c r="N887" s="6"/>
      <c r="O887" s="6"/>
      <c r="P887" s="6"/>
      <c r="Q887" s="6"/>
      <c r="R887" s="6"/>
      <c r="S887" s="6"/>
    </row>
    <row r="888" ht="11.25" customHeight="1">
      <c r="A888" s="7"/>
      <c r="B888" s="5"/>
      <c r="C888" s="6"/>
      <c r="D888" s="6"/>
      <c r="E888" s="6"/>
      <c r="F888" s="6"/>
      <c r="G888" s="6"/>
      <c r="H888" s="6"/>
      <c r="I888" s="6"/>
      <c r="J888" s="11"/>
      <c r="K888" s="591"/>
      <c r="L888" s="6"/>
      <c r="M888" s="6"/>
      <c r="N888" s="6"/>
      <c r="O888" s="6"/>
      <c r="P888" s="6"/>
      <c r="Q888" s="6"/>
      <c r="R888" s="6"/>
      <c r="S888" s="6"/>
    </row>
    <row r="889" ht="11.25" customHeight="1">
      <c r="A889" s="7"/>
      <c r="B889" s="5"/>
      <c r="C889" s="6"/>
      <c r="D889" s="6"/>
      <c r="E889" s="6"/>
      <c r="F889" s="6"/>
      <c r="G889" s="6"/>
      <c r="H889" s="6"/>
      <c r="I889" s="6"/>
      <c r="J889" s="11"/>
      <c r="K889" s="591"/>
      <c r="L889" s="6"/>
      <c r="M889" s="6"/>
      <c r="N889" s="6"/>
      <c r="O889" s="6"/>
      <c r="P889" s="6"/>
      <c r="Q889" s="6"/>
      <c r="R889" s="6"/>
      <c r="S889" s="6"/>
    </row>
    <row r="890" ht="11.25" customHeight="1">
      <c r="A890" s="7"/>
      <c r="B890" s="5"/>
      <c r="C890" s="6"/>
      <c r="D890" s="6"/>
      <c r="E890" s="6"/>
      <c r="F890" s="6"/>
      <c r="G890" s="6"/>
      <c r="H890" s="6"/>
      <c r="I890" s="6"/>
      <c r="J890" s="11"/>
      <c r="K890" s="591"/>
      <c r="L890" s="6"/>
      <c r="M890" s="6"/>
      <c r="N890" s="6"/>
      <c r="O890" s="6"/>
      <c r="P890" s="6"/>
      <c r="Q890" s="6"/>
      <c r="R890" s="6"/>
      <c r="S890" s="6"/>
    </row>
    <row r="891" ht="11.25" customHeight="1">
      <c r="A891" s="7"/>
      <c r="B891" s="5"/>
      <c r="C891" s="6"/>
      <c r="D891" s="6"/>
      <c r="E891" s="6"/>
      <c r="F891" s="6"/>
      <c r="G891" s="6"/>
      <c r="H891" s="6"/>
      <c r="I891" s="6"/>
      <c r="J891" s="11"/>
      <c r="K891" s="591"/>
      <c r="L891" s="6"/>
      <c r="M891" s="6"/>
      <c r="N891" s="6"/>
      <c r="O891" s="6"/>
      <c r="P891" s="6"/>
      <c r="Q891" s="6"/>
      <c r="R891" s="6"/>
      <c r="S891" s="6"/>
    </row>
    <row r="892" ht="11.25" customHeight="1">
      <c r="A892" s="7"/>
      <c r="B892" s="5"/>
      <c r="C892" s="6"/>
      <c r="D892" s="6"/>
      <c r="E892" s="6"/>
      <c r="F892" s="6"/>
      <c r="G892" s="6"/>
      <c r="H892" s="6"/>
      <c r="I892" s="6"/>
      <c r="J892" s="11"/>
      <c r="K892" s="591"/>
      <c r="L892" s="6"/>
      <c r="M892" s="6"/>
      <c r="N892" s="6"/>
      <c r="O892" s="6"/>
      <c r="P892" s="6"/>
      <c r="Q892" s="6"/>
      <c r="R892" s="6"/>
      <c r="S892" s="6"/>
    </row>
    <row r="893" ht="11.25" customHeight="1">
      <c r="A893" s="7"/>
      <c r="B893" s="5"/>
      <c r="C893" s="6"/>
      <c r="D893" s="6"/>
      <c r="E893" s="6"/>
      <c r="F893" s="6"/>
      <c r="G893" s="6"/>
      <c r="H893" s="6"/>
      <c r="I893" s="6"/>
      <c r="J893" s="11"/>
      <c r="K893" s="591"/>
      <c r="L893" s="6"/>
      <c r="M893" s="6"/>
      <c r="N893" s="6"/>
      <c r="O893" s="6"/>
      <c r="P893" s="6"/>
      <c r="Q893" s="6"/>
      <c r="R893" s="6"/>
      <c r="S893" s="6"/>
    </row>
    <row r="894" ht="11.25" customHeight="1">
      <c r="A894" s="7"/>
      <c r="B894" s="5"/>
      <c r="C894" s="6"/>
      <c r="D894" s="6"/>
      <c r="E894" s="6"/>
      <c r="F894" s="6"/>
      <c r="G894" s="6"/>
      <c r="H894" s="6"/>
      <c r="I894" s="6"/>
      <c r="J894" s="11"/>
      <c r="K894" s="591"/>
      <c r="L894" s="6"/>
      <c r="M894" s="6"/>
      <c r="N894" s="6"/>
      <c r="O894" s="6"/>
      <c r="P894" s="6"/>
      <c r="Q894" s="6"/>
      <c r="R894" s="6"/>
      <c r="S894" s="6"/>
    </row>
    <row r="895" ht="11.25" customHeight="1">
      <c r="A895" s="7"/>
      <c r="B895" s="5"/>
      <c r="C895" s="6"/>
      <c r="D895" s="6"/>
      <c r="E895" s="6"/>
      <c r="F895" s="6"/>
      <c r="G895" s="6"/>
      <c r="H895" s="6"/>
      <c r="I895" s="6"/>
      <c r="J895" s="11"/>
      <c r="K895" s="591"/>
      <c r="L895" s="6"/>
      <c r="M895" s="6"/>
      <c r="N895" s="6"/>
      <c r="O895" s="6"/>
      <c r="P895" s="6"/>
      <c r="Q895" s="6"/>
      <c r="R895" s="6"/>
      <c r="S895" s="6"/>
    </row>
    <row r="896" ht="11.25" customHeight="1">
      <c r="A896" s="7"/>
      <c r="B896" s="5"/>
      <c r="C896" s="6"/>
      <c r="D896" s="6"/>
      <c r="E896" s="6"/>
      <c r="F896" s="6"/>
      <c r="G896" s="6"/>
      <c r="H896" s="6"/>
      <c r="I896" s="6"/>
      <c r="J896" s="11"/>
      <c r="K896" s="591"/>
      <c r="L896" s="6"/>
      <c r="M896" s="6"/>
      <c r="N896" s="6"/>
      <c r="O896" s="6"/>
      <c r="P896" s="6"/>
      <c r="Q896" s="6"/>
      <c r="R896" s="6"/>
      <c r="S896" s="6"/>
    </row>
    <row r="897" ht="11.25" customHeight="1">
      <c r="A897" s="7"/>
      <c r="B897" s="5"/>
      <c r="C897" s="6"/>
      <c r="D897" s="6"/>
      <c r="E897" s="6"/>
      <c r="F897" s="6"/>
      <c r="G897" s="6"/>
      <c r="H897" s="6"/>
      <c r="I897" s="6"/>
      <c r="J897" s="11"/>
      <c r="K897" s="591"/>
      <c r="L897" s="6"/>
      <c r="M897" s="6"/>
      <c r="N897" s="6"/>
      <c r="O897" s="6"/>
      <c r="P897" s="6"/>
      <c r="Q897" s="6"/>
      <c r="R897" s="6"/>
      <c r="S897" s="6"/>
    </row>
    <row r="898" ht="11.25" customHeight="1">
      <c r="A898" s="7"/>
      <c r="B898" s="5"/>
      <c r="C898" s="6"/>
      <c r="D898" s="6"/>
      <c r="E898" s="6"/>
      <c r="F898" s="6"/>
      <c r="G898" s="6"/>
      <c r="H898" s="6"/>
      <c r="I898" s="6"/>
      <c r="J898" s="11"/>
      <c r="K898" s="591"/>
      <c r="L898" s="6"/>
      <c r="M898" s="6"/>
      <c r="N898" s="6"/>
      <c r="O898" s="6"/>
      <c r="P898" s="6"/>
      <c r="Q898" s="6"/>
      <c r="R898" s="6"/>
      <c r="S898" s="6"/>
    </row>
    <row r="899" ht="11.25" customHeight="1">
      <c r="A899" s="7"/>
      <c r="B899" s="5"/>
      <c r="C899" s="6"/>
      <c r="D899" s="6"/>
      <c r="E899" s="6"/>
      <c r="F899" s="6"/>
      <c r="G899" s="6"/>
      <c r="H899" s="6"/>
      <c r="I899" s="6"/>
      <c r="J899" s="11"/>
      <c r="K899" s="591"/>
      <c r="L899" s="6"/>
      <c r="M899" s="6"/>
      <c r="N899" s="6"/>
      <c r="O899" s="6"/>
      <c r="P899" s="6"/>
      <c r="Q899" s="6"/>
      <c r="R899" s="6"/>
      <c r="S899" s="6"/>
    </row>
    <row r="900" ht="11.25" customHeight="1">
      <c r="A900" s="7"/>
      <c r="B900" s="5"/>
      <c r="C900" s="6"/>
      <c r="D900" s="6"/>
      <c r="E900" s="6"/>
      <c r="F900" s="6"/>
      <c r="G900" s="6"/>
      <c r="H900" s="6"/>
      <c r="I900" s="6"/>
      <c r="J900" s="11"/>
      <c r="K900" s="591"/>
      <c r="L900" s="6"/>
      <c r="M900" s="6"/>
      <c r="N900" s="6"/>
      <c r="O900" s="6"/>
      <c r="P900" s="6"/>
      <c r="Q900" s="6"/>
      <c r="R900" s="6"/>
      <c r="S900" s="6"/>
    </row>
    <row r="901" ht="11.25" customHeight="1">
      <c r="A901" s="7"/>
      <c r="B901" s="5"/>
      <c r="C901" s="6"/>
      <c r="D901" s="6"/>
      <c r="E901" s="6"/>
      <c r="F901" s="6"/>
      <c r="G901" s="6"/>
      <c r="H901" s="6"/>
      <c r="I901" s="6"/>
      <c r="J901" s="11"/>
      <c r="K901" s="591"/>
      <c r="L901" s="6"/>
      <c r="M901" s="6"/>
      <c r="N901" s="6"/>
      <c r="O901" s="6"/>
      <c r="P901" s="6"/>
      <c r="Q901" s="6"/>
      <c r="R901" s="6"/>
      <c r="S901" s="6"/>
    </row>
    <row r="902" ht="11.25" customHeight="1">
      <c r="A902" s="7"/>
      <c r="B902" s="5"/>
      <c r="C902" s="6"/>
      <c r="D902" s="6"/>
      <c r="E902" s="6"/>
      <c r="F902" s="6"/>
      <c r="G902" s="6"/>
      <c r="H902" s="6"/>
      <c r="I902" s="6"/>
      <c r="J902" s="11"/>
      <c r="K902" s="591"/>
      <c r="L902" s="6"/>
      <c r="M902" s="6"/>
      <c r="N902" s="6"/>
      <c r="O902" s="6"/>
      <c r="P902" s="6"/>
      <c r="Q902" s="6"/>
      <c r="R902" s="6"/>
      <c r="S902" s="6"/>
    </row>
    <row r="903" ht="11.25" customHeight="1">
      <c r="A903" s="7"/>
      <c r="B903" s="5"/>
      <c r="C903" s="6"/>
      <c r="D903" s="6"/>
      <c r="E903" s="6"/>
      <c r="F903" s="6"/>
      <c r="G903" s="6"/>
      <c r="H903" s="6"/>
      <c r="I903" s="6"/>
      <c r="J903" s="11"/>
      <c r="K903" s="591"/>
      <c r="L903" s="6"/>
      <c r="M903" s="6"/>
      <c r="N903" s="6"/>
      <c r="O903" s="6"/>
      <c r="P903" s="6"/>
      <c r="Q903" s="6"/>
      <c r="R903" s="6"/>
      <c r="S903" s="6"/>
    </row>
    <row r="904" ht="11.25" customHeight="1">
      <c r="A904" s="7"/>
      <c r="B904" s="5"/>
      <c r="C904" s="6"/>
      <c r="D904" s="6"/>
      <c r="E904" s="6"/>
      <c r="F904" s="6"/>
      <c r="G904" s="6"/>
      <c r="H904" s="6"/>
      <c r="I904" s="6"/>
      <c r="J904" s="11"/>
      <c r="K904" s="591"/>
      <c r="L904" s="6"/>
      <c r="M904" s="6"/>
      <c r="N904" s="6"/>
      <c r="O904" s="6"/>
      <c r="P904" s="6"/>
      <c r="Q904" s="6"/>
      <c r="R904" s="6"/>
      <c r="S904" s="6"/>
    </row>
    <row r="905" ht="11.25" customHeight="1">
      <c r="A905" s="7"/>
      <c r="B905" s="5"/>
      <c r="C905" s="6"/>
      <c r="D905" s="6"/>
      <c r="E905" s="6"/>
      <c r="F905" s="6"/>
      <c r="G905" s="6"/>
      <c r="H905" s="6"/>
      <c r="I905" s="6"/>
      <c r="J905" s="11"/>
      <c r="K905" s="591"/>
      <c r="L905" s="6"/>
      <c r="M905" s="6"/>
      <c r="N905" s="6"/>
      <c r="O905" s="6"/>
      <c r="P905" s="6"/>
      <c r="Q905" s="6"/>
      <c r="R905" s="6"/>
      <c r="S905" s="6"/>
    </row>
    <row r="906" ht="11.25" customHeight="1">
      <c r="A906" s="7"/>
      <c r="B906" s="5"/>
      <c r="C906" s="6"/>
      <c r="D906" s="6"/>
      <c r="E906" s="6"/>
      <c r="F906" s="6"/>
      <c r="G906" s="6"/>
      <c r="H906" s="6"/>
      <c r="I906" s="6"/>
      <c r="J906" s="11"/>
      <c r="K906" s="591"/>
      <c r="L906" s="6"/>
      <c r="M906" s="6"/>
      <c r="N906" s="6"/>
      <c r="O906" s="6"/>
      <c r="P906" s="6"/>
      <c r="Q906" s="6"/>
      <c r="R906" s="6"/>
      <c r="S906" s="6"/>
    </row>
    <row r="907" ht="11.25" customHeight="1">
      <c r="A907" s="7"/>
      <c r="B907" s="5"/>
      <c r="C907" s="6"/>
      <c r="D907" s="6"/>
      <c r="E907" s="6"/>
      <c r="F907" s="6"/>
      <c r="G907" s="6"/>
      <c r="H907" s="6"/>
      <c r="I907" s="6"/>
      <c r="J907" s="11"/>
      <c r="K907" s="591"/>
      <c r="L907" s="6"/>
      <c r="M907" s="6"/>
      <c r="N907" s="6"/>
      <c r="O907" s="6"/>
      <c r="P907" s="6"/>
      <c r="Q907" s="6"/>
      <c r="R907" s="6"/>
      <c r="S907" s="6"/>
    </row>
    <row r="908" ht="11.25" customHeight="1">
      <c r="A908" s="7"/>
      <c r="B908" s="5"/>
      <c r="C908" s="6"/>
      <c r="D908" s="6"/>
      <c r="E908" s="6"/>
      <c r="F908" s="6"/>
      <c r="G908" s="6"/>
      <c r="H908" s="6"/>
      <c r="I908" s="6"/>
      <c r="J908" s="11"/>
      <c r="K908" s="591"/>
      <c r="L908" s="6"/>
      <c r="M908" s="6"/>
      <c r="N908" s="6"/>
      <c r="O908" s="6"/>
      <c r="P908" s="6"/>
      <c r="Q908" s="6"/>
      <c r="R908" s="6"/>
      <c r="S908" s="6"/>
    </row>
    <row r="909" ht="11.25" customHeight="1">
      <c r="A909" s="7"/>
      <c r="B909" s="5"/>
      <c r="C909" s="6"/>
      <c r="D909" s="6"/>
      <c r="E909" s="6"/>
      <c r="F909" s="6"/>
      <c r="G909" s="6"/>
      <c r="H909" s="6"/>
      <c r="I909" s="6"/>
      <c r="J909" s="11"/>
      <c r="K909" s="591"/>
      <c r="L909" s="6"/>
      <c r="M909" s="6"/>
      <c r="N909" s="6"/>
      <c r="O909" s="6"/>
      <c r="P909" s="6"/>
      <c r="Q909" s="6"/>
      <c r="R909" s="6"/>
      <c r="S909" s="6"/>
    </row>
    <row r="910" ht="11.25" customHeight="1">
      <c r="A910" s="7"/>
      <c r="B910" s="5"/>
      <c r="C910" s="6"/>
      <c r="D910" s="6"/>
      <c r="E910" s="6"/>
      <c r="F910" s="6"/>
      <c r="G910" s="6"/>
      <c r="H910" s="6"/>
      <c r="I910" s="6"/>
      <c r="J910" s="11"/>
      <c r="K910" s="591"/>
      <c r="L910" s="6"/>
      <c r="M910" s="6"/>
      <c r="N910" s="6"/>
      <c r="O910" s="6"/>
      <c r="P910" s="6"/>
      <c r="Q910" s="6"/>
      <c r="R910" s="6"/>
      <c r="S910" s="6"/>
    </row>
    <row r="911" ht="11.25" customHeight="1">
      <c r="A911" s="7"/>
      <c r="B911" s="5"/>
      <c r="C911" s="6"/>
      <c r="D911" s="6"/>
      <c r="E911" s="6"/>
      <c r="F911" s="6"/>
      <c r="G911" s="6"/>
      <c r="H911" s="6"/>
      <c r="I911" s="6"/>
      <c r="J911" s="11"/>
      <c r="K911" s="591"/>
      <c r="L911" s="6"/>
      <c r="M911" s="6"/>
      <c r="N911" s="6"/>
      <c r="O911" s="6"/>
      <c r="P911" s="6"/>
      <c r="Q911" s="6"/>
      <c r="R911" s="6"/>
      <c r="S911" s="6"/>
    </row>
    <row r="912" ht="11.25" customHeight="1">
      <c r="A912" s="7"/>
      <c r="B912" s="5"/>
      <c r="C912" s="6"/>
      <c r="D912" s="6"/>
      <c r="E912" s="6"/>
      <c r="F912" s="6"/>
      <c r="G912" s="6"/>
      <c r="H912" s="6"/>
      <c r="I912" s="6"/>
      <c r="J912" s="11"/>
      <c r="K912" s="591"/>
      <c r="L912" s="6"/>
      <c r="M912" s="6"/>
      <c r="N912" s="6"/>
      <c r="O912" s="6"/>
      <c r="P912" s="6"/>
      <c r="Q912" s="6"/>
      <c r="R912" s="6"/>
      <c r="S912" s="6"/>
    </row>
    <row r="913" ht="11.25" customHeight="1">
      <c r="A913" s="7"/>
      <c r="B913" s="5"/>
      <c r="C913" s="6"/>
      <c r="D913" s="6"/>
      <c r="E913" s="6"/>
      <c r="F913" s="6"/>
      <c r="G913" s="6"/>
      <c r="H913" s="6"/>
      <c r="I913" s="6"/>
      <c r="J913" s="11"/>
      <c r="K913" s="591"/>
      <c r="L913" s="6"/>
      <c r="M913" s="6"/>
      <c r="N913" s="6"/>
      <c r="O913" s="6"/>
      <c r="P913" s="6"/>
      <c r="Q913" s="6"/>
      <c r="R913" s="6"/>
      <c r="S913" s="6"/>
    </row>
    <row r="914" ht="11.25" customHeight="1">
      <c r="A914" s="7"/>
      <c r="B914" s="5"/>
      <c r="C914" s="6"/>
      <c r="D914" s="6"/>
      <c r="E914" s="6"/>
      <c r="F914" s="6"/>
      <c r="G914" s="6"/>
      <c r="H914" s="6"/>
      <c r="I914" s="6"/>
      <c r="J914" s="11"/>
      <c r="K914" s="591"/>
      <c r="L914" s="6"/>
      <c r="M914" s="6"/>
      <c r="N914" s="6"/>
      <c r="O914" s="6"/>
      <c r="P914" s="6"/>
      <c r="Q914" s="6"/>
      <c r="R914" s="6"/>
      <c r="S914" s="6"/>
    </row>
    <row r="915" ht="11.25" customHeight="1">
      <c r="A915" s="7"/>
      <c r="B915" s="5"/>
      <c r="C915" s="6"/>
      <c r="D915" s="6"/>
      <c r="E915" s="6"/>
      <c r="F915" s="6"/>
      <c r="G915" s="6"/>
      <c r="H915" s="6"/>
      <c r="I915" s="6"/>
      <c r="J915" s="11"/>
      <c r="K915" s="591"/>
      <c r="L915" s="6"/>
      <c r="M915" s="6"/>
      <c r="N915" s="6"/>
      <c r="O915" s="6"/>
      <c r="P915" s="6"/>
      <c r="Q915" s="6"/>
      <c r="R915" s="6"/>
      <c r="S915" s="6"/>
    </row>
    <row r="916" ht="11.25" customHeight="1">
      <c r="A916" s="7"/>
      <c r="B916" s="5"/>
      <c r="C916" s="6"/>
      <c r="D916" s="6"/>
      <c r="E916" s="6"/>
      <c r="F916" s="6"/>
      <c r="G916" s="6"/>
      <c r="H916" s="6"/>
      <c r="I916" s="6"/>
      <c r="J916" s="11"/>
      <c r="K916" s="591"/>
      <c r="L916" s="6"/>
      <c r="M916" s="6"/>
      <c r="N916" s="6"/>
      <c r="O916" s="6"/>
      <c r="P916" s="6"/>
      <c r="Q916" s="6"/>
      <c r="R916" s="6"/>
      <c r="S916" s="6"/>
    </row>
    <row r="917" ht="11.25" customHeight="1">
      <c r="A917" s="7"/>
      <c r="B917" s="5"/>
      <c r="C917" s="6"/>
      <c r="D917" s="6"/>
      <c r="E917" s="6"/>
      <c r="F917" s="6"/>
      <c r="G917" s="6"/>
      <c r="H917" s="6"/>
      <c r="I917" s="6"/>
      <c r="J917" s="11"/>
      <c r="K917" s="591"/>
      <c r="L917" s="6"/>
      <c r="M917" s="6"/>
      <c r="N917" s="6"/>
      <c r="O917" s="6"/>
      <c r="P917" s="6"/>
      <c r="Q917" s="6"/>
      <c r="R917" s="6"/>
      <c r="S917" s="6"/>
    </row>
    <row r="918" ht="11.25" customHeight="1">
      <c r="A918" s="7"/>
      <c r="B918" s="5"/>
      <c r="C918" s="6"/>
      <c r="D918" s="6"/>
      <c r="E918" s="6"/>
      <c r="F918" s="6"/>
      <c r="G918" s="6"/>
      <c r="H918" s="6"/>
      <c r="I918" s="6"/>
      <c r="J918" s="11"/>
      <c r="K918" s="591"/>
      <c r="L918" s="6"/>
      <c r="M918" s="6"/>
      <c r="N918" s="6"/>
      <c r="O918" s="6"/>
      <c r="P918" s="6"/>
      <c r="Q918" s="6"/>
      <c r="R918" s="6"/>
      <c r="S918" s="6"/>
    </row>
    <row r="919" ht="11.25" customHeight="1">
      <c r="A919" s="7"/>
      <c r="B919" s="5"/>
      <c r="C919" s="6"/>
      <c r="D919" s="6"/>
      <c r="E919" s="6"/>
      <c r="F919" s="6"/>
      <c r="G919" s="6"/>
      <c r="H919" s="6"/>
      <c r="I919" s="6"/>
      <c r="J919" s="11"/>
      <c r="K919" s="591"/>
      <c r="L919" s="6"/>
      <c r="M919" s="6"/>
      <c r="N919" s="6"/>
      <c r="O919" s="6"/>
      <c r="P919" s="6"/>
      <c r="Q919" s="6"/>
      <c r="R919" s="6"/>
      <c r="S919" s="6"/>
    </row>
    <row r="920" ht="11.25" customHeight="1">
      <c r="A920" s="7"/>
      <c r="B920" s="5"/>
      <c r="C920" s="6"/>
      <c r="D920" s="6"/>
      <c r="E920" s="6"/>
      <c r="F920" s="6"/>
      <c r="G920" s="6"/>
      <c r="H920" s="6"/>
      <c r="I920" s="6"/>
      <c r="J920" s="11"/>
      <c r="K920" s="591"/>
      <c r="L920" s="6"/>
      <c r="M920" s="6"/>
      <c r="N920" s="6"/>
      <c r="O920" s="6"/>
      <c r="P920" s="6"/>
      <c r="Q920" s="6"/>
      <c r="R920" s="6"/>
      <c r="S920" s="6"/>
    </row>
    <row r="921" ht="11.25" customHeight="1">
      <c r="A921" s="7"/>
      <c r="B921" s="5"/>
      <c r="C921" s="6"/>
      <c r="D921" s="6"/>
      <c r="E921" s="6"/>
      <c r="F921" s="6"/>
      <c r="G921" s="6"/>
      <c r="H921" s="6"/>
      <c r="I921" s="6"/>
      <c r="J921" s="11"/>
      <c r="K921" s="591"/>
      <c r="L921" s="6"/>
      <c r="M921" s="6"/>
      <c r="N921" s="6"/>
      <c r="O921" s="6"/>
      <c r="P921" s="6"/>
      <c r="Q921" s="6"/>
      <c r="R921" s="6"/>
      <c r="S921" s="6"/>
    </row>
    <row r="922" ht="11.25" customHeight="1">
      <c r="A922" s="7"/>
      <c r="B922" s="5"/>
      <c r="C922" s="6"/>
      <c r="D922" s="6"/>
      <c r="E922" s="6"/>
      <c r="F922" s="6"/>
      <c r="G922" s="6"/>
      <c r="H922" s="6"/>
      <c r="I922" s="6"/>
      <c r="J922" s="11"/>
      <c r="K922" s="591"/>
      <c r="L922" s="6"/>
      <c r="M922" s="6"/>
      <c r="N922" s="6"/>
      <c r="O922" s="6"/>
      <c r="P922" s="6"/>
      <c r="Q922" s="6"/>
      <c r="R922" s="6"/>
      <c r="S922" s="6"/>
    </row>
    <row r="923" ht="11.25" customHeight="1">
      <c r="A923" s="7"/>
      <c r="B923" s="5"/>
      <c r="C923" s="6"/>
      <c r="D923" s="6"/>
      <c r="E923" s="6"/>
      <c r="F923" s="6"/>
      <c r="G923" s="6"/>
      <c r="H923" s="6"/>
      <c r="I923" s="6"/>
      <c r="J923" s="11"/>
      <c r="K923" s="591"/>
      <c r="L923" s="6"/>
      <c r="M923" s="6"/>
      <c r="N923" s="6"/>
      <c r="O923" s="6"/>
      <c r="P923" s="6"/>
      <c r="Q923" s="6"/>
      <c r="R923" s="6"/>
      <c r="S923" s="6"/>
    </row>
    <row r="924" ht="11.25" customHeight="1">
      <c r="A924" s="7"/>
      <c r="B924" s="5"/>
      <c r="C924" s="6"/>
      <c r="D924" s="6"/>
      <c r="E924" s="6"/>
      <c r="F924" s="6"/>
      <c r="G924" s="6"/>
      <c r="H924" s="6"/>
      <c r="I924" s="6"/>
      <c r="J924" s="11"/>
      <c r="K924" s="591"/>
      <c r="L924" s="6"/>
      <c r="M924" s="6"/>
      <c r="N924" s="6"/>
      <c r="O924" s="6"/>
      <c r="P924" s="6"/>
      <c r="Q924" s="6"/>
      <c r="R924" s="6"/>
      <c r="S924" s="6"/>
    </row>
    <row r="925" ht="11.25" customHeight="1">
      <c r="A925" s="7"/>
      <c r="B925" s="5"/>
      <c r="C925" s="6"/>
      <c r="D925" s="6"/>
      <c r="E925" s="6"/>
      <c r="F925" s="6"/>
      <c r="G925" s="6"/>
      <c r="H925" s="6"/>
      <c r="I925" s="6"/>
      <c r="J925" s="11"/>
      <c r="K925" s="591"/>
      <c r="L925" s="6"/>
      <c r="M925" s="6"/>
      <c r="N925" s="6"/>
      <c r="O925" s="6"/>
      <c r="P925" s="6"/>
      <c r="Q925" s="6"/>
      <c r="R925" s="6"/>
      <c r="S925" s="6"/>
    </row>
    <row r="926" ht="11.25" customHeight="1">
      <c r="A926" s="7"/>
      <c r="B926" s="5"/>
      <c r="C926" s="6"/>
      <c r="D926" s="6"/>
      <c r="E926" s="6"/>
      <c r="F926" s="6"/>
      <c r="G926" s="6"/>
      <c r="H926" s="6"/>
      <c r="I926" s="6"/>
      <c r="J926" s="11"/>
      <c r="K926" s="591"/>
      <c r="L926" s="6"/>
      <c r="M926" s="6"/>
      <c r="N926" s="6"/>
      <c r="O926" s="6"/>
      <c r="P926" s="6"/>
      <c r="Q926" s="6"/>
      <c r="R926" s="6"/>
      <c r="S926" s="6"/>
    </row>
    <row r="927" ht="11.25" customHeight="1">
      <c r="A927" s="7"/>
      <c r="B927" s="5"/>
      <c r="C927" s="6"/>
      <c r="D927" s="6"/>
      <c r="E927" s="6"/>
      <c r="F927" s="6"/>
      <c r="G927" s="6"/>
      <c r="H927" s="6"/>
      <c r="I927" s="6"/>
      <c r="J927" s="11"/>
      <c r="K927" s="591"/>
      <c r="L927" s="6"/>
      <c r="M927" s="6"/>
      <c r="N927" s="6"/>
      <c r="O927" s="6"/>
      <c r="P927" s="6"/>
      <c r="Q927" s="6"/>
      <c r="R927" s="6"/>
      <c r="S927" s="6"/>
    </row>
    <row r="928" ht="11.25" customHeight="1">
      <c r="A928" s="7"/>
      <c r="B928" s="5"/>
      <c r="C928" s="6"/>
      <c r="D928" s="6"/>
      <c r="E928" s="6"/>
      <c r="F928" s="6"/>
      <c r="G928" s="6"/>
      <c r="H928" s="6"/>
      <c r="I928" s="6"/>
      <c r="J928" s="11"/>
      <c r="K928" s="591"/>
      <c r="L928" s="6"/>
      <c r="M928" s="6"/>
      <c r="N928" s="6"/>
      <c r="O928" s="6"/>
      <c r="P928" s="6"/>
      <c r="Q928" s="6"/>
      <c r="R928" s="6"/>
      <c r="S928" s="6"/>
    </row>
    <row r="929" ht="11.25" customHeight="1">
      <c r="A929" s="7"/>
      <c r="B929" s="5"/>
      <c r="C929" s="6"/>
      <c r="D929" s="6"/>
      <c r="E929" s="6"/>
      <c r="F929" s="6"/>
      <c r="G929" s="6"/>
      <c r="H929" s="6"/>
      <c r="I929" s="6"/>
      <c r="J929" s="11"/>
      <c r="K929" s="591"/>
      <c r="L929" s="6"/>
      <c r="M929" s="6"/>
      <c r="N929" s="6"/>
      <c r="O929" s="6"/>
      <c r="P929" s="6"/>
      <c r="Q929" s="6"/>
      <c r="R929" s="6"/>
      <c r="S929" s="6"/>
    </row>
    <row r="930" ht="11.25" customHeight="1">
      <c r="A930" s="7"/>
      <c r="B930" s="5"/>
      <c r="C930" s="6"/>
      <c r="D930" s="6"/>
      <c r="E930" s="6"/>
      <c r="F930" s="6"/>
      <c r="G930" s="6"/>
      <c r="H930" s="6"/>
      <c r="I930" s="6"/>
      <c r="J930" s="11"/>
      <c r="K930" s="591"/>
      <c r="L930" s="6"/>
      <c r="M930" s="6"/>
      <c r="N930" s="6"/>
      <c r="O930" s="6"/>
      <c r="P930" s="6"/>
      <c r="Q930" s="6"/>
      <c r="R930" s="6"/>
      <c r="S930" s="6"/>
    </row>
    <row r="931" ht="11.25" customHeight="1">
      <c r="A931" s="7"/>
      <c r="B931" s="5"/>
      <c r="C931" s="6"/>
      <c r="D931" s="6"/>
      <c r="E931" s="6"/>
      <c r="F931" s="6"/>
      <c r="G931" s="6"/>
      <c r="H931" s="6"/>
      <c r="I931" s="6"/>
      <c r="J931" s="11"/>
      <c r="K931" s="591"/>
      <c r="L931" s="6"/>
      <c r="M931" s="6"/>
      <c r="N931" s="6"/>
      <c r="O931" s="6"/>
      <c r="P931" s="6"/>
      <c r="Q931" s="6"/>
      <c r="R931" s="6"/>
      <c r="S931" s="6"/>
    </row>
    <row r="932" ht="11.25" customHeight="1">
      <c r="A932" s="7"/>
      <c r="B932" s="5"/>
      <c r="C932" s="6"/>
      <c r="D932" s="6"/>
      <c r="E932" s="6"/>
      <c r="F932" s="6"/>
      <c r="G932" s="6"/>
      <c r="H932" s="6"/>
      <c r="I932" s="6"/>
      <c r="J932" s="11"/>
      <c r="K932" s="591"/>
      <c r="L932" s="6"/>
      <c r="M932" s="6"/>
      <c r="N932" s="6"/>
      <c r="O932" s="6"/>
      <c r="P932" s="6"/>
      <c r="Q932" s="6"/>
      <c r="R932" s="6"/>
      <c r="S932" s="6"/>
    </row>
    <row r="933" ht="11.25" customHeight="1">
      <c r="A933" s="7"/>
      <c r="B933" s="5"/>
      <c r="C933" s="6"/>
      <c r="D933" s="6"/>
      <c r="E933" s="6"/>
      <c r="F933" s="6"/>
      <c r="G933" s="6"/>
      <c r="H933" s="6"/>
      <c r="I933" s="6"/>
      <c r="J933" s="11"/>
      <c r="K933" s="591"/>
      <c r="L933" s="6"/>
      <c r="M933" s="6"/>
      <c r="N933" s="6"/>
      <c r="O933" s="6"/>
      <c r="P933" s="6"/>
      <c r="Q933" s="6"/>
      <c r="R933" s="6"/>
      <c r="S933" s="6"/>
    </row>
    <row r="934" ht="11.25" customHeight="1">
      <c r="A934" s="7"/>
      <c r="B934" s="5"/>
      <c r="C934" s="6"/>
      <c r="D934" s="6"/>
      <c r="E934" s="6"/>
      <c r="F934" s="6"/>
      <c r="G934" s="6"/>
      <c r="H934" s="6"/>
      <c r="I934" s="6"/>
      <c r="J934" s="11"/>
      <c r="K934" s="591"/>
      <c r="L934" s="6"/>
      <c r="M934" s="6"/>
      <c r="N934" s="6"/>
      <c r="O934" s="6"/>
      <c r="P934" s="6"/>
      <c r="Q934" s="6"/>
      <c r="R934" s="6"/>
      <c r="S934" s="6"/>
    </row>
    <row r="935" ht="11.25" customHeight="1">
      <c r="A935" s="7"/>
      <c r="B935" s="5"/>
      <c r="C935" s="6"/>
      <c r="D935" s="6"/>
      <c r="E935" s="6"/>
      <c r="F935" s="6"/>
      <c r="G935" s="6"/>
      <c r="H935" s="6"/>
      <c r="I935" s="6"/>
      <c r="J935" s="11"/>
      <c r="K935" s="591"/>
      <c r="L935" s="6"/>
      <c r="M935" s="6"/>
      <c r="N935" s="6"/>
      <c r="O935" s="6"/>
      <c r="P935" s="6"/>
      <c r="Q935" s="6"/>
      <c r="R935" s="6"/>
      <c r="S935" s="6"/>
    </row>
    <row r="936" ht="11.25" customHeight="1">
      <c r="A936" s="7"/>
      <c r="B936" s="5"/>
      <c r="C936" s="6"/>
      <c r="D936" s="6"/>
      <c r="E936" s="6"/>
      <c r="F936" s="6"/>
      <c r="G936" s="6"/>
      <c r="H936" s="6"/>
      <c r="I936" s="6"/>
      <c r="J936" s="11"/>
      <c r="K936" s="591"/>
      <c r="L936" s="6"/>
      <c r="M936" s="6"/>
      <c r="N936" s="6"/>
      <c r="O936" s="6"/>
      <c r="P936" s="6"/>
      <c r="Q936" s="6"/>
      <c r="R936" s="6"/>
      <c r="S936" s="6"/>
    </row>
    <row r="937" ht="11.25" customHeight="1">
      <c r="A937" s="7"/>
      <c r="B937" s="5"/>
      <c r="C937" s="6"/>
      <c r="D937" s="6"/>
      <c r="E937" s="6"/>
      <c r="F937" s="6"/>
      <c r="G937" s="6"/>
      <c r="H937" s="6"/>
      <c r="I937" s="6"/>
      <c r="J937" s="11"/>
      <c r="K937" s="591"/>
      <c r="L937" s="6"/>
      <c r="M937" s="6"/>
      <c r="N937" s="6"/>
      <c r="O937" s="6"/>
      <c r="P937" s="6"/>
      <c r="Q937" s="6"/>
      <c r="R937" s="6"/>
      <c r="S937" s="6"/>
    </row>
    <row r="938" ht="11.25" customHeight="1">
      <c r="A938" s="7"/>
      <c r="B938" s="5"/>
      <c r="C938" s="6"/>
      <c r="D938" s="6"/>
      <c r="E938" s="6"/>
      <c r="F938" s="6"/>
      <c r="G938" s="6"/>
      <c r="H938" s="6"/>
      <c r="I938" s="6"/>
      <c r="J938" s="11"/>
      <c r="K938" s="591"/>
      <c r="L938" s="6"/>
      <c r="M938" s="6"/>
      <c r="N938" s="6"/>
      <c r="O938" s="6"/>
      <c r="P938" s="6"/>
      <c r="Q938" s="6"/>
      <c r="R938" s="6"/>
      <c r="S938" s="6"/>
    </row>
    <row r="939" ht="11.25" customHeight="1">
      <c r="A939" s="7"/>
      <c r="B939" s="5"/>
      <c r="C939" s="6"/>
      <c r="D939" s="6"/>
      <c r="E939" s="6"/>
      <c r="F939" s="6"/>
      <c r="G939" s="6"/>
      <c r="H939" s="6"/>
      <c r="I939" s="6"/>
      <c r="J939" s="11"/>
      <c r="K939" s="591"/>
      <c r="L939" s="6"/>
      <c r="M939" s="6"/>
      <c r="N939" s="6"/>
      <c r="O939" s="6"/>
      <c r="P939" s="6"/>
      <c r="Q939" s="6"/>
      <c r="R939" s="6"/>
      <c r="S939" s="6"/>
    </row>
    <row r="940" ht="11.25" customHeight="1">
      <c r="A940" s="7"/>
      <c r="B940" s="5"/>
      <c r="C940" s="6"/>
      <c r="D940" s="6"/>
      <c r="E940" s="6"/>
      <c r="F940" s="6"/>
      <c r="G940" s="6"/>
      <c r="H940" s="6"/>
      <c r="I940" s="6"/>
      <c r="J940" s="11"/>
      <c r="K940" s="591"/>
      <c r="L940" s="6"/>
      <c r="M940" s="6"/>
      <c r="N940" s="6"/>
      <c r="O940" s="6"/>
      <c r="P940" s="6"/>
      <c r="Q940" s="6"/>
      <c r="R940" s="6"/>
      <c r="S940" s="6"/>
    </row>
    <row r="941" ht="11.25" customHeight="1">
      <c r="A941" s="7"/>
      <c r="B941" s="5"/>
      <c r="C941" s="6"/>
      <c r="D941" s="6"/>
      <c r="E941" s="6"/>
      <c r="F941" s="6"/>
      <c r="G941" s="6"/>
      <c r="H941" s="6"/>
      <c r="I941" s="6"/>
      <c r="J941" s="11"/>
      <c r="K941" s="591"/>
      <c r="L941" s="6"/>
      <c r="M941" s="6"/>
      <c r="N941" s="6"/>
      <c r="O941" s="6"/>
      <c r="P941" s="6"/>
      <c r="Q941" s="6"/>
      <c r="R941" s="6"/>
      <c r="S941" s="6"/>
    </row>
    <row r="942" ht="11.25" customHeight="1">
      <c r="A942" s="7"/>
      <c r="B942" s="5"/>
      <c r="C942" s="6"/>
      <c r="D942" s="6"/>
      <c r="E942" s="6"/>
      <c r="F942" s="6"/>
      <c r="G942" s="6"/>
      <c r="H942" s="6"/>
      <c r="I942" s="6"/>
      <c r="J942" s="11"/>
      <c r="K942" s="591"/>
      <c r="L942" s="6"/>
      <c r="M942" s="6"/>
      <c r="N942" s="6"/>
      <c r="O942" s="6"/>
      <c r="P942" s="6"/>
      <c r="Q942" s="6"/>
      <c r="R942" s="6"/>
      <c r="S942" s="6"/>
    </row>
    <row r="943" ht="11.25" customHeight="1">
      <c r="A943" s="7"/>
      <c r="B943" s="5"/>
      <c r="C943" s="6"/>
      <c r="D943" s="6"/>
      <c r="E943" s="6"/>
      <c r="F943" s="6"/>
      <c r="G943" s="6"/>
      <c r="H943" s="6"/>
      <c r="I943" s="6"/>
      <c r="J943" s="11"/>
      <c r="K943" s="591"/>
      <c r="L943" s="6"/>
      <c r="M943" s="6"/>
      <c r="N943" s="6"/>
      <c r="O943" s="6"/>
      <c r="P943" s="6"/>
      <c r="Q943" s="6"/>
      <c r="R943" s="6"/>
      <c r="S943" s="6"/>
    </row>
    <row r="944" ht="11.25" customHeight="1">
      <c r="A944" s="7"/>
      <c r="B944" s="5"/>
      <c r="C944" s="6"/>
      <c r="D944" s="6"/>
      <c r="E944" s="6"/>
      <c r="F944" s="6"/>
      <c r="G944" s="6"/>
      <c r="H944" s="6"/>
      <c r="I944" s="6"/>
      <c r="J944" s="11"/>
      <c r="K944" s="591"/>
      <c r="L944" s="6"/>
      <c r="M944" s="6"/>
      <c r="N944" s="6"/>
      <c r="O944" s="6"/>
      <c r="P944" s="6"/>
      <c r="Q944" s="6"/>
      <c r="R944" s="6"/>
      <c r="S944" s="6"/>
    </row>
    <row r="945" ht="11.25" customHeight="1">
      <c r="A945" s="7"/>
      <c r="B945" s="5"/>
      <c r="C945" s="6"/>
      <c r="D945" s="6"/>
      <c r="E945" s="6"/>
      <c r="F945" s="6"/>
      <c r="G945" s="6"/>
      <c r="H945" s="6"/>
      <c r="I945" s="6"/>
      <c r="J945" s="11"/>
      <c r="K945" s="591"/>
      <c r="L945" s="6"/>
      <c r="M945" s="6"/>
      <c r="N945" s="6"/>
      <c r="O945" s="6"/>
      <c r="P945" s="6"/>
      <c r="Q945" s="6"/>
      <c r="R945" s="6"/>
      <c r="S945" s="6"/>
    </row>
    <row r="946" ht="11.25" customHeight="1">
      <c r="A946" s="7"/>
      <c r="B946" s="5"/>
      <c r="C946" s="6"/>
      <c r="D946" s="6"/>
      <c r="E946" s="6"/>
      <c r="F946" s="6"/>
      <c r="G946" s="6"/>
      <c r="H946" s="6"/>
      <c r="I946" s="6"/>
      <c r="J946" s="11"/>
      <c r="K946" s="591"/>
      <c r="L946" s="6"/>
      <c r="M946" s="6"/>
      <c r="N946" s="6"/>
      <c r="O946" s="6"/>
      <c r="P946" s="6"/>
      <c r="Q946" s="6"/>
      <c r="R946" s="6"/>
      <c r="S946" s="6"/>
    </row>
    <row r="947" ht="11.25" customHeight="1">
      <c r="A947" s="7"/>
      <c r="B947" s="5"/>
      <c r="C947" s="6"/>
      <c r="D947" s="6"/>
      <c r="E947" s="6"/>
      <c r="F947" s="6"/>
      <c r="G947" s="6"/>
      <c r="H947" s="6"/>
      <c r="I947" s="6"/>
      <c r="J947" s="11"/>
      <c r="K947" s="591"/>
      <c r="L947" s="6"/>
      <c r="M947" s="6"/>
      <c r="N947" s="6"/>
      <c r="O947" s="6"/>
      <c r="P947" s="6"/>
      <c r="Q947" s="6"/>
      <c r="R947" s="6"/>
      <c r="S947" s="6"/>
    </row>
    <row r="948" ht="11.25" customHeight="1">
      <c r="A948" s="7"/>
      <c r="B948" s="5"/>
      <c r="C948" s="6"/>
      <c r="D948" s="6"/>
      <c r="E948" s="6"/>
      <c r="F948" s="6"/>
      <c r="G948" s="6"/>
      <c r="H948" s="6"/>
      <c r="I948" s="6"/>
      <c r="J948" s="11"/>
      <c r="K948" s="591"/>
      <c r="L948" s="6"/>
      <c r="M948" s="6"/>
      <c r="N948" s="6"/>
      <c r="O948" s="6"/>
      <c r="P948" s="6"/>
      <c r="Q948" s="6"/>
      <c r="R948" s="6"/>
      <c r="S948" s="6"/>
    </row>
    <row r="949" ht="11.25" customHeight="1">
      <c r="A949" s="7"/>
      <c r="B949" s="5"/>
      <c r="C949" s="6"/>
      <c r="D949" s="6"/>
      <c r="E949" s="6"/>
      <c r="F949" s="6"/>
      <c r="G949" s="6"/>
      <c r="H949" s="6"/>
      <c r="I949" s="6"/>
      <c r="J949" s="11"/>
      <c r="K949" s="591"/>
      <c r="L949" s="6"/>
      <c r="M949" s="6"/>
      <c r="N949" s="6"/>
      <c r="O949" s="6"/>
      <c r="P949" s="6"/>
      <c r="Q949" s="6"/>
      <c r="R949" s="6"/>
      <c r="S949" s="6"/>
    </row>
    <row r="950" ht="11.25" customHeight="1">
      <c r="A950" s="7"/>
      <c r="B950" s="5"/>
      <c r="C950" s="6"/>
      <c r="D950" s="6"/>
      <c r="E950" s="6"/>
      <c r="F950" s="6"/>
      <c r="G950" s="6"/>
      <c r="H950" s="6"/>
      <c r="I950" s="6"/>
      <c r="J950" s="11"/>
      <c r="K950" s="591"/>
      <c r="L950" s="6"/>
      <c r="M950" s="6"/>
      <c r="N950" s="6"/>
      <c r="O950" s="6"/>
      <c r="P950" s="6"/>
      <c r="Q950" s="6"/>
      <c r="R950" s="6"/>
      <c r="S950" s="6"/>
    </row>
    <row r="951" ht="11.25" customHeight="1">
      <c r="A951" s="7"/>
      <c r="B951" s="5"/>
      <c r="C951" s="6"/>
      <c r="D951" s="6"/>
      <c r="E951" s="6"/>
      <c r="F951" s="6"/>
      <c r="G951" s="6"/>
      <c r="H951" s="6"/>
      <c r="I951" s="6"/>
      <c r="J951" s="11"/>
      <c r="K951" s="591"/>
      <c r="L951" s="6"/>
      <c r="M951" s="6"/>
      <c r="N951" s="6"/>
      <c r="O951" s="6"/>
      <c r="P951" s="6"/>
      <c r="Q951" s="6"/>
      <c r="R951" s="6"/>
      <c r="S951" s="6"/>
    </row>
    <row r="952" ht="11.25" customHeight="1">
      <c r="A952" s="7"/>
      <c r="B952" s="5"/>
      <c r="C952" s="6"/>
      <c r="D952" s="6"/>
      <c r="E952" s="6"/>
      <c r="F952" s="6"/>
      <c r="G952" s="6"/>
      <c r="H952" s="6"/>
      <c r="I952" s="6"/>
      <c r="J952" s="11"/>
      <c r="K952" s="591"/>
      <c r="L952" s="6"/>
      <c r="M952" s="6"/>
      <c r="N952" s="6"/>
      <c r="O952" s="6"/>
      <c r="P952" s="6"/>
      <c r="Q952" s="6"/>
      <c r="R952" s="6"/>
      <c r="S952" s="6"/>
    </row>
    <row r="953" ht="11.25" customHeight="1">
      <c r="A953" s="7"/>
      <c r="B953" s="5"/>
      <c r="C953" s="6"/>
      <c r="D953" s="6"/>
      <c r="E953" s="6"/>
      <c r="F953" s="6"/>
      <c r="G953" s="6"/>
      <c r="H953" s="6"/>
      <c r="I953" s="6"/>
      <c r="J953" s="11"/>
      <c r="K953" s="591"/>
      <c r="L953" s="6"/>
      <c r="M953" s="6"/>
      <c r="N953" s="6"/>
      <c r="O953" s="6"/>
      <c r="P953" s="6"/>
      <c r="Q953" s="6"/>
      <c r="R953" s="6"/>
      <c r="S953" s="6"/>
    </row>
    <row r="954" ht="11.25" customHeight="1">
      <c r="A954" s="7"/>
      <c r="B954" s="5"/>
      <c r="C954" s="6"/>
      <c r="D954" s="6"/>
      <c r="E954" s="6"/>
      <c r="F954" s="6"/>
      <c r="G954" s="6"/>
      <c r="H954" s="6"/>
      <c r="I954" s="6"/>
      <c r="J954" s="11"/>
      <c r="K954" s="591"/>
      <c r="L954" s="6"/>
      <c r="M954" s="6"/>
      <c r="N954" s="6"/>
      <c r="O954" s="6"/>
      <c r="P954" s="6"/>
      <c r="Q954" s="6"/>
      <c r="R954" s="6"/>
      <c r="S954" s="6"/>
    </row>
    <row r="955" ht="11.25" customHeight="1">
      <c r="A955" s="7"/>
      <c r="B955" s="5"/>
      <c r="C955" s="6"/>
      <c r="D955" s="6"/>
      <c r="E955" s="6"/>
      <c r="F955" s="6"/>
      <c r="G955" s="6"/>
      <c r="H955" s="6"/>
      <c r="I955" s="6"/>
      <c r="J955" s="11"/>
      <c r="K955" s="591"/>
      <c r="L955" s="6"/>
      <c r="M955" s="6"/>
      <c r="N955" s="6"/>
      <c r="O955" s="6"/>
      <c r="P955" s="6"/>
      <c r="Q955" s="6"/>
      <c r="R955" s="6"/>
      <c r="S955" s="6"/>
    </row>
    <row r="956" ht="11.25" customHeight="1">
      <c r="A956" s="7"/>
      <c r="B956" s="5"/>
      <c r="C956" s="6"/>
      <c r="D956" s="6"/>
      <c r="E956" s="6"/>
      <c r="F956" s="6"/>
      <c r="G956" s="6"/>
      <c r="H956" s="6"/>
      <c r="I956" s="6"/>
      <c r="J956" s="11"/>
      <c r="K956" s="591"/>
      <c r="L956" s="6"/>
      <c r="M956" s="6"/>
      <c r="N956" s="6"/>
      <c r="O956" s="6"/>
      <c r="P956" s="6"/>
      <c r="Q956" s="6"/>
      <c r="R956" s="6"/>
      <c r="S956" s="6"/>
    </row>
    <row r="957" ht="11.25" customHeight="1">
      <c r="A957" s="7"/>
      <c r="B957" s="5"/>
      <c r="C957" s="6"/>
      <c r="D957" s="6"/>
      <c r="E957" s="6"/>
      <c r="F957" s="6"/>
      <c r="G957" s="6"/>
      <c r="H957" s="6"/>
      <c r="I957" s="6"/>
      <c r="J957" s="11"/>
      <c r="K957" s="591"/>
      <c r="L957" s="6"/>
      <c r="M957" s="6"/>
      <c r="N957" s="6"/>
      <c r="O957" s="6"/>
      <c r="P957" s="6"/>
      <c r="Q957" s="6"/>
      <c r="R957" s="6"/>
      <c r="S957" s="6"/>
    </row>
    <row r="958" ht="11.25" customHeight="1">
      <c r="A958" s="7"/>
      <c r="B958" s="5"/>
      <c r="C958" s="6"/>
      <c r="D958" s="6"/>
      <c r="E958" s="6"/>
      <c r="F958" s="6"/>
      <c r="G958" s="6"/>
      <c r="H958" s="6"/>
      <c r="I958" s="6"/>
      <c r="J958" s="11"/>
      <c r="K958" s="591"/>
      <c r="L958" s="6"/>
      <c r="M958" s="6"/>
      <c r="N958" s="6"/>
      <c r="O958" s="6"/>
      <c r="P958" s="6"/>
      <c r="Q958" s="6"/>
      <c r="R958" s="6"/>
      <c r="S958" s="6"/>
    </row>
    <row r="959" ht="11.25" customHeight="1">
      <c r="A959" s="7"/>
      <c r="B959" s="5"/>
      <c r="C959" s="6"/>
      <c r="D959" s="6"/>
      <c r="E959" s="6"/>
      <c r="F959" s="6"/>
      <c r="G959" s="6"/>
      <c r="H959" s="6"/>
      <c r="I959" s="6"/>
      <c r="J959" s="11"/>
      <c r="K959" s="591"/>
      <c r="L959" s="6"/>
      <c r="M959" s="6"/>
      <c r="N959" s="6"/>
      <c r="O959" s="6"/>
      <c r="P959" s="6"/>
      <c r="Q959" s="6"/>
      <c r="R959" s="6"/>
      <c r="S959" s="6"/>
    </row>
    <row r="960" ht="11.25" customHeight="1">
      <c r="A960" s="7"/>
      <c r="B960" s="5"/>
      <c r="C960" s="6"/>
      <c r="D960" s="6"/>
      <c r="E960" s="6"/>
      <c r="F960" s="6"/>
      <c r="G960" s="6"/>
      <c r="H960" s="6"/>
      <c r="I960" s="6"/>
      <c r="J960" s="11"/>
      <c r="K960" s="591"/>
      <c r="L960" s="6"/>
      <c r="M960" s="6"/>
      <c r="N960" s="6"/>
      <c r="O960" s="6"/>
      <c r="P960" s="6"/>
      <c r="Q960" s="6"/>
      <c r="R960" s="6"/>
      <c r="S960" s="6"/>
    </row>
    <row r="961" ht="11.25" customHeight="1">
      <c r="A961" s="7"/>
      <c r="B961" s="5"/>
      <c r="C961" s="6"/>
      <c r="D961" s="6"/>
      <c r="E961" s="6"/>
      <c r="F961" s="6"/>
      <c r="G961" s="6"/>
      <c r="H961" s="6"/>
      <c r="I961" s="6"/>
      <c r="J961" s="11"/>
      <c r="K961" s="591"/>
      <c r="L961" s="6"/>
      <c r="M961" s="6"/>
      <c r="N961" s="6"/>
      <c r="O961" s="6"/>
      <c r="P961" s="6"/>
      <c r="Q961" s="6"/>
      <c r="R961" s="6"/>
      <c r="S961" s="6"/>
    </row>
    <row r="962" ht="11.25" customHeight="1">
      <c r="A962" s="7"/>
      <c r="B962" s="5"/>
      <c r="C962" s="6"/>
      <c r="D962" s="6"/>
      <c r="E962" s="6"/>
      <c r="F962" s="6"/>
      <c r="G962" s="6"/>
      <c r="H962" s="6"/>
      <c r="I962" s="6"/>
      <c r="J962" s="11"/>
      <c r="K962" s="591"/>
      <c r="L962" s="6"/>
      <c r="M962" s="6"/>
      <c r="N962" s="6"/>
      <c r="O962" s="6"/>
      <c r="P962" s="6"/>
      <c r="Q962" s="6"/>
      <c r="R962" s="6"/>
      <c r="S962" s="6"/>
    </row>
    <row r="963" ht="11.25" customHeight="1">
      <c r="A963" s="7"/>
      <c r="B963" s="5"/>
      <c r="C963" s="6"/>
      <c r="D963" s="6"/>
      <c r="E963" s="6"/>
      <c r="F963" s="6"/>
      <c r="G963" s="6"/>
      <c r="H963" s="6"/>
      <c r="I963" s="6"/>
      <c r="J963" s="11"/>
      <c r="K963" s="591"/>
      <c r="L963" s="6"/>
      <c r="M963" s="6"/>
      <c r="N963" s="6"/>
      <c r="O963" s="6"/>
      <c r="P963" s="6"/>
      <c r="Q963" s="6"/>
      <c r="R963" s="6"/>
      <c r="S963" s="6"/>
    </row>
    <row r="964" ht="11.25" customHeight="1">
      <c r="A964" s="7"/>
      <c r="B964" s="5"/>
      <c r="C964" s="6"/>
      <c r="D964" s="6"/>
      <c r="E964" s="6"/>
      <c r="F964" s="6"/>
      <c r="G964" s="6"/>
      <c r="H964" s="6"/>
      <c r="I964" s="6"/>
      <c r="J964" s="11"/>
      <c r="K964" s="591"/>
      <c r="L964" s="6"/>
      <c r="M964" s="6"/>
      <c r="N964" s="6"/>
      <c r="O964" s="6"/>
      <c r="P964" s="6"/>
      <c r="Q964" s="6"/>
      <c r="R964" s="6"/>
      <c r="S964" s="6"/>
    </row>
    <row r="965" ht="11.25" customHeight="1">
      <c r="A965" s="7"/>
      <c r="B965" s="5"/>
      <c r="C965" s="6"/>
      <c r="D965" s="6"/>
      <c r="E965" s="6"/>
      <c r="F965" s="6"/>
      <c r="G965" s="6"/>
      <c r="H965" s="6"/>
      <c r="I965" s="6"/>
      <c r="J965" s="11"/>
      <c r="K965" s="591"/>
      <c r="L965" s="6"/>
      <c r="M965" s="6"/>
      <c r="N965" s="6"/>
      <c r="O965" s="6"/>
      <c r="P965" s="6"/>
      <c r="Q965" s="6"/>
      <c r="R965" s="6"/>
      <c r="S965" s="6"/>
    </row>
    <row r="966" ht="11.25" customHeight="1">
      <c r="A966" s="7"/>
      <c r="B966" s="5"/>
      <c r="C966" s="6"/>
      <c r="D966" s="6"/>
      <c r="E966" s="6"/>
      <c r="F966" s="6"/>
      <c r="G966" s="6"/>
      <c r="H966" s="6"/>
      <c r="I966" s="6"/>
      <c r="J966" s="11"/>
      <c r="K966" s="591"/>
      <c r="L966" s="6"/>
      <c r="M966" s="6"/>
      <c r="N966" s="6"/>
      <c r="O966" s="6"/>
      <c r="P966" s="6"/>
      <c r="Q966" s="6"/>
      <c r="R966" s="6"/>
      <c r="S966" s="6"/>
    </row>
    <row r="967" ht="11.25" customHeight="1">
      <c r="A967" s="7"/>
      <c r="B967" s="5"/>
      <c r="C967" s="6"/>
      <c r="D967" s="6"/>
      <c r="E967" s="6"/>
      <c r="F967" s="6"/>
      <c r="G967" s="6"/>
      <c r="H967" s="6"/>
      <c r="I967" s="6"/>
      <c r="J967" s="11"/>
      <c r="K967" s="591"/>
      <c r="L967" s="6"/>
      <c r="M967" s="6"/>
      <c r="N967" s="6"/>
      <c r="O967" s="6"/>
      <c r="P967" s="6"/>
      <c r="Q967" s="6"/>
      <c r="R967" s="6"/>
      <c r="S967" s="6"/>
    </row>
    <row r="968" ht="11.25" customHeight="1">
      <c r="A968" s="7"/>
      <c r="B968" s="5"/>
      <c r="C968" s="6"/>
      <c r="D968" s="6"/>
      <c r="E968" s="6"/>
      <c r="F968" s="6"/>
      <c r="G968" s="6"/>
      <c r="H968" s="6"/>
      <c r="I968" s="6"/>
      <c r="J968" s="11"/>
      <c r="K968" s="591"/>
      <c r="L968" s="6"/>
      <c r="M968" s="6"/>
      <c r="N968" s="6"/>
      <c r="O968" s="6"/>
      <c r="P968" s="6"/>
      <c r="Q968" s="6"/>
      <c r="R968" s="6"/>
      <c r="S968" s="6"/>
    </row>
    <row r="969" ht="11.25" customHeight="1">
      <c r="A969" s="7"/>
      <c r="B969" s="5"/>
      <c r="C969" s="6"/>
      <c r="D969" s="6"/>
      <c r="E969" s="6"/>
      <c r="F969" s="6"/>
      <c r="G969" s="6"/>
      <c r="H969" s="6"/>
      <c r="I969" s="6"/>
      <c r="J969" s="11"/>
      <c r="K969" s="591"/>
      <c r="L969" s="6"/>
      <c r="M969" s="6"/>
      <c r="N969" s="6"/>
      <c r="O969" s="6"/>
      <c r="P969" s="6"/>
      <c r="Q969" s="6"/>
      <c r="R969" s="6"/>
      <c r="S969" s="6"/>
    </row>
    <row r="970" ht="11.25" customHeight="1">
      <c r="A970" s="7"/>
      <c r="B970" s="5"/>
      <c r="C970" s="6"/>
      <c r="D970" s="6"/>
      <c r="E970" s="6"/>
      <c r="F970" s="6"/>
      <c r="G970" s="6"/>
      <c r="H970" s="6"/>
      <c r="I970" s="6"/>
      <c r="J970" s="11"/>
      <c r="K970" s="591"/>
      <c r="L970" s="6"/>
      <c r="M970" s="6"/>
      <c r="N970" s="6"/>
      <c r="O970" s="6"/>
      <c r="P970" s="6"/>
      <c r="Q970" s="6"/>
      <c r="R970" s="6"/>
      <c r="S970" s="6"/>
    </row>
    <row r="971" ht="11.25" customHeight="1">
      <c r="A971" s="7"/>
      <c r="B971" s="5"/>
      <c r="C971" s="6"/>
      <c r="D971" s="6"/>
      <c r="E971" s="6"/>
      <c r="F971" s="6"/>
      <c r="G971" s="6"/>
      <c r="H971" s="6"/>
      <c r="I971" s="6"/>
      <c r="J971" s="11"/>
      <c r="K971" s="591"/>
      <c r="L971" s="6"/>
      <c r="M971" s="6"/>
      <c r="N971" s="6"/>
      <c r="O971" s="6"/>
      <c r="P971" s="6"/>
      <c r="Q971" s="6"/>
      <c r="R971" s="6"/>
      <c r="S971" s="6"/>
    </row>
    <row r="972" ht="11.25" customHeight="1">
      <c r="A972" s="7"/>
      <c r="B972" s="5"/>
      <c r="C972" s="6"/>
      <c r="D972" s="6"/>
      <c r="E972" s="6"/>
      <c r="F972" s="6"/>
      <c r="G972" s="6"/>
      <c r="H972" s="6"/>
      <c r="I972" s="6"/>
      <c r="J972" s="11"/>
      <c r="K972" s="591"/>
      <c r="L972" s="6"/>
      <c r="M972" s="6"/>
      <c r="N972" s="6"/>
      <c r="O972" s="6"/>
      <c r="P972" s="6"/>
      <c r="Q972" s="6"/>
      <c r="R972" s="6"/>
      <c r="S972" s="6"/>
    </row>
    <row r="973" ht="11.25" customHeight="1">
      <c r="A973" s="7"/>
      <c r="B973" s="5"/>
      <c r="C973" s="6"/>
      <c r="D973" s="6"/>
      <c r="E973" s="6"/>
      <c r="F973" s="6"/>
      <c r="G973" s="6"/>
      <c r="H973" s="6"/>
      <c r="I973" s="6"/>
      <c r="J973" s="11"/>
      <c r="K973" s="591"/>
      <c r="L973" s="6"/>
      <c r="M973" s="6"/>
      <c r="N973" s="6"/>
      <c r="O973" s="6"/>
      <c r="P973" s="6"/>
      <c r="Q973" s="6"/>
      <c r="R973" s="6"/>
      <c r="S973" s="6"/>
    </row>
    <row r="974" ht="11.25" customHeight="1">
      <c r="A974" s="7"/>
      <c r="B974" s="5"/>
      <c r="C974" s="6"/>
      <c r="D974" s="6"/>
      <c r="E974" s="6"/>
      <c r="F974" s="6"/>
      <c r="G974" s="6"/>
      <c r="H974" s="6"/>
      <c r="I974" s="6"/>
      <c r="J974" s="11"/>
      <c r="K974" s="591"/>
      <c r="L974" s="6"/>
      <c r="M974" s="6"/>
      <c r="N974" s="6"/>
      <c r="O974" s="6"/>
      <c r="P974" s="6"/>
      <c r="Q974" s="6"/>
      <c r="R974" s="6"/>
      <c r="S974" s="6"/>
    </row>
    <row r="975" ht="11.25" customHeight="1">
      <c r="A975" s="7"/>
      <c r="B975" s="5"/>
      <c r="C975" s="6"/>
      <c r="D975" s="6"/>
      <c r="E975" s="6"/>
      <c r="F975" s="6"/>
      <c r="G975" s="6"/>
      <c r="H975" s="6"/>
      <c r="I975" s="6"/>
      <c r="J975" s="11"/>
      <c r="K975" s="591"/>
      <c r="L975" s="6"/>
      <c r="M975" s="6"/>
      <c r="N975" s="6"/>
      <c r="O975" s="6"/>
      <c r="P975" s="6"/>
      <c r="Q975" s="6"/>
      <c r="R975" s="6"/>
      <c r="S975" s="6"/>
    </row>
    <row r="976" ht="11.25" customHeight="1">
      <c r="A976" s="7"/>
      <c r="B976" s="5"/>
      <c r="C976" s="6"/>
      <c r="D976" s="6"/>
      <c r="E976" s="6"/>
      <c r="F976" s="6"/>
      <c r="G976" s="6"/>
      <c r="H976" s="6"/>
      <c r="I976" s="6"/>
      <c r="J976" s="11"/>
      <c r="K976" s="591"/>
      <c r="L976" s="6"/>
      <c r="M976" s="6"/>
      <c r="N976" s="6"/>
      <c r="O976" s="6"/>
      <c r="P976" s="6"/>
      <c r="Q976" s="6"/>
      <c r="R976" s="6"/>
      <c r="S976" s="6"/>
    </row>
    <row r="977" ht="11.25" customHeight="1">
      <c r="A977" s="7"/>
      <c r="B977" s="5"/>
      <c r="C977" s="6"/>
      <c r="D977" s="6"/>
      <c r="E977" s="6"/>
      <c r="F977" s="6"/>
      <c r="G977" s="6"/>
      <c r="H977" s="6"/>
      <c r="I977" s="6"/>
      <c r="J977" s="11"/>
      <c r="K977" s="591"/>
      <c r="L977" s="6"/>
      <c r="M977" s="6"/>
      <c r="N977" s="6"/>
      <c r="O977" s="6"/>
      <c r="P977" s="6"/>
      <c r="Q977" s="6"/>
      <c r="R977" s="6"/>
      <c r="S977" s="6"/>
    </row>
    <row r="978" ht="11.25" customHeight="1">
      <c r="A978" s="7"/>
      <c r="B978" s="5"/>
      <c r="C978" s="6"/>
      <c r="D978" s="6"/>
      <c r="E978" s="6"/>
      <c r="F978" s="6"/>
      <c r="G978" s="6"/>
      <c r="H978" s="6"/>
      <c r="I978" s="6"/>
      <c r="J978" s="11"/>
      <c r="K978" s="591"/>
      <c r="L978" s="6"/>
      <c r="M978" s="6"/>
      <c r="N978" s="6"/>
      <c r="O978" s="6"/>
      <c r="P978" s="6"/>
      <c r="Q978" s="6"/>
      <c r="R978" s="6"/>
      <c r="S978" s="6"/>
    </row>
    <row r="979" ht="11.25" customHeight="1">
      <c r="A979" s="7"/>
      <c r="B979" s="5"/>
      <c r="C979" s="6"/>
      <c r="D979" s="6"/>
      <c r="E979" s="6"/>
      <c r="F979" s="6"/>
      <c r="G979" s="6"/>
      <c r="H979" s="6"/>
      <c r="I979" s="6"/>
      <c r="J979" s="11"/>
      <c r="K979" s="591"/>
      <c r="L979" s="6"/>
      <c r="M979" s="6"/>
      <c r="N979" s="6"/>
      <c r="O979" s="6"/>
      <c r="P979" s="6"/>
      <c r="Q979" s="6"/>
      <c r="R979" s="6"/>
      <c r="S979" s="6"/>
    </row>
    <row r="980" ht="11.25" customHeight="1">
      <c r="A980" s="7"/>
      <c r="B980" s="5"/>
      <c r="C980" s="6"/>
      <c r="D980" s="6"/>
      <c r="E980" s="6"/>
      <c r="F980" s="6"/>
      <c r="G980" s="6"/>
      <c r="H980" s="6"/>
      <c r="I980" s="6"/>
      <c r="J980" s="11"/>
      <c r="K980" s="591"/>
      <c r="L980" s="6"/>
      <c r="M980" s="6"/>
      <c r="N980" s="6"/>
      <c r="O980" s="6"/>
      <c r="P980" s="6"/>
      <c r="Q980" s="6"/>
      <c r="R980" s="6"/>
      <c r="S980" s="6"/>
    </row>
    <row r="981" ht="11.25" customHeight="1">
      <c r="A981" s="7"/>
      <c r="B981" s="5"/>
      <c r="C981" s="6"/>
      <c r="D981" s="6"/>
      <c r="E981" s="6"/>
      <c r="F981" s="6"/>
      <c r="G981" s="6"/>
      <c r="H981" s="6"/>
      <c r="I981" s="6"/>
      <c r="J981" s="11"/>
      <c r="K981" s="591"/>
      <c r="L981" s="6"/>
      <c r="M981" s="6"/>
      <c r="N981" s="6"/>
      <c r="O981" s="6"/>
      <c r="P981" s="6"/>
      <c r="Q981" s="6"/>
      <c r="R981" s="6"/>
      <c r="S981" s="6"/>
    </row>
    <row r="982" ht="11.25" customHeight="1">
      <c r="A982" s="7"/>
      <c r="B982" s="5"/>
      <c r="C982" s="6"/>
      <c r="D982" s="6"/>
      <c r="E982" s="6"/>
      <c r="F982" s="6"/>
      <c r="G982" s="6"/>
      <c r="H982" s="6"/>
      <c r="I982" s="6"/>
      <c r="J982" s="11"/>
      <c r="K982" s="591"/>
      <c r="L982" s="6"/>
      <c r="M982" s="6"/>
      <c r="N982" s="6"/>
      <c r="O982" s="6"/>
      <c r="P982" s="6"/>
      <c r="Q982" s="6"/>
      <c r="R982" s="6"/>
      <c r="S982" s="6"/>
    </row>
    <row r="983" ht="11.25" customHeight="1">
      <c r="A983" s="7"/>
      <c r="B983" s="5"/>
      <c r="C983" s="6"/>
      <c r="D983" s="6"/>
      <c r="E983" s="6"/>
      <c r="F983" s="6"/>
      <c r="G983" s="6"/>
      <c r="H983" s="6"/>
      <c r="I983" s="6"/>
      <c r="J983" s="11"/>
      <c r="K983" s="591"/>
      <c r="L983" s="6"/>
      <c r="M983" s="6"/>
      <c r="N983" s="6"/>
      <c r="O983" s="6"/>
      <c r="P983" s="6"/>
      <c r="Q983" s="6"/>
      <c r="R983" s="6"/>
      <c r="S983" s="6"/>
    </row>
    <row r="984" ht="11.25" customHeight="1">
      <c r="A984" s="7"/>
      <c r="B984" s="5"/>
      <c r="C984" s="6"/>
      <c r="D984" s="6"/>
      <c r="E984" s="6"/>
      <c r="F984" s="6"/>
      <c r="G984" s="6"/>
      <c r="H984" s="6"/>
      <c r="I984" s="6"/>
      <c r="J984" s="11"/>
      <c r="K984" s="591"/>
      <c r="L984" s="6"/>
      <c r="M984" s="6"/>
      <c r="N984" s="6"/>
      <c r="O984" s="6"/>
      <c r="P984" s="6"/>
      <c r="Q984" s="6"/>
      <c r="R984" s="6"/>
      <c r="S984" s="6"/>
    </row>
    <row r="985" ht="11.25" customHeight="1">
      <c r="A985" s="7"/>
      <c r="B985" s="5"/>
      <c r="C985" s="6"/>
      <c r="D985" s="6"/>
      <c r="E985" s="6"/>
      <c r="F985" s="6"/>
      <c r="G985" s="6"/>
      <c r="H985" s="6"/>
      <c r="I985" s="6"/>
      <c r="J985" s="11"/>
      <c r="K985" s="591"/>
      <c r="L985" s="6"/>
      <c r="M985" s="6"/>
      <c r="N985" s="6"/>
      <c r="O985" s="6"/>
      <c r="P985" s="6"/>
      <c r="Q985" s="6"/>
      <c r="R985" s="6"/>
      <c r="S985" s="6"/>
    </row>
    <row r="986" ht="11.25" customHeight="1">
      <c r="A986" s="7"/>
      <c r="B986" s="5"/>
      <c r="C986" s="6"/>
      <c r="D986" s="6"/>
      <c r="E986" s="6"/>
      <c r="F986" s="6"/>
      <c r="G986" s="6"/>
      <c r="H986" s="6"/>
      <c r="I986" s="6"/>
      <c r="J986" s="11"/>
      <c r="K986" s="591"/>
      <c r="L986" s="6"/>
      <c r="M986" s="6"/>
      <c r="N986" s="6"/>
      <c r="O986" s="6"/>
      <c r="P986" s="6"/>
      <c r="Q986" s="6"/>
      <c r="R986" s="6"/>
      <c r="S986" s="6"/>
    </row>
    <row r="987" ht="11.25" customHeight="1">
      <c r="A987" s="7"/>
      <c r="B987" s="5"/>
      <c r="C987" s="6"/>
      <c r="D987" s="6"/>
      <c r="E987" s="6"/>
      <c r="F987" s="6"/>
      <c r="G987" s="6"/>
      <c r="H987" s="6"/>
      <c r="I987" s="6"/>
      <c r="J987" s="11"/>
      <c r="K987" s="591"/>
      <c r="L987" s="6"/>
      <c r="M987" s="6"/>
      <c r="N987" s="6"/>
      <c r="O987" s="6"/>
      <c r="P987" s="6"/>
      <c r="Q987" s="6"/>
      <c r="R987" s="6"/>
      <c r="S987" s="6"/>
    </row>
    <row r="988" ht="11.25" customHeight="1">
      <c r="A988" s="7"/>
      <c r="B988" s="5"/>
      <c r="C988" s="6"/>
      <c r="D988" s="6"/>
      <c r="E988" s="6"/>
      <c r="F988" s="6"/>
      <c r="G988" s="6"/>
      <c r="H988" s="6"/>
      <c r="I988" s="6"/>
      <c r="J988" s="11"/>
      <c r="K988" s="591"/>
      <c r="L988" s="6"/>
      <c r="M988" s="6"/>
      <c r="N988" s="6"/>
      <c r="O988" s="6"/>
      <c r="P988" s="6"/>
      <c r="Q988" s="6"/>
      <c r="R988" s="6"/>
      <c r="S988" s="6"/>
    </row>
    <row r="989" ht="11.25" customHeight="1">
      <c r="A989" s="7"/>
      <c r="B989" s="5"/>
      <c r="C989" s="6"/>
      <c r="D989" s="6"/>
      <c r="E989" s="6"/>
      <c r="F989" s="6"/>
      <c r="G989" s="6"/>
      <c r="H989" s="6"/>
      <c r="I989" s="6"/>
      <c r="J989" s="11"/>
      <c r="K989" s="591"/>
      <c r="L989" s="6"/>
      <c r="M989" s="6"/>
      <c r="N989" s="6"/>
      <c r="O989" s="6"/>
      <c r="P989" s="6"/>
      <c r="Q989" s="6"/>
      <c r="R989" s="6"/>
      <c r="S989" s="6"/>
    </row>
    <row r="990" ht="11.25" customHeight="1">
      <c r="A990" s="7"/>
      <c r="B990" s="5"/>
      <c r="C990" s="6"/>
      <c r="D990" s="6"/>
      <c r="E990" s="6"/>
      <c r="F990" s="6"/>
      <c r="G990" s="6"/>
      <c r="H990" s="6"/>
      <c r="I990" s="6"/>
      <c r="J990" s="11"/>
      <c r="K990" s="591"/>
      <c r="L990" s="6"/>
      <c r="M990" s="6"/>
      <c r="N990" s="6"/>
      <c r="O990" s="6"/>
      <c r="P990" s="6"/>
      <c r="Q990" s="6"/>
      <c r="R990" s="6"/>
      <c r="S990" s="6"/>
    </row>
    <row r="991" ht="11.25" customHeight="1">
      <c r="A991" s="7"/>
      <c r="B991" s="5"/>
      <c r="C991" s="6"/>
      <c r="D991" s="6"/>
      <c r="E991" s="6"/>
      <c r="F991" s="6"/>
      <c r="G991" s="6"/>
      <c r="H991" s="6"/>
      <c r="I991" s="6"/>
      <c r="J991" s="11"/>
      <c r="K991" s="591"/>
      <c r="L991" s="6"/>
      <c r="M991" s="6"/>
      <c r="N991" s="6"/>
      <c r="O991" s="6"/>
      <c r="P991" s="6"/>
      <c r="Q991" s="6"/>
      <c r="R991" s="6"/>
      <c r="S991" s="6"/>
    </row>
    <row r="992" ht="11.25" customHeight="1">
      <c r="A992" s="7"/>
      <c r="B992" s="5"/>
      <c r="C992" s="6"/>
      <c r="D992" s="6"/>
      <c r="E992" s="6"/>
      <c r="F992" s="6"/>
      <c r="G992" s="6"/>
      <c r="H992" s="6"/>
      <c r="I992" s="6"/>
      <c r="J992" s="11"/>
      <c r="K992" s="591"/>
      <c r="L992" s="6"/>
      <c r="M992" s="6"/>
      <c r="N992" s="6"/>
      <c r="O992" s="6"/>
      <c r="P992" s="6"/>
      <c r="Q992" s="6"/>
      <c r="R992" s="6"/>
      <c r="S992" s="6"/>
    </row>
    <row r="993" ht="11.25" customHeight="1">
      <c r="A993" s="7"/>
      <c r="B993" s="5"/>
      <c r="C993" s="6"/>
      <c r="D993" s="6"/>
      <c r="E993" s="6"/>
      <c r="F993" s="6"/>
      <c r="G993" s="6"/>
      <c r="H993" s="6"/>
      <c r="I993" s="6"/>
      <c r="J993" s="11"/>
      <c r="K993" s="591"/>
      <c r="L993" s="6"/>
      <c r="M993" s="6"/>
      <c r="N993" s="6"/>
      <c r="O993" s="6"/>
      <c r="P993" s="6"/>
      <c r="Q993" s="6"/>
      <c r="R993" s="6"/>
      <c r="S993" s="6"/>
    </row>
    <row r="994" ht="11.25" customHeight="1">
      <c r="A994" s="7"/>
      <c r="B994" s="5"/>
      <c r="C994" s="6"/>
      <c r="D994" s="6"/>
      <c r="E994" s="6"/>
      <c r="F994" s="6"/>
      <c r="G994" s="6"/>
      <c r="H994" s="6"/>
      <c r="I994" s="6"/>
      <c r="J994" s="11"/>
      <c r="K994" s="591"/>
      <c r="L994" s="6"/>
      <c r="M994" s="6"/>
      <c r="N994" s="6"/>
      <c r="O994" s="6"/>
      <c r="P994" s="6"/>
      <c r="Q994" s="6"/>
      <c r="R994" s="6"/>
      <c r="S994" s="6"/>
    </row>
    <row r="995" ht="11.25" customHeight="1">
      <c r="A995" s="7"/>
      <c r="B995" s="5"/>
      <c r="C995" s="6"/>
      <c r="D995" s="6"/>
      <c r="E995" s="6"/>
      <c r="F995" s="6"/>
      <c r="G995" s="6"/>
      <c r="H995" s="6"/>
      <c r="I995" s="6"/>
      <c r="J995" s="11"/>
      <c r="K995" s="591"/>
      <c r="L995" s="6"/>
      <c r="M995" s="6"/>
      <c r="N995" s="6"/>
      <c r="O995" s="6"/>
      <c r="P995" s="6"/>
      <c r="Q995" s="6"/>
      <c r="R995" s="6"/>
      <c r="S995" s="6"/>
    </row>
    <row r="996" ht="11.25" customHeight="1">
      <c r="A996" s="7"/>
      <c r="B996" s="5"/>
      <c r="C996" s="6"/>
      <c r="D996" s="6"/>
      <c r="E996" s="6"/>
      <c r="F996" s="6"/>
      <c r="G996" s="6"/>
      <c r="H996" s="6"/>
      <c r="I996" s="6"/>
      <c r="J996" s="11"/>
      <c r="K996" s="591"/>
      <c r="L996" s="6"/>
      <c r="M996" s="6"/>
      <c r="N996" s="6"/>
      <c r="O996" s="6"/>
      <c r="P996" s="6"/>
      <c r="Q996" s="6"/>
      <c r="R996" s="6"/>
      <c r="S996" s="6"/>
    </row>
    <row r="997" ht="11.25" customHeight="1">
      <c r="A997" s="7"/>
      <c r="B997" s="5"/>
      <c r="C997" s="6"/>
      <c r="D997" s="6"/>
      <c r="E997" s="6"/>
      <c r="F997" s="6"/>
      <c r="G997" s="6"/>
      <c r="H997" s="6"/>
      <c r="I997" s="6"/>
      <c r="J997" s="11"/>
      <c r="K997" s="591"/>
      <c r="L997" s="6"/>
      <c r="M997" s="6"/>
      <c r="N997" s="6"/>
      <c r="O997" s="6"/>
      <c r="P997" s="6"/>
      <c r="Q997" s="6"/>
      <c r="R997" s="6"/>
      <c r="S997" s="6"/>
    </row>
    <row r="998" ht="11.25" customHeight="1">
      <c r="A998" s="7"/>
      <c r="B998" s="5"/>
      <c r="C998" s="6"/>
      <c r="D998" s="6"/>
      <c r="E998" s="6"/>
      <c r="F998" s="6"/>
      <c r="G998" s="6"/>
      <c r="H998" s="6"/>
      <c r="I998" s="6"/>
      <c r="J998" s="11"/>
      <c r="K998" s="591"/>
      <c r="L998" s="6"/>
      <c r="M998" s="6"/>
      <c r="N998" s="6"/>
      <c r="O998" s="6"/>
      <c r="P998" s="6"/>
      <c r="Q998" s="6"/>
      <c r="R998" s="6"/>
      <c r="S998" s="6"/>
    </row>
    <row r="999" ht="11.25" customHeight="1">
      <c r="A999" s="7"/>
      <c r="B999" s="5"/>
      <c r="C999" s="6"/>
      <c r="D999" s="6"/>
      <c r="E999" s="6"/>
      <c r="F999" s="6"/>
      <c r="G999" s="6"/>
      <c r="H999" s="6"/>
      <c r="I999" s="6"/>
      <c r="J999" s="11"/>
      <c r="K999" s="591"/>
      <c r="L999" s="6"/>
      <c r="M999" s="6"/>
      <c r="N999" s="6"/>
      <c r="O999" s="6"/>
      <c r="P999" s="6"/>
      <c r="Q999" s="6"/>
      <c r="R999" s="6"/>
      <c r="S999" s="6"/>
    </row>
    <row r="1000" ht="11.25" customHeight="1">
      <c r="A1000" s="7"/>
      <c r="B1000" s="5"/>
      <c r="C1000" s="6"/>
      <c r="D1000" s="6"/>
      <c r="E1000" s="6"/>
      <c r="F1000" s="6"/>
      <c r="G1000" s="6"/>
      <c r="H1000" s="6"/>
      <c r="I1000" s="6"/>
      <c r="J1000" s="11"/>
      <c r="K1000" s="591"/>
      <c r="L1000" s="6"/>
      <c r="M1000" s="6"/>
      <c r="N1000" s="6"/>
      <c r="O1000" s="6"/>
      <c r="P1000" s="6"/>
      <c r="Q1000" s="6"/>
      <c r="R1000" s="6"/>
      <c r="S1000" s="6"/>
    </row>
  </sheetData>
  <conditionalFormatting sqref="I1:I1000">
    <cfRule type="cellIs" dxfId="0" priority="1" operator="lessThan">
      <formula>0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2.75"/>
  <cols>
    <col customWidth="1" min="1" max="1" width="22.0"/>
    <col customWidth="1" min="2" max="2" width="4.88"/>
    <col customWidth="1" min="3" max="4" width="11.38"/>
    <col customWidth="1" min="5" max="5" width="10.75"/>
    <col customWidth="1" min="6" max="6" width="13.13"/>
    <col customWidth="1" min="7" max="7" width="12.75"/>
    <col customWidth="1" min="8" max="8" width="12.5"/>
    <col customWidth="1" min="9" max="9" width="13.38"/>
    <col customWidth="1" min="10" max="10" width="10.25"/>
    <col customWidth="1" min="11" max="11" width="8.0"/>
    <col customWidth="1" min="12" max="12" width="3.13"/>
    <col customWidth="1" min="13" max="15" width="12.63"/>
    <col customWidth="1" min="16" max="20" width="8.0"/>
    <col customWidth="1" min="21" max="25" width="7.0"/>
  </cols>
  <sheetData>
    <row r="1" ht="13.5" customHeight="1">
      <c r="A1" s="7"/>
      <c r="B1" s="5"/>
      <c r="C1" s="6"/>
      <c r="D1" s="6"/>
      <c r="E1" s="589" t="s">
        <v>2175</v>
      </c>
      <c r="F1" s="590"/>
      <c r="G1" s="6"/>
      <c r="H1" s="6"/>
      <c r="I1" s="6"/>
      <c r="J1" s="11"/>
      <c r="K1" s="591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12.0" customHeight="1">
      <c r="A2" s="7"/>
      <c r="B2" s="5"/>
      <c r="C2" s="6"/>
      <c r="D2" s="6"/>
      <c r="E2" s="6"/>
      <c r="F2" s="6"/>
      <c r="G2" s="6"/>
      <c r="H2" s="6"/>
      <c r="I2" s="6"/>
      <c r="J2" s="11"/>
      <c r="K2" s="591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t="12.0" customHeight="1">
      <c r="A3" s="7"/>
      <c r="B3" s="5"/>
      <c r="C3" s="6"/>
      <c r="D3" s="592" t="s">
        <v>2176</v>
      </c>
      <c r="E3" s="593">
        <v>2808000.0</v>
      </c>
      <c r="F3" s="594" t="s">
        <v>2608</v>
      </c>
      <c r="G3" s="595" t="s">
        <v>2177</v>
      </c>
      <c r="H3" s="596">
        <f>-PMT(6.875%/12,12*J3,E3)</f>
        <v>18446.56109</v>
      </c>
      <c r="I3" s="597" t="s">
        <v>2178</v>
      </c>
      <c r="J3" s="598">
        <v>30.0</v>
      </c>
      <c r="K3" s="591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12.0" customHeight="1">
      <c r="A4" s="7"/>
      <c r="B4" s="5"/>
      <c r="C4" s="6"/>
      <c r="D4" s="6"/>
      <c r="E4" s="6"/>
      <c r="F4" s="6"/>
      <c r="G4" s="6"/>
      <c r="H4" s="6"/>
      <c r="I4" s="6"/>
      <c r="J4" s="11"/>
      <c r="K4" s="591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ht="12.0" customHeight="1">
      <c r="A5" s="12" t="s">
        <v>16</v>
      </c>
      <c r="B5" s="599" t="s">
        <v>17</v>
      </c>
      <c r="C5" s="600" t="s">
        <v>2179</v>
      </c>
      <c r="D5" s="601" t="s">
        <v>2180</v>
      </c>
      <c r="E5" s="602" t="s">
        <v>2181</v>
      </c>
      <c r="F5" s="602" t="s">
        <v>21</v>
      </c>
      <c r="G5" s="602" t="s">
        <v>2182</v>
      </c>
      <c r="H5" s="602" t="s">
        <v>2183</v>
      </c>
      <c r="I5" s="603" t="s">
        <v>2184</v>
      </c>
      <c r="J5" s="604" t="s">
        <v>2185</v>
      </c>
      <c r="K5" s="591"/>
      <c r="L5" s="6"/>
      <c r="M5" s="605" t="s">
        <v>2186</v>
      </c>
      <c r="N5" s="605" t="s">
        <v>2187</v>
      </c>
      <c r="O5" s="605" t="s">
        <v>2003</v>
      </c>
      <c r="P5" s="605" t="s">
        <v>2620</v>
      </c>
      <c r="Q5" s="6"/>
      <c r="R5" s="9" t="s">
        <v>31</v>
      </c>
      <c r="S5" s="9" t="s">
        <v>32</v>
      </c>
      <c r="T5" s="19" t="s">
        <v>33</v>
      </c>
      <c r="U5" s="6"/>
      <c r="V5" s="6"/>
      <c r="W5" s="6"/>
      <c r="X5" s="6"/>
      <c r="Y5" s="6"/>
    </row>
    <row r="6" ht="11.25" customHeight="1">
      <c r="A6" s="623">
        <v>1.0</v>
      </c>
      <c r="B6" s="24">
        <v>1.0</v>
      </c>
      <c r="C6" s="40">
        <v>11400.0</v>
      </c>
      <c r="D6" s="608">
        <f>(E3*J6%)/12</f>
        <v>1404</v>
      </c>
      <c r="E6" s="608">
        <f t="shared" ref="E6:E365" si="1">C6-D6</f>
        <v>9996</v>
      </c>
      <c r="F6" s="608">
        <f>E6</f>
        <v>9996</v>
      </c>
      <c r="G6" s="608">
        <f>D6</f>
        <v>1404</v>
      </c>
      <c r="H6" s="608">
        <f>C6</f>
        <v>11400</v>
      </c>
      <c r="I6" s="609">
        <f>E3-E6</f>
        <v>2798004</v>
      </c>
      <c r="J6" s="610">
        <v>0.6</v>
      </c>
      <c r="K6" s="591"/>
      <c r="L6" s="6"/>
      <c r="M6" s="9">
        <v>14000.0</v>
      </c>
      <c r="N6" s="608">
        <f>M6</f>
        <v>14000</v>
      </c>
      <c r="O6" s="6">
        <f t="shared" ref="O6:O365" si="2">N6-G6-(1221*B6)-(1221*B6)</f>
        <v>10154</v>
      </c>
      <c r="P6" s="6">
        <f t="shared" ref="P6:P365" si="3">O6/(F6/100)</f>
        <v>101.5806323</v>
      </c>
      <c r="Q6" s="6"/>
      <c r="R6" s="6">
        <f>O6</f>
        <v>10154</v>
      </c>
      <c r="S6" s="6">
        <f>R6</f>
        <v>10154</v>
      </c>
      <c r="T6" s="81">
        <f t="shared" ref="T6:T365" si="4">S6/(G6/100)</f>
        <v>723.2193732</v>
      </c>
      <c r="U6" s="6"/>
      <c r="V6" s="6"/>
      <c r="W6" s="6"/>
      <c r="X6" s="6"/>
      <c r="Y6" s="6"/>
    </row>
    <row r="7" ht="11.25" customHeight="1">
      <c r="A7" s="38"/>
      <c r="B7" s="39">
        <f t="shared" ref="B7:B53" si="5">B6+1</f>
        <v>2</v>
      </c>
      <c r="C7" s="40">
        <v>11400.0</v>
      </c>
      <c r="D7" s="79">
        <f t="shared" ref="D7:D53" si="6">(I6*J7%)/12</f>
        <v>1399.002</v>
      </c>
      <c r="E7" s="79">
        <f t="shared" si="1"/>
        <v>10000.998</v>
      </c>
      <c r="F7" s="79">
        <f t="shared" ref="F7:F365" si="7">F6+E7</f>
        <v>19996.998</v>
      </c>
      <c r="G7" s="79">
        <f t="shared" ref="G7:G365" si="8">G6+D7</f>
        <v>2803.002</v>
      </c>
      <c r="H7" s="79">
        <f t="shared" ref="H7:H365" si="9">H6+C7</f>
        <v>22800</v>
      </c>
      <c r="I7" s="611">
        <f t="shared" ref="I7:I365" si="10">I6-E7</f>
        <v>2788003.002</v>
      </c>
      <c r="J7" s="610">
        <v>0.6</v>
      </c>
      <c r="K7" s="591"/>
      <c r="L7" s="6"/>
      <c r="M7" s="9">
        <v>14000.0</v>
      </c>
      <c r="N7" s="79">
        <f t="shared" ref="N7:N365" si="11">N6+M7</f>
        <v>28000</v>
      </c>
      <c r="O7" s="6">
        <f t="shared" si="2"/>
        <v>20312.998</v>
      </c>
      <c r="P7" s="6">
        <f t="shared" si="3"/>
        <v>101.5802372</v>
      </c>
      <c r="Q7" s="6"/>
      <c r="R7" s="6">
        <f t="shared" ref="R7:R365" si="12">SUM(O7-O6)</f>
        <v>10158.998</v>
      </c>
      <c r="S7" s="6">
        <f t="shared" ref="S7:S365" si="13">S6+R7</f>
        <v>20312.998</v>
      </c>
      <c r="T7" s="81">
        <f t="shared" si="4"/>
        <v>724.687246</v>
      </c>
      <c r="U7" s="6"/>
      <c r="V7" s="6"/>
      <c r="W7" s="6"/>
      <c r="X7" s="6"/>
      <c r="Y7" s="6"/>
    </row>
    <row r="8" ht="11.25" customHeight="1">
      <c r="A8" s="38"/>
      <c r="B8" s="39">
        <f t="shared" si="5"/>
        <v>3</v>
      </c>
      <c r="C8" s="40">
        <v>11400.0</v>
      </c>
      <c r="D8" s="79">
        <f t="shared" si="6"/>
        <v>1394.001501</v>
      </c>
      <c r="E8" s="79">
        <f t="shared" si="1"/>
        <v>10005.9985</v>
      </c>
      <c r="F8" s="79">
        <f t="shared" si="7"/>
        <v>30002.9965</v>
      </c>
      <c r="G8" s="79">
        <f t="shared" si="8"/>
        <v>4197.003501</v>
      </c>
      <c r="H8" s="79">
        <f t="shared" si="9"/>
        <v>34200</v>
      </c>
      <c r="I8" s="611">
        <f t="shared" si="10"/>
        <v>2777997.004</v>
      </c>
      <c r="J8" s="610">
        <v>0.6</v>
      </c>
      <c r="K8" s="591"/>
      <c r="L8" s="6"/>
      <c r="M8" s="9">
        <v>14000.0</v>
      </c>
      <c r="N8" s="79">
        <f t="shared" si="11"/>
        <v>42000</v>
      </c>
      <c r="O8" s="6">
        <f t="shared" si="2"/>
        <v>30476.9965</v>
      </c>
      <c r="P8" s="6">
        <f t="shared" si="3"/>
        <v>101.5798422</v>
      </c>
      <c r="Q8" s="6"/>
      <c r="R8" s="6">
        <f t="shared" si="12"/>
        <v>10163.9985</v>
      </c>
      <c r="S8" s="6">
        <f t="shared" si="13"/>
        <v>30476.9965</v>
      </c>
      <c r="T8" s="81">
        <f t="shared" si="4"/>
        <v>726.1608548</v>
      </c>
      <c r="U8" s="6"/>
      <c r="V8" s="6"/>
      <c r="W8" s="6"/>
      <c r="X8" s="6"/>
      <c r="Y8" s="6"/>
    </row>
    <row r="9" ht="11.25" customHeight="1">
      <c r="A9" s="38"/>
      <c r="B9" s="39">
        <f t="shared" si="5"/>
        <v>4</v>
      </c>
      <c r="C9" s="40">
        <v>11400.0</v>
      </c>
      <c r="D9" s="79">
        <f t="shared" si="6"/>
        <v>1388.998502</v>
      </c>
      <c r="E9" s="79">
        <f t="shared" si="1"/>
        <v>10011.0015</v>
      </c>
      <c r="F9" s="79">
        <f t="shared" si="7"/>
        <v>40013.998</v>
      </c>
      <c r="G9" s="79">
        <f t="shared" si="8"/>
        <v>5586.002003</v>
      </c>
      <c r="H9" s="79">
        <f t="shared" si="9"/>
        <v>45600</v>
      </c>
      <c r="I9" s="611">
        <f t="shared" si="10"/>
        <v>2767986.002</v>
      </c>
      <c r="J9" s="610">
        <v>0.6</v>
      </c>
      <c r="K9" s="591"/>
      <c r="L9" s="6"/>
      <c r="M9" s="9">
        <v>14000.0</v>
      </c>
      <c r="N9" s="79">
        <f t="shared" si="11"/>
        <v>56000</v>
      </c>
      <c r="O9" s="6">
        <f t="shared" si="2"/>
        <v>40645.998</v>
      </c>
      <c r="P9" s="6">
        <f t="shared" si="3"/>
        <v>101.5794473</v>
      </c>
      <c r="Q9" s="6"/>
      <c r="R9" s="6">
        <f t="shared" si="12"/>
        <v>10169.0015</v>
      </c>
      <c r="S9" s="6">
        <f t="shared" si="13"/>
        <v>40645.998</v>
      </c>
      <c r="T9" s="81">
        <f t="shared" si="4"/>
        <v>727.6402332</v>
      </c>
      <c r="U9" s="6"/>
      <c r="V9" s="6"/>
      <c r="W9" s="6"/>
      <c r="X9" s="6"/>
      <c r="Y9" s="6"/>
    </row>
    <row r="10" ht="11.25" customHeight="1">
      <c r="A10" s="38"/>
      <c r="B10" s="39">
        <f t="shared" si="5"/>
        <v>5</v>
      </c>
      <c r="C10" s="40">
        <v>11400.0</v>
      </c>
      <c r="D10" s="79">
        <f t="shared" si="6"/>
        <v>1383.993001</v>
      </c>
      <c r="E10" s="79">
        <f t="shared" si="1"/>
        <v>10016.007</v>
      </c>
      <c r="F10" s="79">
        <f t="shared" si="7"/>
        <v>50030.005</v>
      </c>
      <c r="G10" s="79">
        <f t="shared" si="8"/>
        <v>6969.995004</v>
      </c>
      <c r="H10" s="79">
        <f t="shared" si="9"/>
        <v>57000</v>
      </c>
      <c r="I10" s="611">
        <f t="shared" si="10"/>
        <v>2757969.995</v>
      </c>
      <c r="J10" s="610">
        <v>0.6</v>
      </c>
      <c r="K10" s="591"/>
      <c r="L10" s="6"/>
      <c r="M10" s="9">
        <v>14000.0</v>
      </c>
      <c r="N10" s="79">
        <f t="shared" si="11"/>
        <v>70000</v>
      </c>
      <c r="O10" s="6">
        <f t="shared" si="2"/>
        <v>50820.005</v>
      </c>
      <c r="P10" s="6">
        <f t="shared" si="3"/>
        <v>101.5790524</v>
      </c>
      <c r="Q10" s="6"/>
      <c r="R10" s="6">
        <f t="shared" si="12"/>
        <v>10174.007</v>
      </c>
      <c r="S10" s="6">
        <f t="shared" si="13"/>
        <v>50820.005</v>
      </c>
      <c r="T10" s="81">
        <f t="shared" si="4"/>
        <v>729.125415</v>
      </c>
      <c r="U10" s="6"/>
      <c r="V10" s="6"/>
      <c r="W10" s="6"/>
      <c r="X10" s="6"/>
      <c r="Y10" s="6"/>
    </row>
    <row r="11" ht="11.25" customHeight="1">
      <c r="A11" s="38"/>
      <c r="B11" s="39">
        <f t="shared" si="5"/>
        <v>6</v>
      </c>
      <c r="C11" s="40">
        <v>11400.0</v>
      </c>
      <c r="D11" s="79">
        <f t="shared" si="6"/>
        <v>1378.984998</v>
      </c>
      <c r="E11" s="79">
        <f t="shared" si="1"/>
        <v>10021.015</v>
      </c>
      <c r="F11" s="79">
        <f t="shared" si="7"/>
        <v>60051.02</v>
      </c>
      <c r="G11" s="79">
        <f t="shared" si="8"/>
        <v>8348.980001</v>
      </c>
      <c r="H11" s="79">
        <f t="shared" si="9"/>
        <v>68400</v>
      </c>
      <c r="I11" s="611">
        <f t="shared" si="10"/>
        <v>2747948.98</v>
      </c>
      <c r="J11" s="610">
        <v>0.6</v>
      </c>
      <c r="K11" s="591"/>
      <c r="L11" s="6"/>
      <c r="M11" s="9">
        <v>14000.0</v>
      </c>
      <c r="N11" s="79">
        <f t="shared" si="11"/>
        <v>84000</v>
      </c>
      <c r="O11" s="6">
        <f t="shared" si="2"/>
        <v>60999.02</v>
      </c>
      <c r="P11" s="6">
        <f t="shared" si="3"/>
        <v>101.5786576</v>
      </c>
      <c r="Q11" s="6"/>
      <c r="R11" s="6">
        <f t="shared" si="12"/>
        <v>10179.015</v>
      </c>
      <c r="S11" s="6">
        <f t="shared" si="13"/>
        <v>60999.02</v>
      </c>
      <c r="T11" s="81">
        <f t="shared" si="4"/>
        <v>730.6164345</v>
      </c>
      <c r="U11" s="6"/>
      <c r="V11" s="6"/>
      <c r="W11" s="6"/>
      <c r="X11" s="6"/>
      <c r="Y11" s="6"/>
    </row>
    <row r="12" ht="11.25" customHeight="1">
      <c r="A12" s="38"/>
      <c r="B12" s="39">
        <f t="shared" si="5"/>
        <v>7</v>
      </c>
      <c r="C12" s="40">
        <v>11400.0</v>
      </c>
      <c r="D12" s="79">
        <f t="shared" si="6"/>
        <v>228.9957483</v>
      </c>
      <c r="E12" s="79">
        <f t="shared" si="1"/>
        <v>11171.00425</v>
      </c>
      <c r="F12" s="79">
        <f t="shared" si="7"/>
        <v>71222.02425</v>
      </c>
      <c r="G12" s="79">
        <f t="shared" si="8"/>
        <v>8577.97575</v>
      </c>
      <c r="H12" s="79">
        <f t="shared" si="9"/>
        <v>79800</v>
      </c>
      <c r="I12" s="611">
        <f t="shared" si="10"/>
        <v>2736777.976</v>
      </c>
      <c r="J12" s="610">
        <v>0.1</v>
      </c>
      <c r="K12" s="591"/>
      <c r="L12" s="6"/>
      <c r="M12" s="9">
        <v>14000.0</v>
      </c>
      <c r="N12" s="79">
        <f t="shared" si="11"/>
        <v>98000</v>
      </c>
      <c r="O12" s="6">
        <f t="shared" si="2"/>
        <v>72328.02425</v>
      </c>
      <c r="P12" s="6">
        <f t="shared" si="3"/>
        <v>101.5528904</v>
      </c>
      <c r="Q12" s="6"/>
      <c r="R12" s="6">
        <f t="shared" si="12"/>
        <v>11329.00425</v>
      </c>
      <c r="S12" s="6">
        <f t="shared" si="13"/>
        <v>72328.02425</v>
      </c>
      <c r="T12" s="81">
        <f t="shared" si="4"/>
        <v>843.1828949</v>
      </c>
      <c r="U12" s="6"/>
      <c r="V12" s="6"/>
      <c r="W12" s="6"/>
      <c r="X12" s="6"/>
      <c r="Y12" s="6"/>
    </row>
    <row r="13" ht="11.25" customHeight="1">
      <c r="A13" s="38"/>
      <c r="B13" s="39">
        <f t="shared" si="5"/>
        <v>8</v>
      </c>
      <c r="C13" s="40">
        <v>11400.0</v>
      </c>
      <c r="D13" s="79">
        <f t="shared" si="6"/>
        <v>228.0648313</v>
      </c>
      <c r="E13" s="79">
        <f t="shared" si="1"/>
        <v>11171.93517</v>
      </c>
      <c r="F13" s="79">
        <f t="shared" si="7"/>
        <v>82393.95942</v>
      </c>
      <c r="G13" s="79">
        <f t="shared" si="8"/>
        <v>8806.040581</v>
      </c>
      <c r="H13" s="79">
        <f t="shared" si="9"/>
        <v>91200</v>
      </c>
      <c r="I13" s="611">
        <f t="shared" si="10"/>
        <v>2725606.041</v>
      </c>
      <c r="J13" s="610">
        <v>0.1</v>
      </c>
      <c r="K13" s="591"/>
      <c r="L13" s="6"/>
      <c r="M13" s="9">
        <v>14000.0</v>
      </c>
      <c r="N13" s="79">
        <f t="shared" si="11"/>
        <v>112000</v>
      </c>
      <c r="O13" s="6">
        <f t="shared" si="2"/>
        <v>83657.95942</v>
      </c>
      <c r="P13" s="6">
        <f t="shared" si="3"/>
        <v>101.534093</v>
      </c>
      <c r="Q13" s="6"/>
      <c r="R13" s="6">
        <f t="shared" si="12"/>
        <v>11329.93517</v>
      </c>
      <c r="S13" s="6">
        <f t="shared" si="13"/>
        <v>83657.95942</v>
      </c>
      <c r="T13" s="81">
        <f t="shared" si="4"/>
        <v>950.0065171</v>
      </c>
      <c r="U13" s="6"/>
      <c r="V13" s="6"/>
      <c r="W13" s="6"/>
      <c r="X13" s="6"/>
      <c r="Y13" s="6"/>
    </row>
    <row r="14" ht="11.25" customHeight="1">
      <c r="A14" s="38"/>
      <c r="B14" s="39">
        <f t="shared" si="5"/>
        <v>9</v>
      </c>
      <c r="C14" s="40">
        <v>11400.0</v>
      </c>
      <c r="D14" s="79">
        <f t="shared" si="6"/>
        <v>227.1338367</v>
      </c>
      <c r="E14" s="79">
        <f t="shared" si="1"/>
        <v>11172.86616</v>
      </c>
      <c r="F14" s="79">
        <f t="shared" si="7"/>
        <v>93566.82558</v>
      </c>
      <c r="G14" s="79">
        <f t="shared" si="8"/>
        <v>9033.174418</v>
      </c>
      <c r="H14" s="79">
        <f t="shared" si="9"/>
        <v>102600</v>
      </c>
      <c r="I14" s="611">
        <f t="shared" si="10"/>
        <v>2714433.174</v>
      </c>
      <c r="J14" s="610">
        <v>0.1</v>
      </c>
      <c r="K14" s="591"/>
      <c r="L14" s="6"/>
      <c r="M14" s="9">
        <v>14000.0</v>
      </c>
      <c r="N14" s="79">
        <f t="shared" si="11"/>
        <v>126000</v>
      </c>
      <c r="O14" s="6">
        <f t="shared" si="2"/>
        <v>94988.82558</v>
      </c>
      <c r="P14" s="6">
        <f t="shared" si="3"/>
        <v>101.5197694</v>
      </c>
      <c r="Q14" s="6"/>
      <c r="R14" s="6">
        <f t="shared" si="12"/>
        <v>11330.86616</v>
      </c>
      <c r="S14" s="6">
        <f t="shared" si="13"/>
        <v>94988.82558</v>
      </c>
      <c r="T14" s="81">
        <f t="shared" si="4"/>
        <v>1051.555314</v>
      </c>
      <c r="U14" s="6"/>
      <c r="V14" s="6"/>
      <c r="W14" s="6"/>
      <c r="X14" s="6"/>
      <c r="Y14" s="6"/>
    </row>
    <row r="15" ht="11.25" customHeight="1">
      <c r="A15" s="38"/>
      <c r="B15" s="39">
        <f t="shared" si="5"/>
        <v>10</v>
      </c>
      <c r="C15" s="40">
        <v>14300.0</v>
      </c>
      <c r="D15" s="79">
        <f t="shared" si="6"/>
        <v>226.2027645</v>
      </c>
      <c r="E15" s="79">
        <f t="shared" si="1"/>
        <v>14073.79724</v>
      </c>
      <c r="F15" s="79">
        <f t="shared" si="7"/>
        <v>107640.6228</v>
      </c>
      <c r="G15" s="79">
        <f t="shared" si="8"/>
        <v>9259.377182</v>
      </c>
      <c r="H15" s="79">
        <f t="shared" si="9"/>
        <v>116900</v>
      </c>
      <c r="I15" s="611">
        <f t="shared" si="10"/>
        <v>2700359.377</v>
      </c>
      <c r="J15" s="610">
        <v>0.1</v>
      </c>
      <c r="K15" s="591"/>
      <c r="L15" s="6"/>
      <c r="M15" s="9">
        <v>14000.0</v>
      </c>
      <c r="N15" s="79">
        <f t="shared" si="11"/>
        <v>140000</v>
      </c>
      <c r="O15" s="6">
        <f t="shared" si="2"/>
        <v>106320.6228</v>
      </c>
      <c r="P15" s="6">
        <f t="shared" si="3"/>
        <v>98.77369717</v>
      </c>
      <c r="Q15" s="6"/>
      <c r="R15" s="6">
        <f t="shared" si="12"/>
        <v>11331.79724</v>
      </c>
      <c r="S15" s="6">
        <f t="shared" si="13"/>
        <v>106320.6228</v>
      </c>
      <c r="T15" s="81">
        <f t="shared" si="4"/>
        <v>1148.248103</v>
      </c>
      <c r="U15" s="6"/>
      <c r="V15" s="6"/>
      <c r="W15" s="6"/>
      <c r="X15" s="6"/>
      <c r="Y15" s="6"/>
    </row>
    <row r="16" ht="11.25" customHeight="1">
      <c r="A16" s="38"/>
      <c r="B16" s="39">
        <f t="shared" si="5"/>
        <v>11</v>
      </c>
      <c r="C16" s="40">
        <v>300000.0</v>
      </c>
      <c r="D16" s="79">
        <f t="shared" si="6"/>
        <v>225.0299481</v>
      </c>
      <c r="E16" s="79">
        <f t="shared" si="1"/>
        <v>299774.9701</v>
      </c>
      <c r="F16" s="79">
        <f t="shared" si="7"/>
        <v>407415.5929</v>
      </c>
      <c r="G16" s="79">
        <f t="shared" si="8"/>
        <v>9484.40713</v>
      </c>
      <c r="H16" s="79">
        <f t="shared" si="9"/>
        <v>416900</v>
      </c>
      <c r="I16" s="611">
        <f t="shared" si="10"/>
        <v>2400584.407</v>
      </c>
      <c r="J16" s="610">
        <v>0.1</v>
      </c>
      <c r="K16" s="591"/>
      <c r="L16" s="6"/>
      <c r="M16" s="9">
        <v>14000.0</v>
      </c>
      <c r="N16" s="79">
        <f t="shared" si="11"/>
        <v>154000</v>
      </c>
      <c r="O16" s="6">
        <f t="shared" si="2"/>
        <v>117653.5929</v>
      </c>
      <c r="P16" s="6">
        <f t="shared" si="3"/>
        <v>28.87802895</v>
      </c>
      <c r="Q16" s="6"/>
      <c r="R16" s="6">
        <f t="shared" si="12"/>
        <v>11332.97005</v>
      </c>
      <c r="S16" s="6">
        <f t="shared" si="13"/>
        <v>117653.5929</v>
      </c>
      <c r="T16" s="81">
        <f t="shared" si="4"/>
        <v>1240.494965</v>
      </c>
      <c r="U16" s="6"/>
      <c r="V16" s="6"/>
      <c r="W16" s="6"/>
      <c r="X16" s="6"/>
      <c r="Y16" s="6"/>
    </row>
    <row r="17" ht="11.25" customHeight="1">
      <c r="A17" s="47">
        <v>43040.0</v>
      </c>
      <c r="B17" s="48">
        <f t="shared" si="5"/>
        <v>12</v>
      </c>
      <c r="C17" s="40">
        <v>151000.0</v>
      </c>
      <c r="D17" s="90">
        <f t="shared" si="6"/>
        <v>200.0487006</v>
      </c>
      <c r="E17" s="90">
        <f t="shared" si="1"/>
        <v>150799.9513</v>
      </c>
      <c r="F17" s="90">
        <f t="shared" si="7"/>
        <v>558215.5442</v>
      </c>
      <c r="G17" s="90">
        <f t="shared" si="8"/>
        <v>9684.455831</v>
      </c>
      <c r="H17" s="90">
        <f t="shared" si="9"/>
        <v>567900</v>
      </c>
      <c r="I17" s="613">
        <f t="shared" si="10"/>
        <v>2249784.456</v>
      </c>
      <c r="J17" s="610">
        <v>0.1</v>
      </c>
      <c r="K17" s="591"/>
      <c r="L17" s="6"/>
      <c r="M17" s="75">
        <v>15000.0</v>
      </c>
      <c r="N17" s="79">
        <f t="shared" si="11"/>
        <v>169000</v>
      </c>
      <c r="O17" s="6">
        <f t="shared" si="2"/>
        <v>130011.5442</v>
      </c>
      <c r="P17" s="6">
        <f t="shared" si="3"/>
        <v>23.29056321</v>
      </c>
      <c r="Q17" s="6"/>
      <c r="R17" s="6">
        <f t="shared" si="12"/>
        <v>12357.9513</v>
      </c>
      <c r="S17" s="6">
        <f t="shared" si="13"/>
        <v>130011.5442</v>
      </c>
      <c r="T17" s="81">
        <f t="shared" si="4"/>
        <v>1342.476505</v>
      </c>
      <c r="U17" s="6"/>
      <c r="V17" s="6"/>
      <c r="W17" s="6"/>
      <c r="X17" s="6"/>
      <c r="Y17" s="6"/>
    </row>
    <row r="18" ht="11.25" customHeight="1">
      <c r="A18" s="623">
        <v>2.0</v>
      </c>
      <c r="B18" s="39">
        <f t="shared" si="5"/>
        <v>13</v>
      </c>
      <c r="C18" s="40">
        <v>16700.0</v>
      </c>
      <c r="D18" s="79">
        <f t="shared" si="6"/>
        <v>7311.799481</v>
      </c>
      <c r="E18" s="79">
        <f t="shared" si="1"/>
        <v>9388.200519</v>
      </c>
      <c r="F18" s="79">
        <f t="shared" si="7"/>
        <v>567603.7447</v>
      </c>
      <c r="G18" s="79">
        <f t="shared" si="8"/>
        <v>16996.25531</v>
      </c>
      <c r="H18" s="79">
        <f t="shared" si="9"/>
        <v>584600</v>
      </c>
      <c r="I18" s="611">
        <f t="shared" si="10"/>
        <v>2240396.255</v>
      </c>
      <c r="J18" s="620">
        <v>3.9</v>
      </c>
      <c r="K18" s="591"/>
      <c r="L18" s="6"/>
      <c r="M18" s="75">
        <v>15000.0</v>
      </c>
      <c r="N18" s="79">
        <f t="shared" si="11"/>
        <v>184000</v>
      </c>
      <c r="O18" s="6">
        <f t="shared" si="2"/>
        <v>135257.7447</v>
      </c>
      <c r="P18" s="6">
        <f t="shared" si="3"/>
        <v>23.82960753</v>
      </c>
      <c r="Q18" s="6"/>
      <c r="R18" s="6">
        <f t="shared" si="12"/>
        <v>5246.200519</v>
      </c>
      <c r="S18" s="6">
        <f t="shared" si="13"/>
        <v>135257.7447</v>
      </c>
      <c r="T18" s="81">
        <f t="shared" si="4"/>
        <v>795.8090897</v>
      </c>
      <c r="U18" s="6"/>
      <c r="V18" s="6"/>
      <c r="W18" s="6"/>
      <c r="X18" s="6"/>
      <c r="Y18" s="6"/>
    </row>
    <row r="19" ht="11.25" customHeight="1">
      <c r="A19" s="54">
        <v>43101.0</v>
      </c>
      <c r="B19" s="39">
        <f t="shared" si="5"/>
        <v>14</v>
      </c>
      <c r="C19" s="40">
        <v>16700.0</v>
      </c>
      <c r="D19" s="79">
        <f t="shared" si="6"/>
        <v>7281.28783</v>
      </c>
      <c r="E19" s="79">
        <f t="shared" si="1"/>
        <v>9418.71217</v>
      </c>
      <c r="F19" s="79">
        <f t="shared" si="7"/>
        <v>577022.4569</v>
      </c>
      <c r="G19" s="79">
        <f t="shared" si="8"/>
        <v>24277.54314</v>
      </c>
      <c r="H19" s="79">
        <f t="shared" si="9"/>
        <v>601300</v>
      </c>
      <c r="I19" s="611">
        <f t="shared" si="10"/>
        <v>2230977.543</v>
      </c>
      <c r="J19" s="620">
        <v>3.9</v>
      </c>
      <c r="K19" s="591"/>
      <c r="L19" s="6"/>
      <c r="M19" s="75">
        <v>15000.0</v>
      </c>
      <c r="N19" s="79">
        <f t="shared" si="11"/>
        <v>199000</v>
      </c>
      <c r="O19" s="6">
        <f t="shared" si="2"/>
        <v>140534.4569</v>
      </c>
      <c r="P19" s="6">
        <f t="shared" si="3"/>
        <v>24.35511048</v>
      </c>
      <c r="Q19" s="6"/>
      <c r="R19" s="6">
        <f t="shared" si="12"/>
        <v>5276.71217</v>
      </c>
      <c r="S19" s="6">
        <f t="shared" si="13"/>
        <v>140534.4569</v>
      </c>
      <c r="T19" s="81">
        <f t="shared" si="4"/>
        <v>578.8660576</v>
      </c>
      <c r="U19" s="6"/>
      <c r="V19" s="6"/>
      <c r="W19" s="6"/>
      <c r="X19" s="6"/>
      <c r="Y19" s="6"/>
    </row>
    <row r="20" ht="11.25" customHeight="1">
      <c r="A20" s="38"/>
      <c r="B20" s="39">
        <f t="shared" si="5"/>
        <v>15</v>
      </c>
      <c r="C20" s="40">
        <v>16700.0</v>
      </c>
      <c r="D20" s="79">
        <f t="shared" si="6"/>
        <v>7250.677015</v>
      </c>
      <c r="E20" s="79">
        <f t="shared" si="1"/>
        <v>9449.322985</v>
      </c>
      <c r="F20" s="79">
        <f t="shared" si="7"/>
        <v>586471.7798</v>
      </c>
      <c r="G20" s="79">
        <f t="shared" si="8"/>
        <v>31528.22016</v>
      </c>
      <c r="H20" s="79">
        <f t="shared" si="9"/>
        <v>618000</v>
      </c>
      <c r="I20" s="611">
        <f t="shared" si="10"/>
        <v>2221528.22</v>
      </c>
      <c r="J20" s="620">
        <v>3.9</v>
      </c>
      <c r="K20" s="591"/>
      <c r="L20" s="6"/>
      <c r="M20" s="75">
        <v>15000.0</v>
      </c>
      <c r="N20" s="79">
        <f t="shared" si="11"/>
        <v>214000</v>
      </c>
      <c r="O20" s="6">
        <f t="shared" si="2"/>
        <v>145841.7798</v>
      </c>
      <c r="P20" s="6">
        <f t="shared" si="3"/>
        <v>24.86765516</v>
      </c>
      <c r="Q20" s="6"/>
      <c r="R20" s="6">
        <f t="shared" si="12"/>
        <v>5307.322985</v>
      </c>
      <c r="S20" s="6">
        <f t="shared" si="13"/>
        <v>145841.7798</v>
      </c>
      <c r="T20" s="81">
        <f t="shared" si="4"/>
        <v>462.5753662</v>
      </c>
      <c r="U20" s="6"/>
      <c r="V20" s="6"/>
      <c r="W20" s="6"/>
      <c r="X20" s="6"/>
      <c r="Y20" s="6"/>
    </row>
    <row r="21" ht="11.25" customHeight="1">
      <c r="A21" s="38"/>
      <c r="B21" s="39">
        <f t="shared" si="5"/>
        <v>16</v>
      </c>
      <c r="C21" s="40">
        <v>16700.0</v>
      </c>
      <c r="D21" s="79">
        <f t="shared" si="6"/>
        <v>7219.966716</v>
      </c>
      <c r="E21" s="79">
        <f t="shared" si="1"/>
        <v>9480.033284</v>
      </c>
      <c r="F21" s="79">
        <f t="shared" si="7"/>
        <v>595951.8131</v>
      </c>
      <c r="G21" s="79">
        <f t="shared" si="8"/>
        <v>38748.18687</v>
      </c>
      <c r="H21" s="79">
        <f t="shared" si="9"/>
        <v>634700</v>
      </c>
      <c r="I21" s="611">
        <f t="shared" si="10"/>
        <v>2212048.187</v>
      </c>
      <c r="J21" s="620">
        <v>3.9</v>
      </c>
      <c r="K21" s="591"/>
      <c r="L21" s="6"/>
      <c r="M21" s="75">
        <v>15000.0</v>
      </c>
      <c r="N21" s="79">
        <f t="shared" si="11"/>
        <v>229000</v>
      </c>
      <c r="O21" s="6">
        <f t="shared" si="2"/>
        <v>151179.8131</v>
      </c>
      <c r="P21" s="6">
        <f t="shared" si="3"/>
        <v>25.36779146</v>
      </c>
      <c r="Q21" s="6"/>
      <c r="R21" s="6">
        <f t="shared" si="12"/>
        <v>5338.033284</v>
      </c>
      <c r="S21" s="6">
        <f t="shared" si="13"/>
        <v>151179.8131</v>
      </c>
      <c r="T21" s="81">
        <f t="shared" si="4"/>
        <v>390.159709</v>
      </c>
      <c r="U21" s="6"/>
      <c r="V21" s="6"/>
      <c r="W21" s="6"/>
      <c r="X21" s="6"/>
      <c r="Y21" s="6"/>
    </row>
    <row r="22" ht="11.25" customHeight="1">
      <c r="A22" s="38"/>
      <c r="B22" s="39">
        <f t="shared" si="5"/>
        <v>17</v>
      </c>
      <c r="C22" s="40">
        <v>16700.0</v>
      </c>
      <c r="D22" s="79">
        <f t="shared" si="6"/>
        <v>7189.156607</v>
      </c>
      <c r="E22" s="79">
        <f t="shared" si="1"/>
        <v>9510.843393</v>
      </c>
      <c r="F22" s="79">
        <f t="shared" si="7"/>
        <v>605462.6565</v>
      </c>
      <c r="G22" s="79">
        <f t="shared" si="8"/>
        <v>45937.34348</v>
      </c>
      <c r="H22" s="79">
        <f t="shared" si="9"/>
        <v>651400</v>
      </c>
      <c r="I22" s="611">
        <f t="shared" si="10"/>
        <v>2202537.343</v>
      </c>
      <c r="J22" s="620">
        <v>3.9</v>
      </c>
      <c r="K22" s="591"/>
      <c r="L22" s="6"/>
      <c r="M22" s="75">
        <v>15000.0</v>
      </c>
      <c r="N22" s="79">
        <f t="shared" si="11"/>
        <v>244000</v>
      </c>
      <c r="O22" s="6">
        <f t="shared" si="2"/>
        <v>156548.6565</v>
      </c>
      <c r="P22" s="6">
        <f t="shared" si="3"/>
        <v>25.85603833</v>
      </c>
      <c r="Q22" s="6"/>
      <c r="R22" s="6">
        <f t="shared" si="12"/>
        <v>5368.843393</v>
      </c>
      <c r="S22" s="6">
        <f t="shared" si="13"/>
        <v>156548.6565</v>
      </c>
      <c r="T22" s="81">
        <f t="shared" si="4"/>
        <v>340.7873522</v>
      </c>
      <c r="U22" s="6"/>
      <c r="V22" s="6"/>
      <c r="W22" s="6"/>
      <c r="X22" s="6"/>
      <c r="Y22" s="6"/>
    </row>
    <row r="23" ht="11.25" customHeight="1">
      <c r="A23" s="38"/>
      <c r="B23" s="39">
        <f t="shared" si="5"/>
        <v>18</v>
      </c>
      <c r="C23" s="40">
        <v>16700.0</v>
      </c>
      <c r="D23" s="79">
        <f t="shared" si="6"/>
        <v>7158.246366</v>
      </c>
      <c r="E23" s="79">
        <f t="shared" si="1"/>
        <v>9541.753634</v>
      </c>
      <c r="F23" s="79">
        <f t="shared" si="7"/>
        <v>615004.4102</v>
      </c>
      <c r="G23" s="79">
        <f t="shared" si="8"/>
        <v>53095.58985</v>
      </c>
      <c r="H23" s="79">
        <f t="shared" si="9"/>
        <v>668100</v>
      </c>
      <c r="I23" s="611">
        <f t="shared" si="10"/>
        <v>2192995.59</v>
      </c>
      <c r="J23" s="620">
        <v>3.9</v>
      </c>
      <c r="K23" s="591"/>
      <c r="L23" s="6"/>
      <c r="M23" s="75">
        <v>15000.0</v>
      </c>
      <c r="N23" s="79">
        <f t="shared" si="11"/>
        <v>259000</v>
      </c>
      <c r="O23" s="6">
        <f t="shared" si="2"/>
        <v>161948.4102</v>
      </c>
      <c r="P23" s="6">
        <f t="shared" si="3"/>
        <v>26.33288599</v>
      </c>
      <c r="Q23" s="6"/>
      <c r="R23" s="6">
        <f t="shared" si="12"/>
        <v>5399.753634</v>
      </c>
      <c r="S23" s="6">
        <f t="shared" si="13"/>
        <v>161948.4102</v>
      </c>
      <c r="T23" s="81">
        <f t="shared" si="4"/>
        <v>305.0129222</v>
      </c>
      <c r="U23" s="6"/>
      <c r="V23" s="6"/>
      <c r="W23" s="6"/>
      <c r="X23" s="6"/>
      <c r="Y23" s="6"/>
    </row>
    <row r="24" ht="11.25" customHeight="1">
      <c r="A24" s="38"/>
      <c r="B24" s="39">
        <f t="shared" si="5"/>
        <v>19</v>
      </c>
      <c r="C24" s="40">
        <v>16700.0</v>
      </c>
      <c r="D24" s="79">
        <f t="shared" si="6"/>
        <v>7127.235667</v>
      </c>
      <c r="E24" s="79">
        <f t="shared" si="1"/>
        <v>9572.764333</v>
      </c>
      <c r="F24" s="79">
        <f t="shared" si="7"/>
        <v>624577.1745</v>
      </c>
      <c r="G24" s="79">
        <f t="shared" si="8"/>
        <v>60222.82551</v>
      </c>
      <c r="H24" s="79">
        <f t="shared" si="9"/>
        <v>684800</v>
      </c>
      <c r="I24" s="611">
        <f t="shared" si="10"/>
        <v>2183422.826</v>
      </c>
      <c r="J24" s="620">
        <v>3.9</v>
      </c>
      <c r="K24" s="591"/>
      <c r="L24" s="6"/>
      <c r="M24" s="75">
        <v>15000.0</v>
      </c>
      <c r="N24" s="79">
        <f t="shared" si="11"/>
        <v>274000</v>
      </c>
      <c r="O24" s="6">
        <f t="shared" si="2"/>
        <v>167379.1745</v>
      </c>
      <c r="P24" s="6">
        <f t="shared" si="3"/>
        <v>26.79879786</v>
      </c>
      <c r="Q24" s="6"/>
      <c r="R24" s="6">
        <f t="shared" si="12"/>
        <v>5430.764333</v>
      </c>
      <c r="S24" s="6">
        <f t="shared" si="13"/>
        <v>167379.1745</v>
      </c>
      <c r="T24" s="81">
        <f t="shared" si="4"/>
        <v>277.9331143</v>
      </c>
      <c r="U24" s="6"/>
      <c r="V24" s="6"/>
      <c r="W24" s="6"/>
      <c r="X24" s="6"/>
      <c r="Y24" s="6"/>
    </row>
    <row r="25" ht="11.25" customHeight="1">
      <c r="A25" s="38"/>
      <c r="B25" s="39">
        <f t="shared" si="5"/>
        <v>20</v>
      </c>
      <c r="C25" s="40">
        <v>16700.0</v>
      </c>
      <c r="D25" s="79">
        <f t="shared" si="6"/>
        <v>7096.124183</v>
      </c>
      <c r="E25" s="79">
        <f t="shared" si="1"/>
        <v>9603.875817</v>
      </c>
      <c r="F25" s="79">
        <f t="shared" si="7"/>
        <v>634181.0503</v>
      </c>
      <c r="G25" s="79">
        <f t="shared" si="8"/>
        <v>67318.9497</v>
      </c>
      <c r="H25" s="79">
        <f t="shared" si="9"/>
        <v>701500</v>
      </c>
      <c r="I25" s="611">
        <f t="shared" si="10"/>
        <v>2173818.95</v>
      </c>
      <c r="J25" s="620">
        <v>3.9</v>
      </c>
      <c r="K25" s="591"/>
      <c r="L25" s="6"/>
      <c r="M25" s="75">
        <v>15000.0</v>
      </c>
      <c r="N25" s="79">
        <f t="shared" si="11"/>
        <v>289000</v>
      </c>
      <c r="O25" s="6">
        <f t="shared" si="2"/>
        <v>172841.0503</v>
      </c>
      <c r="P25" s="6">
        <f t="shared" si="3"/>
        <v>27.25421238</v>
      </c>
      <c r="Q25" s="6"/>
      <c r="R25" s="6">
        <f t="shared" si="12"/>
        <v>5461.875817</v>
      </c>
      <c r="S25" s="6">
        <f t="shared" si="13"/>
        <v>172841.0503</v>
      </c>
      <c r="T25" s="81">
        <f t="shared" si="4"/>
        <v>256.7494756</v>
      </c>
      <c r="U25" s="6"/>
      <c r="V25" s="6"/>
      <c r="W25" s="6"/>
      <c r="X25" s="6"/>
      <c r="Y25" s="6"/>
    </row>
    <row r="26" ht="11.25" customHeight="1">
      <c r="A26" s="38"/>
      <c r="B26" s="39">
        <f t="shared" si="5"/>
        <v>21</v>
      </c>
      <c r="C26" s="40">
        <v>16700.0</v>
      </c>
      <c r="D26" s="79">
        <f t="shared" si="6"/>
        <v>7064.911587</v>
      </c>
      <c r="E26" s="79">
        <f t="shared" si="1"/>
        <v>9635.088413</v>
      </c>
      <c r="F26" s="79">
        <f t="shared" si="7"/>
        <v>643816.1387</v>
      </c>
      <c r="G26" s="79">
        <f t="shared" si="8"/>
        <v>74383.86128</v>
      </c>
      <c r="H26" s="79">
        <f t="shared" si="9"/>
        <v>718200</v>
      </c>
      <c r="I26" s="611">
        <f t="shared" si="10"/>
        <v>2164183.861</v>
      </c>
      <c r="J26" s="620">
        <v>3.9</v>
      </c>
      <c r="K26" s="591"/>
      <c r="L26" s="6"/>
      <c r="M26" s="75">
        <v>15000.0</v>
      </c>
      <c r="N26" s="79">
        <f t="shared" si="11"/>
        <v>304000</v>
      </c>
      <c r="O26" s="6">
        <f t="shared" si="2"/>
        <v>178334.1387</v>
      </c>
      <c r="P26" s="6">
        <f t="shared" si="3"/>
        <v>27.69954464</v>
      </c>
      <c r="Q26" s="6"/>
      <c r="R26" s="6">
        <f t="shared" si="12"/>
        <v>5493.088413</v>
      </c>
      <c r="S26" s="6">
        <f t="shared" si="13"/>
        <v>178334.1387</v>
      </c>
      <c r="T26" s="81">
        <f t="shared" si="4"/>
        <v>239.7484288</v>
      </c>
      <c r="U26" s="6"/>
      <c r="V26" s="6"/>
      <c r="W26" s="6"/>
      <c r="X26" s="6"/>
      <c r="Y26" s="6"/>
    </row>
    <row r="27" ht="11.25" customHeight="1">
      <c r="A27" s="38"/>
      <c r="B27" s="39">
        <f t="shared" si="5"/>
        <v>22</v>
      </c>
      <c r="C27" s="40">
        <v>16700.0</v>
      </c>
      <c r="D27" s="79">
        <f t="shared" si="6"/>
        <v>7033.597549</v>
      </c>
      <c r="E27" s="79">
        <f t="shared" si="1"/>
        <v>9666.402451</v>
      </c>
      <c r="F27" s="79">
        <f t="shared" si="7"/>
        <v>653482.5412</v>
      </c>
      <c r="G27" s="79">
        <f t="shared" si="8"/>
        <v>81417.45883</v>
      </c>
      <c r="H27" s="79">
        <f t="shared" si="9"/>
        <v>734900</v>
      </c>
      <c r="I27" s="611">
        <f t="shared" si="10"/>
        <v>2154517.459</v>
      </c>
      <c r="J27" s="620">
        <v>3.9</v>
      </c>
      <c r="K27" s="591"/>
      <c r="L27" s="6"/>
      <c r="M27" s="75">
        <v>15000.0</v>
      </c>
      <c r="N27" s="79">
        <f t="shared" si="11"/>
        <v>319000</v>
      </c>
      <c r="O27" s="6">
        <f t="shared" si="2"/>
        <v>183858.5412</v>
      </c>
      <c r="P27" s="6">
        <f t="shared" si="3"/>
        <v>28.13518795</v>
      </c>
      <c r="Q27" s="6"/>
      <c r="R27" s="6">
        <f t="shared" si="12"/>
        <v>5524.402451</v>
      </c>
      <c r="S27" s="6">
        <f t="shared" si="13"/>
        <v>183858.5412</v>
      </c>
      <c r="T27" s="81">
        <f t="shared" si="4"/>
        <v>225.8220089</v>
      </c>
      <c r="U27" s="6"/>
      <c r="V27" s="6"/>
      <c r="W27" s="6"/>
      <c r="X27" s="6"/>
      <c r="Y27" s="6"/>
    </row>
    <row r="28" ht="11.25" customHeight="1">
      <c r="A28" s="56"/>
      <c r="B28" s="39">
        <f t="shared" si="5"/>
        <v>23</v>
      </c>
      <c r="C28" s="40">
        <v>16700.0</v>
      </c>
      <c r="D28" s="79">
        <f t="shared" si="6"/>
        <v>7002.181741</v>
      </c>
      <c r="E28" s="79">
        <f t="shared" si="1"/>
        <v>9697.818259</v>
      </c>
      <c r="F28" s="79">
        <f t="shared" si="7"/>
        <v>663180.3594</v>
      </c>
      <c r="G28" s="79">
        <f t="shared" si="8"/>
        <v>88419.64057</v>
      </c>
      <c r="H28" s="79">
        <f t="shared" si="9"/>
        <v>751600</v>
      </c>
      <c r="I28" s="611">
        <f t="shared" si="10"/>
        <v>2144819.641</v>
      </c>
      <c r="J28" s="620">
        <v>3.9</v>
      </c>
      <c r="K28" s="591"/>
      <c r="L28" s="6"/>
      <c r="M28" s="75">
        <v>15000.0</v>
      </c>
      <c r="N28" s="79">
        <f t="shared" si="11"/>
        <v>334000</v>
      </c>
      <c r="O28" s="6">
        <f t="shared" si="2"/>
        <v>189414.3594</v>
      </c>
      <c r="P28" s="6">
        <f t="shared" si="3"/>
        <v>28.56151524</v>
      </c>
      <c r="Q28" s="6"/>
      <c r="R28" s="6">
        <f t="shared" si="12"/>
        <v>5555.818259</v>
      </c>
      <c r="S28" s="6">
        <f t="shared" si="13"/>
        <v>189414.3594</v>
      </c>
      <c r="T28" s="81">
        <f t="shared" si="4"/>
        <v>214.2220418</v>
      </c>
      <c r="U28" s="6"/>
      <c r="V28" s="6"/>
      <c r="W28" s="6"/>
      <c r="X28" s="6"/>
      <c r="Y28" s="6"/>
    </row>
    <row r="29" ht="11.25" customHeight="1">
      <c r="A29" s="57"/>
      <c r="B29" s="48">
        <f t="shared" si="5"/>
        <v>24</v>
      </c>
      <c r="C29" s="40">
        <v>16700.0</v>
      </c>
      <c r="D29" s="90">
        <f t="shared" si="6"/>
        <v>6970.663832</v>
      </c>
      <c r="E29" s="90">
        <f t="shared" si="1"/>
        <v>9729.336168</v>
      </c>
      <c r="F29" s="90">
        <f t="shared" si="7"/>
        <v>672909.6956</v>
      </c>
      <c r="G29" s="90">
        <f t="shared" si="8"/>
        <v>95390.30441</v>
      </c>
      <c r="H29" s="90">
        <f t="shared" si="9"/>
        <v>768300</v>
      </c>
      <c r="I29" s="613">
        <f t="shared" si="10"/>
        <v>2135090.304</v>
      </c>
      <c r="J29" s="620">
        <v>3.9</v>
      </c>
      <c r="K29" s="591"/>
      <c r="L29" s="6"/>
      <c r="M29" s="9">
        <v>14000.0</v>
      </c>
      <c r="N29" s="79">
        <f t="shared" si="11"/>
        <v>348000</v>
      </c>
      <c r="O29" s="6">
        <f t="shared" si="2"/>
        <v>194001.6956</v>
      </c>
      <c r="P29" s="6">
        <f t="shared" si="3"/>
        <v>28.83027201</v>
      </c>
      <c r="Q29" s="6"/>
      <c r="R29" s="6">
        <f t="shared" si="12"/>
        <v>4587.336168</v>
      </c>
      <c r="S29" s="6">
        <f t="shared" si="13"/>
        <v>194001.6956</v>
      </c>
      <c r="T29" s="81">
        <f t="shared" si="4"/>
        <v>203.3767444</v>
      </c>
      <c r="U29" s="6"/>
      <c r="V29" s="6"/>
      <c r="W29" s="6"/>
      <c r="X29" s="6"/>
      <c r="Y29" s="6"/>
    </row>
    <row r="30" ht="11.25" customHeight="1">
      <c r="A30" s="623">
        <v>3.0</v>
      </c>
      <c r="B30" s="39">
        <f t="shared" si="5"/>
        <v>25</v>
      </c>
      <c r="C30" s="40">
        <v>17900.0</v>
      </c>
      <c r="D30" s="79">
        <f t="shared" si="6"/>
        <v>8451.399122</v>
      </c>
      <c r="E30" s="79">
        <f t="shared" si="1"/>
        <v>9448.600878</v>
      </c>
      <c r="F30" s="79">
        <f t="shared" si="7"/>
        <v>682358.2965</v>
      </c>
      <c r="G30" s="79">
        <f t="shared" si="8"/>
        <v>103841.7035</v>
      </c>
      <c r="H30" s="79">
        <f t="shared" si="9"/>
        <v>786200</v>
      </c>
      <c r="I30" s="611">
        <f t="shared" si="10"/>
        <v>2125641.704</v>
      </c>
      <c r="J30" s="620">
        <v>4.75</v>
      </c>
      <c r="K30" s="591"/>
      <c r="L30" s="6"/>
      <c r="M30" s="75">
        <v>13700.0</v>
      </c>
      <c r="N30" s="79">
        <f t="shared" si="11"/>
        <v>361700</v>
      </c>
      <c r="O30" s="6">
        <f t="shared" si="2"/>
        <v>196808.2965</v>
      </c>
      <c r="P30" s="6">
        <f t="shared" si="3"/>
        <v>28.84236881</v>
      </c>
      <c r="Q30" s="6"/>
      <c r="R30" s="6">
        <f t="shared" si="12"/>
        <v>2806.600878</v>
      </c>
      <c r="S30" s="6">
        <f t="shared" si="13"/>
        <v>196808.2965</v>
      </c>
      <c r="T30" s="81">
        <f t="shared" si="4"/>
        <v>189.5272225</v>
      </c>
      <c r="U30" s="6"/>
      <c r="V30" s="6"/>
      <c r="W30" s="6"/>
      <c r="X30" s="6"/>
      <c r="Y30" s="6"/>
    </row>
    <row r="31" ht="11.25" customHeight="1">
      <c r="A31" s="54">
        <v>43466.0</v>
      </c>
      <c r="B31" s="39">
        <f t="shared" si="5"/>
        <v>26</v>
      </c>
      <c r="C31" s="40">
        <v>17900.0</v>
      </c>
      <c r="D31" s="79">
        <f t="shared" si="6"/>
        <v>8413.99841</v>
      </c>
      <c r="E31" s="79">
        <f t="shared" si="1"/>
        <v>9486.00159</v>
      </c>
      <c r="F31" s="79">
        <f t="shared" si="7"/>
        <v>691844.2981</v>
      </c>
      <c r="G31" s="79">
        <f t="shared" si="8"/>
        <v>112255.7019</v>
      </c>
      <c r="H31" s="79">
        <f t="shared" si="9"/>
        <v>804100</v>
      </c>
      <c r="I31" s="611">
        <f t="shared" si="10"/>
        <v>2116155.702</v>
      </c>
      <c r="J31" s="620">
        <v>4.75</v>
      </c>
      <c r="K31" s="591"/>
      <c r="L31" s="6"/>
      <c r="M31" s="75">
        <v>13700.0</v>
      </c>
      <c r="N31" s="79">
        <f t="shared" si="11"/>
        <v>375400</v>
      </c>
      <c r="O31" s="6">
        <f t="shared" si="2"/>
        <v>199652.2981</v>
      </c>
      <c r="P31" s="6">
        <f t="shared" si="3"/>
        <v>28.85798129</v>
      </c>
      <c r="Q31" s="6"/>
      <c r="R31" s="6">
        <f t="shared" si="12"/>
        <v>2844.00159</v>
      </c>
      <c r="S31" s="6">
        <f t="shared" si="13"/>
        <v>199652.2981</v>
      </c>
      <c r="T31" s="81">
        <f t="shared" si="4"/>
        <v>177.8549282</v>
      </c>
      <c r="U31" s="6"/>
      <c r="V31" s="6"/>
      <c r="W31" s="6"/>
      <c r="X31" s="6"/>
      <c r="Y31" s="6"/>
    </row>
    <row r="32" ht="11.25" customHeight="1">
      <c r="B32" s="63">
        <f t="shared" si="5"/>
        <v>27</v>
      </c>
      <c r="C32" s="40">
        <v>17900.0</v>
      </c>
      <c r="D32" s="79">
        <f t="shared" si="6"/>
        <v>8376.449653</v>
      </c>
      <c r="E32" s="79">
        <f t="shared" si="1"/>
        <v>9523.550347</v>
      </c>
      <c r="F32" s="79">
        <f t="shared" si="7"/>
        <v>701367.8484</v>
      </c>
      <c r="G32" s="79">
        <f t="shared" si="8"/>
        <v>120632.1516</v>
      </c>
      <c r="H32" s="79">
        <f t="shared" si="9"/>
        <v>822000</v>
      </c>
      <c r="I32" s="611">
        <f t="shared" si="10"/>
        <v>2106632.152</v>
      </c>
      <c r="J32" s="620">
        <v>4.75</v>
      </c>
      <c r="K32" s="591"/>
      <c r="L32" s="6"/>
      <c r="M32" s="75">
        <v>13700.0</v>
      </c>
      <c r="N32" s="79">
        <f t="shared" si="11"/>
        <v>389100</v>
      </c>
      <c r="O32" s="6">
        <f t="shared" si="2"/>
        <v>202533.8484</v>
      </c>
      <c r="P32" s="6">
        <f t="shared" si="3"/>
        <v>28.8769793</v>
      </c>
      <c r="Q32" s="6"/>
      <c r="R32" s="6">
        <f t="shared" si="12"/>
        <v>2881.550347</v>
      </c>
      <c r="S32" s="6">
        <f t="shared" si="13"/>
        <v>202533.8484</v>
      </c>
      <c r="T32" s="81">
        <f t="shared" si="4"/>
        <v>167.8937545</v>
      </c>
      <c r="U32" s="6"/>
      <c r="V32" s="6"/>
      <c r="W32" s="6"/>
      <c r="X32" s="6"/>
      <c r="Y32" s="6"/>
    </row>
    <row r="33" ht="11.25" customHeight="1">
      <c r="A33" s="38"/>
      <c r="B33" s="39">
        <f t="shared" si="5"/>
        <v>28</v>
      </c>
      <c r="C33" s="40">
        <v>17900.0</v>
      </c>
      <c r="D33" s="79">
        <f t="shared" si="6"/>
        <v>8338.752267</v>
      </c>
      <c r="E33" s="79">
        <f t="shared" si="1"/>
        <v>9561.247733</v>
      </c>
      <c r="F33" s="79">
        <f t="shared" si="7"/>
        <v>710929.0961</v>
      </c>
      <c r="G33" s="79">
        <f t="shared" si="8"/>
        <v>128970.9039</v>
      </c>
      <c r="H33" s="79">
        <f t="shared" si="9"/>
        <v>839900</v>
      </c>
      <c r="I33" s="611">
        <f t="shared" si="10"/>
        <v>2097070.904</v>
      </c>
      <c r="J33" s="620">
        <v>4.75</v>
      </c>
      <c r="K33" s="591"/>
      <c r="L33" s="6"/>
      <c r="M33" s="75">
        <v>13700.0</v>
      </c>
      <c r="N33" s="79">
        <f t="shared" si="11"/>
        <v>402800</v>
      </c>
      <c r="O33" s="6">
        <f t="shared" si="2"/>
        <v>205453.0961</v>
      </c>
      <c r="P33" s="6">
        <f t="shared" si="3"/>
        <v>28.89923865</v>
      </c>
      <c r="Q33" s="6"/>
      <c r="R33" s="6">
        <f t="shared" si="12"/>
        <v>2919.247733</v>
      </c>
      <c r="S33" s="6">
        <f t="shared" si="13"/>
        <v>205453.0961</v>
      </c>
      <c r="T33" s="81">
        <f t="shared" si="4"/>
        <v>159.3018968</v>
      </c>
      <c r="U33" s="6"/>
      <c r="V33" s="6"/>
      <c r="W33" s="6"/>
      <c r="X33" s="6"/>
      <c r="Y33" s="6"/>
    </row>
    <row r="34" ht="11.25" customHeight="1">
      <c r="A34" s="38"/>
      <c r="B34" s="39">
        <f t="shared" si="5"/>
        <v>29</v>
      </c>
      <c r="C34" s="40">
        <v>17900.0</v>
      </c>
      <c r="D34" s="79">
        <f t="shared" si="6"/>
        <v>8300.905661</v>
      </c>
      <c r="E34" s="79">
        <f t="shared" si="1"/>
        <v>9599.094339</v>
      </c>
      <c r="F34" s="79">
        <f t="shared" si="7"/>
        <v>720528.1905</v>
      </c>
      <c r="G34" s="79">
        <f t="shared" si="8"/>
        <v>137271.8095</v>
      </c>
      <c r="H34" s="79">
        <f t="shared" si="9"/>
        <v>857800</v>
      </c>
      <c r="I34" s="611">
        <f t="shared" si="10"/>
        <v>2087471.81</v>
      </c>
      <c r="J34" s="620">
        <v>4.75</v>
      </c>
      <c r="K34" s="591"/>
      <c r="L34" s="6"/>
      <c r="M34" s="75">
        <v>13700.0</v>
      </c>
      <c r="N34" s="79">
        <f t="shared" si="11"/>
        <v>416500</v>
      </c>
      <c r="O34" s="6">
        <f t="shared" si="2"/>
        <v>208410.1905</v>
      </c>
      <c r="P34" s="6">
        <f t="shared" si="3"/>
        <v>28.92464073</v>
      </c>
      <c r="Q34" s="6"/>
      <c r="R34" s="6">
        <f t="shared" si="12"/>
        <v>2957.094339</v>
      </c>
      <c r="S34" s="6">
        <f t="shared" si="13"/>
        <v>208410.1905</v>
      </c>
      <c r="T34" s="81">
        <f t="shared" si="4"/>
        <v>151.8230081</v>
      </c>
      <c r="U34" s="6"/>
      <c r="V34" s="6"/>
      <c r="W34" s="6"/>
      <c r="X34" s="6"/>
      <c r="Y34" s="6"/>
    </row>
    <row r="35" ht="11.25" customHeight="1">
      <c r="A35" s="38"/>
      <c r="B35" s="39">
        <f t="shared" si="5"/>
        <v>30</v>
      </c>
      <c r="C35" s="40">
        <v>17900.0</v>
      </c>
      <c r="D35" s="79">
        <f t="shared" si="6"/>
        <v>8262.909246</v>
      </c>
      <c r="E35" s="79">
        <f t="shared" si="1"/>
        <v>9637.090754</v>
      </c>
      <c r="F35" s="79">
        <f t="shared" si="7"/>
        <v>730165.2812</v>
      </c>
      <c r="G35" s="79">
        <f t="shared" si="8"/>
        <v>145534.7188</v>
      </c>
      <c r="H35" s="79">
        <f t="shared" si="9"/>
        <v>875700</v>
      </c>
      <c r="I35" s="611">
        <f t="shared" si="10"/>
        <v>2077834.719</v>
      </c>
      <c r="J35" s="620">
        <v>4.75</v>
      </c>
      <c r="K35" s="591"/>
      <c r="L35" s="6"/>
      <c r="M35" s="75">
        <v>13700.0</v>
      </c>
      <c r="N35" s="79">
        <f t="shared" si="11"/>
        <v>430200</v>
      </c>
      <c r="O35" s="6">
        <f t="shared" si="2"/>
        <v>211405.2812</v>
      </c>
      <c r="P35" s="6">
        <f t="shared" si="3"/>
        <v>28.95307222</v>
      </c>
      <c r="Q35" s="6"/>
      <c r="R35" s="6">
        <f t="shared" si="12"/>
        <v>2995.090754</v>
      </c>
      <c r="S35" s="6">
        <f t="shared" si="13"/>
        <v>211405.2812</v>
      </c>
      <c r="T35" s="81">
        <f t="shared" si="4"/>
        <v>145.2610642</v>
      </c>
      <c r="U35" s="6"/>
      <c r="V35" s="6"/>
      <c r="W35" s="6"/>
      <c r="X35" s="6"/>
      <c r="Y35" s="6"/>
    </row>
    <row r="36" ht="11.25" customHeight="1">
      <c r="A36" s="38"/>
      <c r="B36" s="39">
        <f t="shared" si="5"/>
        <v>31</v>
      </c>
      <c r="C36" s="40">
        <v>17900.0</v>
      </c>
      <c r="D36" s="79">
        <f t="shared" si="6"/>
        <v>8224.762428</v>
      </c>
      <c r="E36" s="79">
        <f t="shared" si="1"/>
        <v>9675.237572</v>
      </c>
      <c r="F36" s="79">
        <f t="shared" si="7"/>
        <v>739840.5188</v>
      </c>
      <c r="G36" s="79">
        <f t="shared" si="8"/>
        <v>153759.4812</v>
      </c>
      <c r="H36" s="79">
        <f t="shared" si="9"/>
        <v>893600</v>
      </c>
      <c r="I36" s="611">
        <f t="shared" si="10"/>
        <v>2068159.481</v>
      </c>
      <c r="J36" s="620">
        <v>4.75</v>
      </c>
      <c r="K36" s="591"/>
      <c r="L36" s="6"/>
      <c r="M36" s="75">
        <v>13700.0</v>
      </c>
      <c r="N36" s="79">
        <f t="shared" si="11"/>
        <v>443900</v>
      </c>
      <c r="O36" s="6">
        <f t="shared" si="2"/>
        <v>214438.5188</v>
      </c>
      <c r="P36" s="6">
        <f t="shared" si="3"/>
        <v>28.9844248</v>
      </c>
      <c r="Q36" s="6"/>
      <c r="R36" s="6">
        <f t="shared" si="12"/>
        <v>3033.237572</v>
      </c>
      <c r="S36" s="6">
        <f t="shared" si="13"/>
        <v>214438.5188</v>
      </c>
      <c r="T36" s="81">
        <f t="shared" si="4"/>
        <v>139.4636072</v>
      </c>
      <c r="U36" s="6"/>
      <c r="V36" s="6"/>
      <c r="W36" s="6"/>
      <c r="X36" s="6"/>
      <c r="Y36" s="6"/>
    </row>
    <row r="37" ht="11.25" customHeight="1">
      <c r="A37" s="38"/>
      <c r="B37" s="39">
        <f t="shared" si="5"/>
        <v>32</v>
      </c>
      <c r="C37" s="40">
        <v>17900.0</v>
      </c>
      <c r="D37" s="79">
        <f t="shared" si="6"/>
        <v>8186.464613</v>
      </c>
      <c r="E37" s="79">
        <f t="shared" si="1"/>
        <v>9713.535387</v>
      </c>
      <c r="F37" s="79">
        <f t="shared" si="7"/>
        <v>749554.0542</v>
      </c>
      <c r="G37" s="79">
        <f t="shared" si="8"/>
        <v>161945.9458</v>
      </c>
      <c r="H37" s="79">
        <f t="shared" si="9"/>
        <v>911500</v>
      </c>
      <c r="I37" s="611">
        <f t="shared" si="10"/>
        <v>2058445.946</v>
      </c>
      <c r="J37" s="620">
        <v>4.75</v>
      </c>
      <c r="K37" s="591"/>
      <c r="L37" s="6"/>
      <c r="M37" s="75">
        <v>13700.0</v>
      </c>
      <c r="N37" s="79">
        <f t="shared" si="11"/>
        <v>457600</v>
      </c>
      <c r="O37" s="6">
        <f t="shared" si="2"/>
        <v>217510.0542</v>
      </c>
      <c r="P37" s="6">
        <f t="shared" si="3"/>
        <v>29.01859485</v>
      </c>
      <c r="Q37" s="6"/>
      <c r="R37" s="6">
        <f t="shared" si="12"/>
        <v>3071.535387</v>
      </c>
      <c r="S37" s="6">
        <f t="shared" si="13"/>
        <v>217510.0542</v>
      </c>
      <c r="T37" s="81">
        <f t="shared" si="4"/>
        <v>134.3102806</v>
      </c>
      <c r="U37" s="6"/>
      <c r="V37" s="6"/>
      <c r="W37" s="6"/>
      <c r="X37" s="6"/>
      <c r="Y37" s="6"/>
    </row>
    <row r="38" ht="11.25" customHeight="1">
      <c r="A38" s="38"/>
      <c r="B38" s="39">
        <f t="shared" si="5"/>
        <v>33</v>
      </c>
      <c r="C38" s="40">
        <v>17900.0</v>
      </c>
      <c r="D38" s="79">
        <f t="shared" si="6"/>
        <v>8148.015202</v>
      </c>
      <c r="E38" s="79">
        <f t="shared" si="1"/>
        <v>9751.984798</v>
      </c>
      <c r="F38" s="79">
        <f t="shared" si="7"/>
        <v>759306.039</v>
      </c>
      <c r="G38" s="79">
        <f t="shared" si="8"/>
        <v>170093.961</v>
      </c>
      <c r="H38" s="79">
        <f t="shared" si="9"/>
        <v>929400</v>
      </c>
      <c r="I38" s="611">
        <f t="shared" si="10"/>
        <v>2048693.961</v>
      </c>
      <c r="J38" s="620">
        <v>4.75</v>
      </c>
      <c r="K38" s="591"/>
      <c r="L38" s="6"/>
      <c r="M38" s="75">
        <v>13700.0</v>
      </c>
      <c r="N38" s="79">
        <f t="shared" si="11"/>
        <v>471300</v>
      </c>
      <c r="O38" s="6">
        <f t="shared" si="2"/>
        <v>220620.039</v>
      </c>
      <c r="P38" s="6">
        <f t="shared" si="3"/>
        <v>29.05548325</v>
      </c>
      <c r="Q38" s="6"/>
      <c r="R38" s="6">
        <f t="shared" si="12"/>
        <v>3109.984798</v>
      </c>
      <c r="S38" s="6">
        <f t="shared" si="13"/>
        <v>220620.039</v>
      </c>
      <c r="T38" s="81">
        <f t="shared" si="4"/>
        <v>129.7048041</v>
      </c>
      <c r="U38" s="6"/>
      <c r="V38" s="6"/>
      <c r="W38" s="6"/>
      <c r="X38" s="6"/>
      <c r="Y38" s="6"/>
    </row>
    <row r="39" ht="11.25" customHeight="1">
      <c r="A39" s="38"/>
      <c r="B39" s="39">
        <f t="shared" si="5"/>
        <v>34</v>
      </c>
      <c r="C39" s="40">
        <v>17900.0</v>
      </c>
      <c r="D39" s="79">
        <f t="shared" si="6"/>
        <v>7682.602354</v>
      </c>
      <c r="E39" s="79">
        <f t="shared" si="1"/>
        <v>10217.39765</v>
      </c>
      <c r="F39" s="79">
        <f t="shared" si="7"/>
        <v>769523.4366</v>
      </c>
      <c r="G39" s="79">
        <f t="shared" si="8"/>
        <v>177776.5634</v>
      </c>
      <c r="H39" s="79">
        <f t="shared" si="9"/>
        <v>947300</v>
      </c>
      <c r="I39" s="611">
        <f t="shared" si="10"/>
        <v>2038476.563</v>
      </c>
      <c r="J39" s="620">
        <v>4.5</v>
      </c>
      <c r="K39" s="591"/>
      <c r="L39" s="6"/>
      <c r="M39" s="75">
        <v>13700.0</v>
      </c>
      <c r="N39" s="79">
        <f t="shared" si="11"/>
        <v>485000</v>
      </c>
      <c r="O39" s="6">
        <f t="shared" si="2"/>
        <v>224195.4366</v>
      </c>
      <c r="P39" s="6">
        <f t="shared" si="3"/>
        <v>29.1343221</v>
      </c>
      <c r="Q39" s="6"/>
      <c r="R39" s="6">
        <f t="shared" si="12"/>
        <v>3575.397646</v>
      </c>
      <c r="S39" s="6">
        <f t="shared" si="13"/>
        <v>224195.4366</v>
      </c>
      <c r="T39" s="81">
        <f t="shared" si="4"/>
        <v>126.1107946</v>
      </c>
      <c r="U39" s="6"/>
      <c r="V39" s="6"/>
      <c r="W39" s="6"/>
      <c r="X39" s="6"/>
      <c r="Y39" s="6"/>
    </row>
    <row r="40" ht="11.25" customHeight="1">
      <c r="A40" s="64" t="s">
        <v>2621</v>
      </c>
      <c r="B40" s="39">
        <f t="shared" si="5"/>
        <v>35</v>
      </c>
      <c r="C40" s="40">
        <v>17900.0</v>
      </c>
      <c r="D40" s="79">
        <f t="shared" si="6"/>
        <v>7644.287113</v>
      </c>
      <c r="E40" s="79">
        <f t="shared" si="1"/>
        <v>10255.71289</v>
      </c>
      <c r="F40" s="79">
        <f t="shared" si="7"/>
        <v>779779.1495</v>
      </c>
      <c r="G40" s="79">
        <f t="shared" si="8"/>
        <v>185420.8505</v>
      </c>
      <c r="H40" s="79">
        <f t="shared" si="9"/>
        <v>965200</v>
      </c>
      <c r="I40" s="611">
        <f t="shared" si="10"/>
        <v>2028220.85</v>
      </c>
      <c r="J40" s="620">
        <v>4.5</v>
      </c>
      <c r="K40" s="591"/>
      <c r="L40" s="6"/>
      <c r="M40" s="75">
        <v>13700.0</v>
      </c>
      <c r="N40" s="79">
        <f t="shared" si="11"/>
        <v>498700</v>
      </c>
      <c r="O40" s="6">
        <f t="shared" si="2"/>
        <v>227809.1495</v>
      </c>
      <c r="P40" s="6">
        <f t="shared" si="3"/>
        <v>29.21457308</v>
      </c>
      <c r="Q40" s="6"/>
      <c r="R40" s="6">
        <f t="shared" si="12"/>
        <v>3613.712887</v>
      </c>
      <c r="S40" s="6">
        <f t="shared" si="13"/>
        <v>227809.1495</v>
      </c>
      <c r="T40" s="81">
        <f t="shared" si="4"/>
        <v>122.8605893</v>
      </c>
      <c r="U40" s="6"/>
      <c r="V40" s="6"/>
      <c r="W40" s="6"/>
      <c r="X40" s="6"/>
      <c r="Y40" s="6"/>
    </row>
    <row r="41" ht="11.25" customHeight="1">
      <c r="A41" s="57"/>
      <c r="B41" s="48">
        <f t="shared" si="5"/>
        <v>36</v>
      </c>
      <c r="C41" s="40">
        <v>17900.0</v>
      </c>
      <c r="D41" s="90">
        <f t="shared" si="6"/>
        <v>7605.828189</v>
      </c>
      <c r="E41" s="90">
        <f t="shared" si="1"/>
        <v>10294.17181</v>
      </c>
      <c r="F41" s="90">
        <f t="shared" si="7"/>
        <v>790073.3213</v>
      </c>
      <c r="G41" s="90">
        <f t="shared" si="8"/>
        <v>193026.6787</v>
      </c>
      <c r="H41" s="90">
        <f t="shared" si="9"/>
        <v>983100</v>
      </c>
      <c r="I41" s="613">
        <f t="shared" si="10"/>
        <v>2017926.679</v>
      </c>
      <c r="J41" s="620">
        <v>4.5</v>
      </c>
      <c r="K41" s="591"/>
      <c r="L41" s="6"/>
      <c r="M41" s="75">
        <v>13700.0</v>
      </c>
      <c r="N41" s="79">
        <f t="shared" si="11"/>
        <v>512400</v>
      </c>
      <c r="O41" s="6">
        <f t="shared" si="2"/>
        <v>231461.3213</v>
      </c>
      <c r="P41" s="6">
        <f t="shared" si="3"/>
        <v>29.2961824</v>
      </c>
      <c r="Q41" s="6"/>
      <c r="R41" s="6">
        <f t="shared" si="12"/>
        <v>3652.171811</v>
      </c>
      <c r="S41" s="6">
        <f t="shared" si="13"/>
        <v>231461.3213</v>
      </c>
      <c r="T41" s="81">
        <f t="shared" si="4"/>
        <v>119.9115702</v>
      </c>
      <c r="U41" s="6"/>
      <c r="V41" s="6"/>
      <c r="W41" s="6"/>
      <c r="X41" s="6"/>
      <c r="Y41" s="6"/>
    </row>
    <row r="42" ht="11.25" customHeight="1">
      <c r="A42" s="655">
        <v>4.0</v>
      </c>
      <c r="B42" s="39">
        <f t="shared" si="5"/>
        <v>37</v>
      </c>
      <c r="C42" s="40">
        <v>17800.0</v>
      </c>
      <c r="D42" s="79">
        <f t="shared" si="6"/>
        <v>7735.385602</v>
      </c>
      <c r="E42" s="79">
        <f t="shared" si="1"/>
        <v>10064.6144</v>
      </c>
      <c r="F42" s="79">
        <f t="shared" si="7"/>
        <v>800137.9357</v>
      </c>
      <c r="G42" s="79">
        <f t="shared" si="8"/>
        <v>200762.0643</v>
      </c>
      <c r="H42" s="79">
        <f t="shared" si="9"/>
        <v>1000900</v>
      </c>
      <c r="I42" s="611">
        <f t="shared" si="10"/>
        <v>2007862.064</v>
      </c>
      <c r="J42" s="620">
        <v>4.6</v>
      </c>
      <c r="K42" s="591"/>
      <c r="L42" s="6"/>
      <c r="M42" s="75">
        <v>13700.0</v>
      </c>
      <c r="N42" s="79">
        <f t="shared" si="11"/>
        <v>526100</v>
      </c>
      <c r="O42" s="6">
        <f t="shared" si="2"/>
        <v>234983.9357</v>
      </c>
      <c r="P42" s="6">
        <f t="shared" si="3"/>
        <v>29.36792836</v>
      </c>
      <c r="Q42" s="6"/>
      <c r="R42" s="6">
        <f t="shared" si="12"/>
        <v>3522.614398</v>
      </c>
      <c r="S42" s="6">
        <f t="shared" si="13"/>
        <v>234983.9357</v>
      </c>
      <c r="T42" s="81">
        <f t="shared" si="4"/>
        <v>117.0459851</v>
      </c>
      <c r="U42" s="6"/>
      <c r="V42" s="6"/>
      <c r="W42" s="6"/>
      <c r="X42" s="6"/>
      <c r="Y42" s="6"/>
    </row>
    <row r="43" ht="11.25" customHeight="1">
      <c r="A43" s="54">
        <v>43831.0</v>
      </c>
      <c r="B43" s="39">
        <f t="shared" si="5"/>
        <v>38</v>
      </c>
      <c r="C43" s="40">
        <v>17800.0</v>
      </c>
      <c r="D43" s="79">
        <f t="shared" si="6"/>
        <v>7696.80458</v>
      </c>
      <c r="E43" s="79">
        <f t="shared" si="1"/>
        <v>10103.19542</v>
      </c>
      <c r="F43" s="79">
        <f t="shared" si="7"/>
        <v>810241.1312</v>
      </c>
      <c r="G43" s="79">
        <f t="shared" si="8"/>
        <v>208458.8688</v>
      </c>
      <c r="H43" s="79">
        <f t="shared" si="9"/>
        <v>1018700</v>
      </c>
      <c r="I43" s="611">
        <f t="shared" si="10"/>
        <v>1997758.869</v>
      </c>
      <c r="J43" s="620">
        <v>4.6</v>
      </c>
      <c r="K43" s="591"/>
      <c r="L43" s="6"/>
      <c r="M43" s="75">
        <v>13700.0</v>
      </c>
      <c r="N43" s="79">
        <f t="shared" si="11"/>
        <v>539800</v>
      </c>
      <c r="O43" s="6">
        <f t="shared" si="2"/>
        <v>238545.1312</v>
      </c>
      <c r="P43" s="6">
        <f t="shared" si="3"/>
        <v>29.44125174</v>
      </c>
      <c r="Q43" s="6"/>
      <c r="R43" s="6">
        <f t="shared" si="12"/>
        <v>3561.19542</v>
      </c>
      <c r="S43" s="6">
        <f t="shared" si="13"/>
        <v>238545.1312</v>
      </c>
      <c r="T43" s="81">
        <f t="shared" si="4"/>
        <v>114.4327092</v>
      </c>
      <c r="U43" s="6"/>
      <c r="V43" s="6"/>
      <c r="W43" s="6"/>
      <c r="X43" s="6"/>
      <c r="Y43" s="6"/>
    </row>
    <row r="44" ht="11.25" customHeight="1">
      <c r="B44" s="63">
        <f t="shared" si="5"/>
        <v>39</v>
      </c>
      <c r="C44" s="40">
        <v>17800.0</v>
      </c>
      <c r="D44" s="79">
        <f t="shared" si="6"/>
        <v>7241.8759</v>
      </c>
      <c r="E44" s="79">
        <f t="shared" si="1"/>
        <v>10558.1241</v>
      </c>
      <c r="F44" s="79">
        <f t="shared" si="7"/>
        <v>820799.2553</v>
      </c>
      <c r="G44" s="79">
        <f t="shared" si="8"/>
        <v>215700.7447</v>
      </c>
      <c r="H44" s="79">
        <f t="shared" si="9"/>
        <v>1036500</v>
      </c>
      <c r="I44" s="611">
        <f t="shared" si="10"/>
        <v>1987200.745</v>
      </c>
      <c r="J44" s="620">
        <v>4.35</v>
      </c>
      <c r="K44" s="591"/>
      <c r="L44" s="6"/>
      <c r="M44" s="9">
        <v>12500.0</v>
      </c>
      <c r="N44" s="79">
        <f t="shared" si="11"/>
        <v>552300</v>
      </c>
      <c r="O44" s="6">
        <f t="shared" si="2"/>
        <v>241361.2553</v>
      </c>
      <c r="P44" s="6">
        <f t="shared" si="3"/>
        <v>29.4056377</v>
      </c>
      <c r="Q44" s="6"/>
      <c r="R44" s="6">
        <f t="shared" si="12"/>
        <v>2816.1241</v>
      </c>
      <c r="S44" s="6">
        <f t="shared" si="13"/>
        <v>241361.2553</v>
      </c>
      <c r="T44" s="81">
        <f t="shared" si="4"/>
        <v>111.8963477</v>
      </c>
      <c r="U44" s="6"/>
      <c r="V44" s="6"/>
      <c r="W44" s="6"/>
      <c r="X44" s="6"/>
      <c r="Y44" s="6"/>
    </row>
    <row r="45" ht="11.25" customHeight="1">
      <c r="A45" s="38"/>
      <c r="B45" s="39">
        <f t="shared" si="5"/>
        <v>40</v>
      </c>
      <c r="C45" s="40">
        <v>17800.0</v>
      </c>
      <c r="D45" s="79">
        <f t="shared" si="6"/>
        <v>7203.6027</v>
      </c>
      <c r="E45" s="79">
        <f t="shared" si="1"/>
        <v>10596.3973</v>
      </c>
      <c r="F45" s="79">
        <f t="shared" si="7"/>
        <v>831395.6526</v>
      </c>
      <c r="G45" s="79">
        <f t="shared" si="8"/>
        <v>222904.3474</v>
      </c>
      <c r="H45" s="79">
        <f t="shared" si="9"/>
        <v>1054300</v>
      </c>
      <c r="I45" s="611">
        <f t="shared" si="10"/>
        <v>1976604.347</v>
      </c>
      <c r="J45" s="620">
        <v>4.35</v>
      </c>
      <c r="K45" s="591"/>
      <c r="L45" s="6"/>
      <c r="M45" s="9">
        <v>12500.0</v>
      </c>
      <c r="N45" s="79">
        <f t="shared" si="11"/>
        <v>564800</v>
      </c>
      <c r="O45" s="6">
        <f t="shared" si="2"/>
        <v>244215.6526</v>
      </c>
      <c r="P45" s="6">
        <f t="shared" si="3"/>
        <v>29.37417965</v>
      </c>
      <c r="Q45" s="6"/>
      <c r="R45" s="6">
        <f t="shared" si="12"/>
        <v>2854.3973</v>
      </c>
      <c r="S45" s="6">
        <f t="shared" si="13"/>
        <v>244215.6526</v>
      </c>
      <c r="T45" s="81">
        <f t="shared" si="4"/>
        <v>109.56074</v>
      </c>
      <c r="U45" s="6"/>
      <c r="V45" s="6"/>
      <c r="W45" s="6"/>
      <c r="X45" s="6"/>
      <c r="Y45" s="6"/>
    </row>
    <row r="46" ht="11.25" customHeight="1">
      <c r="A46" s="56"/>
      <c r="B46" s="39">
        <f t="shared" si="5"/>
        <v>41</v>
      </c>
      <c r="C46" s="40">
        <v>17800.0</v>
      </c>
      <c r="D46" s="79">
        <f t="shared" si="6"/>
        <v>6506.322644</v>
      </c>
      <c r="E46" s="79">
        <f t="shared" si="1"/>
        <v>11293.67736</v>
      </c>
      <c r="F46" s="79">
        <f t="shared" si="7"/>
        <v>842689.3299</v>
      </c>
      <c r="G46" s="79">
        <f t="shared" si="8"/>
        <v>229410.6701</v>
      </c>
      <c r="H46" s="79">
        <f t="shared" si="9"/>
        <v>1072100</v>
      </c>
      <c r="I46" s="611">
        <f t="shared" si="10"/>
        <v>1965310.67</v>
      </c>
      <c r="J46" s="620">
        <v>3.95</v>
      </c>
      <c r="K46" s="591"/>
      <c r="L46" s="6"/>
      <c r="M46" s="75">
        <v>12500.0</v>
      </c>
      <c r="N46" s="79">
        <f t="shared" si="11"/>
        <v>577300</v>
      </c>
      <c r="O46" s="6">
        <f t="shared" si="2"/>
        <v>247767.3299</v>
      </c>
      <c r="P46" s="6">
        <f t="shared" si="3"/>
        <v>29.40197782</v>
      </c>
      <c r="Q46" s="6"/>
      <c r="R46" s="6">
        <f t="shared" si="12"/>
        <v>3551.677356</v>
      </c>
      <c r="S46" s="6">
        <f t="shared" si="13"/>
        <v>247767.3299</v>
      </c>
      <c r="T46" s="81">
        <f t="shared" si="4"/>
        <v>108.0016591</v>
      </c>
      <c r="U46" s="6"/>
      <c r="V46" s="6"/>
      <c r="W46" s="6"/>
      <c r="X46" s="6"/>
      <c r="Y46" s="6"/>
    </row>
    <row r="47" ht="11.25" customHeight="1">
      <c r="A47" s="38"/>
      <c r="B47" s="39">
        <f t="shared" si="5"/>
        <v>42</v>
      </c>
      <c r="C47" s="40">
        <v>17800.0</v>
      </c>
      <c r="D47" s="79">
        <f t="shared" si="6"/>
        <v>6059.707899</v>
      </c>
      <c r="E47" s="79">
        <f t="shared" si="1"/>
        <v>11740.2921</v>
      </c>
      <c r="F47" s="79">
        <f t="shared" si="7"/>
        <v>854429.622</v>
      </c>
      <c r="G47" s="79">
        <f t="shared" si="8"/>
        <v>235470.378</v>
      </c>
      <c r="H47" s="79">
        <f t="shared" si="9"/>
        <v>1089900</v>
      </c>
      <c r="I47" s="611">
        <f t="shared" si="10"/>
        <v>1953570.378</v>
      </c>
      <c r="J47" s="620">
        <v>3.7</v>
      </c>
      <c r="K47" s="591"/>
      <c r="L47" s="6"/>
      <c r="M47" s="75">
        <v>12500.0</v>
      </c>
      <c r="N47" s="79">
        <f t="shared" si="11"/>
        <v>589800</v>
      </c>
      <c r="O47" s="6">
        <f t="shared" si="2"/>
        <v>251765.622</v>
      </c>
      <c r="P47" s="6">
        <f t="shared" si="3"/>
        <v>29.46592856</v>
      </c>
      <c r="Q47" s="6"/>
      <c r="R47" s="6">
        <f t="shared" si="12"/>
        <v>3998.292101</v>
      </c>
      <c r="S47" s="6">
        <f t="shared" si="13"/>
        <v>251765.622</v>
      </c>
      <c r="T47" s="81">
        <f t="shared" si="4"/>
        <v>106.9202947</v>
      </c>
      <c r="U47" s="6"/>
      <c r="V47" s="6"/>
      <c r="W47" s="6"/>
      <c r="X47" s="6"/>
      <c r="Y47" s="6"/>
    </row>
    <row r="48" ht="11.25" customHeight="1">
      <c r="A48" s="38"/>
      <c r="B48" s="39">
        <f t="shared" si="5"/>
        <v>43</v>
      </c>
      <c r="C48" s="40">
        <v>17800.0</v>
      </c>
      <c r="D48" s="79">
        <f t="shared" si="6"/>
        <v>6023.508665</v>
      </c>
      <c r="E48" s="79">
        <f t="shared" si="1"/>
        <v>11776.49133</v>
      </c>
      <c r="F48" s="79">
        <f t="shared" si="7"/>
        <v>866206.1133</v>
      </c>
      <c r="G48" s="79">
        <f t="shared" si="8"/>
        <v>241493.8867</v>
      </c>
      <c r="H48" s="79">
        <f t="shared" si="9"/>
        <v>1107700</v>
      </c>
      <c r="I48" s="611">
        <f t="shared" si="10"/>
        <v>1941793.887</v>
      </c>
      <c r="J48" s="620">
        <v>3.7</v>
      </c>
      <c r="K48" s="591"/>
      <c r="L48" s="6"/>
      <c r="M48" s="75">
        <v>12500.0</v>
      </c>
      <c r="N48" s="79">
        <f t="shared" si="11"/>
        <v>602300</v>
      </c>
      <c r="O48" s="6">
        <f t="shared" si="2"/>
        <v>255800.1133</v>
      </c>
      <c r="P48" s="6">
        <f t="shared" si="3"/>
        <v>29.53109074</v>
      </c>
      <c r="Q48" s="6"/>
      <c r="R48" s="6">
        <f t="shared" si="12"/>
        <v>4034.491335</v>
      </c>
      <c r="S48" s="6">
        <f t="shared" si="13"/>
        <v>255800.1133</v>
      </c>
      <c r="T48" s="81">
        <f t="shared" si="4"/>
        <v>105.9240534</v>
      </c>
      <c r="U48" s="6"/>
      <c r="V48" s="6"/>
      <c r="W48" s="6"/>
      <c r="X48" s="6"/>
      <c r="Y48" s="6"/>
    </row>
    <row r="49" ht="11.25" customHeight="1">
      <c r="A49" s="38"/>
      <c r="B49" s="39">
        <f t="shared" si="5"/>
        <v>44</v>
      </c>
      <c r="C49" s="40">
        <v>17800.0</v>
      </c>
      <c r="D49" s="79">
        <f t="shared" si="6"/>
        <v>5987.197817</v>
      </c>
      <c r="E49" s="79">
        <f t="shared" si="1"/>
        <v>11812.80218</v>
      </c>
      <c r="F49" s="79">
        <f t="shared" si="7"/>
        <v>878018.9155</v>
      </c>
      <c r="G49" s="79">
        <f t="shared" si="8"/>
        <v>247481.0845</v>
      </c>
      <c r="H49" s="79">
        <f t="shared" si="9"/>
        <v>1125500</v>
      </c>
      <c r="I49" s="611">
        <f t="shared" si="10"/>
        <v>1929981.084</v>
      </c>
      <c r="J49" s="620">
        <v>3.7</v>
      </c>
      <c r="K49" s="591"/>
      <c r="L49" s="6"/>
      <c r="M49" s="75">
        <v>12500.0</v>
      </c>
      <c r="N49" s="79">
        <f t="shared" si="11"/>
        <v>614800</v>
      </c>
      <c r="O49" s="6">
        <f t="shared" si="2"/>
        <v>259870.9155</v>
      </c>
      <c r="P49" s="6">
        <f t="shared" si="3"/>
        <v>29.59741652</v>
      </c>
      <c r="Q49" s="6"/>
      <c r="R49" s="6">
        <f t="shared" si="12"/>
        <v>4070.802183</v>
      </c>
      <c r="S49" s="6">
        <f t="shared" si="13"/>
        <v>259870.9155</v>
      </c>
      <c r="T49" s="81">
        <f t="shared" si="4"/>
        <v>105.006375</v>
      </c>
      <c r="U49" s="6"/>
      <c r="V49" s="6"/>
      <c r="W49" s="6"/>
      <c r="X49" s="6"/>
      <c r="Y49" s="6"/>
    </row>
    <row r="50" ht="11.25" customHeight="1">
      <c r="A50" s="56"/>
      <c r="B50" s="39">
        <f t="shared" si="5"/>
        <v>45</v>
      </c>
      <c r="C50" s="40">
        <v>17800.0</v>
      </c>
      <c r="D50" s="79">
        <f t="shared" si="6"/>
        <v>5950.77501</v>
      </c>
      <c r="E50" s="79">
        <f t="shared" si="1"/>
        <v>11849.22499</v>
      </c>
      <c r="F50" s="79">
        <f t="shared" si="7"/>
        <v>889868.1405</v>
      </c>
      <c r="G50" s="79">
        <f t="shared" si="8"/>
        <v>253431.8595</v>
      </c>
      <c r="H50" s="79">
        <f t="shared" si="9"/>
        <v>1143300</v>
      </c>
      <c r="I50" s="611">
        <f t="shared" si="10"/>
        <v>1918131.859</v>
      </c>
      <c r="J50" s="620">
        <v>3.7</v>
      </c>
      <c r="K50" s="591"/>
      <c r="L50" s="6"/>
      <c r="M50" s="75">
        <v>12500.0</v>
      </c>
      <c r="N50" s="79">
        <f t="shared" si="11"/>
        <v>627300</v>
      </c>
      <c r="O50" s="6">
        <f t="shared" si="2"/>
        <v>263978.1405</v>
      </c>
      <c r="P50" s="6">
        <f t="shared" si="3"/>
        <v>29.66486028</v>
      </c>
      <c r="Q50" s="6"/>
      <c r="R50" s="6">
        <f t="shared" si="12"/>
        <v>4107.22499</v>
      </c>
      <c r="S50" s="6">
        <f t="shared" si="13"/>
        <v>263978.1405</v>
      </c>
      <c r="T50" s="81">
        <f t="shared" si="4"/>
        <v>104.1613872</v>
      </c>
      <c r="U50" s="6"/>
      <c r="V50" s="6"/>
      <c r="W50" s="6"/>
      <c r="X50" s="6"/>
      <c r="Y50" s="6"/>
    </row>
    <row r="51" ht="11.25" customHeight="1">
      <c r="A51" s="38"/>
      <c r="B51" s="39">
        <f t="shared" si="5"/>
        <v>46</v>
      </c>
      <c r="C51" s="40">
        <v>17800.0</v>
      </c>
      <c r="D51" s="79">
        <f t="shared" si="6"/>
        <v>5914.2399</v>
      </c>
      <c r="E51" s="79">
        <f t="shared" si="1"/>
        <v>11885.7601</v>
      </c>
      <c r="F51" s="79">
        <f t="shared" si="7"/>
        <v>901753.9006</v>
      </c>
      <c r="G51" s="79">
        <f t="shared" si="8"/>
        <v>259346.0994</v>
      </c>
      <c r="H51" s="79">
        <f t="shared" si="9"/>
        <v>1161100</v>
      </c>
      <c r="I51" s="614">
        <f t="shared" si="10"/>
        <v>1906246.099</v>
      </c>
      <c r="J51" s="620">
        <v>3.7</v>
      </c>
      <c r="K51" s="591"/>
      <c r="L51" s="6"/>
      <c r="M51" s="75">
        <v>12500.0</v>
      </c>
      <c r="N51" s="79">
        <f t="shared" si="11"/>
        <v>639800</v>
      </c>
      <c r="O51" s="6">
        <f t="shared" si="2"/>
        <v>268121.9006</v>
      </c>
      <c r="P51" s="6">
        <f t="shared" si="3"/>
        <v>29.73337852</v>
      </c>
      <c r="Q51" s="6"/>
      <c r="R51" s="6">
        <f t="shared" si="12"/>
        <v>4143.7601</v>
      </c>
      <c r="S51" s="6">
        <f t="shared" si="13"/>
        <v>268121.9006</v>
      </c>
      <c r="T51" s="81">
        <f t="shared" si="4"/>
        <v>103.3838185</v>
      </c>
      <c r="U51" s="6"/>
      <c r="V51" s="6"/>
      <c r="W51" s="6"/>
      <c r="X51" s="6"/>
      <c r="Y51" s="6"/>
    </row>
    <row r="52" ht="11.25" customHeight="1">
      <c r="A52" s="38"/>
      <c r="B52" s="39">
        <f t="shared" si="5"/>
        <v>47</v>
      </c>
      <c r="C52" s="40">
        <v>17800.0</v>
      </c>
      <c r="D52" s="79">
        <f t="shared" si="6"/>
        <v>5877.59214</v>
      </c>
      <c r="E52" s="79">
        <f t="shared" si="1"/>
        <v>11922.40786</v>
      </c>
      <c r="F52" s="79">
        <f t="shared" si="7"/>
        <v>913676.3085</v>
      </c>
      <c r="G52" s="79">
        <f t="shared" si="8"/>
        <v>265223.6915</v>
      </c>
      <c r="H52" s="615">
        <f t="shared" si="9"/>
        <v>1178900</v>
      </c>
      <c r="I52" s="614">
        <f t="shared" si="10"/>
        <v>1894323.692</v>
      </c>
      <c r="J52" s="620">
        <v>3.7</v>
      </c>
      <c r="K52" s="591"/>
      <c r="L52" s="6"/>
      <c r="M52" s="75">
        <v>12500.0</v>
      </c>
      <c r="N52" s="79">
        <f t="shared" si="11"/>
        <v>652300</v>
      </c>
      <c r="O52" s="6">
        <f t="shared" si="2"/>
        <v>272302.3085</v>
      </c>
      <c r="P52" s="6">
        <f t="shared" si="3"/>
        <v>29.80292976</v>
      </c>
      <c r="Q52" s="6"/>
      <c r="R52" s="6">
        <f t="shared" si="12"/>
        <v>4180.40786</v>
      </c>
      <c r="S52" s="6">
        <f t="shared" si="13"/>
        <v>272302.3085</v>
      </c>
      <c r="T52" s="81">
        <f t="shared" si="4"/>
        <v>102.6689233</v>
      </c>
      <c r="U52" s="6"/>
      <c r="V52" s="6"/>
      <c r="W52" s="6"/>
      <c r="X52" s="6"/>
      <c r="Y52" s="6"/>
    </row>
    <row r="53" ht="11.25" customHeight="1">
      <c r="A53" s="57"/>
      <c r="B53" s="48">
        <f t="shared" si="5"/>
        <v>48</v>
      </c>
      <c r="C53" s="40">
        <v>17800.0</v>
      </c>
      <c r="D53" s="90">
        <f t="shared" si="6"/>
        <v>5840.831382</v>
      </c>
      <c r="E53" s="90">
        <f t="shared" si="1"/>
        <v>11959.16862</v>
      </c>
      <c r="F53" s="90">
        <f t="shared" si="7"/>
        <v>925635.4771</v>
      </c>
      <c r="G53" s="90">
        <f t="shared" si="8"/>
        <v>271064.5229</v>
      </c>
      <c r="H53" s="616">
        <f t="shared" si="9"/>
        <v>1196700</v>
      </c>
      <c r="I53" s="614">
        <f t="shared" si="10"/>
        <v>1882364.523</v>
      </c>
      <c r="J53" s="620">
        <v>3.7</v>
      </c>
      <c r="K53" s="591"/>
      <c r="L53" s="6"/>
      <c r="M53" s="75">
        <v>12500.0</v>
      </c>
      <c r="N53" s="79">
        <f t="shared" si="11"/>
        <v>664800</v>
      </c>
      <c r="O53" s="6">
        <f t="shared" si="2"/>
        <v>276519.4771</v>
      </c>
      <c r="P53" s="6">
        <f t="shared" si="3"/>
        <v>29.87347438</v>
      </c>
      <c r="Q53" s="6"/>
      <c r="R53" s="6">
        <f t="shared" si="12"/>
        <v>4217.168618</v>
      </c>
      <c r="S53" s="6">
        <f t="shared" si="13"/>
        <v>276519.4771</v>
      </c>
      <c r="T53" s="81">
        <f t="shared" si="4"/>
        <v>102.0124191</v>
      </c>
      <c r="U53" s="6"/>
      <c r="V53" s="6"/>
      <c r="W53" s="6"/>
      <c r="X53" s="6"/>
      <c r="Y53" s="6"/>
    </row>
    <row r="54" ht="11.25" customHeight="1">
      <c r="A54" s="100">
        <v>5.0</v>
      </c>
      <c r="B54" s="66">
        <f t="shared" ref="B54:B365" si="14">B53+1</f>
        <v>49</v>
      </c>
      <c r="C54" s="40">
        <v>17800.0</v>
      </c>
      <c r="D54" s="617">
        <f t="shared" ref="D54:D365" si="15">(I53*J54%)/12</f>
        <v>5803.957279</v>
      </c>
      <c r="E54" s="617">
        <f t="shared" si="1"/>
        <v>11996.04272</v>
      </c>
      <c r="F54" s="617">
        <f t="shared" si="7"/>
        <v>937631.5198</v>
      </c>
      <c r="G54" s="617">
        <f t="shared" si="8"/>
        <v>276868.4802</v>
      </c>
      <c r="H54" s="617">
        <f t="shared" si="9"/>
        <v>1214500</v>
      </c>
      <c r="I54" s="617">
        <f t="shared" si="10"/>
        <v>1870368.48</v>
      </c>
      <c r="J54" s="620">
        <v>3.7</v>
      </c>
      <c r="K54" s="591"/>
      <c r="L54" s="6"/>
      <c r="M54" s="75">
        <v>12500.0</v>
      </c>
      <c r="N54" s="79">
        <f t="shared" si="11"/>
        <v>677300</v>
      </c>
      <c r="O54" s="6">
        <f t="shared" si="2"/>
        <v>280773.5198</v>
      </c>
      <c r="P54" s="6">
        <f t="shared" si="3"/>
        <v>29.94497453</v>
      </c>
      <c r="Q54" s="6"/>
      <c r="R54" s="6">
        <f t="shared" si="12"/>
        <v>4254.042721</v>
      </c>
      <c r="S54" s="6">
        <f t="shared" si="13"/>
        <v>280773.5198</v>
      </c>
      <c r="T54" s="81">
        <f t="shared" si="4"/>
        <v>101.4104313</v>
      </c>
      <c r="U54" s="6"/>
      <c r="V54" s="6"/>
      <c r="W54" s="6"/>
      <c r="X54" s="6"/>
      <c r="Y54" s="6"/>
    </row>
    <row r="55" ht="11.25" customHeight="1">
      <c r="A55" s="618">
        <v>44197.0</v>
      </c>
      <c r="B55" s="68">
        <f t="shared" si="14"/>
        <v>50</v>
      </c>
      <c r="C55" s="40">
        <v>17800.0</v>
      </c>
      <c r="D55" s="6">
        <f t="shared" si="15"/>
        <v>5766.969481</v>
      </c>
      <c r="E55" s="6">
        <f t="shared" si="1"/>
        <v>12033.03052</v>
      </c>
      <c r="F55" s="6">
        <f t="shared" si="7"/>
        <v>949664.5503</v>
      </c>
      <c r="G55" s="6">
        <f t="shared" si="8"/>
        <v>282635.4497</v>
      </c>
      <c r="H55" s="6">
        <f t="shared" si="9"/>
        <v>1232300</v>
      </c>
      <c r="I55" s="6">
        <f t="shared" si="10"/>
        <v>1858335.45</v>
      </c>
      <c r="J55" s="620">
        <v>3.7</v>
      </c>
      <c r="K55" s="591"/>
      <c r="L55" s="6"/>
      <c r="M55" s="75">
        <v>12500.0</v>
      </c>
      <c r="N55" s="79">
        <f t="shared" si="11"/>
        <v>689800</v>
      </c>
      <c r="O55" s="6">
        <f t="shared" si="2"/>
        <v>285064.5503</v>
      </c>
      <c r="P55" s="6">
        <f t="shared" si="3"/>
        <v>30.01739406</v>
      </c>
      <c r="Q55" s="6"/>
      <c r="R55" s="6">
        <f t="shared" si="12"/>
        <v>4291.030519</v>
      </c>
      <c r="S55" s="6">
        <f t="shared" si="13"/>
        <v>285064.5503</v>
      </c>
      <c r="T55" s="81">
        <f t="shared" si="4"/>
        <v>100.8594466</v>
      </c>
      <c r="U55" s="6"/>
      <c r="V55" s="6"/>
      <c r="W55" s="6"/>
      <c r="X55" s="6"/>
      <c r="Y55" s="6"/>
    </row>
    <row r="56" ht="11.25" customHeight="1">
      <c r="A56" s="7"/>
      <c r="B56" s="68">
        <f t="shared" si="14"/>
        <v>51</v>
      </c>
      <c r="C56" s="40">
        <v>17800.0</v>
      </c>
      <c r="D56" s="6">
        <f t="shared" si="15"/>
        <v>5729.867636</v>
      </c>
      <c r="E56" s="6">
        <f t="shared" si="1"/>
        <v>12070.13236</v>
      </c>
      <c r="F56" s="6">
        <f t="shared" si="7"/>
        <v>961734.6827</v>
      </c>
      <c r="G56" s="6">
        <f t="shared" si="8"/>
        <v>288365.3173</v>
      </c>
      <c r="H56" s="6">
        <f t="shared" si="9"/>
        <v>1250100</v>
      </c>
      <c r="I56" s="6">
        <f t="shared" si="10"/>
        <v>1846265.317</v>
      </c>
      <c r="J56" s="620">
        <v>3.7</v>
      </c>
      <c r="K56" s="591"/>
      <c r="L56" s="6"/>
      <c r="M56" s="75">
        <v>12500.0</v>
      </c>
      <c r="N56" s="79">
        <f t="shared" si="11"/>
        <v>702300</v>
      </c>
      <c r="O56" s="6">
        <f t="shared" si="2"/>
        <v>289392.6827</v>
      </c>
      <c r="P56" s="6">
        <f t="shared" si="3"/>
        <v>30.09069839</v>
      </c>
      <c r="Q56" s="6"/>
      <c r="R56" s="6">
        <f t="shared" si="12"/>
        <v>4328.132364</v>
      </c>
      <c r="S56" s="6">
        <f t="shared" si="13"/>
        <v>289392.6827</v>
      </c>
      <c r="T56" s="81">
        <f t="shared" si="4"/>
        <v>100.3562722</v>
      </c>
      <c r="U56" s="6"/>
      <c r="V56" s="6"/>
      <c r="W56" s="6"/>
      <c r="X56" s="6"/>
      <c r="Y56" s="6"/>
    </row>
    <row r="57" ht="11.25" customHeight="1">
      <c r="A57" s="7"/>
      <c r="B57" s="68">
        <f t="shared" si="14"/>
        <v>52</v>
      </c>
      <c r="C57" s="40">
        <v>17800.0</v>
      </c>
      <c r="D57" s="6">
        <f t="shared" si="15"/>
        <v>5692.651395</v>
      </c>
      <c r="E57" s="6">
        <f t="shared" si="1"/>
        <v>12107.3486</v>
      </c>
      <c r="F57" s="6">
        <f t="shared" si="7"/>
        <v>973842.0313</v>
      </c>
      <c r="G57" s="6">
        <f t="shared" si="8"/>
        <v>294057.9687</v>
      </c>
      <c r="H57" s="6">
        <f t="shared" si="9"/>
        <v>1267900</v>
      </c>
      <c r="I57" s="6">
        <f t="shared" si="10"/>
        <v>1834157.969</v>
      </c>
      <c r="J57" s="620">
        <v>3.7</v>
      </c>
      <c r="K57" s="591"/>
      <c r="L57" s="6"/>
      <c r="M57" s="75">
        <v>12500.0</v>
      </c>
      <c r="N57" s="79">
        <f t="shared" si="11"/>
        <v>714800</v>
      </c>
      <c r="O57" s="6">
        <f t="shared" si="2"/>
        <v>293758.0313</v>
      </c>
      <c r="P57" s="6">
        <f t="shared" si="3"/>
        <v>30.16485445</v>
      </c>
      <c r="Q57" s="6"/>
      <c r="R57" s="6">
        <f t="shared" si="12"/>
        <v>4365.348605</v>
      </c>
      <c r="S57" s="6">
        <f t="shared" si="13"/>
        <v>293758.0313</v>
      </c>
      <c r="T57" s="81">
        <f t="shared" si="4"/>
        <v>99.89800059</v>
      </c>
      <c r="U57" s="6"/>
      <c r="V57" s="6"/>
      <c r="W57" s="6"/>
      <c r="X57" s="6"/>
      <c r="Y57" s="6"/>
    </row>
    <row r="58" ht="11.25" customHeight="1">
      <c r="A58" s="7"/>
      <c r="B58" s="68">
        <f t="shared" si="14"/>
        <v>53</v>
      </c>
      <c r="C58" s="40">
        <v>17800.0</v>
      </c>
      <c r="D58" s="6">
        <f t="shared" si="15"/>
        <v>5655.320403</v>
      </c>
      <c r="E58" s="6">
        <f t="shared" si="1"/>
        <v>12144.6796</v>
      </c>
      <c r="F58" s="6">
        <f t="shared" si="7"/>
        <v>985986.7109</v>
      </c>
      <c r="G58" s="6">
        <f t="shared" si="8"/>
        <v>299713.2891</v>
      </c>
      <c r="H58" s="6">
        <f t="shared" si="9"/>
        <v>1285700</v>
      </c>
      <c r="I58" s="6">
        <f t="shared" si="10"/>
        <v>1822013.289</v>
      </c>
      <c r="J58" s="620">
        <v>3.7</v>
      </c>
      <c r="K58" s="591"/>
      <c r="L58" s="6"/>
      <c r="M58" s="75">
        <v>12500.0</v>
      </c>
      <c r="N58" s="79">
        <f t="shared" si="11"/>
        <v>727300</v>
      </c>
      <c r="O58" s="6">
        <f t="shared" si="2"/>
        <v>298160.7109</v>
      </c>
      <c r="P58" s="6">
        <f t="shared" si="3"/>
        <v>30.23983058</v>
      </c>
      <c r="Q58" s="6"/>
      <c r="R58" s="6">
        <f t="shared" si="12"/>
        <v>4402.679597</v>
      </c>
      <c r="S58" s="6">
        <f t="shared" si="13"/>
        <v>298160.7109</v>
      </c>
      <c r="T58" s="81">
        <f t="shared" si="4"/>
        <v>99.48197886</v>
      </c>
      <c r="U58" s="6"/>
      <c r="V58" s="6"/>
      <c r="W58" s="6"/>
      <c r="X58" s="6"/>
      <c r="Y58" s="6"/>
    </row>
    <row r="59" ht="11.25" customHeight="1">
      <c r="A59" s="7"/>
      <c r="B59" s="68">
        <f t="shared" si="14"/>
        <v>54</v>
      </c>
      <c r="C59" s="40">
        <v>17800.0</v>
      </c>
      <c r="D59" s="6">
        <f t="shared" si="15"/>
        <v>5617.874308</v>
      </c>
      <c r="E59" s="6">
        <f t="shared" si="1"/>
        <v>12182.12569</v>
      </c>
      <c r="F59" s="6">
        <f t="shared" si="7"/>
        <v>998168.8366</v>
      </c>
      <c r="G59" s="6">
        <f t="shared" si="8"/>
        <v>305331.1634</v>
      </c>
      <c r="H59" s="6">
        <f t="shared" si="9"/>
        <v>1303500</v>
      </c>
      <c r="I59" s="6">
        <f t="shared" si="10"/>
        <v>1809831.163</v>
      </c>
      <c r="J59" s="620">
        <v>3.7</v>
      </c>
      <c r="K59" s="591"/>
      <c r="L59" s="6"/>
      <c r="M59" s="75">
        <v>12500.0</v>
      </c>
      <c r="N59" s="79">
        <f t="shared" si="11"/>
        <v>739800</v>
      </c>
      <c r="O59" s="6">
        <f t="shared" si="2"/>
        <v>302600.8366</v>
      </c>
      <c r="P59" s="6">
        <f t="shared" si="3"/>
        <v>30.31559647</v>
      </c>
      <c r="Q59" s="6"/>
      <c r="R59" s="6">
        <f t="shared" si="12"/>
        <v>4440.125692</v>
      </c>
      <c r="S59" s="6">
        <f t="shared" si="13"/>
        <v>302600.8366</v>
      </c>
      <c r="T59" s="81">
        <f t="shared" si="4"/>
        <v>99.10578181</v>
      </c>
      <c r="U59" s="6"/>
      <c r="V59" s="6"/>
      <c r="W59" s="6"/>
      <c r="X59" s="6"/>
      <c r="Y59" s="6"/>
    </row>
    <row r="60" ht="11.25" customHeight="1">
      <c r="A60" s="7"/>
      <c r="B60" s="68">
        <f t="shared" si="14"/>
        <v>55</v>
      </c>
      <c r="C60" s="40">
        <v>17800.0</v>
      </c>
      <c r="D60" s="6">
        <f t="shared" si="15"/>
        <v>5580.312754</v>
      </c>
      <c r="E60" s="6">
        <f t="shared" si="1"/>
        <v>12219.68725</v>
      </c>
      <c r="F60" s="6">
        <f t="shared" si="7"/>
        <v>1010388.524</v>
      </c>
      <c r="G60" s="6">
        <f t="shared" si="8"/>
        <v>310911.4762</v>
      </c>
      <c r="H60" s="6">
        <f t="shared" si="9"/>
        <v>1321300</v>
      </c>
      <c r="I60" s="6">
        <f t="shared" si="10"/>
        <v>1797611.476</v>
      </c>
      <c r="J60" s="620">
        <v>3.7</v>
      </c>
      <c r="K60" s="591"/>
      <c r="L60" s="6"/>
      <c r="M60" s="75">
        <v>12500.0</v>
      </c>
      <c r="N60" s="79">
        <f t="shared" si="11"/>
        <v>752300</v>
      </c>
      <c r="O60" s="6">
        <f t="shared" si="2"/>
        <v>307078.5238</v>
      </c>
      <c r="P60" s="6">
        <f t="shared" si="3"/>
        <v>30.39212309</v>
      </c>
      <c r="Q60" s="6"/>
      <c r="R60" s="6">
        <f t="shared" si="12"/>
        <v>4477.687246</v>
      </c>
      <c r="S60" s="6">
        <f t="shared" si="13"/>
        <v>307078.5238</v>
      </c>
      <c r="T60" s="81">
        <f t="shared" si="4"/>
        <v>98.76718854</v>
      </c>
      <c r="U60" s="6"/>
      <c r="V60" s="6"/>
      <c r="W60" s="6"/>
      <c r="X60" s="6"/>
      <c r="Y60" s="6"/>
    </row>
    <row r="61" ht="11.25" customHeight="1">
      <c r="A61" s="7"/>
      <c r="B61" s="68">
        <f t="shared" si="14"/>
        <v>56</v>
      </c>
      <c r="C61" s="40">
        <v>17800.0</v>
      </c>
      <c r="D61" s="6">
        <f t="shared" si="15"/>
        <v>5542.635385</v>
      </c>
      <c r="E61" s="6">
        <f t="shared" si="1"/>
        <v>12257.36462</v>
      </c>
      <c r="F61" s="6">
        <f t="shared" si="7"/>
        <v>1022645.888</v>
      </c>
      <c r="G61" s="6">
        <f t="shared" si="8"/>
        <v>316454.1115</v>
      </c>
      <c r="H61" s="6">
        <f t="shared" si="9"/>
        <v>1339100</v>
      </c>
      <c r="I61" s="6">
        <f t="shared" si="10"/>
        <v>1785354.112</v>
      </c>
      <c r="J61" s="620">
        <v>3.7</v>
      </c>
      <c r="K61" s="591"/>
      <c r="L61" s="6"/>
      <c r="M61" s="75">
        <v>12500.0</v>
      </c>
      <c r="N61" s="79">
        <f t="shared" si="11"/>
        <v>764800</v>
      </c>
      <c r="O61" s="6">
        <f t="shared" si="2"/>
        <v>311593.8885</v>
      </c>
      <c r="P61" s="6">
        <f t="shared" si="3"/>
        <v>30.46938261</v>
      </c>
      <c r="Q61" s="6"/>
      <c r="R61" s="6">
        <f t="shared" si="12"/>
        <v>4515.364615</v>
      </c>
      <c r="S61" s="6">
        <f t="shared" si="13"/>
        <v>311593.8885</v>
      </c>
      <c r="T61" s="81">
        <f t="shared" si="4"/>
        <v>98.46416181</v>
      </c>
      <c r="U61" s="6"/>
      <c r="V61" s="6"/>
      <c r="W61" s="6"/>
      <c r="X61" s="6"/>
      <c r="Y61" s="6"/>
    </row>
    <row r="62" ht="11.25" customHeight="1">
      <c r="A62" s="7"/>
      <c r="B62" s="68">
        <f t="shared" si="14"/>
        <v>57</v>
      </c>
      <c r="C62" s="40">
        <v>17800.0</v>
      </c>
      <c r="D62" s="6">
        <f t="shared" si="15"/>
        <v>5504.841844</v>
      </c>
      <c r="E62" s="6">
        <f t="shared" si="1"/>
        <v>12295.15816</v>
      </c>
      <c r="F62" s="6">
        <f t="shared" si="7"/>
        <v>1034941.047</v>
      </c>
      <c r="G62" s="6">
        <f t="shared" si="8"/>
        <v>321958.9534</v>
      </c>
      <c r="H62" s="6">
        <f t="shared" si="9"/>
        <v>1356900</v>
      </c>
      <c r="I62" s="6">
        <f t="shared" si="10"/>
        <v>1773058.953</v>
      </c>
      <c r="J62" s="620">
        <v>3.7</v>
      </c>
      <c r="K62" s="591"/>
      <c r="L62" s="6"/>
      <c r="M62" s="75">
        <v>12500.0</v>
      </c>
      <c r="N62" s="79">
        <f t="shared" si="11"/>
        <v>777300</v>
      </c>
      <c r="O62" s="6">
        <f t="shared" si="2"/>
        <v>316147.0466</v>
      </c>
      <c r="P62" s="6">
        <f t="shared" si="3"/>
        <v>30.54734834</v>
      </c>
      <c r="Q62" s="6"/>
      <c r="R62" s="6">
        <f t="shared" si="12"/>
        <v>4553.158156</v>
      </c>
      <c r="S62" s="6">
        <f t="shared" si="13"/>
        <v>316147.0466</v>
      </c>
      <c r="T62" s="81">
        <f t="shared" si="4"/>
        <v>98.1948299</v>
      </c>
      <c r="U62" s="6"/>
      <c r="V62" s="6"/>
      <c r="W62" s="6"/>
      <c r="X62" s="6"/>
      <c r="Y62" s="6"/>
    </row>
    <row r="63" ht="11.25" customHeight="1">
      <c r="A63" s="7"/>
      <c r="B63" s="68">
        <f t="shared" si="14"/>
        <v>58</v>
      </c>
      <c r="C63" s="40">
        <v>17800.0</v>
      </c>
      <c r="D63" s="6">
        <f t="shared" si="15"/>
        <v>5466.931773</v>
      </c>
      <c r="E63" s="6">
        <f t="shared" si="1"/>
        <v>12333.06823</v>
      </c>
      <c r="F63" s="6">
        <f t="shared" si="7"/>
        <v>1047274.115</v>
      </c>
      <c r="G63" s="6">
        <f t="shared" si="8"/>
        <v>327425.8852</v>
      </c>
      <c r="H63" s="6">
        <f t="shared" si="9"/>
        <v>1374700</v>
      </c>
      <c r="I63" s="6">
        <f t="shared" si="10"/>
        <v>1760725.885</v>
      </c>
      <c r="J63" s="620">
        <v>3.7</v>
      </c>
      <c r="K63" s="591"/>
      <c r="L63" s="6"/>
      <c r="M63" s="75">
        <v>10500.0</v>
      </c>
      <c r="N63" s="79">
        <f t="shared" si="11"/>
        <v>787800</v>
      </c>
      <c r="O63" s="6">
        <f t="shared" si="2"/>
        <v>318738.1148</v>
      </c>
      <c r="P63" s="6">
        <f t="shared" si="3"/>
        <v>30.43502272</v>
      </c>
      <c r="Q63" s="6"/>
      <c r="R63" s="6">
        <f t="shared" si="12"/>
        <v>2591.068227</v>
      </c>
      <c r="S63" s="6">
        <f t="shared" si="13"/>
        <v>318738.1148</v>
      </c>
      <c r="T63" s="81">
        <f t="shared" si="4"/>
        <v>97.34664524</v>
      </c>
      <c r="U63" s="6"/>
      <c r="V63" s="6"/>
      <c r="W63" s="6"/>
      <c r="X63" s="6"/>
      <c r="Y63" s="6"/>
    </row>
    <row r="64" ht="11.25" customHeight="1">
      <c r="A64" s="7"/>
      <c r="B64" s="68">
        <f t="shared" si="14"/>
        <v>59</v>
      </c>
      <c r="C64" s="40">
        <v>17800.0</v>
      </c>
      <c r="D64" s="6">
        <f t="shared" si="15"/>
        <v>5428.904813</v>
      </c>
      <c r="E64" s="6">
        <f t="shared" si="1"/>
        <v>12371.09519</v>
      </c>
      <c r="F64" s="6">
        <f t="shared" si="7"/>
        <v>1059645.21</v>
      </c>
      <c r="G64" s="6">
        <f t="shared" si="8"/>
        <v>332854.79</v>
      </c>
      <c r="H64" s="6">
        <f t="shared" si="9"/>
        <v>1392500</v>
      </c>
      <c r="I64" s="6">
        <f t="shared" si="10"/>
        <v>1748354.79</v>
      </c>
      <c r="J64" s="620">
        <v>3.7</v>
      </c>
      <c r="K64" s="591"/>
      <c r="L64" s="6"/>
      <c r="M64" s="75">
        <v>10500.0</v>
      </c>
      <c r="N64" s="79">
        <f t="shared" si="11"/>
        <v>798300</v>
      </c>
      <c r="O64" s="6">
        <f t="shared" si="2"/>
        <v>321367.21</v>
      </c>
      <c r="P64" s="6">
        <f t="shared" si="3"/>
        <v>30.32781227</v>
      </c>
      <c r="Q64" s="6"/>
      <c r="R64" s="6">
        <f t="shared" si="12"/>
        <v>2629.095187</v>
      </c>
      <c r="S64" s="6">
        <f t="shared" si="13"/>
        <v>321367.21</v>
      </c>
      <c r="T64" s="81">
        <f t="shared" si="4"/>
        <v>96.54877133</v>
      </c>
      <c r="U64" s="6"/>
      <c r="V64" s="6"/>
      <c r="W64" s="6"/>
      <c r="X64" s="6"/>
      <c r="Y64" s="6"/>
    </row>
    <row r="65" ht="11.25" customHeight="1">
      <c r="A65" s="71"/>
      <c r="B65" s="72">
        <f t="shared" si="14"/>
        <v>60</v>
      </c>
      <c r="C65" s="40">
        <v>17800.0</v>
      </c>
      <c r="D65" s="10">
        <f t="shared" si="15"/>
        <v>5390.760602</v>
      </c>
      <c r="E65" s="10">
        <f t="shared" si="1"/>
        <v>12409.2394</v>
      </c>
      <c r="F65" s="10">
        <f t="shared" si="7"/>
        <v>1072054.449</v>
      </c>
      <c r="G65" s="10">
        <f t="shared" si="8"/>
        <v>338245.5506</v>
      </c>
      <c r="H65" s="10">
        <f t="shared" si="9"/>
        <v>1410300</v>
      </c>
      <c r="I65" s="10">
        <f t="shared" si="10"/>
        <v>1735945.551</v>
      </c>
      <c r="J65" s="620">
        <v>3.7</v>
      </c>
      <c r="K65" s="591"/>
      <c r="L65" s="6"/>
      <c r="M65" s="75">
        <v>10500.0</v>
      </c>
      <c r="N65" s="79">
        <f t="shared" si="11"/>
        <v>808800</v>
      </c>
      <c r="O65" s="6">
        <f t="shared" si="2"/>
        <v>324034.4494</v>
      </c>
      <c r="P65" s="6">
        <f t="shared" si="3"/>
        <v>30.22555893</v>
      </c>
      <c r="Q65" s="6"/>
      <c r="R65" s="6">
        <f t="shared" si="12"/>
        <v>2667.239398</v>
      </c>
      <c r="S65" s="6">
        <f t="shared" si="13"/>
        <v>324034.4494</v>
      </c>
      <c r="T65" s="81">
        <f t="shared" si="4"/>
        <v>95.79858445</v>
      </c>
      <c r="U65" s="6"/>
      <c r="V65" s="6"/>
      <c r="W65" s="6"/>
      <c r="X65" s="6"/>
      <c r="Y65" s="6"/>
    </row>
    <row r="66" ht="11.25" customHeight="1">
      <c r="A66" s="619">
        <v>6.0</v>
      </c>
      <c r="B66" s="66">
        <f t="shared" si="14"/>
        <v>61</v>
      </c>
      <c r="C66" s="40">
        <v>17800.0</v>
      </c>
      <c r="D66" s="617">
        <f t="shared" si="15"/>
        <v>5352.498781</v>
      </c>
      <c r="E66" s="617">
        <f t="shared" si="1"/>
        <v>12447.50122</v>
      </c>
      <c r="F66" s="617">
        <f t="shared" si="7"/>
        <v>1084501.951</v>
      </c>
      <c r="G66" s="617">
        <f t="shared" si="8"/>
        <v>343598.0494</v>
      </c>
      <c r="H66" s="617">
        <f t="shared" si="9"/>
        <v>1428100</v>
      </c>
      <c r="I66" s="617">
        <f t="shared" si="10"/>
        <v>1723498.049</v>
      </c>
      <c r="J66" s="620">
        <v>3.7</v>
      </c>
      <c r="K66" s="591"/>
      <c r="L66" s="6"/>
      <c r="M66" s="75">
        <v>10500.0</v>
      </c>
      <c r="N66" s="79">
        <f t="shared" si="11"/>
        <v>819300</v>
      </c>
      <c r="O66" s="6">
        <f t="shared" si="2"/>
        <v>326739.9506</v>
      </c>
      <c r="P66" s="6">
        <f t="shared" si="3"/>
        <v>30.12811092</v>
      </c>
      <c r="Q66" s="6"/>
      <c r="R66" s="6">
        <f t="shared" si="12"/>
        <v>2705.501219</v>
      </c>
      <c r="S66" s="6">
        <f t="shared" si="13"/>
        <v>326739.9506</v>
      </c>
      <c r="T66" s="81">
        <f t="shared" si="4"/>
        <v>95.09365704</v>
      </c>
      <c r="U66" s="6"/>
      <c r="V66" s="6"/>
      <c r="W66" s="6"/>
      <c r="X66" s="6"/>
      <c r="Y66" s="6"/>
    </row>
    <row r="67" ht="11.25" customHeight="1">
      <c r="A67" s="54">
        <v>44562.0</v>
      </c>
      <c r="B67" s="68">
        <f t="shared" si="14"/>
        <v>62</v>
      </c>
      <c r="C67" s="40">
        <v>17800.0</v>
      </c>
      <c r="D67" s="6">
        <f t="shared" si="15"/>
        <v>5314.118986</v>
      </c>
      <c r="E67" s="6">
        <f t="shared" si="1"/>
        <v>12485.88101</v>
      </c>
      <c r="F67" s="6">
        <f t="shared" si="7"/>
        <v>1096987.832</v>
      </c>
      <c r="G67" s="6">
        <f t="shared" si="8"/>
        <v>348912.1683</v>
      </c>
      <c r="H67" s="6">
        <f t="shared" si="9"/>
        <v>1445900</v>
      </c>
      <c r="I67" s="6">
        <f t="shared" si="10"/>
        <v>1711012.168</v>
      </c>
      <c r="J67" s="620">
        <v>3.7</v>
      </c>
      <c r="K67" s="591"/>
      <c r="L67" s="6"/>
      <c r="M67" s="75">
        <v>10500.0</v>
      </c>
      <c r="N67" s="79">
        <f t="shared" si="11"/>
        <v>829800</v>
      </c>
      <c r="O67" s="6">
        <f t="shared" si="2"/>
        <v>329483.8317</v>
      </c>
      <c r="P67" s="6">
        <f t="shared" si="3"/>
        <v>30.03532238</v>
      </c>
      <c r="Q67" s="6"/>
      <c r="R67" s="6">
        <f t="shared" si="12"/>
        <v>2743.881014</v>
      </c>
      <c r="S67" s="6">
        <f t="shared" si="13"/>
        <v>329483.8317</v>
      </c>
      <c r="T67" s="81">
        <f t="shared" si="4"/>
        <v>94.43174001</v>
      </c>
      <c r="U67" s="6"/>
      <c r="V67" s="6"/>
      <c r="W67" s="6"/>
      <c r="X67" s="6"/>
      <c r="Y67" s="6"/>
    </row>
    <row r="68" ht="11.25" customHeight="1">
      <c r="A68" s="7"/>
      <c r="B68" s="68">
        <f t="shared" si="14"/>
        <v>63</v>
      </c>
      <c r="C68" s="40">
        <v>17800.0</v>
      </c>
      <c r="D68" s="6">
        <f t="shared" si="15"/>
        <v>5275.620852</v>
      </c>
      <c r="E68" s="6">
        <f t="shared" si="1"/>
        <v>12524.37915</v>
      </c>
      <c r="F68" s="6">
        <f t="shared" si="7"/>
        <v>1109512.211</v>
      </c>
      <c r="G68" s="6">
        <f t="shared" si="8"/>
        <v>354187.7892</v>
      </c>
      <c r="H68" s="6">
        <f t="shared" si="9"/>
        <v>1463700</v>
      </c>
      <c r="I68" s="6">
        <f t="shared" si="10"/>
        <v>1698487.789</v>
      </c>
      <c r="J68" s="620">
        <v>3.7</v>
      </c>
      <c r="K68" s="591"/>
      <c r="L68" s="6"/>
      <c r="M68" s="75">
        <v>10500.0</v>
      </c>
      <c r="N68" s="79">
        <f t="shared" si="11"/>
        <v>840300</v>
      </c>
      <c r="O68" s="6">
        <f t="shared" si="2"/>
        <v>332266.2108</v>
      </c>
      <c r="P68" s="6">
        <f t="shared" si="3"/>
        <v>29.94705309</v>
      </c>
      <c r="Q68" s="6"/>
      <c r="R68" s="6">
        <f t="shared" si="12"/>
        <v>2782.379148</v>
      </c>
      <c r="S68" s="6">
        <f t="shared" si="13"/>
        <v>332266.2108</v>
      </c>
      <c r="T68" s="81">
        <f t="shared" si="4"/>
        <v>93.81074699</v>
      </c>
      <c r="U68" s="6"/>
      <c r="V68" s="6"/>
      <c r="W68" s="6"/>
      <c r="X68" s="6"/>
      <c r="Y68" s="6"/>
    </row>
    <row r="69" ht="11.25" customHeight="1">
      <c r="A69" s="7"/>
      <c r="B69" s="68">
        <f t="shared" si="14"/>
        <v>64</v>
      </c>
      <c r="C69" s="40">
        <v>17800.0</v>
      </c>
      <c r="D69" s="6">
        <f t="shared" si="15"/>
        <v>5237.004017</v>
      </c>
      <c r="E69" s="6">
        <f t="shared" si="1"/>
        <v>12562.99598</v>
      </c>
      <c r="F69" s="6">
        <f t="shared" si="7"/>
        <v>1122075.207</v>
      </c>
      <c r="G69" s="6">
        <f t="shared" si="8"/>
        <v>359424.7932</v>
      </c>
      <c r="H69" s="6">
        <f t="shared" si="9"/>
        <v>1481500</v>
      </c>
      <c r="I69" s="6">
        <f t="shared" si="10"/>
        <v>1685924.793</v>
      </c>
      <c r="J69" s="620">
        <v>3.7</v>
      </c>
      <c r="K69" s="591"/>
      <c r="L69" s="6"/>
      <c r="M69" s="75">
        <v>10500.0</v>
      </c>
      <c r="N69" s="79">
        <f t="shared" si="11"/>
        <v>850800</v>
      </c>
      <c r="O69" s="6">
        <f t="shared" si="2"/>
        <v>335087.2068</v>
      </c>
      <c r="P69" s="6">
        <f t="shared" si="3"/>
        <v>29.86316824</v>
      </c>
      <c r="Q69" s="6"/>
      <c r="R69" s="6">
        <f t="shared" si="12"/>
        <v>2820.995983</v>
      </c>
      <c r="S69" s="6">
        <f t="shared" si="13"/>
        <v>335087.2068</v>
      </c>
      <c r="T69" s="81">
        <f t="shared" si="4"/>
        <v>93.22874023</v>
      </c>
      <c r="U69" s="6"/>
      <c r="V69" s="6"/>
      <c r="W69" s="6"/>
      <c r="X69" s="6"/>
      <c r="Y69" s="6"/>
    </row>
    <row r="70" ht="11.25" customHeight="1">
      <c r="A70" s="7"/>
      <c r="B70" s="68">
        <f t="shared" si="14"/>
        <v>65</v>
      </c>
      <c r="C70" s="40">
        <v>17800.0</v>
      </c>
      <c r="D70" s="6">
        <f t="shared" si="15"/>
        <v>5198.268112</v>
      </c>
      <c r="E70" s="6">
        <f t="shared" si="1"/>
        <v>12601.73189</v>
      </c>
      <c r="F70" s="6">
        <f t="shared" si="7"/>
        <v>1134676.939</v>
      </c>
      <c r="G70" s="6">
        <f t="shared" si="8"/>
        <v>364623.0613</v>
      </c>
      <c r="H70" s="6">
        <f t="shared" si="9"/>
        <v>1499300</v>
      </c>
      <c r="I70" s="6">
        <f t="shared" si="10"/>
        <v>1673323.061</v>
      </c>
      <c r="J70" s="620">
        <v>3.7</v>
      </c>
      <c r="K70" s="591"/>
      <c r="L70" s="6"/>
      <c r="M70" s="75">
        <v>10500.0</v>
      </c>
      <c r="N70" s="79">
        <f t="shared" si="11"/>
        <v>861300</v>
      </c>
      <c r="O70" s="6">
        <f t="shared" si="2"/>
        <v>337946.9387</v>
      </c>
      <c r="P70" s="6">
        <f t="shared" si="3"/>
        <v>29.78353813</v>
      </c>
      <c r="Q70" s="6"/>
      <c r="R70" s="6">
        <f t="shared" si="12"/>
        <v>2859.731888</v>
      </c>
      <c r="S70" s="6">
        <f t="shared" si="13"/>
        <v>337946.9387</v>
      </c>
      <c r="T70" s="81">
        <f t="shared" si="4"/>
        <v>92.68391787</v>
      </c>
      <c r="U70" s="6"/>
      <c r="V70" s="6"/>
      <c r="W70" s="6"/>
      <c r="X70" s="6"/>
      <c r="Y70" s="6"/>
    </row>
    <row r="71" ht="11.25" customHeight="1">
      <c r="A71" s="7"/>
      <c r="B71" s="68">
        <f t="shared" si="14"/>
        <v>66</v>
      </c>
      <c r="C71" s="40">
        <v>17800.0</v>
      </c>
      <c r="D71" s="6">
        <f t="shared" si="15"/>
        <v>5159.412772</v>
      </c>
      <c r="E71" s="6">
        <f t="shared" si="1"/>
        <v>12640.58723</v>
      </c>
      <c r="F71" s="6">
        <f t="shared" si="7"/>
        <v>1147317.526</v>
      </c>
      <c r="G71" s="6">
        <f t="shared" si="8"/>
        <v>369782.4741</v>
      </c>
      <c r="H71" s="6">
        <f t="shared" si="9"/>
        <v>1517100</v>
      </c>
      <c r="I71" s="6">
        <f t="shared" si="10"/>
        <v>1660682.474</v>
      </c>
      <c r="J71" s="620">
        <v>3.7</v>
      </c>
      <c r="K71" s="591"/>
      <c r="L71" s="6"/>
      <c r="M71" s="75">
        <v>10500.0</v>
      </c>
      <c r="N71" s="79">
        <f t="shared" si="11"/>
        <v>871800</v>
      </c>
      <c r="O71" s="6">
        <f t="shared" si="2"/>
        <v>340845.5259</v>
      </c>
      <c r="P71" s="6">
        <f t="shared" si="3"/>
        <v>29.70803794</v>
      </c>
      <c r="Q71" s="6"/>
      <c r="R71" s="6">
        <f t="shared" si="12"/>
        <v>2898.587228</v>
      </c>
      <c r="S71" s="6">
        <f t="shared" si="13"/>
        <v>340845.5259</v>
      </c>
      <c r="T71" s="81">
        <f t="shared" si="4"/>
        <v>92.17460258</v>
      </c>
      <c r="U71" s="6"/>
      <c r="V71" s="6"/>
      <c r="W71" s="6"/>
      <c r="X71" s="6"/>
      <c r="Y71" s="6"/>
    </row>
    <row r="72" ht="11.25" customHeight="1">
      <c r="A72" s="7"/>
      <c r="B72" s="68">
        <f t="shared" si="14"/>
        <v>67</v>
      </c>
      <c r="C72" s="40">
        <v>17800.0</v>
      </c>
      <c r="D72" s="6">
        <f t="shared" si="15"/>
        <v>5120.437628</v>
      </c>
      <c r="E72" s="6">
        <f t="shared" si="1"/>
        <v>12679.56237</v>
      </c>
      <c r="F72" s="6">
        <f t="shared" si="7"/>
        <v>1159997.088</v>
      </c>
      <c r="G72" s="6">
        <f t="shared" si="8"/>
        <v>374902.9117</v>
      </c>
      <c r="H72" s="6">
        <f t="shared" si="9"/>
        <v>1534900</v>
      </c>
      <c r="I72" s="6">
        <f t="shared" si="10"/>
        <v>1648002.912</v>
      </c>
      <c r="J72" s="620">
        <v>3.7</v>
      </c>
      <c r="K72" s="591"/>
      <c r="L72" s="6"/>
      <c r="M72" s="75">
        <v>12000.0</v>
      </c>
      <c r="N72" s="79">
        <f t="shared" si="11"/>
        <v>883800</v>
      </c>
      <c r="O72" s="6">
        <f t="shared" si="2"/>
        <v>345283.0883</v>
      </c>
      <c r="P72" s="6">
        <f t="shared" si="3"/>
        <v>29.76585819</v>
      </c>
      <c r="Q72" s="6"/>
      <c r="R72" s="6">
        <f t="shared" si="12"/>
        <v>4437.562372</v>
      </c>
      <c r="S72" s="6">
        <f t="shared" si="13"/>
        <v>345283.0883</v>
      </c>
      <c r="T72" s="81">
        <f t="shared" si="4"/>
        <v>92.09933492</v>
      </c>
      <c r="U72" s="6"/>
      <c r="V72" s="6"/>
      <c r="W72" s="6"/>
      <c r="X72" s="6"/>
      <c r="Y72" s="6"/>
    </row>
    <row r="73" ht="11.25" customHeight="1">
      <c r="A73" s="7"/>
      <c r="B73" s="68">
        <f t="shared" si="14"/>
        <v>68</v>
      </c>
      <c r="C73" s="40">
        <v>17800.0</v>
      </c>
      <c r="D73" s="6">
        <f t="shared" si="15"/>
        <v>5081.342311</v>
      </c>
      <c r="E73" s="6">
        <f t="shared" si="1"/>
        <v>12718.65769</v>
      </c>
      <c r="F73" s="6">
        <f t="shared" si="7"/>
        <v>1172715.746</v>
      </c>
      <c r="G73" s="6">
        <f t="shared" si="8"/>
        <v>379984.254</v>
      </c>
      <c r="H73" s="6">
        <f t="shared" si="9"/>
        <v>1552700</v>
      </c>
      <c r="I73" s="6">
        <f t="shared" si="10"/>
        <v>1635284.254</v>
      </c>
      <c r="J73" s="620">
        <v>3.7</v>
      </c>
      <c r="K73" s="591"/>
      <c r="L73" s="6"/>
      <c r="M73" s="75">
        <v>12000.0</v>
      </c>
      <c r="N73" s="79">
        <f t="shared" si="11"/>
        <v>895800</v>
      </c>
      <c r="O73" s="6">
        <f t="shared" si="2"/>
        <v>349759.746</v>
      </c>
      <c r="P73" s="6">
        <f t="shared" si="3"/>
        <v>29.82476761</v>
      </c>
      <c r="Q73" s="6"/>
      <c r="R73" s="6">
        <f t="shared" si="12"/>
        <v>4476.657689</v>
      </c>
      <c r="S73" s="6">
        <f t="shared" si="13"/>
        <v>349759.746</v>
      </c>
      <c r="T73" s="81">
        <f t="shared" si="4"/>
        <v>92.04585249</v>
      </c>
      <c r="U73" s="6"/>
      <c r="V73" s="6"/>
      <c r="W73" s="6"/>
      <c r="X73" s="6"/>
      <c r="Y73" s="6"/>
    </row>
    <row r="74" ht="11.25" customHeight="1">
      <c r="A74" s="7"/>
      <c r="B74" s="68">
        <f t="shared" si="14"/>
        <v>69</v>
      </c>
      <c r="C74" s="40">
        <v>17800.0</v>
      </c>
      <c r="D74" s="6">
        <f t="shared" si="15"/>
        <v>5042.12645</v>
      </c>
      <c r="E74" s="6">
        <f t="shared" si="1"/>
        <v>12757.87355</v>
      </c>
      <c r="F74" s="6">
        <f t="shared" si="7"/>
        <v>1185473.62</v>
      </c>
      <c r="G74" s="6">
        <f t="shared" si="8"/>
        <v>385026.3805</v>
      </c>
      <c r="H74" s="6">
        <f t="shared" si="9"/>
        <v>1570500</v>
      </c>
      <c r="I74" s="6">
        <f t="shared" si="10"/>
        <v>1622526.38</v>
      </c>
      <c r="J74" s="620">
        <v>3.7</v>
      </c>
      <c r="K74" s="591"/>
      <c r="L74" s="6"/>
      <c r="M74" s="75">
        <v>12000.0</v>
      </c>
      <c r="N74" s="79">
        <f t="shared" si="11"/>
        <v>907800</v>
      </c>
      <c r="O74" s="6">
        <f t="shared" si="2"/>
        <v>354275.6195</v>
      </c>
      <c r="P74" s="6">
        <f t="shared" si="3"/>
        <v>29.88473245</v>
      </c>
      <c r="Q74" s="6"/>
      <c r="R74" s="6">
        <f t="shared" si="12"/>
        <v>4515.87355</v>
      </c>
      <c r="S74" s="6">
        <f t="shared" si="13"/>
        <v>354275.6195</v>
      </c>
      <c r="T74" s="81">
        <f t="shared" si="4"/>
        <v>92.01333661</v>
      </c>
      <c r="U74" s="6"/>
      <c r="V74" s="6"/>
      <c r="W74" s="6"/>
      <c r="X74" s="6"/>
      <c r="Y74" s="6"/>
    </row>
    <row r="75" ht="11.25" customHeight="1">
      <c r="A75" s="7"/>
      <c r="B75" s="68">
        <f t="shared" si="14"/>
        <v>70</v>
      </c>
      <c r="C75" s="40">
        <v>1621713.0</v>
      </c>
      <c r="D75" s="6">
        <f t="shared" si="15"/>
        <v>5002.789673</v>
      </c>
      <c r="E75" s="6">
        <f t="shared" si="1"/>
        <v>1616710.21</v>
      </c>
      <c r="F75" s="6">
        <f t="shared" si="7"/>
        <v>2802183.83</v>
      </c>
      <c r="G75" s="6">
        <f t="shared" si="8"/>
        <v>390029.1702</v>
      </c>
      <c r="H75" s="6">
        <f t="shared" si="9"/>
        <v>3192213</v>
      </c>
      <c r="I75" s="6">
        <f t="shared" si="10"/>
        <v>5816.170158</v>
      </c>
      <c r="J75" s="620">
        <v>3.7</v>
      </c>
      <c r="K75" s="591"/>
      <c r="L75" s="6"/>
      <c r="M75" s="75">
        <v>12000.0</v>
      </c>
      <c r="N75" s="79">
        <f t="shared" si="11"/>
        <v>919800</v>
      </c>
      <c r="O75" s="6">
        <f t="shared" si="2"/>
        <v>358830.8298</v>
      </c>
      <c r="P75" s="6">
        <f t="shared" si="3"/>
        <v>12.80539935</v>
      </c>
      <c r="Q75" s="6"/>
      <c r="R75" s="6">
        <f t="shared" si="12"/>
        <v>4555.210327</v>
      </c>
      <c r="S75" s="6">
        <f t="shared" si="13"/>
        <v>358830.8298</v>
      </c>
      <c r="T75" s="81">
        <f t="shared" si="4"/>
        <v>92.00102385</v>
      </c>
      <c r="U75" s="6"/>
      <c r="V75" s="6"/>
      <c r="W75" s="6"/>
      <c r="X75" s="6"/>
      <c r="Y75" s="6"/>
    </row>
    <row r="76" ht="11.25" customHeight="1">
      <c r="A76" s="7"/>
      <c r="B76" s="68">
        <f t="shared" si="14"/>
        <v>71</v>
      </c>
      <c r="C76" s="40">
        <v>5816.17</v>
      </c>
      <c r="D76" s="6">
        <f t="shared" si="15"/>
        <v>0</v>
      </c>
      <c r="E76" s="6">
        <f t="shared" si="1"/>
        <v>5816.17</v>
      </c>
      <c r="F76" s="6">
        <f t="shared" si="7"/>
        <v>2808000</v>
      </c>
      <c r="G76" s="6">
        <f t="shared" si="8"/>
        <v>390029.1702</v>
      </c>
      <c r="H76" s="6">
        <f t="shared" si="9"/>
        <v>3198029.17</v>
      </c>
      <c r="I76" s="6">
        <f t="shared" si="10"/>
        <v>0.000157801127</v>
      </c>
      <c r="J76" s="620"/>
      <c r="K76" s="591"/>
      <c r="L76" s="6"/>
      <c r="M76" s="75">
        <v>12000.0</v>
      </c>
      <c r="N76" s="79">
        <f t="shared" si="11"/>
        <v>931800</v>
      </c>
      <c r="O76" s="6">
        <f t="shared" si="2"/>
        <v>368388.8298</v>
      </c>
      <c r="P76" s="6">
        <f t="shared" si="3"/>
        <v>13.11926032</v>
      </c>
      <c r="Q76" s="6"/>
      <c r="R76" s="6">
        <f t="shared" si="12"/>
        <v>9558</v>
      </c>
      <c r="S76" s="6">
        <f t="shared" si="13"/>
        <v>368388.8298</v>
      </c>
      <c r="T76" s="81">
        <f t="shared" si="4"/>
        <v>94.45160978</v>
      </c>
      <c r="U76" s="6"/>
      <c r="V76" s="6"/>
      <c r="W76" s="6"/>
      <c r="X76" s="6"/>
      <c r="Y76" s="6"/>
    </row>
    <row r="77" ht="11.25" customHeight="1">
      <c r="A77" s="71"/>
      <c r="B77" s="72">
        <f t="shared" si="14"/>
        <v>72</v>
      </c>
      <c r="C77" s="607"/>
      <c r="D77" s="10">
        <f t="shared" si="15"/>
        <v>0</v>
      </c>
      <c r="E77" s="10">
        <f t="shared" si="1"/>
        <v>0</v>
      </c>
      <c r="F77" s="10">
        <f t="shared" si="7"/>
        <v>2808000</v>
      </c>
      <c r="G77" s="10">
        <f t="shared" si="8"/>
        <v>390029.1702</v>
      </c>
      <c r="H77" s="10">
        <f t="shared" si="9"/>
        <v>3198029.17</v>
      </c>
      <c r="I77" s="10">
        <f t="shared" si="10"/>
        <v>0.000157801127</v>
      </c>
      <c r="J77" s="620"/>
      <c r="K77" s="591"/>
      <c r="L77" s="6"/>
      <c r="M77" s="75">
        <v>12000.0</v>
      </c>
      <c r="N77" s="79">
        <f t="shared" si="11"/>
        <v>943800</v>
      </c>
      <c r="O77" s="6">
        <f t="shared" si="2"/>
        <v>377946.8298</v>
      </c>
      <c r="P77" s="6">
        <f t="shared" si="3"/>
        <v>13.45964494</v>
      </c>
      <c r="Q77" s="6"/>
      <c r="R77" s="6">
        <f t="shared" si="12"/>
        <v>9558</v>
      </c>
      <c r="S77" s="6">
        <f t="shared" si="13"/>
        <v>377946.8298</v>
      </c>
      <c r="T77" s="81">
        <f t="shared" si="4"/>
        <v>96.90219572</v>
      </c>
      <c r="U77" s="6"/>
      <c r="V77" s="6"/>
      <c r="W77" s="6"/>
      <c r="X77" s="6"/>
      <c r="Y77" s="6"/>
    </row>
    <row r="78" ht="11.25" customHeight="1">
      <c r="A78" s="619">
        <v>7.0</v>
      </c>
      <c r="B78" s="66">
        <f t="shared" si="14"/>
        <v>73</v>
      </c>
      <c r="C78" s="607"/>
      <c r="D78" s="617">
        <f t="shared" si="15"/>
        <v>0</v>
      </c>
      <c r="E78" s="617">
        <f t="shared" si="1"/>
        <v>0</v>
      </c>
      <c r="F78" s="617">
        <f t="shared" si="7"/>
        <v>2808000</v>
      </c>
      <c r="G78" s="617">
        <f t="shared" si="8"/>
        <v>390029.1702</v>
      </c>
      <c r="H78" s="617">
        <f t="shared" si="9"/>
        <v>3198029.17</v>
      </c>
      <c r="I78" s="617">
        <f t="shared" si="10"/>
        <v>0.000157801127</v>
      </c>
      <c r="J78" s="620"/>
      <c r="K78" s="591"/>
      <c r="L78" s="6"/>
      <c r="M78" s="75">
        <v>12000.0</v>
      </c>
      <c r="N78" s="79">
        <f t="shared" si="11"/>
        <v>955800</v>
      </c>
      <c r="O78" s="6">
        <f t="shared" si="2"/>
        <v>387504.8298</v>
      </c>
      <c r="P78" s="6">
        <f t="shared" si="3"/>
        <v>13.80002955</v>
      </c>
      <c r="Q78" s="6"/>
      <c r="R78" s="6">
        <f t="shared" si="12"/>
        <v>9558</v>
      </c>
      <c r="S78" s="6">
        <f t="shared" si="13"/>
        <v>387504.8298</v>
      </c>
      <c r="T78" s="81">
        <f t="shared" si="4"/>
        <v>99.35278166</v>
      </c>
      <c r="U78" s="6"/>
      <c r="V78" s="6"/>
      <c r="W78" s="6"/>
      <c r="X78" s="6"/>
      <c r="Y78" s="6"/>
    </row>
    <row r="79" ht="11.25" customHeight="1">
      <c r="A79" s="54">
        <v>44927.0</v>
      </c>
      <c r="B79" s="68">
        <f t="shared" si="14"/>
        <v>74</v>
      </c>
      <c r="C79" s="607"/>
      <c r="D79" s="6">
        <f t="shared" si="15"/>
        <v>0</v>
      </c>
      <c r="E79" s="6">
        <f t="shared" si="1"/>
        <v>0</v>
      </c>
      <c r="F79" s="6">
        <f t="shared" si="7"/>
        <v>2808000</v>
      </c>
      <c r="G79" s="6">
        <f t="shared" si="8"/>
        <v>390029.1702</v>
      </c>
      <c r="H79" s="6">
        <f t="shared" si="9"/>
        <v>3198029.17</v>
      </c>
      <c r="I79" s="6">
        <f t="shared" si="10"/>
        <v>0.000157801127</v>
      </c>
      <c r="J79" s="620"/>
      <c r="K79" s="591"/>
      <c r="L79" s="6"/>
      <c r="M79" s="75">
        <v>12000.0</v>
      </c>
      <c r="N79" s="79">
        <f t="shared" si="11"/>
        <v>967800</v>
      </c>
      <c r="O79" s="6">
        <f t="shared" si="2"/>
        <v>397062.8298</v>
      </c>
      <c r="P79" s="6">
        <f t="shared" si="3"/>
        <v>14.14041417</v>
      </c>
      <c r="Q79" s="6"/>
      <c r="R79" s="6">
        <f t="shared" si="12"/>
        <v>9558</v>
      </c>
      <c r="S79" s="6">
        <f t="shared" si="13"/>
        <v>397062.8298</v>
      </c>
      <c r="T79" s="81">
        <f t="shared" si="4"/>
        <v>101.8033676</v>
      </c>
      <c r="U79" s="6"/>
      <c r="V79" s="6"/>
      <c r="W79" s="6"/>
      <c r="X79" s="6"/>
      <c r="Y79" s="6"/>
    </row>
    <row r="80" ht="11.25" customHeight="1">
      <c r="A80" s="7"/>
      <c r="B80" s="68">
        <f t="shared" si="14"/>
        <v>75</v>
      </c>
      <c r="C80" s="607"/>
      <c r="D80" s="6">
        <f t="shared" si="15"/>
        <v>0</v>
      </c>
      <c r="E80" s="6">
        <f t="shared" si="1"/>
        <v>0</v>
      </c>
      <c r="F80" s="6">
        <f t="shared" si="7"/>
        <v>2808000</v>
      </c>
      <c r="G80" s="6">
        <f t="shared" si="8"/>
        <v>390029.1702</v>
      </c>
      <c r="H80" s="6">
        <f t="shared" si="9"/>
        <v>3198029.17</v>
      </c>
      <c r="I80" s="6">
        <f t="shared" si="10"/>
        <v>0.000157801127</v>
      </c>
      <c r="J80" s="620"/>
      <c r="K80" s="591"/>
      <c r="L80" s="6"/>
      <c r="M80" s="75">
        <v>12000.0</v>
      </c>
      <c r="N80" s="79">
        <f t="shared" si="11"/>
        <v>979800</v>
      </c>
      <c r="O80" s="6">
        <f t="shared" si="2"/>
        <v>406620.8298</v>
      </c>
      <c r="P80" s="6">
        <f t="shared" si="3"/>
        <v>14.48079878</v>
      </c>
      <c r="Q80" s="6"/>
      <c r="R80" s="6">
        <f t="shared" si="12"/>
        <v>9558</v>
      </c>
      <c r="S80" s="6">
        <f t="shared" si="13"/>
        <v>406620.8298</v>
      </c>
      <c r="T80" s="81">
        <f t="shared" si="4"/>
        <v>104.2539535</v>
      </c>
      <c r="U80" s="6"/>
      <c r="V80" s="6"/>
      <c r="W80" s="6"/>
      <c r="X80" s="6"/>
      <c r="Y80" s="6"/>
    </row>
    <row r="81" ht="11.25" customHeight="1">
      <c r="A81" s="7"/>
      <c r="B81" s="68">
        <f t="shared" si="14"/>
        <v>76</v>
      </c>
      <c r="C81" s="607"/>
      <c r="D81" s="6">
        <f t="shared" si="15"/>
        <v>0</v>
      </c>
      <c r="E81" s="6">
        <f t="shared" si="1"/>
        <v>0</v>
      </c>
      <c r="F81" s="6">
        <f t="shared" si="7"/>
        <v>2808000</v>
      </c>
      <c r="G81" s="6">
        <f t="shared" si="8"/>
        <v>390029.1702</v>
      </c>
      <c r="H81" s="6">
        <f t="shared" si="9"/>
        <v>3198029.17</v>
      </c>
      <c r="I81" s="6">
        <f t="shared" si="10"/>
        <v>0.000157801127</v>
      </c>
      <c r="J81" s="620"/>
      <c r="K81" s="591"/>
      <c r="L81" s="6"/>
      <c r="M81" s="75">
        <v>12000.0</v>
      </c>
      <c r="N81" s="79">
        <f t="shared" si="11"/>
        <v>991800</v>
      </c>
      <c r="O81" s="6">
        <f t="shared" si="2"/>
        <v>416178.8298</v>
      </c>
      <c r="P81" s="6">
        <f t="shared" si="3"/>
        <v>14.8211834</v>
      </c>
      <c r="Q81" s="6"/>
      <c r="R81" s="6">
        <f t="shared" si="12"/>
        <v>9558</v>
      </c>
      <c r="S81" s="6">
        <f t="shared" si="13"/>
        <v>416178.8298</v>
      </c>
      <c r="T81" s="81">
        <f t="shared" si="4"/>
        <v>106.7045395</v>
      </c>
      <c r="U81" s="6"/>
      <c r="V81" s="6"/>
      <c r="W81" s="6"/>
      <c r="X81" s="6"/>
      <c r="Y81" s="6"/>
    </row>
    <row r="82" ht="11.25" customHeight="1">
      <c r="A82" s="7"/>
      <c r="B82" s="68">
        <f t="shared" si="14"/>
        <v>77</v>
      </c>
      <c r="C82" s="607"/>
      <c r="D82" s="6">
        <f t="shared" si="15"/>
        <v>0</v>
      </c>
      <c r="E82" s="6">
        <f t="shared" si="1"/>
        <v>0</v>
      </c>
      <c r="F82" s="6">
        <f t="shared" si="7"/>
        <v>2808000</v>
      </c>
      <c r="G82" s="6">
        <f t="shared" si="8"/>
        <v>390029.1702</v>
      </c>
      <c r="H82" s="6">
        <f t="shared" si="9"/>
        <v>3198029.17</v>
      </c>
      <c r="I82" s="6">
        <f t="shared" si="10"/>
        <v>0.000157801127</v>
      </c>
      <c r="J82" s="620"/>
      <c r="K82" s="591"/>
      <c r="L82" s="6"/>
      <c r="M82" s="75">
        <v>12000.0</v>
      </c>
      <c r="N82" s="79">
        <f t="shared" si="11"/>
        <v>1003800</v>
      </c>
      <c r="O82" s="6">
        <f t="shared" si="2"/>
        <v>425736.8298</v>
      </c>
      <c r="P82" s="6">
        <f t="shared" si="3"/>
        <v>15.16156802</v>
      </c>
      <c r="Q82" s="6"/>
      <c r="R82" s="6">
        <f t="shared" si="12"/>
        <v>9558</v>
      </c>
      <c r="S82" s="6">
        <f t="shared" si="13"/>
        <v>425736.8298</v>
      </c>
      <c r="T82" s="81">
        <f t="shared" si="4"/>
        <v>109.1551254</v>
      </c>
      <c r="U82" s="6"/>
      <c r="V82" s="6"/>
      <c r="W82" s="6"/>
      <c r="X82" s="6"/>
      <c r="Y82" s="6"/>
    </row>
    <row r="83" ht="11.25" customHeight="1">
      <c r="A83" s="7"/>
      <c r="B83" s="68">
        <f t="shared" si="14"/>
        <v>78</v>
      </c>
      <c r="C83" s="607"/>
      <c r="D83" s="6">
        <f t="shared" si="15"/>
        <v>0</v>
      </c>
      <c r="E83" s="6">
        <f t="shared" si="1"/>
        <v>0</v>
      </c>
      <c r="F83" s="6">
        <f t="shared" si="7"/>
        <v>2808000</v>
      </c>
      <c r="G83" s="6">
        <f t="shared" si="8"/>
        <v>390029.1702</v>
      </c>
      <c r="H83" s="6">
        <f t="shared" si="9"/>
        <v>3198029.17</v>
      </c>
      <c r="I83" s="6">
        <f t="shared" si="10"/>
        <v>0.000157801127</v>
      </c>
      <c r="J83" s="620"/>
      <c r="K83" s="591"/>
      <c r="L83" s="6"/>
      <c r="M83" s="75">
        <v>12000.0</v>
      </c>
      <c r="N83" s="79">
        <f t="shared" si="11"/>
        <v>1015800</v>
      </c>
      <c r="O83" s="6">
        <f t="shared" si="2"/>
        <v>435294.8298</v>
      </c>
      <c r="P83" s="6">
        <f t="shared" si="3"/>
        <v>15.50195263</v>
      </c>
      <c r="Q83" s="6"/>
      <c r="R83" s="6">
        <f t="shared" si="12"/>
        <v>9558</v>
      </c>
      <c r="S83" s="6">
        <f t="shared" si="13"/>
        <v>435294.8298</v>
      </c>
      <c r="T83" s="81">
        <f t="shared" si="4"/>
        <v>111.6057114</v>
      </c>
      <c r="U83" s="6"/>
      <c r="V83" s="6"/>
      <c r="W83" s="6"/>
      <c r="X83" s="6"/>
      <c r="Y83" s="6"/>
    </row>
    <row r="84" ht="11.25" customHeight="1">
      <c r="A84" s="7"/>
      <c r="B84" s="68">
        <f t="shared" si="14"/>
        <v>79</v>
      </c>
      <c r="C84" s="607"/>
      <c r="D84" s="6">
        <f t="shared" si="15"/>
        <v>0</v>
      </c>
      <c r="E84" s="6">
        <f t="shared" si="1"/>
        <v>0</v>
      </c>
      <c r="F84" s="6">
        <f t="shared" si="7"/>
        <v>2808000</v>
      </c>
      <c r="G84" s="6">
        <f t="shared" si="8"/>
        <v>390029.1702</v>
      </c>
      <c r="H84" s="6">
        <f t="shared" si="9"/>
        <v>3198029.17</v>
      </c>
      <c r="I84" s="6">
        <f t="shared" si="10"/>
        <v>0.000157801127</v>
      </c>
      <c r="J84" s="620"/>
      <c r="K84" s="591"/>
      <c r="L84" s="6"/>
      <c r="M84" s="75">
        <v>12000.0</v>
      </c>
      <c r="N84" s="79">
        <f t="shared" si="11"/>
        <v>1027800</v>
      </c>
      <c r="O84" s="6">
        <f t="shared" si="2"/>
        <v>444852.8298</v>
      </c>
      <c r="P84" s="6">
        <f t="shared" si="3"/>
        <v>15.84233725</v>
      </c>
      <c r="Q84" s="6"/>
      <c r="R84" s="6">
        <f t="shared" si="12"/>
        <v>9558</v>
      </c>
      <c r="S84" s="6">
        <f t="shared" si="13"/>
        <v>444852.8298</v>
      </c>
      <c r="T84" s="81">
        <f t="shared" si="4"/>
        <v>114.0562973</v>
      </c>
      <c r="U84" s="6"/>
      <c r="V84" s="6"/>
      <c r="W84" s="6"/>
      <c r="X84" s="6"/>
      <c r="Y84" s="6"/>
    </row>
    <row r="85" ht="11.25" customHeight="1">
      <c r="A85" s="7"/>
      <c r="B85" s="68">
        <f t="shared" si="14"/>
        <v>80</v>
      </c>
      <c r="C85" s="607"/>
      <c r="D85" s="6">
        <f t="shared" si="15"/>
        <v>0</v>
      </c>
      <c r="E85" s="6">
        <f t="shared" si="1"/>
        <v>0</v>
      </c>
      <c r="F85" s="6">
        <f t="shared" si="7"/>
        <v>2808000</v>
      </c>
      <c r="G85" s="6">
        <f t="shared" si="8"/>
        <v>390029.1702</v>
      </c>
      <c r="H85" s="6">
        <f t="shared" si="9"/>
        <v>3198029.17</v>
      </c>
      <c r="I85" s="6">
        <f t="shared" si="10"/>
        <v>0.000157801127</v>
      </c>
      <c r="J85" s="620"/>
      <c r="K85" s="591"/>
      <c r="L85" s="6"/>
      <c r="M85" s="75">
        <v>12000.0</v>
      </c>
      <c r="N85" s="79">
        <f t="shared" si="11"/>
        <v>1039800</v>
      </c>
      <c r="O85" s="6">
        <f t="shared" si="2"/>
        <v>454410.8298</v>
      </c>
      <c r="P85" s="6">
        <f t="shared" si="3"/>
        <v>16.18272186</v>
      </c>
      <c r="Q85" s="6"/>
      <c r="R85" s="6">
        <f t="shared" si="12"/>
        <v>9558</v>
      </c>
      <c r="S85" s="6">
        <f t="shared" si="13"/>
        <v>454410.8298</v>
      </c>
      <c r="T85" s="81">
        <f t="shared" si="4"/>
        <v>116.5068832</v>
      </c>
      <c r="U85" s="6"/>
      <c r="V85" s="6"/>
      <c r="W85" s="6"/>
      <c r="X85" s="6"/>
      <c r="Y85" s="6"/>
    </row>
    <row r="86" ht="11.25" customHeight="1">
      <c r="A86" s="7"/>
      <c r="B86" s="68">
        <f t="shared" si="14"/>
        <v>81</v>
      </c>
      <c r="C86" s="607"/>
      <c r="D86" s="6">
        <f t="shared" si="15"/>
        <v>0</v>
      </c>
      <c r="E86" s="6">
        <f t="shared" si="1"/>
        <v>0</v>
      </c>
      <c r="F86" s="6">
        <f t="shared" si="7"/>
        <v>2808000</v>
      </c>
      <c r="G86" s="6">
        <f t="shared" si="8"/>
        <v>390029.1702</v>
      </c>
      <c r="H86" s="6">
        <f t="shared" si="9"/>
        <v>3198029.17</v>
      </c>
      <c r="I86" s="6">
        <f t="shared" si="10"/>
        <v>0.000157801127</v>
      </c>
      <c r="J86" s="620"/>
      <c r="K86" s="591"/>
      <c r="L86" s="6"/>
      <c r="M86" s="75">
        <v>12000.0</v>
      </c>
      <c r="N86" s="79">
        <f t="shared" si="11"/>
        <v>1051800</v>
      </c>
      <c r="O86" s="6">
        <f t="shared" si="2"/>
        <v>463968.8298</v>
      </c>
      <c r="P86" s="6">
        <f t="shared" si="3"/>
        <v>16.52310648</v>
      </c>
      <c r="Q86" s="6"/>
      <c r="R86" s="6">
        <f t="shared" si="12"/>
        <v>9558</v>
      </c>
      <c r="S86" s="6">
        <f t="shared" si="13"/>
        <v>463968.8298</v>
      </c>
      <c r="T86" s="81">
        <f t="shared" si="4"/>
        <v>118.9574692</v>
      </c>
      <c r="U86" s="6"/>
      <c r="V86" s="6"/>
      <c r="W86" s="6"/>
      <c r="X86" s="6"/>
      <c r="Y86" s="6"/>
    </row>
    <row r="87" ht="11.25" customHeight="1">
      <c r="A87" s="87"/>
      <c r="B87" s="68">
        <f t="shared" si="14"/>
        <v>82</v>
      </c>
      <c r="C87" s="607"/>
      <c r="D87" s="6">
        <f t="shared" si="15"/>
        <v>0</v>
      </c>
      <c r="E87" s="6">
        <f t="shared" si="1"/>
        <v>0</v>
      </c>
      <c r="F87" s="6">
        <f t="shared" si="7"/>
        <v>2808000</v>
      </c>
      <c r="G87" s="6">
        <f t="shared" si="8"/>
        <v>390029.1702</v>
      </c>
      <c r="H87" s="6">
        <f t="shared" si="9"/>
        <v>3198029.17</v>
      </c>
      <c r="I87" s="6">
        <f t="shared" si="10"/>
        <v>0.000157801127</v>
      </c>
      <c r="J87" s="620"/>
      <c r="K87" s="591"/>
      <c r="L87" s="6"/>
      <c r="M87" s="75">
        <v>12000.0</v>
      </c>
      <c r="N87" s="79">
        <f t="shared" si="11"/>
        <v>1063800</v>
      </c>
      <c r="O87" s="6">
        <f t="shared" si="2"/>
        <v>473526.8298</v>
      </c>
      <c r="P87" s="6">
        <f t="shared" si="3"/>
        <v>16.86349109</v>
      </c>
      <c r="Q87" s="6"/>
      <c r="R87" s="6">
        <f t="shared" si="12"/>
        <v>9558</v>
      </c>
      <c r="S87" s="6">
        <f t="shared" si="13"/>
        <v>473526.8298</v>
      </c>
      <c r="T87" s="81">
        <f t="shared" si="4"/>
        <v>121.4080551</v>
      </c>
      <c r="U87" s="6"/>
      <c r="V87" s="6"/>
      <c r="W87" s="6"/>
      <c r="X87" s="6"/>
      <c r="Y87" s="6"/>
    </row>
    <row r="88" ht="11.25" customHeight="1">
      <c r="A88" s="7"/>
      <c r="B88" s="68">
        <f t="shared" si="14"/>
        <v>83</v>
      </c>
      <c r="C88" s="607"/>
      <c r="D88" s="6">
        <f t="shared" si="15"/>
        <v>0</v>
      </c>
      <c r="E88" s="6">
        <f t="shared" si="1"/>
        <v>0</v>
      </c>
      <c r="F88" s="6">
        <f t="shared" si="7"/>
        <v>2808000</v>
      </c>
      <c r="G88" s="6">
        <f t="shared" si="8"/>
        <v>390029.1702</v>
      </c>
      <c r="H88" s="6">
        <f t="shared" si="9"/>
        <v>3198029.17</v>
      </c>
      <c r="I88" s="6">
        <f t="shared" si="10"/>
        <v>0.000157801127</v>
      </c>
      <c r="J88" s="620"/>
      <c r="K88" s="591"/>
      <c r="L88" s="6"/>
      <c r="M88" s="75">
        <v>12000.0</v>
      </c>
      <c r="N88" s="79">
        <f t="shared" si="11"/>
        <v>1075800</v>
      </c>
      <c r="O88" s="6">
        <f t="shared" si="2"/>
        <v>483084.8298</v>
      </c>
      <c r="P88" s="6">
        <f t="shared" si="3"/>
        <v>17.20387571</v>
      </c>
      <c r="Q88" s="6"/>
      <c r="R88" s="6">
        <f t="shared" si="12"/>
        <v>9558</v>
      </c>
      <c r="S88" s="6">
        <f t="shared" si="13"/>
        <v>483084.8298</v>
      </c>
      <c r="T88" s="81">
        <f t="shared" si="4"/>
        <v>123.858641</v>
      </c>
      <c r="U88" s="6"/>
      <c r="V88" s="6"/>
      <c r="W88" s="6"/>
      <c r="X88" s="6"/>
      <c r="Y88" s="6"/>
    </row>
    <row r="89" ht="11.25" customHeight="1">
      <c r="A89" s="71"/>
      <c r="B89" s="72">
        <f t="shared" si="14"/>
        <v>84</v>
      </c>
      <c r="C89" s="607"/>
      <c r="D89" s="10">
        <f t="shared" si="15"/>
        <v>0</v>
      </c>
      <c r="E89" s="10">
        <f t="shared" si="1"/>
        <v>0</v>
      </c>
      <c r="F89" s="10">
        <f t="shared" si="7"/>
        <v>2808000</v>
      </c>
      <c r="G89" s="10">
        <f t="shared" si="8"/>
        <v>390029.1702</v>
      </c>
      <c r="H89" s="10">
        <f t="shared" si="9"/>
        <v>3198029.17</v>
      </c>
      <c r="I89" s="10">
        <f t="shared" si="10"/>
        <v>0.000157801127</v>
      </c>
      <c r="J89" s="620"/>
      <c r="K89" s="591"/>
      <c r="L89" s="6"/>
      <c r="M89" s="75">
        <v>12000.0</v>
      </c>
      <c r="N89" s="79">
        <f t="shared" si="11"/>
        <v>1087800</v>
      </c>
      <c r="O89" s="6">
        <f t="shared" si="2"/>
        <v>492642.8298</v>
      </c>
      <c r="P89" s="6">
        <f t="shared" si="3"/>
        <v>17.54426032</v>
      </c>
      <c r="Q89" s="6"/>
      <c r="R89" s="6">
        <f t="shared" si="12"/>
        <v>9558</v>
      </c>
      <c r="S89" s="6">
        <f t="shared" si="13"/>
        <v>492642.8298</v>
      </c>
      <c r="T89" s="81">
        <f t="shared" si="4"/>
        <v>126.309227</v>
      </c>
      <c r="U89" s="6"/>
      <c r="V89" s="6"/>
      <c r="W89" s="6"/>
      <c r="X89" s="6"/>
      <c r="Y89" s="6"/>
    </row>
    <row r="90" ht="11.25" customHeight="1">
      <c r="A90" s="100">
        <v>8.0</v>
      </c>
      <c r="B90" s="66">
        <f t="shared" si="14"/>
        <v>85</v>
      </c>
      <c r="C90" s="607"/>
      <c r="D90" s="617">
        <f t="shared" si="15"/>
        <v>0</v>
      </c>
      <c r="E90" s="617">
        <f t="shared" si="1"/>
        <v>0</v>
      </c>
      <c r="F90" s="617">
        <f t="shared" si="7"/>
        <v>2808000</v>
      </c>
      <c r="G90" s="617">
        <f t="shared" si="8"/>
        <v>390029.1702</v>
      </c>
      <c r="H90" s="617">
        <f t="shared" si="9"/>
        <v>3198029.17</v>
      </c>
      <c r="I90" s="617">
        <f t="shared" si="10"/>
        <v>0.000157801127</v>
      </c>
      <c r="J90" s="620"/>
      <c r="K90" s="591"/>
      <c r="L90" s="6"/>
      <c r="M90" s="75">
        <v>12000.0</v>
      </c>
      <c r="N90" s="79">
        <f t="shared" si="11"/>
        <v>1099800</v>
      </c>
      <c r="O90" s="6">
        <f t="shared" si="2"/>
        <v>502200.8298</v>
      </c>
      <c r="P90" s="6">
        <f t="shared" si="3"/>
        <v>17.88464494</v>
      </c>
      <c r="Q90" s="6"/>
      <c r="R90" s="6">
        <f t="shared" si="12"/>
        <v>9558</v>
      </c>
      <c r="S90" s="6">
        <f t="shared" si="13"/>
        <v>502200.8298</v>
      </c>
      <c r="T90" s="81">
        <f t="shared" si="4"/>
        <v>128.7598129</v>
      </c>
      <c r="U90" s="6"/>
      <c r="V90" s="6"/>
      <c r="W90" s="6"/>
      <c r="X90" s="6"/>
      <c r="Y90" s="6"/>
    </row>
    <row r="91" ht="11.25" customHeight="1">
      <c r="A91" s="54">
        <v>45292.0</v>
      </c>
      <c r="B91" s="68">
        <f t="shared" si="14"/>
        <v>86</v>
      </c>
      <c r="C91" s="607"/>
      <c r="D91" s="6">
        <f t="shared" si="15"/>
        <v>0</v>
      </c>
      <c r="E91" s="6">
        <f t="shared" si="1"/>
        <v>0</v>
      </c>
      <c r="F91" s="6">
        <f t="shared" si="7"/>
        <v>2808000</v>
      </c>
      <c r="G91" s="6">
        <f t="shared" si="8"/>
        <v>390029.1702</v>
      </c>
      <c r="H91" s="6">
        <f t="shared" si="9"/>
        <v>3198029.17</v>
      </c>
      <c r="I91" s="6">
        <f t="shared" si="10"/>
        <v>0.000157801127</v>
      </c>
      <c r="J91" s="620"/>
      <c r="K91" s="591"/>
      <c r="L91" s="6"/>
      <c r="M91" s="75">
        <v>12000.0</v>
      </c>
      <c r="N91" s="79">
        <f t="shared" si="11"/>
        <v>1111800</v>
      </c>
      <c r="O91" s="6">
        <f t="shared" si="2"/>
        <v>511758.8298</v>
      </c>
      <c r="P91" s="6">
        <f t="shared" si="3"/>
        <v>18.22502955</v>
      </c>
      <c r="Q91" s="6"/>
      <c r="R91" s="6">
        <f t="shared" si="12"/>
        <v>9558</v>
      </c>
      <c r="S91" s="6">
        <f t="shared" si="13"/>
        <v>511758.8298</v>
      </c>
      <c r="T91" s="81">
        <f t="shared" si="4"/>
        <v>131.2103989</v>
      </c>
      <c r="U91" s="6"/>
      <c r="V91" s="6"/>
      <c r="W91" s="6"/>
      <c r="X91" s="6"/>
      <c r="Y91" s="6"/>
    </row>
    <row r="92" ht="11.25" customHeight="1">
      <c r="A92" s="7"/>
      <c r="B92" s="68">
        <f t="shared" si="14"/>
        <v>87</v>
      </c>
      <c r="C92" s="607"/>
      <c r="D92" s="6">
        <f t="shared" si="15"/>
        <v>0</v>
      </c>
      <c r="E92" s="6">
        <f t="shared" si="1"/>
        <v>0</v>
      </c>
      <c r="F92" s="6">
        <f t="shared" si="7"/>
        <v>2808000</v>
      </c>
      <c r="G92" s="6">
        <f t="shared" si="8"/>
        <v>390029.1702</v>
      </c>
      <c r="H92" s="6">
        <f t="shared" si="9"/>
        <v>3198029.17</v>
      </c>
      <c r="I92" s="6">
        <f t="shared" si="10"/>
        <v>0.000157801127</v>
      </c>
      <c r="J92" s="620"/>
      <c r="K92" s="591"/>
      <c r="L92" s="6"/>
      <c r="M92" s="75">
        <v>12000.0</v>
      </c>
      <c r="N92" s="79">
        <f t="shared" si="11"/>
        <v>1123800</v>
      </c>
      <c r="O92" s="6">
        <f t="shared" si="2"/>
        <v>521316.8298</v>
      </c>
      <c r="P92" s="6">
        <f t="shared" si="3"/>
        <v>18.56541417</v>
      </c>
      <c r="Q92" s="6"/>
      <c r="R92" s="6">
        <f t="shared" si="12"/>
        <v>9558</v>
      </c>
      <c r="S92" s="6">
        <f t="shared" si="13"/>
        <v>521316.8298</v>
      </c>
      <c r="T92" s="81">
        <f t="shared" si="4"/>
        <v>133.6609848</v>
      </c>
      <c r="U92" s="6"/>
      <c r="V92" s="6"/>
      <c r="W92" s="6"/>
      <c r="X92" s="6"/>
      <c r="Y92" s="6"/>
    </row>
    <row r="93" ht="11.25" customHeight="1">
      <c r="A93" s="7"/>
      <c r="B93" s="68">
        <f t="shared" si="14"/>
        <v>88</v>
      </c>
      <c r="C93" s="607"/>
      <c r="D93" s="6">
        <f t="shared" si="15"/>
        <v>0</v>
      </c>
      <c r="E93" s="6">
        <f t="shared" si="1"/>
        <v>0</v>
      </c>
      <c r="F93" s="6">
        <f t="shared" si="7"/>
        <v>2808000</v>
      </c>
      <c r="G93" s="6">
        <f t="shared" si="8"/>
        <v>390029.1702</v>
      </c>
      <c r="H93" s="6">
        <f t="shared" si="9"/>
        <v>3198029.17</v>
      </c>
      <c r="I93" s="6">
        <f t="shared" si="10"/>
        <v>0.000157801127</v>
      </c>
      <c r="J93" s="620"/>
      <c r="K93" s="591"/>
      <c r="L93" s="6"/>
      <c r="M93" s="75">
        <v>12000.0</v>
      </c>
      <c r="N93" s="79">
        <f t="shared" si="11"/>
        <v>1135800</v>
      </c>
      <c r="O93" s="6">
        <f t="shared" si="2"/>
        <v>530874.8298</v>
      </c>
      <c r="P93" s="6">
        <f t="shared" si="3"/>
        <v>18.90579878</v>
      </c>
      <c r="Q93" s="6"/>
      <c r="R93" s="6">
        <f t="shared" si="12"/>
        <v>9558</v>
      </c>
      <c r="S93" s="6">
        <f t="shared" si="13"/>
        <v>530874.8298</v>
      </c>
      <c r="T93" s="81">
        <f t="shared" si="4"/>
        <v>136.1115707</v>
      </c>
      <c r="U93" s="6"/>
      <c r="V93" s="6"/>
      <c r="W93" s="6"/>
      <c r="X93" s="6"/>
      <c r="Y93" s="6"/>
    </row>
    <row r="94" ht="11.25" customHeight="1">
      <c r="A94" s="7"/>
      <c r="B94" s="68">
        <f t="shared" si="14"/>
        <v>89</v>
      </c>
      <c r="C94" s="607"/>
      <c r="D94" s="6">
        <f t="shared" si="15"/>
        <v>0</v>
      </c>
      <c r="E94" s="6">
        <f t="shared" si="1"/>
        <v>0</v>
      </c>
      <c r="F94" s="6">
        <f t="shared" si="7"/>
        <v>2808000</v>
      </c>
      <c r="G94" s="6">
        <f t="shared" si="8"/>
        <v>390029.1702</v>
      </c>
      <c r="H94" s="6">
        <f t="shared" si="9"/>
        <v>3198029.17</v>
      </c>
      <c r="I94" s="6">
        <f t="shared" si="10"/>
        <v>0.000157801127</v>
      </c>
      <c r="J94" s="620"/>
      <c r="K94" s="591"/>
      <c r="L94" s="6"/>
      <c r="M94" s="75">
        <v>12000.0</v>
      </c>
      <c r="N94" s="79">
        <f t="shared" si="11"/>
        <v>1147800</v>
      </c>
      <c r="O94" s="6">
        <f t="shared" si="2"/>
        <v>540432.8298</v>
      </c>
      <c r="P94" s="6">
        <f t="shared" si="3"/>
        <v>19.2461834</v>
      </c>
      <c r="Q94" s="6"/>
      <c r="R94" s="6">
        <f t="shared" si="12"/>
        <v>9558</v>
      </c>
      <c r="S94" s="6">
        <f t="shared" si="13"/>
        <v>540432.8298</v>
      </c>
      <c r="T94" s="81">
        <f t="shared" si="4"/>
        <v>138.5621567</v>
      </c>
      <c r="U94" s="6"/>
      <c r="V94" s="6"/>
      <c r="W94" s="6"/>
      <c r="X94" s="6"/>
      <c r="Y94" s="6"/>
    </row>
    <row r="95" ht="11.25" customHeight="1">
      <c r="A95" s="7"/>
      <c r="B95" s="68">
        <f t="shared" si="14"/>
        <v>90</v>
      </c>
      <c r="C95" s="607"/>
      <c r="D95" s="6">
        <f t="shared" si="15"/>
        <v>0</v>
      </c>
      <c r="E95" s="6">
        <f t="shared" si="1"/>
        <v>0</v>
      </c>
      <c r="F95" s="6">
        <f t="shared" si="7"/>
        <v>2808000</v>
      </c>
      <c r="G95" s="6">
        <f t="shared" si="8"/>
        <v>390029.1702</v>
      </c>
      <c r="H95" s="6">
        <f t="shared" si="9"/>
        <v>3198029.17</v>
      </c>
      <c r="I95" s="6">
        <f t="shared" si="10"/>
        <v>0.000157801127</v>
      </c>
      <c r="J95" s="620"/>
      <c r="K95" s="591"/>
      <c r="L95" s="6"/>
      <c r="M95" s="75">
        <v>12000.0</v>
      </c>
      <c r="N95" s="79">
        <f t="shared" si="11"/>
        <v>1159800</v>
      </c>
      <c r="O95" s="6">
        <f t="shared" si="2"/>
        <v>549990.8298</v>
      </c>
      <c r="P95" s="6">
        <f t="shared" si="3"/>
        <v>19.58656802</v>
      </c>
      <c r="Q95" s="6"/>
      <c r="R95" s="6">
        <f t="shared" si="12"/>
        <v>9558</v>
      </c>
      <c r="S95" s="6">
        <f t="shared" si="13"/>
        <v>549990.8298</v>
      </c>
      <c r="T95" s="81">
        <f t="shared" si="4"/>
        <v>141.0127426</v>
      </c>
      <c r="U95" s="6"/>
      <c r="V95" s="6"/>
      <c r="W95" s="6"/>
      <c r="X95" s="6"/>
      <c r="Y95" s="6"/>
    </row>
    <row r="96" ht="11.25" customHeight="1">
      <c r="A96" s="7"/>
      <c r="B96" s="68">
        <f t="shared" si="14"/>
        <v>91</v>
      </c>
      <c r="C96" s="607"/>
      <c r="D96" s="6">
        <f t="shared" si="15"/>
        <v>0</v>
      </c>
      <c r="E96" s="6">
        <f t="shared" si="1"/>
        <v>0</v>
      </c>
      <c r="F96" s="6">
        <f t="shared" si="7"/>
        <v>2808000</v>
      </c>
      <c r="G96" s="6">
        <f t="shared" si="8"/>
        <v>390029.1702</v>
      </c>
      <c r="H96" s="6">
        <f t="shared" si="9"/>
        <v>3198029.17</v>
      </c>
      <c r="I96" s="6">
        <f t="shared" si="10"/>
        <v>0.000157801127</v>
      </c>
      <c r="J96" s="620"/>
      <c r="K96" s="591"/>
      <c r="L96" s="6"/>
      <c r="M96" s="9">
        <v>12000.0</v>
      </c>
      <c r="N96" s="79">
        <f t="shared" si="11"/>
        <v>1171800</v>
      </c>
      <c r="O96" s="6">
        <f t="shared" si="2"/>
        <v>559548.8298</v>
      </c>
      <c r="P96" s="6">
        <f t="shared" si="3"/>
        <v>19.92695263</v>
      </c>
      <c r="Q96" s="6"/>
      <c r="R96" s="6">
        <f t="shared" si="12"/>
        <v>9558</v>
      </c>
      <c r="S96" s="6">
        <f t="shared" si="13"/>
        <v>559548.8298</v>
      </c>
      <c r="T96" s="81">
        <f t="shared" si="4"/>
        <v>143.4633286</v>
      </c>
      <c r="U96" s="6"/>
      <c r="V96" s="6"/>
      <c r="W96" s="6"/>
      <c r="X96" s="6"/>
      <c r="Y96" s="6"/>
    </row>
    <row r="97" ht="11.25" customHeight="1">
      <c r="A97" s="7"/>
      <c r="B97" s="68">
        <f t="shared" si="14"/>
        <v>92</v>
      </c>
      <c r="C97" s="607"/>
      <c r="D97" s="6">
        <f t="shared" si="15"/>
        <v>0</v>
      </c>
      <c r="E97" s="6">
        <f t="shared" si="1"/>
        <v>0</v>
      </c>
      <c r="F97" s="6">
        <f t="shared" si="7"/>
        <v>2808000</v>
      </c>
      <c r="G97" s="6">
        <f t="shared" si="8"/>
        <v>390029.1702</v>
      </c>
      <c r="H97" s="6">
        <f t="shared" si="9"/>
        <v>3198029.17</v>
      </c>
      <c r="I97" s="6">
        <f t="shared" si="10"/>
        <v>0.000157801127</v>
      </c>
      <c r="J97" s="620"/>
      <c r="K97" s="591"/>
      <c r="L97" s="6"/>
      <c r="M97" s="9">
        <v>12000.0</v>
      </c>
      <c r="N97" s="79">
        <f t="shared" si="11"/>
        <v>1183800</v>
      </c>
      <c r="O97" s="6">
        <f t="shared" si="2"/>
        <v>569106.8298</v>
      </c>
      <c r="P97" s="6">
        <f t="shared" si="3"/>
        <v>20.26733725</v>
      </c>
      <c r="Q97" s="6"/>
      <c r="R97" s="6">
        <f t="shared" si="12"/>
        <v>9558</v>
      </c>
      <c r="S97" s="6">
        <f t="shared" si="13"/>
        <v>569106.8298</v>
      </c>
      <c r="T97" s="81">
        <f t="shared" si="4"/>
        <v>145.9139145</v>
      </c>
      <c r="U97" s="6"/>
      <c r="V97" s="6"/>
      <c r="W97" s="6"/>
      <c r="X97" s="6"/>
      <c r="Y97" s="6"/>
    </row>
    <row r="98" ht="11.25" customHeight="1">
      <c r="A98" s="7"/>
      <c r="B98" s="68">
        <f t="shared" si="14"/>
        <v>93</v>
      </c>
      <c r="C98" s="607"/>
      <c r="D98" s="6">
        <f t="shared" si="15"/>
        <v>0</v>
      </c>
      <c r="E98" s="6">
        <f t="shared" si="1"/>
        <v>0</v>
      </c>
      <c r="F98" s="6">
        <f t="shared" si="7"/>
        <v>2808000</v>
      </c>
      <c r="G98" s="6">
        <f t="shared" si="8"/>
        <v>390029.1702</v>
      </c>
      <c r="H98" s="6">
        <f t="shared" si="9"/>
        <v>3198029.17</v>
      </c>
      <c r="I98" s="6">
        <f t="shared" si="10"/>
        <v>0.000157801127</v>
      </c>
      <c r="J98" s="620"/>
      <c r="K98" s="591"/>
      <c r="L98" s="6"/>
      <c r="M98" s="9">
        <v>12000.0</v>
      </c>
      <c r="N98" s="79">
        <f t="shared" si="11"/>
        <v>1195800</v>
      </c>
      <c r="O98" s="6">
        <f t="shared" si="2"/>
        <v>578664.8298</v>
      </c>
      <c r="P98" s="6">
        <f t="shared" si="3"/>
        <v>20.60772186</v>
      </c>
      <c r="Q98" s="6"/>
      <c r="R98" s="6">
        <f t="shared" si="12"/>
        <v>9558</v>
      </c>
      <c r="S98" s="6">
        <f t="shared" si="13"/>
        <v>578664.8298</v>
      </c>
      <c r="T98" s="81">
        <f t="shared" si="4"/>
        <v>148.3645004</v>
      </c>
      <c r="U98" s="6"/>
      <c r="V98" s="6"/>
      <c r="W98" s="6"/>
      <c r="X98" s="6"/>
      <c r="Y98" s="6"/>
    </row>
    <row r="99" ht="11.25" customHeight="1">
      <c r="A99" s="7"/>
      <c r="B99" s="68">
        <f t="shared" si="14"/>
        <v>94</v>
      </c>
      <c r="C99" s="607"/>
      <c r="D99" s="6">
        <f t="shared" si="15"/>
        <v>0</v>
      </c>
      <c r="E99" s="6">
        <f t="shared" si="1"/>
        <v>0</v>
      </c>
      <c r="F99" s="6">
        <f t="shared" si="7"/>
        <v>2808000</v>
      </c>
      <c r="G99" s="6">
        <f t="shared" si="8"/>
        <v>390029.1702</v>
      </c>
      <c r="H99" s="6">
        <f t="shared" si="9"/>
        <v>3198029.17</v>
      </c>
      <c r="I99" s="6">
        <f t="shared" si="10"/>
        <v>0.000157801127</v>
      </c>
      <c r="J99" s="620"/>
      <c r="K99" s="591"/>
      <c r="L99" s="6"/>
      <c r="M99" s="9">
        <v>12000.0</v>
      </c>
      <c r="N99" s="79">
        <f t="shared" si="11"/>
        <v>1207800</v>
      </c>
      <c r="O99" s="6">
        <f t="shared" si="2"/>
        <v>588222.8298</v>
      </c>
      <c r="P99" s="6">
        <f t="shared" si="3"/>
        <v>20.94810648</v>
      </c>
      <c r="Q99" s="6"/>
      <c r="R99" s="6">
        <f t="shared" si="12"/>
        <v>9558</v>
      </c>
      <c r="S99" s="6">
        <f t="shared" si="13"/>
        <v>588222.8298</v>
      </c>
      <c r="T99" s="81">
        <f t="shared" si="4"/>
        <v>150.8150864</v>
      </c>
      <c r="U99" s="6"/>
      <c r="V99" s="6"/>
      <c r="W99" s="6"/>
      <c r="X99" s="6"/>
      <c r="Y99" s="6"/>
    </row>
    <row r="100" ht="11.25" customHeight="1">
      <c r="A100" s="7"/>
      <c r="B100" s="68">
        <f t="shared" si="14"/>
        <v>95</v>
      </c>
      <c r="C100" s="607"/>
      <c r="D100" s="6">
        <f t="shared" si="15"/>
        <v>0</v>
      </c>
      <c r="E100" s="6">
        <f t="shared" si="1"/>
        <v>0</v>
      </c>
      <c r="F100" s="6">
        <f t="shared" si="7"/>
        <v>2808000</v>
      </c>
      <c r="G100" s="6">
        <f t="shared" si="8"/>
        <v>390029.1702</v>
      </c>
      <c r="H100" s="6">
        <f t="shared" si="9"/>
        <v>3198029.17</v>
      </c>
      <c r="I100" s="6">
        <f t="shared" si="10"/>
        <v>0.000157801127</v>
      </c>
      <c r="J100" s="620"/>
      <c r="K100" s="591"/>
      <c r="L100" s="6"/>
      <c r="M100" s="9">
        <v>12000.0</v>
      </c>
      <c r="N100" s="79">
        <f t="shared" si="11"/>
        <v>1219800</v>
      </c>
      <c r="O100" s="6">
        <f t="shared" si="2"/>
        <v>597780.8298</v>
      </c>
      <c r="P100" s="6">
        <f t="shared" si="3"/>
        <v>21.28849109</v>
      </c>
      <c r="Q100" s="6"/>
      <c r="R100" s="6">
        <f t="shared" si="12"/>
        <v>9558</v>
      </c>
      <c r="S100" s="6">
        <f t="shared" si="13"/>
        <v>597780.8298</v>
      </c>
      <c r="T100" s="81">
        <f t="shared" si="4"/>
        <v>153.2656723</v>
      </c>
      <c r="U100" s="6"/>
      <c r="V100" s="6"/>
      <c r="W100" s="6"/>
      <c r="X100" s="6"/>
      <c r="Y100" s="6"/>
    </row>
    <row r="101" ht="11.25" customHeight="1">
      <c r="A101" s="71"/>
      <c r="B101" s="72">
        <f t="shared" si="14"/>
        <v>96</v>
      </c>
      <c r="C101" s="607"/>
      <c r="D101" s="10">
        <f t="shared" si="15"/>
        <v>0</v>
      </c>
      <c r="E101" s="10">
        <f t="shared" si="1"/>
        <v>0</v>
      </c>
      <c r="F101" s="10">
        <f t="shared" si="7"/>
        <v>2808000</v>
      </c>
      <c r="G101" s="10">
        <f t="shared" si="8"/>
        <v>390029.1702</v>
      </c>
      <c r="H101" s="10">
        <f t="shared" si="9"/>
        <v>3198029.17</v>
      </c>
      <c r="I101" s="10">
        <f t="shared" si="10"/>
        <v>0.000157801127</v>
      </c>
      <c r="J101" s="620"/>
      <c r="K101" s="591"/>
      <c r="L101" s="6"/>
      <c r="M101" s="9">
        <v>12000.0</v>
      </c>
      <c r="N101" s="79">
        <f t="shared" si="11"/>
        <v>1231800</v>
      </c>
      <c r="O101" s="6">
        <f t="shared" si="2"/>
        <v>607338.8298</v>
      </c>
      <c r="P101" s="6">
        <f t="shared" si="3"/>
        <v>21.62887571</v>
      </c>
      <c r="Q101" s="6"/>
      <c r="R101" s="6">
        <f t="shared" si="12"/>
        <v>9558</v>
      </c>
      <c r="S101" s="6">
        <f t="shared" si="13"/>
        <v>607338.8298</v>
      </c>
      <c r="T101" s="81">
        <f t="shared" si="4"/>
        <v>155.7162582</v>
      </c>
      <c r="U101" s="6"/>
      <c r="V101" s="6"/>
      <c r="W101" s="6"/>
      <c r="X101" s="6"/>
      <c r="Y101" s="6"/>
    </row>
    <row r="102" ht="11.25" customHeight="1">
      <c r="A102" s="100">
        <v>9.0</v>
      </c>
      <c r="B102" s="66">
        <f t="shared" si="14"/>
        <v>97</v>
      </c>
      <c r="C102" s="607"/>
      <c r="D102" s="617">
        <f t="shared" si="15"/>
        <v>0</v>
      </c>
      <c r="E102" s="617">
        <f t="shared" si="1"/>
        <v>0</v>
      </c>
      <c r="F102" s="617">
        <f t="shared" si="7"/>
        <v>2808000</v>
      </c>
      <c r="G102" s="617">
        <f t="shared" si="8"/>
        <v>390029.1702</v>
      </c>
      <c r="H102" s="617">
        <f t="shared" si="9"/>
        <v>3198029.17</v>
      </c>
      <c r="I102" s="617">
        <f t="shared" si="10"/>
        <v>0.000157801127</v>
      </c>
      <c r="J102" s="620"/>
      <c r="K102" s="591"/>
      <c r="L102" s="6"/>
      <c r="M102" s="9">
        <v>12000.0</v>
      </c>
      <c r="N102" s="79">
        <f t="shared" si="11"/>
        <v>1243800</v>
      </c>
      <c r="O102" s="6">
        <f t="shared" si="2"/>
        <v>616896.8298</v>
      </c>
      <c r="P102" s="6">
        <f t="shared" si="3"/>
        <v>21.96926032</v>
      </c>
      <c r="Q102" s="6"/>
      <c r="R102" s="6">
        <f t="shared" si="12"/>
        <v>9558</v>
      </c>
      <c r="S102" s="6">
        <f t="shared" si="13"/>
        <v>616896.8298</v>
      </c>
      <c r="T102" s="81">
        <f t="shared" si="4"/>
        <v>158.1668442</v>
      </c>
      <c r="U102" s="6"/>
      <c r="V102" s="6"/>
      <c r="W102" s="6"/>
      <c r="X102" s="6"/>
      <c r="Y102" s="6"/>
    </row>
    <row r="103" ht="11.25" customHeight="1">
      <c r="A103" s="54">
        <v>45658.0</v>
      </c>
      <c r="B103" s="68">
        <f t="shared" si="14"/>
        <v>98</v>
      </c>
      <c r="C103" s="607"/>
      <c r="D103" s="6">
        <f t="shared" si="15"/>
        <v>0</v>
      </c>
      <c r="E103" s="6">
        <f t="shared" si="1"/>
        <v>0</v>
      </c>
      <c r="F103" s="6">
        <f t="shared" si="7"/>
        <v>2808000</v>
      </c>
      <c r="G103" s="6">
        <f t="shared" si="8"/>
        <v>390029.1702</v>
      </c>
      <c r="H103" s="6">
        <f t="shared" si="9"/>
        <v>3198029.17</v>
      </c>
      <c r="I103" s="6">
        <f t="shared" si="10"/>
        <v>0.000157801127</v>
      </c>
      <c r="J103" s="620"/>
      <c r="K103" s="591"/>
      <c r="L103" s="6"/>
      <c r="M103" s="9">
        <v>12000.0</v>
      </c>
      <c r="N103" s="79">
        <f t="shared" si="11"/>
        <v>1255800</v>
      </c>
      <c r="O103" s="6">
        <f t="shared" si="2"/>
        <v>626454.8298</v>
      </c>
      <c r="P103" s="6">
        <f t="shared" si="3"/>
        <v>22.30964494</v>
      </c>
      <c r="Q103" s="6"/>
      <c r="R103" s="6">
        <f t="shared" si="12"/>
        <v>9558</v>
      </c>
      <c r="S103" s="6">
        <f t="shared" si="13"/>
        <v>626454.8298</v>
      </c>
      <c r="T103" s="81">
        <f t="shared" si="4"/>
        <v>160.6174301</v>
      </c>
      <c r="U103" s="6"/>
      <c r="V103" s="6"/>
      <c r="W103" s="6"/>
      <c r="X103" s="6"/>
      <c r="Y103" s="6"/>
    </row>
    <row r="104" ht="11.25" customHeight="1">
      <c r="A104" s="7"/>
      <c r="B104" s="68">
        <f t="shared" si="14"/>
        <v>99</v>
      </c>
      <c r="C104" s="607"/>
      <c r="D104" s="6">
        <f t="shared" si="15"/>
        <v>0</v>
      </c>
      <c r="E104" s="6">
        <f t="shared" si="1"/>
        <v>0</v>
      </c>
      <c r="F104" s="6">
        <f t="shared" si="7"/>
        <v>2808000</v>
      </c>
      <c r="G104" s="6">
        <f t="shared" si="8"/>
        <v>390029.1702</v>
      </c>
      <c r="H104" s="6">
        <f t="shared" si="9"/>
        <v>3198029.17</v>
      </c>
      <c r="I104" s="6">
        <f t="shared" si="10"/>
        <v>0.000157801127</v>
      </c>
      <c r="J104" s="620"/>
      <c r="K104" s="591"/>
      <c r="L104" s="6"/>
      <c r="M104" s="9">
        <v>12000.0</v>
      </c>
      <c r="N104" s="79">
        <f t="shared" si="11"/>
        <v>1267800</v>
      </c>
      <c r="O104" s="6">
        <f t="shared" si="2"/>
        <v>636012.8298</v>
      </c>
      <c r="P104" s="6">
        <f t="shared" si="3"/>
        <v>22.65002955</v>
      </c>
      <c r="Q104" s="6"/>
      <c r="R104" s="6">
        <f t="shared" si="12"/>
        <v>9558</v>
      </c>
      <c r="S104" s="6">
        <f t="shared" si="13"/>
        <v>636012.8298</v>
      </c>
      <c r="T104" s="81">
        <f t="shared" si="4"/>
        <v>163.0680161</v>
      </c>
      <c r="U104" s="6"/>
      <c r="V104" s="6"/>
      <c r="W104" s="6"/>
      <c r="X104" s="6"/>
      <c r="Y104" s="6"/>
    </row>
    <row r="105" ht="11.25" customHeight="1">
      <c r="A105" s="7"/>
      <c r="B105" s="68">
        <f t="shared" si="14"/>
        <v>100</v>
      </c>
      <c r="C105" s="607"/>
      <c r="D105" s="6">
        <f t="shared" si="15"/>
        <v>0</v>
      </c>
      <c r="E105" s="6">
        <f t="shared" si="1"/>
        <v>0</v>
      </c>
      <c r="F105" s="6">
        <f t="shared" si="7"/>
        <v>2808000</v>
      </c>
      <c r="G105" s="6">
        <f t="shared" si="8"/>
        <v>390029.1702</v>
      </c>
      <c r="H105" s="6">
        <f t="shared" si="9"/>
        <v>3198029.17</v>
      </c>
      <c r="I105" s="6">
        <f t="shared" si="10"/>
        <v>0.000157801127</v>
      </c>
      <c r="J105" s="620"/>
      <c r="K105" s="591"/>
      <c r="L105" s="6"/>
      <c r="M105" s="9">
        <v>12000.0</v>
      </c>
      <c r="N105" s="79">
        <f t="shared" si="11"/>
        <v>1279800</v>
      </c>
      <c r="O105" s="6">
        <f t="shared" si="2"/>
        <v>645570.8298</v>
      </c>
      <c r="P105" s="6">
        <f t="shared" si="3"/>
        <v>22.99041417</v>
      </c>
      <c r="Q105" s="6"/>
      <c r="R105" s="6">
        <f t="shared" si="12"/>
        <v>9558</v>
      </c>
      <c r="S105" s="6">
        <f t="shared" si="13"/>
        <v>645570.8298</v>
      </c>
      <c r="T105" s="81">
        <f t="shared" si="4"/>
        <v>165.518602</v>
      </c>
      <c r="U105" s="6"/>
      <c r="V105" s="6"/>
      <c r="W105" s="6"/>
      <c r="X105" s="6"/>
      <c r="Y105" s="6"/>
    </row>
    <row r="106" ht="11.25" customHeight="1">
      <c r="A106" s="7"/>
      <c r="B106" s="68">
        <f t="shared" si="14"/>
        <v>101</v>
      </c>
      <c r="C106" s="607"/>
      <c r="D106" s="6">
        <f t="shared" si="15"/>
        <v>0</v>
      </c>
      <c r="E106" s="6">
        <f t="shared" si="1"/>
        <v>0</v>
      </c>
      <c r="F106" s="6">
        <f t="shared" si="7"/>
        <v>2808000</v>
      </c>
      <c r="G106" s="6">
        <f t="shared" si="8"/>
        <v>390029.1702</v>
      </c>
      <c r="H106" s="6">
        <f t="shared" si="9"/>
        <v>3198029.17</v>
      </c>
      <c r="I106" s="6">
        <f t="shared" si="10"/>
        <v>0.000157801127</v>
      </c>
      <c r="J106" s="620"/>
      <c r="K106" s="591"/>
      <c r="L106" s="6"/>
      <c r="M106" s="9">
        <v>12000.0</v>
      </c>
      <c r="N106" s="79">
        <f t="shared" si="11"/>
        <v>1291800</v>
      </c>
      <c r="O106" s="6">
        <f t="shared" si="2"/>
        <v>655128.8298</v>
      </c>
      <c r="P106" s="6">
        <f t="shared" si="3"/>
        <v>23.33079878</v>
      </c>
      <c r="Q106" s="6"/>
      <c r="R106" s="6">
        <f t="shared" si="12"/>
        <v>9558</v>
      </c>
      <c r="S106" s="6">
        <f t="shared" si="13"/>
        <v>655128.8298</v>
      </c>
      <c r="T106" s="81">
        <f t="shared" si="4"/>
        <v>167.9691879</v>
      </c>
      <c r="U106" s="6"/>
      <c r="V106" s="6"/>
      <c r="W106" s="6"/>
      <c r="X106" s="6"/>
      <c r="Y106" s="6"/>
    </row>
    <row r="107" ht="11.25" customHeight="1">
      <c r="A107" s="7"/>
      <c r="B107" s="68">
        <f t="shared" si="14"/>
        <v>102</v>
      </c>
      <c r="C107" s="607"/>
      <c r="D107" s="6">
        <f t="shared" si="15"/>
        <v>0</v>
      </c>
      <c r="E107" s="6">
        <f t="shared" si="1"/>
        <v>0</v>
      </c>
      <c r="F107" s="6">
        <f t="shared" si="7"/>
        <v>2808000</v>
      </c>
      <c r="G107" s="6">
        <f t="shared" si="8"/>
        <v>390029.1702</v>
      </c>
      <c r="H107" s="6">
        <f t="shared" si="9"/>
        <v>3198029.17</v>
      </c>
      <c r="I107" s="6">
        <f t="shared" si="10"/>
        <v>0.000157801127</v>
      </c>
      <c r="J107" s="620"/>
      <c r="K107" s="591"/>
      <c r="L107" s="6"/>
      <c r="M107" s="9">
        <v>12000.0</v>
      </c>
      <c r="N107" s="79">
        <f t="shared" si="11"/>
        <v>1303800</v>
      </c>
      <c r="O107" s="6">
        <f t="shared" si="2"/>
        <v>664686.8298</v>
      </c>
      <c r="P107" s="6">
        <f t="shared" si="3"/>
        <v>23.6711834</v>
      </c>
      <c r="Q107" s="6"/>
      <c r="R107" s="6">
        <f t="shared" si="12"/>
        <v>9558</v>
      </c>
      <c r="S107" s="6">
        <f t="shared" si="13"/>
        <v>664686.8298</v>
      </c>
      <c r="T107" s="81">
        <f t="shared" si="4"/>
        <v>170.4197739</v>
      </c>
      <c r="U107" s="6"/>
      <c r="V107" s="6"/>
      <c r="W107" s="6"/>
      <c r="X107" s="6"/>
      <c r="Y107" s="6"/>
    </row>
    <row r="108" ht="11.25" customHeight="1">
      <c r="A108" s="7"/>
      <c r="B108" s="68">
        <f t="shared" si="14"/>
        <v>103</v>
      </c>
      <c r="C108" s="607"/>
      <c r="D108" s="6">
        <f t="shared" si="15"/>
        <v>0</v>
      </c>
      <c r="E108" s="6">
        <f t="shared" si="1"/>
        <v>0</v>
      </c>
      <c r="F108" s="6">
        <f t="shared" si="7"/>
        <v>2808000</v>
      </c>
      <c r="G108" s="6">
        <f t="shared" si="8"/>
        <v>390029.1702</v>
      </c>
      <c r="H108" s="6">
        <f t="shared" si="9"/>
        <v>3198029.17</v>
      </c>
      <c r="I108" s="6">
        <f t="shared" si="10"/>
        <v>0.000157801127</v>
      </c>
      <c r="J108" s="620"/>
      <c r="K108" s="591"/>
      <c r="L108" s="6"/>
      <c r="M108" s="9">
        <v>12000.0</v>
      </c>
      <c r="N108" s="79">
        <f t="shared" si="11"/>
        <v>1315800</v>
      </c>
      <c r="O108" s="6">
        <f t="shared" si="2"/>
        <v>674244.8298</v>
      </c>
      <c r="P108" s="6">
        <f t="shared" si="3"/>
        <v>24.01156802</v>
      </c>
      <c r="Q108" s="6"/>
      <c r="R108" s="6">
        <f t="shared" si="12"/>
        <v>9558</v>
      </c>
      <c r="S108" s="6">
        <f t="shared" si="13"/>
        <v>674244.8298</v>
      </c>
      <c r="T108" s="81">
        <f t="shared" si="4"/>
        <v>172.8703598</v>
      </c>
      <c r="U108" s="6"/>
      <c r="V108" s="6"/>
      <c r="W108" s="6"/>
      <c r="X108" s="6"/>
      <c r="Y108" s="6"/>
    </row>
    <row r="109" ht="11.25" customHeight="1">
      <c r="A109" s="7"/>
      <c r="B109" s="68">
        <f t="shared" si="14"/>
        <v>104</v>
      </c>
      <c r="C109" s="607"/>
      <c r="D109" s="6">
        <f t="shared" si="15"/>
        <v>0</v>
      </c>
      <c r="E109" s="6">
        <f t="shared" si="1"/>
        <v>0</v>
      </c>
      <c r="F109" s="6">
        <f t="shared" si="7"/>
        <v>2808000</v>
      </c>
      <c r="G109" s="6">
        <f t="shared" si="8"/>
        <v>390029.1702</v>
      </c>
      <c r="H109" s="6">
        <f t="shared" si="9"/>
        <v>3198029.17</v>
      </c>
      <c r="I109" s="6">
        <f t="shared" si="10"/>
        <v>0.000157801127</v>
      </c>
      <c r="J109" s="620"/>
      <c r="K109" s="591"/>
      <c r="L109" s="6"/>
      <c r="M109" s="9">
        <v>12000.0</v>
      </c>
      <c r="N109" s="79">
        <f t="shared" si="11"/>
        <v>1327800</v>
      </c>
      <c r="O109" s="6">
        <f t="shared" si="2"/>
        <v>683802.8298</v>
      </c>
      <c r="P109" s="6">
        <f t="shared" si="3"/>
        <v>24.35195263</v>
      </c>
      <c r="Q109" s="6"/>
      <c r="R109" s="6">
        <f t="shared" si="12"/>
        <v>9558</v>
      </c>
      <c r="S109" s="6">
        <f t="shared" si="13"/>
        <v>683802.8298</v>
      </c>
      <c r="T109" s="81">
        <f t="shared" si="4"/>
        <v>175.3209458</v>
      </c>
      <c r="U109" s="6"/>
      <c r="V109" s="6"/>
      <c r="W109" s="6"/>
      <c r="X109" s="6"/>
      <c r="Y109" s="6"/>
    </row>
    <row r="110" ht="11.25" customHeight="1">
      <c r="A110" s="7"/>
      <c r="B110" s="68">
        <f t="shared" si="14"/>
        <v>105</v>
      </c>
      <c r="C110" s="607"/>
      <c r="D110" s="6">
        <f t="shared" si="15"/>
        <v>0</v>
      </c>
      <c r="E110" s="6">
        <f t="shared" si="1"/>
        <v>0</v>
      </c>
      <c r="F110" s="6">
        <f t="shared" si="7"/>
        <v>2808000</v>
      </c>
      <c r="G110" s="6">
        <f t="shared" si="8"/>
        <v>390029.1702</v>
      </c>
      <c r="H110" s="6">
        <f t="shared" si="9"/>
        <v>3198029.17</v>
      </c>
      <c r="I110" s="6">
        <f t="shared" si="10"/>
        <v>0.000157801127</v>
      </c>
      <c r="J110" s="620"/>
      <c r="K110" s="591"/>
      <c r="L110" s="6"/>
      <c r="M110" s="9">
        <v>12000.0</v>
      </c>
      <c r="N110" s="79">
        <f t="shared" si="11"/>
        <v>1339800</v>
      </c>
      <c r="O110" s="6">
        <f t="shared" si="2"/>
        <v>693360.8298</v>
      </c>
      <c r="P110" s="6">
        <f t="shared" si="3"/>
        <v>24.69233725</v>
      </c>
      <c r="Q110" s="6"/>
      <c r="R110" s="6">
        <f t="shared" si="12"/>
        <v>9558</v>
      </c>
      <c r="S110" s="6">
        <f t="shared" si="13"/>
        <v>693360.8298</v>
      </c>
      <c r="T110" s="81">
        <f t="shared" si="4"/>
        <v>177.7715317</v>
      </c>
      <c r="U110" s="6"/>
      <c r="V110" s="6"/>
      <c r="W110" s="6"/>
      <c r="X110" s="6"/>
      <c r="Y110" s="6"/>
    </row>
    <row r="111" ht="11.25" customHeight="1">
      <c r="A111" s="7"/>
      <c r="B111" s="68">
        <f t="shared" si="14"/>
        <v>106</v>
      </c>
      <c r="C111" s="607"/>
      <c r="D111" s="6">
        <f t="shared" si="15"/>
        <v>0</v>
      </c>
      <c r="E111" s="6">
        <f t="shared" si="1"/>
        <v>0</v>
      </c>
      <c r="F111" s="6">
        <f t="shared" si="7"/>
        <v>2808000</v>
      </c>
      <c r="G111" s="6">
        <f t="shared" si="8"/>
        <v>390029.1702</v>
      </c>
      <c r="H111" s="6">
        <f t="shared" si="9"/>
        <v>3198029.17</v>
      </c>
      <c r="I111" s="6">
        <f t="shared" si="10"/>
        <v>0.000157801127</v>
      </c>
      <c r="J111" s="620"/>
      <c r="K111" s="591"/>
      <c r="L111" s="6"/>
      <c r="M111" s="9">
        <v>12000.0</v>
      </c>
      <c r="N111" s="79">
        <f t="shared" si="11"/>
        <v>1351800</v>
      </c>
      <c r="O111" s="6">
        <f t="shared" si="2"/>
        <v>702918.8298</v>
      </c>
      <c r="P111" s="6">
        <f t="shared" si="3"/>
        <v>25.03272186</v>
      </c>
      <c r="Q111" s="6"/>
      <c r="R111" s="6">
        <f t="shared" si="12"/>
        <v>9558</v>
      </c>
      <c r="S111" s="6">
        <f t="shared" si="13"/>
        <v>702918.8298</v>
      </c>
      <c r="T111" s="81">
        <f t="shared" si="4"/>
        <v>180.2221176</v>
      </c>
      <c r="U111" s="6"/>
      <c r="V111" s="6"/>
      <c r="W111" s="6"/>
      <c r="X111" s="6"/>
      <c r="Y111" s="6"/>
    </row>
    <row r="112" ht="11.25" customHeight="1">
      <c r="A112" s="7"/>
      <c r="B112" s="68">
        <f t="shared" si="14"/>
        <v>107</v>
      </c>
      <c r="C112" s="607"/>
      <c r="D112" s="6">
        <f t="shared" si="15"/>
        <v>0</v>
      </c>
      <c r="E112" s="6">
        <f t="shared" si="1"/>
        <v>0</v>
      </c>
      <c r="F112" s="6">
        <f t="shared" si="7"/>
        <v>2808000</v>
      </c>
      <c r="G112" s="6">
        <f t="shared" si="8"/>
        <v>390029.1702</v>
      </c>
      <c r="H112" s="6">
        <f t="shared" si="9"/>
        <v>3198029.17</v>
      </c>
      <c r="I112" s="6">
        <f t="shared" si="10"/>
        <v>0.000157801127</v>
      </c>
      <c r="J112" s="620"/>
      <c r="K112" s="591"/>
      <c r="L112" s="6"/>
      <c r="M112" s="9">
        <v>12000.0</v>
      </c>
      <c r="N112" s="79">
        <f t="shared" si="11"/>
        <v>1363800</v>
      </c>
      <c r="O112" s="6">
        <f t="shared" si="2"/>
        <v>712476.8298</v>
      </c>
      <c r="P112" s="6">
        <f t="shared" si="3"/>
        <v>25.37310648</v>
      </c>
      <c r="Q112" s="6"/>
      <c r="R112" s="6">
        <f t="shared" si="12"/>
        <v>9558</v>
      </c>
      <c r="S112" s="6">
        <f t="shared" si="13"/>
        <v>712476.8298</v>
      </c>
      <c r="T112" s="81">
        <f t="shared" si="4"/>
        <v>182.6727036</v>
      </c>
      <c r="U112" s="6"/>
      <c r="V112" s="6"/>
      <c r="W112" s="6"/>
      <c r="X112" s="6"/>
      <c r="Y112" s="6"/>
    </row>
    <row r="113" ht="11.25" customHeight="1">
      <c r="A113" s="71"/>
      <c r="B113" s="72">
        <f t="shared" si="14"/>
        <v>108</v>
      </c>
      <c r="C113" s="607"/>
      <c r="D113" s="10">
        <f t="shared" si="15"/>
        <v>0</v>
      </c>
      <c r="E113" s="10">
        <f t="shared" si="1"/>
        <v>0</v>
      </c>
      <c r="F113" s="10">
        <f t="shared" si="7"/>
        <v>2808000</v>
      </c>
      <c r="G113" s="10">
        <f t="shared" si="8"/>
        <v>390029.1702</v>
      </c>
      <c r="H113" s="10">
        <f t="shared" si="9"/>
        <v>3198029.17</v>
      </c>
      <c r="I113" s="10">
        <f t="shared" si="10"/>
        <v>0.000157801127</v>
      </c>
      <c r="J113" s="620"/>
      <c r="K113" s="591"/>
      <c r="L113" s="6"/>
      <c r="M113" s="9">
        <v>12000.0</v>
      </c>
      <c r="N113" s="79">
        <f t="shared" si="11"/>
        <v>1375800</v>
      </c>
      <c r="O113" s="6">
        <f t="shared" si="2"/>
        <v>722034.8298</v>
      </c>
      <c r="P113" s="6">
        <f t="shared" si="3"/>
        <v>25.71349109</v>
      </c>
      <c r="Q113" s="6"/>
      <c r="R113" s="6">
        <f t="shared" si="12"/>
        <v>9558</v>
      </c>
      <c r="S113" s="6">
        <f t="shared" si="13"/>
        <v>722034.8298</v>
      </c>
      <c r="T113" s="81">
        <f t="shared" si="4"/>
        <v>185.1232895</v>
      </c>
      <c r="U113" s="6"/>
      <c r="V113" s="6"/>
      <c r="W113" s="6"/>
      <c r="X113" s="6"/>
      <c r="Y113" s="6"/>
    </row>
    <row r="114" ht="11.25" customHeight="1">
      <c r="A114" s="100">
        <v>10.0</v>
      </c>
      <c r="B114" s="66">
        <f t="shared" si="14"/>
        <v>109</v>
      </c>
      <c r="C114" s="607"/>
      <c r="D114" s="617">
        <f t="shared" si="15"/>
        <v>0</v>
      </c>
      <c r="E114" s="617">
        <f t="shared" si="1"/>
        <v>0</v>
      </c>
      <c r="F114" s="617">
        <f t="shared" si="7"/>
        <v>2808000</v>
      </c>
      <c r="G114" s="617">
        <f t="shared" si="8"/>
        <v>390029.1702</v>
      </c>
      <c r="H114" s="617">
        <f t="shared" si="9"/>
        <v>3198029.17</v>
      </c>
      <c r="I114" s="617">
        <f t="shared" si="10"/>
        <v>0.000157801127</v>
      </c>
      <c r="J114" s="620"/>
      <c r="K114" s="591"/>
      <c r="L114" s="6"/>
      <c r="M114" s="9">
        <v>12000.0</v>
      </c>
      <c r="N114" s="79">
        <f t="shared" si="11"/>
        <v>1387800</v>
      </c>
      <c r="O114" s="6">
        <f t="shared" si="2"/>
        <v>731592.8298</v>
      </c>
      <c r="P114" s="6">
        <f t="shared" si="3"/>
        <v>26.05387571</v>
      </c>
      <c r="Q114" s="6"/>
      <c r="R114" s="6">
        <f t="shared" si="12"/>
        <v>9558</v>
      </c>
      <c r="S114" s="6">
        <f t="shared" si="13"/>
        <v>731592.8298</v>
      </c>
      <c r="T114" s="81">
        <f t="shared" si="4"/>
        <v>187.5738754</v>
      </c>
      <c r="U114" s="6"/>
      <c r="V114" s="6"/>
      <c r="W114" s="6"/>
      <c r="X114" s="6"/>
      <c r="Y114" s="6"/>
    </row>
    <row r="115" ht="11.25" customHeight="1">
      <c r="A115" s="7"/>
      <c r="B115" s="68">
        <f t="shared" si="14"/>
        <v>110</v>
      </c>
      <c r="C115" s="607"/>
      <c r="D115" s="6">
        <f t="shared" si="15"/>
        <v>0</v>
      </c>
      <c r="E115" s="6">
        <f t="shared" si="1"/>
        <v>0</v>
      </c>
      <c r="F115" s="6">
        <f t="shared" si="7"/>
        <v>2808000</v>
      </c>
      <c r="G115" s="6">
        <f t="shared" si="8"/>
        <v>390029.1702</v>
      </c>
      <c r="H115" s="6">
        <f t="shared" si="9"/>
        <v>3198029.17</v>
      </c>
      <c r="I115" s="6">
        <f t="shared" si="10"/>
        <v>0.000157801127</v>
      </c>
      <c r="J115" s="620"/>
      <c r="K115" s="591"/>
      <c r="L115" s="6"/>
      <c r="M115" s="9">
        <v>12000.0</v>
      </c>
      <c r="N115" s="79">
        <f t="shared" si="11"/>
        <v>1399800</v>
      </c>
      <c r="O115" s="6">
        <f t="shared" si="2"/>
        <v>741150.8298</v>
      </c>
      <c r="P115" s="6">
        <f t="shared" si="3"/>
        <v>26.39426032</v>
      </c>
      <c r="Q115" s="6"/>
      <c r="R115" s="6">
        <f t="shared" si="12"/>
        <v>9558</v>
      </c>
      <c r="S115" s="6">
        <f t="shared" si="13"/>
        <v>741150.8298</v>
      </c>
      <c r="T115" s="81">
        <f t="shared" si="4"/>
        <v>190.0244614</v>
      </c>
      <c r="U115" s="6"/>
      <c r="V115" s="6"/>
      <c r="W115" s="6"/>
      <c r="X115" s="6"/>
      <c r="Y115" s="6"/>
    </row>
    <row r="116" ht="11.25" customHeight="1">
      <c r="A116" s="7"/>
      <c r="B116" s="68">
        <f t="shared" si="14"/>
        <v>111</v>
      </c>
      <c r="C116" s="607"/>
      <c r="D116" s="6">
        <f t="shared" si="15"/>
        <v>0</v>
      </c>
      <c r="E116" s="6">
        <f t="shared" si="1"/>
        <v>0</v>
      </c>
      <c r="F116" s="6">
        <f t="shared" si="7"/>
        <v>2808000</v>
      </c>
      <c r="G116" s="6">
        <f t="shared" si="8"/>
        <v>390029.1702</v>
      </c>
      <c r="H116" s="6">
        <f t="shared" si="9"/>
        <v>3198029.17</v>
      </c>
      <c r="I116" s="6">
        <f t="shared" si="10"/>
        <v>0.000157801127</v>
      </c>
      <c r="J116" s="620"/>
      <c r="K116" s="591"/>
      <c r="L116" s="6"/>
      <c r="M116" s="9">
        <v>12000.0</v>
      </c>
      <c r="N116" s="79">
        <f t="shared" si="11"/>
        <v>1411800</v>
      </c>
      <c r="O116" s="6">
        <f t="shared" si="2"/>
        <v>750708.8298</v>
      </c>
      <c r="P116" s="6">
        <f t="shared" si="3"/>
        <v>26.73464494</v>
      </c>
      <c r="Q116" s="6"/>
      <c r="R116" s="6">
        <f t="shared" si="12"/>
        <v>9558</v>
      </c>
      <c r="S116" s="6">
        <f t="shared" si="13"/>
        <v>750708.8298</v>
      </c>
      <c r="T116" s="81">
        <f t="shared" si="4"/>
        <v>192.4750473</v>
      </c>
      <c r="U116" s="6"/>
      <c r="V116" s="6"/>
      <c r="W116" s="6"/>
      <c r="X116" s="6"/>
      <c r="Y116" s="6"/>
    </row>
    <row r="117" ht="11.25" customHeight="1">
      <c r="A117" s="7"/>
      <c r="B117" s="68">
        <f t="shared" si="14"/>
        <v>112</v>
      </c>
      <c r="C117" s="607"/>
      <c r="D117" s="6">
        <f t="shared" si="15"/>
        <v>0</v>
      </c>
      <c r="E117" s="6">
        <f t="shared" si="1"/>
        <v>0</v>
      </c>
      <c r="F117" s="6">
        <f t="shared" si="7"/>
        <v>2808000</v>
      </c>
      <c r="G117" s="6">
        <f t="shared" si="8"/>
        <v>390029.1702</v>
      </c>
      <c r="H117" s="6">
        <f t="shared" si="9"/>
        <v>3198029.17</v>
      </c>
      <c r="I117" s="6">
        <f t="shared" si="10"/>
        <v>0.000157801127</v>
      </c>
      <c r="J117" s="620"/>
      <c r="K117" s="591"/>
      <c r="L117" s="6"/>
      <c r="M117" s="9">
        <v>12000.0</v>
      </c>
      <c r="N117" s="79">
        <f t="shared" si="11"/>
        <v>1423800</v>
      </c>
      <c r="O117" s="6">
        <f t="shared" si="2"/>
        <v>760266.8298</v>
      </c>
      <c r="P117" s="6">
        <f t="shared" si="3"/>
        <v>27.07502955</v>
      </c>
      <c r="Q117" s="6"/>
      <c r="R117" s="6">
        <f t="shared" si="12"/>
        <v>9558</v>
      </c>
      <c r="S117" s="6">
        <f t="shared" si="13"/>
        <v>760266.8298</v>
      </c>
      <c r="T117" s="81">
        <f t="shared" si="4"/>
        <v>194.9256333</v>
      </c>
      <c r="U117" s="6"/>
      <c r="V117" s="6"/>
      <c r="W117" s="6"/>
      <c r="X117" s="6"/>
      <c r="Y117" s="6"/>
    </row>
    <row r="118" ht="11.25" customHeight="1">
      <c r="A118" s="7"/>
      <c r="B118" s="68">
        <f t="shared" si="14"/>
        <v>113</v>
      </c>
      <c r="C118" s="607"/>
      <c r="D118" s="6">
        <f t="shared" si="15"/>
        <v>0</v>
      </c>
      <c r="E118" s="6">
        <f t="shared" si="1"/>
        <v>0</v>
      </c>
      <c r="F118" s="6">
        <f t="shared" si="7"/>
        <v>2808000</v>
      </c>
      <c r="G118" s="6">
        <f t="shared" si="8"/>
        <v>390029.1702</v>
      </c>
      <c r="H118" s="6">
        <f t="shared" si="9"/>
        <v>3198029.17</v>
      </c>
      <c r="I118" s="6">
        <f t="shared" si="10"/>
        <v>0.000157801127</v>
      </c>
      <c r="J118" s="620"/>
      <c r="K118" s="591"/>
      <c r="L118" s="6"/>
      <c r="M118" s="9">
        <v>12000.0</v>
      </c>
      <c r="N118" s="79">
        <f t="shared" si="11"/>
        <v>1435800</v>
      </c>
      <c r="O118" s="6">
        <f t="shared" si="2"/>
        <v>769824.8298</v>
      </c>
      <c r="P118" s="6">
        <f t="shared" si="3"/>
        <v>27.41541417</v>
      </c>
      <c r="Q118" s="6"/>
      <c r="R118" s="6">
        <f t="shared" si="12"/>
        <v>9558</v>
      </c>
      <c r="S118" s="6">
        <f t="shared" si="13"/>
        <v>769824.8298</v>
      </c>
      <c r="T118" s="81">
        <f t="shared" si="4"/>
        <v>197.3762192</v>
      </c>
      <c r="U118" s="6"/>
      <c r="V118" s="6"/>
      <c r="W118" s="6"/>
      <c r="X118" s="6"/>
      <c r="Y118" s="6"/>
    </row>
    <row r="119" ht="11.25" customHeight="1">
      <c r="A119" s="7"/>
      <c r="B119" s="68">
        <f t="shared" si="14"/>
        <v>114</v>
      </c>
      <c r="C119" s="607"/>
      <c r="D119" s="6">
        <f t="shared" si="15"/>
        <v>0</v>
      </c>
      <c r="E119" s="6">
        <f t="shared" si="1"/>
        <v>0</v>
      </c>
      <c r="F119" s="6">
        <f t="shared" si="7"/>
        <v>2808000</v>
      </c>
      <c r="G119" s="6">
        <f t="shared" si="8"/>
        <v>390029.1702</v>
      </c>
      <c r="H119" s="6">
        <f t="shared" si="9"/>
        <v>3198029.17</v>
      </c>
      <c r="I119" s="6">
        <f t="shared" si="10"/>
        <v>0.000157801127</v>
      </c>
      <c r="J119" s="620"/>
      <c r="K119" s="591"/>
      <c r="L119" s="6"/>
      <c r="M119" s="9">
        <v>12000.0</v>
      </c>
      <c r="N119" s="79">
        <f t="shared" si="11"/>
        <v>1447800</v>
      </c>
      <c r="O119" s="6">
        <f t="shared" si="2"/>
        <v>779382.8298</v>
      </c>
      <c r="P119" s="6">
        <f t="shared" si="3"/>
        <v>27.75579879</v>
      </c>
      <c r="Q119" s="6"/>
      <c r="R119" s="6">
        <f t="shared" si="12"/>
        <v>9558</v>
      </c>
      <c r="S119" s="6">
        <f t="shared" si="13"/>
        <v>779382.8298</v>
      </c>
      <c r="T119" s="81">
        <f t="shared" si="4"/>
        <v>199.8268051</v>
      </c>
      <c r="U119" s="6"/>
      <c r="V119" s="6"/>
      <c r="W119" s="6"/>
      <c r="X119" s="6"/>
      <c r="Y119" s="6"/>
    </row>
    <row r="120" ht="11.25" customHeight="1">
      <c r="A120" s="7"/>
      <c r="B120" s="68">
        <f t="shared" si="14"/>
        <v>115</v>
      </c>
      <c r="C120" s="607"/>
      <c r="D120" s="6">
        <f t="shared" si="15"/>
        <v>0</v>
      </c>
      <c r="E120" s="6">
        <f t="shared" si="1"/>
        <v>0</v>
      </c>
      <c r="F120" s="6">
        <f t="shared" si="7"/>
        <v>2808000</v>
      </c>
      <c r="G120" s="6">
        <f t="shared" si="8"/>
        <v>390029.1702</v>
      </c>
      <c r="H120" s="6">
        <f t="shared" si="9"/>
        <v>3198029.17</v>
      </c>
      <c r="I120" s="6">
        <f t="shared" si="10"/>
        <v>0.000157801127</v>
      </c>
      <c r="J120" s="620"/>
      <c r="K120" s="591"/>
      <c r="L120" s="6"/>
      <c r="M120" s="9">
        <v>12000.0</v>
      </c>
      <c r="N120" s="79">
        <f t="shared" si="11"/>
        <v>1459800</v>
      </c>
      <c r="O120" s="6">
        <f t="shared" si="2"/>
        <v>788940.8298</v>
      </c>
      <c r="P120" s="6">
        <f t="shared" si="3"/>
        <v>28.0961834</v>
      </c>
      <c r="Q120" s="6"/>
      <c r="R120" s="6">
        <f t="shared" si="12"/>
        <v>9558</v>
      </c>
      <c r="S120" s="6">
        <f t="shared" si="13"/>
        <v>788940.8298</v>
      </c>
      <c r="T120" s="81">
        <f t="shared" si="4"/>
        <v>202.2773911</v>
      </c>
      <c r="U120" s="6"/>
      <c r="V120" s="6"/>
      <c r="W120" s="6"/>
      <c r="X120" s="6"/>
      <c r="Y120" s="6"/>
    </row>
    <row r="121" ht="11.25" customHeight="1">
      <c r="A121" s="7"/>
      <c r="B121" s="68">
        <f t="shared" si="14"/>
        <v>116</v>
      </c>
      <c r="C121" s="607"/>
      <c r="D121" s="6">
        <f t="shared" si="15"/>
        <v>0</v>
      </c>
      <c r="E121" s="6">
        <f t="shared" si="1"/>
        <v>0</v>
      </c>
      <c r="F121" s="6">
        <f t="shared" si="7"/>
        <v>2808000</v>
      </c>
      <c r="G121" s="6">
        <f t="shared" si="8"/>
        <v>390029.1702</v>
      </c>
      <c r="H121" s="6">
        <f t="shared" si="9"/>
        <v>3198029.17</v>
      </c>
      <c r="I121" s="6">
        <f t="shared" si="10"/>
        <v>0.000157801127</v>
      </c>
      <c r="J121" s="620"/>
      <c r="K121" s="591"/>
      <c r="L121" s="6"/>
      <c r="M121" s="9">
        <v>12000.0</v>
      </c>
      <c r="N121" s="79">
        <f t="shared" si="11"/>
        <v>1471800</v>
      </c>
      <c r="O121" s="6">
        <f t="shared" si="2"/>
        <v>798498.8298</v>
      </c>
      <c r="P121" s="6">
        <f t="shared" si="3"/>
        <v>28.43656802</v>
      </c>
      <c r="Q121" s="6"/>
      <c r="R121" s="6">
        <f t="shared" si="12"/>
        <v>9558</v>
      </c>
      <c r="S121" s="6">
        <f t="shared" si="13"/>
        <v>798498.8298</v>
      </c>
      <c r="T121" s="81">
        <f t="shared" si="4"/>
        <v>204.727977</v>
      </c>
      <c r="U121" s="6"/>
      <c r="V121" s="6"/>
      <c r="W121" s="6"/>
      <c r="X121" s="6"/>
      <c r="Y121" s="6"/>
    </row>
    <row r="122" ht="11.25" customHeight="1">
      <c r="A122" s="7"/>
      <c r="B122" s="68">
        <f t="shared" si="14"/>
        <v>117</v>
      </c>
      <c r="C122" s="607"/>
      <c r="D122" s="6">
        <f t="shared" si="15"/>
        <v>0</v>
      </c>
      <c r="E122" s="6">
        <f t="shared" si="1"/>
        <v>0</v>
      </c>
      <c r="F122" s="6">
        <f t="shared" si="7"/>
        <v>2808000</v>
      </c>
      <c r="G122" s="6">
        <f t="shared" si="8"/>
        <v>390029.1702</v>
      </c>
      <c r="H122" s="6">
        <f t="shared" si="9"/>
        <v>3198029.17</v>
      </c>
      <c r="I122" s="6">
        <f t="shared" si="10"/>
        <v>0.000157801127</v>
      </c>
      <c r="J122" s="620"/>
      <c r="K122" s="591"/>
      <c r="L122" s="6"/>
      <c r="M122" s="9">
        <v>12000.0</v>
      </c>
      <c r="N122" s="79">
        <f t="shared" si="11"/>
        <v>1483800</v>
      </c>
      <c r="O122" s="6">
        <f t="shared" si="2"/>
        <v>808056.8298</v>
      </c>
      <c r="P122" s="6">
        <f t="shared" si="3"/>
        <v>28.77695263</v>
      </c>
      <c r="Q122" s="6"/>
      <c r="R122" s="6">
        <f t="shared" si="12"/>
        <v>9558</v>
      </c>
      <c r="S122" s="6">
        <f t="shared" si="13"/>
        <v>808056.8298</v>
      </c>
      <c r="T122" s="81">
        <f t="shared" si="4"/>
        <v>207.178563</v>
      </c>
      <c r="U122" s="6"/>
      <c r="V122" s="6"/>
      <c r="W122" s="6"/>
      <c r="X122" s="6"/>
      <c r="Y122" s="6"/>
    </row>
    <row r="123" ht="11.25" customHeight="1">
      <c r="A123" s="7"/>
      <c r="B123" s="68">
        <f t="shared" si="14"/>
        <v>118</v>
      </c>
      <c r="C123" s="607"/>
      <c r="D123" s="6">
        <f t="shared" si="15"/>
        <v>0</v>
      </c>
      <c r="E123" s="6">
        <f t="shared" si="1"/>
        <v>0</v>
      </c>
      <c r="F123" s="6">
        <f t="shared" si="7"/>
        <v>2808000</v>
      </c>
      <c r="G123" s="6">
        <f t="shared" si="8"/>
        <v>390029.1702</v>
      </c>
      <c r="H123" s="6">
        <f t="shared" si="9"/>
        <v>3198029.17</v>
      </c>
      <c r="I123" s="6">
        <f t="shared" si="10"/>
        <v>0.000157801127</v>
      </c>
      <c r="J123" s="620"/>
      <c r="K123" s="591"/>
      <c r="L123" s="6"/>
      <c r="M123" s="9">
        <v>12000.0</v>
      </c>
      <c r="N123" s="79">
        <f t="shared" si="11"/>
        <v>1495800</v>
      </c>
      <c r="O123" s="6">
        <f t="shared" si="2"/>
        <v>817614.8298</v>
      </c>
      <c r="P123" s="6">
        <f t="shared" si="3"/>
        <v>29.11733725</v>
      </c>
      <c r="Q123" s="6"/>
      <c r="R123" s="6">
        <f t="shared" si="12"/>
        <v>9558</v>
      </c>
      <c r="S123" s="6">
        <f t="shared" si="13"/>
        <v>817614.8298</v>
      </c>
      <c r="T123" s="81">
        <f t="shared" si="4"/>
        <v>209.6291489</v>
      </c>
      <c r="U123" s="6"/>
      <c r="V123" s="6"/>
      <c r="W123" s="6"/>
      <c r="X123" s="6"/>
      <c r="Y123" s="6"/>
    </row>
    <row r="124" ht="11.25" customHeight="1">
      <c r="A124" s="7"/>
      <c r="B124" s="68">
        <f t="shared" si="14"/>
        <v>119</v>
      </c>
      <c r="C124" s="607"/>
      <c r="D124" s="6">
        <f t="shared" si="15"/>
        <v>0</v>
      </c>
      <c r="E124" s="6">
        <f t="shared" si="1"/>
        <v>0</v>
      </c>
      <c r="F124" s="6">
        <f t="shared" si="7"/>
        <v>2808000</v>
      </c>
      <c r="G124" s="6">
        <f t="shared" si="8"/>
        <v>390029.1702</v>
      </c>
      <c r="H124" s="6">
        <f t="shared" si="9"/>
        <v>3198029.17</v>
      </c>
      <c r="I124" s="6">
        <f t="shared" si="10"/>
        <v>0.000157801127</v>
      </c>
      <c r="J124" s="620"/>
      <c r="K124" s="591"/>
      <c r="L124" s="6"/>
      <c r="M124" s="9">
        <v>12000.0</v>
      </c>
      <c r="N124" s="79">
        <f t="shared" si="11"/>
        <v>1507800</v>
      </c>
      <c r="O124" s="6">
        <f t="shared" si="2"/>
        <v>827172.8298</v>
      </c>
      <c r="P124" s="6">
        <f t="shared" si="3"/>
        <v>29.45772186</v>
      </c>
      <c r="Q124" s="6"/>
      <c r="R124" s="6">
        <f t="shared" si="12"/>
        <v>9558</v>
      </c>
      <c r="S124" s="6">
        <f t="shared" si="13"/>
        <v>827172.8298</v>
      </c>
      <c r="T124" s="81">
        <f t="shared" si="4"/>
        <v>212.0797348</v>
      </c>
      <c r="U124" s="6"/>
      <c r="V124" s="6"/>
      <c r="W124" s="6"/>
      <c r="X124" s="6"/>
      <c r="Y124" s="6"/>
    </row>
    <row r="125" ht="11.25" customHeight="1">
      <c r="A125" s="71"/>
      <c r="B125" s="72">
        <f t="shared" si="14"/>
        <v>120</v>
      </c>
      <c r="C125" s="607"/>
      <c r="D125" s="10">
        <f t="shared" si="15"/>
        <v>0</v>
      </c>
      <c r="E125" s="10">
        <f t="shared" si="1"/>
        <v>0</v>
      </c>
      <c r="F125" s="10">
        <f t="shared" si="7"/>
        <v>2808000</v>
      </c>
      <c r="G125" s="10">
        <f t="shared" si="8"/>
        <v>390029.1702</v>
      </c>
      <c r="H125" s="10">
        <f t="shared" si="9"/>
        <v>3198029.17</v>
      </c>
      <c r="I125" s="10">
        <f t="shared" si="10"/>
        <v>0.000157801127</v>
      </c>
      <c r="J125" s="620"/>
      <c r="K125" s="591"/>
      <c r="L125" s="6"/>
      <c r="M125" s="9">
        <v>12000.0</v>
      </c>
      <c r="N125" s="79">
        <f t="shared" si="11"/>
        <v>1519800</v>
      </c>
      <c r="O125" s="6">
        <f t="shared" si="2"/>
        <v>836730.8298</v>
      </c>
      <c r="P125" s="6">
        <f t="shared" si="3"/>
        <v>29.79810648</v>
      </c>
      <c r="Q125" s="6"/>
      <c r="R125" s="6">
        <f t="shared" si="12"/>
        <v>9558</v>
      </c>
      <c r="S125" s="6">
        <f t="shared" si="13"/>
        <v>836730.8298</v>
      </c>
      <c r="T125" s="81">
        <f t="shared" si="4"/>
        <v>214.5303208</v>
      </c>
      <c r="U125" s="6"/>
      <c r="V125" s="6"/>
      <c r="W125" s="6"/>
      <c r="X125" s="6"/>
      <c r="Y125" s="6"/>
    </row>
    <row r="126" ht="11.25" customHeight="1">
      <c r="A126" s="100">
        <v>11.0</v>
      </c>
      <c r="B126" s="66">
        <f t="shared" si="14"/>
        <v>121</v>
      </c>
      <c r="C126" s="607"/>
      <c r="D126" s="617">
        <f t="shared" si="15"/>
        <v>0</v>
      </c>
      <c r="E126" s="617">
        <f t="shared" si="1"/>
        <v>0</v>
      </c>
      <c r="F126" s="617">
        <f t="shared" si="7"/>
        <v>2808000</v>
      </c>
      <c r="G126" s="617">
        <f t="shared" si="8"/>
        <v>390029.1702</v>
      </c>
      <c r="H126" s="617">
        <f t="shared" si="9"/>
        <v>3198029.17</v>
      </c>
      <c r="I126" s="617">
        <f t="shared" si="10"/>
        <v>0.000157801127</v>
      </c>
      <c r="J126" s="620"/>
      <c r="K126" s="591"/>
      <c r="L126" s="6"/>
      <c r="M126" s="9">
        <v>12000.0</v>
      </c>
      <c r="N126" s="79">
        <f t="shared" si="11"/>
        <v>1531800</v>
      </c>
      <c r="O126" s="6">
        <f t="shared" si="2"/>
        <v>846288.8298</v>
      </c>
      <c r="P126" s="6">
        <f t="shared" si="3"/>
        <v>30.13849109</v>
      </c>
      <c r="Q126" s="6"/>
      <c r="R126" s="6">
        <f t="shared" si="12"/>
        <v>9558</v>
      </c>
      <c r="S126" s="6">
        <f t="shared" si="13"/>
        <v>846288.8298</v>
      </c>
      <c r="T126" s="81">
        <f t="shared" si="4"/>
        <v>216.9809067</v>
      </c>
      <c r="U126" s="6"/>
      <c r="V126" s="6"/>
      <c r="W126" s="6"/>
      <c r="X126" s="6"/>
      <c r="Y126" s="6"/>
    </row>
    <row r="127" ht="11.25" customHeight="1">
      <c r="A127" s="7"/>
      <c r="B127" s="68">
        <f t="shared" si="14"/>
        <v>122</v>
      </c>
      <c r="C127" s="607"/>
      <c r="D127" s="6">
        <f t="shared" si="15"/>
        <v>0</v>
      </c>
      <c r="E127" s="6">
        <f t="shared" si="1"/>
        <v>0</v>
      </c>
      <c r="F127" s="6">
        <f t="shared" si="7"/>
        <v>2808000</v>
      </c>
      <c r="G127" s="6">
        <f t="shared" si="8"/>
        <v>390029.1702</v>
      </c>
      <c r="H127" s="6">
        <f t="shared" si="9"/>
        <v>3198029.17</v>
      </c>
      <c r="I127" s="6">
        <f t="shared" si="10"/>
        <v>0.000157801127</v>
      </c>
      <c r="J127" s="620"/>
      <c r="K127" s="591"/>
      <c r="L127" s="6"/>
      <c r="M127" s="9">
        <v>12000.0</v>
      </c>
      <c r="N127" s="79">
        <f t="shared" si="11"/>
        <v>1543800</v>
      </c>
      <c r="O127" s="6">
        <f t="shared" si="2"/>
        <v>855846.8298</v>
      </c>
      <c r="P127" s="6">
        <f t="shared" si="3"/>
        <v>30.47887571</v>
      </c>
      <c r="Q127" s="6"/>
      <c r="R127" s="6">
        <f t="shared" si="12"/>
        <v>9558</v>
      </c>
      <c r="S127" s="6">
        <f t="shared" si="13"/>
        <v>855846.8298</v>
      </c>
      <c r="T127" s="81">
        <f t="shared" si="4"/>
        <v>219.4314926</v>
      </c>
      <c r="U127" s="6"/>
      <c r="V127" s="6"/>
      <c r="W127" s="6"/>
      <c r="X127" s="6"/>
      <c r="Y127" s="6"/>
    </row>
    <row r="128" ht="11.25" customHeight="1">
      <c r="A128" s="7"/>
      <c r="B128" s="68">
        <f t="shared" si="14"/>
        <v>123</v>
      </c>
      <c r="C128" s="607"/>
      <c r="D128" s="6">
        <f t="shared" si="15"/>
        <v>0</v>
      </c>
      <c r="E128" s="6">
        <f t="shared" si="1"/>
        <v>0</v>
      </c>
      <c r="F128" s="6">
        <f t="shared" si="7"/>
        <v>2808000</v>
      </c>
      <c r="G128" s="6">
        <f t="shared" si="8"/>
        <v>390029.1702</v>
      </c>
      <c r="H128" s="6">
        <f t="shared" si="9"/>
        <v>3198029.17</v>
      </c>
      <c r="I128" s="6">
        <f t="shared" si="10"/>
        <v>0.000157801127</v>
      </c>
      <c r="J128" s="620"/>
      <c r="K128" s="591"/>
      <c r="L128" s="6"/>
      <c r="M128" s="9">
        <v>12000.0</v>
      </c>
      <c r="N128" s="79">
        <f t="shared" si="11"/>
        <v>1555800</v>
      </c>
      <c r="O128" s="6">
        <f t="shared" si="2"/>
        <v>865404.8298</v>
      </c>
      <c r="P128" s="6">
        <f t="shared" si="3"/>
        <v>30.81926032</v>
      </c>
      <c r="Q128" s="6"/>
      <c r="R128" s="6">
        <f t="shared" si="12"/>
        <v>9558</v>
      </c>
      <c r="S128" s="6">
        <f t="shared" si="13"/>
        <v>865404.8298</v>
      </c>
      <c r="T128" s="81">
        <f t="shared" si="4"/>
        <v>221.8820786</v>
      </c>
      <c r="U128" s="6"/>
      <c r="V128" s="6"/>
      <c r="W128" s="6"/>
      <c r="X128" s="6"/>
      <c r="Y128" s="6"/>
    </row>
    <row r="129" ht="11.25" customHeight="1">
      <c r="A129" s="7"/>
      <c r="B129" s="68">
        <f t="shared" si="14"/>
        <v>124</v>
      </c>
      <c r="C129" s="607"/>
      <c r="D129" s="6">
        <f t="shared" si="15"/>
        <v>0</v>
      </c>
      <c r="E129" s="6">
        <f t="shared" si="1"/>
        <v>0</v>
      </c>
      <c r="F129" s="6">
        <f t="shared" si="7"/>
        <v>2808000</v>
      </c>
      <c r="G129" s="6">
        <f t="shared" si="8"/>
        <v>390029.1702</v>
      </c>
      <c r="H129" s="6">
        <f t="shared" si="9"/>
        <v>3198029.17</v>
      </c>
      <c r="I129" s="6">
        <f t="shared" si="10"/>
        <v>0.000157801127</v>
      </c>
      <c r="J129" s="620"/>
      <c r="K129" s="591"/>
      <c r="L129" s="6"/>
      <c r="M129" s="9">
        <v>12000.0</v>
      </c>
      <c r="N129" s="79">
        <f t="shared" si="11"/>
        <v>1567800</v>
      </c>
      <c r="O129" s="6">
        <f t="shared" si="2"/>
        <v>874962.8298</v>
      </c>
      <c r="P129" s="6">
        <f t="shared" si="3"/>
        <v>31.15964494</v>
      </c>
      <c r="Q129" s="6"/>
      <c r="R129" s="6">
        <f t="shared" si="12"/>
        <v>9558</v>
      </c>
      <c r="S129" s="6">
        <f t="shared" si="13"/>
        <v>874962.8298</v>
      </c>
      <c r="T129" s="81">
        <f t="shared" si="4"/>
        <v>224.3326645</v>
      </c>
      <c r="U129" s="6"/>
      <c r="V129" s="6"/>
      <c r="W129" s="6"/>
      <c r="X129" s="6"/>
      <c r="Y129" s="6"/>
    </row>
    <row r="130" ht="11.25" customHeight="1">
      <c r="A130" s="7"/>
      <c r="B130" s="68">
        <f t="shared" si="14"/>
        <v>125</v>
      </c>
      <c r="C130" s="607"/>
      <c r="D130" s="6">
        <f t="shared" si="15"/>
        <v>0</v>
      </c>
      <c r="E130" s="6">
        <f t="shared" si="1"/>
        <v>0</v>
      </c>
      <c r="F130" s="6">
        <f t="shared" si="7"/>
        <v>2808000</v>
      </c>
      <c r="G130" s="6">
        <f t="shared" si="8"/>
        <v>390029.1702</v>
      </c>
      <c r="H130" s="6">
        <f t="shared" si="9"/>
        <v>3198029.17</v>
      </c>
      <c r="I130" s="6">
        <f t="shared" si="10"/>
        <v>0.000157801127</v>
      </c>
      <c r="J130" s="620"/>
      <c r="K130" s="591"/>
      <c r="L130" s="6"/>
      <c r="M130" s="9">
        <v>12000.0</v>
      </c>
      <c r="N130" s="79">
        <f t="shared" si="11"/>
        <v>1579800</v>
      </c>
      <c r="O130" s="6">
        <f t="shared" si="2"/>
        <v>884520.8298</v>
      </c>
      <c r="P130" s="6">
        <f t="shared" si="3"/>
        <v>31.50002955</v>
      </c>
      <c r="Q130" s="6"/>
      <c r="R130" s="6">
        <f t="shared" si="12"/>
        <v>9558</v>
      </c>
      <c r="S130" s="6">
        <f t="shared" si="13"/>
        <v>884520.8298</v>
      </c>
      <c r="T130" s="81">
        <f t="shared" si="4"/>
        <v>226.7832505</v>
      </c>
      <c r="U130" s="6"/>
      <c r="V130" s="6"/>
      <c r="W130" s="6"/>
      <c r="X130" s="6"/>
      <c r="Y130" s="6"/>
    </row>
    <row r="131" ht="11.25" customHeight="1">
      <c r="A131" s="7"/>
      <c r="B131" s="68">
        <f t="shared" si="14"/>
        <v>126</v>
      </c>
      <c r="C131" s="607"/>
      <c r="D131" s="6">
        <f t="shared" si="15"/>
        <v>0</v>
      </c>
      <c r="E131" s="6">
        <f t="shared" si="1"/>
        <v>0</v>
      </c>
      <c r="F131" s="6">
        <f t="shared" si="7"/>
        <v>2808000</v>
      </c>
      <c r="G131" s="6">
        <f t="shared" si="8"/>
        <v>390029.1702</v>
      </c>
      <c r="H131" s="6">
        <f t="shared" si="9"/>
        <v>3198029.17</v>
      </c>
      <c r="I131" s="6">
        <f t="shared" si="10"/>
        <v>0.000157801127</v>
      </c>
      <c r="J131" s="620"/>
      <c r="K131" s="591"/>
      <c r="L131" s="6"/>
      <c r="M131" s="9">
        <v>12000.0</v>
      </c>
      <c r="N131" s="79">
        <f t="shared" si="11"/>
        <v>1591800</v>
      </c>
      <c r="O131" s="6">
        <f t="shared" si="2"/>
        <v>894078.8298</v>
      </c>
      <c r="P131" s="6">
        <f t="shared" si="3"/>
        <v>31.84041417</v>
      </c>
      <c r="Q131" s="6"/>
      <c r="R131" s="6">
        <f t="shared" si="12"/>
        <v>9558</v>
      </c>
      <c r="S131" s="6">
        <f t="shared" si="13"/>
        <v>894078.8298</v>
      </c>
      <c r="T131" s="81">
        <f t="shared" si="4"/>
        <v>229.2338364</v>
      </c>
      <c r="U131" s="6"/>
      <c r="V131" s="6"/>
      <c r="W131" s="6"/>
      <c r="X131" s="6"/>
      <c r="Y131" s="6"/>
    </row>
    <row r="132" ht="11.25" customHeight="1">
      <c r="A132" s="7"/>
      <c r="B132" s="68">
        <f t="shared" si="14"/>
        <v>127</v>
      </c>
      <c r="C132" s="607"/>
      <c r="D132" s="6">
        <f t="shared" si="15"/>
        <v>0</v>
      </c>
      <c r="E132" s="6">
        <f t="shared" si="1"/>
        <v>0</v>
      </c>
      <c r="F132" s="6">
        <f t="shared" si="7"/>
        <v>2808000</v>
      </c>
      <c r="G132" s="6">
        <f t="shared" si="8"/>
        <v>390029.1702</v>
      </c>
      <c r="H132" s="6">
        <f t="shared" si="9"/>
        <v>3198029.17</v>
      </c>
      <c r="I132" s="6">
        <f t="shared" si="10"/>
        <v>0.000157801127</v>
      </c>
      <c r="J132" s="620"/>
      <c r="K132" s="591"/>
      <c r="L132" s="6"/>
      <c r="M132" s="9">
        <v>12000.0</v>
      </c>
      <c r="N132" s="79">
        <f t="shared" si="11"/>
        <v>1603800</v>
      </c>
      <c r="O132" s="6">
        <f t="shared" si="2"/>
        <v>903636.8298</v>
      </c>
      <c r="P132" s="6">
        <f t="shared" si="3"/>
        <v>32.18079879</v>
      </c>
      <c r="Q132" s="6"/>
      <c r="R132" s="6">
        <f t="shared" si="12"/>
        <v>9558</v>
      </c>
      <c r="S132" s="6">
        <f t="shared" si="13"/>
        <v>903636.8298</v>
      </c>
      <c r="T132" s="81">
        <f t="shared" si="4"/>
        <v>231.6844223</v>
      </c>
      <c r="U132" s="6"/>
      <c r="V132" s="6"/>
      <c r="W132" s="6"/>
      <c r="X132" s="6"/>
      <c r="Y132" s="6"/>
    </row>
    <row r="133" ht="11.25" customHeight="1">
      <c r="A133" s="7"/>
      <c r="B133" s="68">
        <f t="shared" si="14"/>
        <v>128</v>
      </c>
      <c r="C133" s="607"/>
      <c r="D133" s="6">
        <f t="shared" si="15"/>
        <v>0</v>
      </c>
      <c r="E133" s="6">
        <f t="shared" si="1"/>
        <v>0</v>
      </c>
      <c r="F133" s="6">
        <f t="shared" si="7"/>
        <v>2808000</v>
      </c>
      <c r="G133" s="6">
        <f t="shared" si="8"/>
        <v>390029.1702</v>
      </c>
      <c r="H133" s="6">
        <f t="shared" si="9"/>
        <v>3198029.17</v>
      </c>
      <c r="I133" s="6">
        <f t="shared" si="10"/>
        <v>0.000157801127</v>
      </c>
      <c r="J133" s="620"/>
      <c r="K133" s="591"/>
      <c r="L133" s="6"/>
      <c r="M133" s="9">
        <v>12000.0</v>
      </c>
      <c r="N133" s="79">
        <f t="shared" si="11"/>
        <v>1615800</v>
      </c>
      <c r="O133" s="6">
        <f t="shared" si="2"/>
        <v>913194.8298</v>
      </c>
      <c r="P133" s="6">
        <f t="shared" si="3"/>
        <v>32.5211834</v>
      </c>
      <c r="Q133" s="6"/>
      <c r="R133" s="6">
        <f t="shared" si="12"/>
        <v>9558</v>
      </c>
      <c r="S133" s="6">
        <f t="shared" si="13"/>
        <v>913194.8298</v>
      </c>
      <c r="T133" s="81">
        <f t="shared" si="4"/>
        <v>234.1350083</v>
      </c>
      <c r="U133" s="6"/>
      <c r="V133" s="6"/>
      <c r="W133" s="6"/>
      <c r="X133" s="6"/>
      <c r="Y133" s="6"/>
    </row>
    <row r="134" ht="11.25" customHeight="1">
      <c r="A134" s="7"/>
      <c r="B134" s="68">
        <f t="shared" si="14"/>
        <v>129</v>
      </c>
      <c r="C134" s="607"/>
      <c r="D134" s="6">
        <f t="shared" si="15"/>
        <v>0</v>
      </c>
      <c r="E134" s="6">
        <f t="shared" si="1"/>
        <v>0</v>
      </c>
      <c r="F134" s="6">
        <f t="shared" si="7"/>
        <v>2808000</v>
      </c>
      <c r="G134" s="6">
        <f t="shared" si="8"/>
        <v>390029.1702</v>
      </c>
      <c r="H134" s="6">
        <f t="shared" si="9"/>
        <v>3198029.17</v>
      </c>
      <c r="I134" s="6">
        <f t="shared" si="10"/>
        <v>0.000157801127</v>
      </c>
      <c r="J134" s="620"/>
      <c r="K134" s="591"/>
      <c r="L134" s="6"/>
      <c r="M134" s="9">
        <v>12000.0</v>
      </c>
      <c r="N134" s="79">
        <f t="shared" si="11"/>
        <v>1627800</v>
      </c>
      <c r="O134" s="6">
        <f t="shared" si="2"/>
        <v>922752.8298</v>
      </c>
      <c r="P134" s="6">
        <f t="shared" si="3"/>
        <v>32.86156802</v>
      </c>
      <c r="Q134" s="6"/>
      <c r="R134" s="6">
        <f t="shared" si="12"/>
        <v>9558</v>
      </c>
      <c r="S134" s="6">
        <f t="shared" si="13"/>
        <v>922752.8298</v>
      </c>
      <c r="T134" s="81">
        <f t="shared" si="4"/>
        <v>236.5855942</v>
      </c>
      <c r="U134" s="6"/>
      <c r="V134" s="6"/>
      <c r="W134" s="6"/>
      <c r="X134" s="6"/>
      <c r="Y134" s="6"/>
    </row>
    <row r="135" ht="11.25" customHeight="1">
      <c r="A135" s="7"/>
      <c r="B135" s="68">
        <f t="shared" si="14"/>
        <v>130</v>
      </c>
      <c r="C135" s="607"/>
      <c r="D135" s="6">
        <f t="shared" si="15"/>
        <v>0</v>
      </c>
      <c r="E135" s="6">
        <f t="shared" si="1"/>
        <v>0</v>
      </c>
      <c r="F135" s="6">
        <f t="shared" si="7"/>
        <v>2808000</v>
      </c>
      <c r="G135" s="6">
        <f t="shared" si="8"/>
        <v>390029.1702</v>
      </c>
      <c r="H135" s="6">
        <f t="shared" si="9"/>
        <v>3198029.17</v>
      </c>
      <c r="I135" s="6">
        <f t="shared" si="10"/>
        <v>0.000157801127</v>
      </c>
      <c r="J135" s="620"/>
      <c r="K135" s="591"/>
      <c r="L135" s="6"/>
      <c r="M135" s="9">
        <v>12000.0</v>
      </c>
      <c r="N135" s="79">
        <f t="shared" si="11"/>
        <v>1639800</v>
      </c>
      <c r="O135" s="6">
        <f t="shared" si="2"/>
        <v>932310.8298</v>
      </c>
      <c r="P135" s="6">
        <f t="shared" si="3"/>
        <v>33.20195263</v>
      </c>
      <c r="Q135" s="6"/>
      <c r="R135" s="6">
        <f t="shared" si="12"/>
        <v>9558</v>
      </c>
      <c r="S135" s="6">
        <f t="shared" si="13"/>
        <v>932310.8298</v>
      </c>
      <c r="T135" s="81">
        <f t="shared" si="4"/>
        <v>239.0361802</v>
      </c>
      <c r="U135" s="6"/>
      <c r="V135" s="6"/>
      <c r="W135" s="6"/>
      <c r="X135" s="6"/>
      <c r="Y135" s="6"/>
    </row>
    <row r="136" ht="11.25" customHeight="1">
      <c r="A136" s="7"/>
      <c r="B136" s="68">
        <f t="shared" si="14"/>
        <v>131</v>
      </c>
      <c r="C136" s="607"/>
      <c r="D136" s="6">
        <f t="shared" si="15"/>
        <v>0</v>
      </c>
      <c r="E136" s="6">
        <f t="shared" si="1"/>
        <v>0</v>
      </c>
      <c r="F136" s="6">
        <f t="shared" si="7"/>
        <v>2808000</v>
      </c>
      <c r="G136" s="6">
        <f t="shared" si="8"/>
        <v>390029.1702</v>
      </c>
      <c r="H136" s="6">
        <f t="shared" si="9"/>
        <v>3198029.17</v>
      </c>
      <c r="I136" s="6">
        <f t="shared" si="10"/>
        <v>0.000157801127</v>
      </c>
      <c r="J136" s="620"/>
      <c r="K136" s="591"/>
      <c r="L136" s="6"/>
      <c r="M136" s="9">
        <v>12000.0</v>
      </c>
      <c r="N136" s="79">
        <f t="shared" si="11"/>
        <v>1651800</v>
      </c>
      <c r="O136" s="6">
        <f t="shared" si="2"/>
        <v>941868.8298</v>
      </c>
      <c r="P136" s="6">
        <f t="shared" si="3"/>
        <v>33.54233725</v>
      </c>
      <c r="Q136" s="6"/>
      <c r="R136" s="6">
        <f t="shared" si="12"/>
        <v>9558</v>
      </c>
      <c r="S136" s="6">
        <f t="shared" si="13"/>
        <v>941868.8298</v>
      </c>
      <c r="T136" s="81">
        <f t="shared" si="4"/>
        <v>241.4867661</v>
      </c>
      <c r="U136" s="6"/>
      <c r="V136" s="6"/>
      <c r="W136" s="6"/>
      <c r="X136" s="6"/>
      <c r="Y136" s="6"/>
    </row>
    <row r="137" ht="11.25" customHeight="1">
      <c r="A137" s="71"/>
      <c r="B137" s="72">
        <f t="shared" si="14"/>
        <v>132</v>
      </c>
      <c r="C137" s="607"/>
      <c r="D137" s="10">
        <f t="shared" si="15"/>
        <v>0</v>
      </c>
      <c r="E137" s="10">
        <f t="shared" si="1"/>
        <v>0</v>
      </c>
      <c r="F137" s="10">
        <f t="shared" si="7"/>
        <v>2808000</v>
      </c>
      <c r="G137" s="10">
        <f t="shared" si="8"/>
        <v>390029.1702</v>
      </c>
      <c r="H137" s="10">
        <f t="shared" si="9"/>
        <v>3198029.17</v>
      </c>
      <c r="I137" s="10">
        <f t="shared" si="10"/>
        <v>0.000157801127</v>
      </c>
      <c r="J137" s="620"/>
      <c r="K137" s="591"/>
      <c r="L137" s="6"/>
      <c r="M137" s="9">
        <v>12000.0</v>
      </c>
      <c r="N137" s="79">
        <f t="shared" si="11"/>
        <v>1663800</v>
      </c>
      <c r="O137" s="6">
        <f t="shared" si="2"/>
        <v>951426.8298</v>
      </c>
      <c r="P137" s="6">
        <f t="shared" si="3"/>
        <v>33.88272186</v>
      </c>
      <c r="Q137" s="6"/>
      <c r="R137" s="6">
        <f t="shared" si="12"/>
        <v>9558</v>
      </c>
      <c r="S137" s="6">
        <f t="shared" si="13"/>
        <v>951426.8298</v>
      </c>
      <c r="T137" s="81">
        <f t="shared" si="4"/>
        <v>243.937352</v>
      </c>
      <c r="U137" s="6"/>
      <c r="V137" s="6"/>
      <c r="W137" s="6"/>
      <c r="X137" s="6"/>
      <c r="Y137" s="6"/>
    </row>
    <row r="138" ht="11.25" customHeight="1">
      <c r="A138" s="100">
        <v>12.0</v>
      </c>
      <c r="B138" s="66">
        <f t="shared" si="14"/>
        <v>133</v>
      </c>
      <c r="C138" s="607"/>
      <c r="D138" s="617">
        <f t="shared" si="15"/>
        <v>0</v>
      </c>
      <c r="E138" s="617">
        <f t="shared" si="1"/>
        <v>0</v>
      </c>
      <c r="F138" s="617">
        <f t="shared" si="7"/>
        <v>2808000</v>
      </c>
      <c r="G138" s="617">
        <f t="shared" si="8"/>
        <v>390029.1702</v>
      </c>
      <c r="H138" s="617">
        <f t="shared" si="9"/>
        <v>3198029.17</v>
      </c>
      <c r="I138" s="617">
        <f t="shared" si="10"/>
        <v>0.000157801127</v>
      </c>
      <c r="J138" s="620"/>
      <c r="K138" s="591"/>
      <c r="L138" s="6"/>
      <c r="M138" s="9">
        <v>12000.0</v>
      </c>
      <c r="N138" s="79">
        <f t="shared" si="11"/>
        <v>1675800</v>
      </c>
      <c r="O138" s="6">
        <f t="shared" si="2"/>
        <v>960984.8298</v>
      </c>
      <c r="P138" s="6">
        <f t="shared" si="3"/>
        <v>34.22310648</v>
      </c>
      <c r="Q138" s="6"/>
      <c r="R138" s="6">
        <f t="shared" si="12"/>
        <v>9558</v>
      </c>
      <c r="S138" s="6">
        <f t="shared" si="13"/>
        <v>960984.8298</v>
      </c>
      <c r="T138" s="81">
        <f t="shared" si="4"/>
        <v>246.387938</v>
      </c>
      <c r="U138" s="6"/>
      <c r="V138" s="6"/>
      <c r="W138" s="6"/>
      <c r="X138" s="6"/>
      <c r="Y138" s="6"/>
    </row>
    <row r="139" ht="11.25" customHeight="1">
      <c r="A139" s="7"/>
      <c r="B139" s="68">
        <f t="shared" si="14"/>
        <v>134</v>
      </c>
      <c r="C139" s="607"/>
      <c r="D139" s="6">
        <f t="shared" si="15"/>
        <v>0</v>
      </c>
      <c r="E139" s="6">
        <f t="shared" si="1"/>
        <v>0</v>
      </c>
      <c r="F139" s="6">
        <f t="shared" si="7"/>
        <v>2808000</v>
      </c>
      <c r="G139" s="6">
        <f t="shared" si="8"/>
        <v>390029.1702</v>
      </c>
      <c r="H139" s="6">
        <f t="shared" si="9"/>
        <v>3198029.17</v>
      </c>
      <c r="I139" s="6">
        <f t="shared" si="10"/>
        <v>0.000157801127</v>
      </c>
      <c r="J139" s="620"/>
      <c r="K139" s="591"/>
      <c r="L139" s="6"/>
      <c r="M139" s="9">
        <v>12000.0</v>
      </c>
      <c r="N139" s="79">
        <f t="shared" si="11"/>
        <v>1687800</v>
      </c>
      <c r="O139" s="6">
        <f t="shared" si="2"/>
        <v>970542.8298</v>
      </c>
      <c r="P139" s="6">
        <f t="shared" si="3"/>
        <v>34.56349109</v>
      </c>
      <c r="Q139" s="6"/>
      <c r="R139" s="6">
        <f t="shared" si="12"/>
        <v>9558</v>
      </c>
      <c r="S139" s="6">
        <f t="shared" si="13"/>
        <v>970542.8298</v>
      </c>
      <c r="T139" s="81">
        <f t="shared" si="4"/>
        <v>248.8385239</v>
      </c>
      <c r="U139" s="6"/>
      <c r="V139" s="6"/>
      <c r="W139" s="6"/>
      <c r="X139" s="6"/>
      <c r="Y139" s="6"/>
    </row>
    <row r="140" ht="11.25" customHeight="1">
      <c r="A140" s="7"/>
      <c r="B140" s="68">
        <f t="shared" si="14"/>
        <v>135</v>
      </c>
      <c r="C140" s="607"/>
      <c r="D140" s="6">
        <f t="shared" si="15"/>
        <v>0</v>
      </c>
      <c r="E140" s="6">
        <f t="shared" si="1"/>
        <v>0</v>
      </c>
      <c r="F140" s="6">
        <f t="shared" si="7"/>
        <v>2808000</v>
      </c>
      <c r="G140" s="6">
        <f t="shared" si="8"/>
        <v>390029.1702</v>
      </c>
      <c r="H140" s="6">
        <f t="shared" si="9"/>
        <v>3198029.17</v>
      </c>
      <c r="I140" s="6">
        <f t="shared" si="10"/>
        <v>0.000157801127</v>
      </c>
      <c r="J140" s="620"/>
      <c r="K140" s="591"/>
      <c r="L140" s="6"/>
      <c r="M140" s="9">
        <v>12000.0</v>
      </c>
      <c r="N140" s="79">
        <f t="shared" si="11"/>
        <v>1699800</v>
      </c>
      <c r="O140" s="6">
        <f t="shared" si="2"/>
        <v>980100.8298</v>
      </c>
      <c r="P140" s="6">
        <f t="shared" si="3"/>
        <v>34.90387571</v>
      </c>
      <c r="Q140" s="6"/>
      <c r="R140" s="6">
        <f t="shared" si="12"/>
        <v>9558</v>
      </c>
      <c r="S140" s="6">
        <f t="shared" si="13"/>
        <v>980100.8298</v>
      </c>
      <c r="T140" s="81">
        <f t="shared" si="4"/>
        <v>251.2891098</v>
      </c>
      <c r="U140" s="6"/>
      <c r="V140" s="6"/>
      <c r="W140" s="6"/>
      <c r="X140" s="6"/>
      <c r="Y140" s="6"/>
    </row>
    <row r="141" ht="11.25" customHeight="1">
      <c r="A141" s="7"/>
      <c r="B141" s="68">
        <f t="shared" si="14"/>
        <v>136</v>
      </c>
      <c r="C141" s="607"/>
      <c r="D141" s="6">
        <f t="shared" si="15"/>
        <v>0</v>
      </c>
      <c r="E141" s="6">
        <f t="shared" si="1"/>
        <v>0</v>
      </c>
      <c r="F141" s="6">
        <f t="shared" si="7"/>
        <v>2808000</v>
      </c>
      <c r="G141" s="6">
        <f t="shared" si="8"/>
        <v>390029.1702</v>
      </c>
      <c r="H141" s="6">
        <f t="shared" si="9"/>
        <v>3198029.17</v>
      </c>
      <c r="I141" s="6">
        <f t="shared" si="10"/>
        <v>0.000157801127</v>
      </c>
      <c r="J141" s="620"/>
      <c r="K141" s="591"/>
      <c r="L141" s="6"/>
      <c r="M141" s="9">
        <v>12000.0</v>
      </c>
      <c r="N141" s="79">
        <f t="shared" si="11"/>
        <v>1711800</v>
      </c>
      <c r="O141" s="6">
        <f t="shared" si="2"/>
        <v>989658.8298</v>
      </c>
      <c r="P141" s="6">
        <f t="shared" si="3"/>
        <v>35.24426032</v>
      </c>
      <c r="Q141" s="6"/>
      <c r="R141" s="6">
        <f t="shared" si="12"/>
        <v>9558</v>
      </c>
      <c r="S141" s="6">
        <f t="shared" si="13"/>
        <v>989658.8298</v>
      </c>
      <c r="T141" s="81">
        <f t="shared" si="4"/>
        <v>253.7396958</v>
      </c>
      <c r="U141" s="6"/>
      <c r="V141" s="6"/>
      <c r="W141" s="6"/>
      <c r="X141" s="6"/>
      <c r="Y141" s="6"/>
    </row>
    <row r="142" ht="11.25" customHeight="1">
      <c r="A142" s="7"/>
      <c r="B142" s="68">
        <f t="shared" si="14"/>
        <v>137</v>
      </c>
      <c r="C142" s="607"/>
      <c r="D142" s="6">
        <f t="shared" si="15"/>
        <v>0</v>
      </c>
      <c r="E142" s="6">
        <f t="shared" si="1"/>
        <v>0</v>
      </c>
      <c r="F142" s="6">
        <f t="shared" si="7"/>
        <v>2808000</v>
      </c>
      <c r="G142" s="6">
        <f t="shared" si="8"/>
        <v>390029.1702</v>
      </c>
      <c r="H142" s="6">
        <f t="shared" si="9"/>
        <v>3198029.17</v>
      </c>
      <c r="I142" s="6">
        <f t="shared" si="10"/>
        <v>0.000157801127</v>
      </c>
      <c r="J142" s="620"/>
      <c r="K142" s="591"/>
      <c r="L142" s="6"/>
      <c r="M142" s="9">
        <v>12000.0</v>
      </c>
      <c r="N142" s="79">
        <f t="shared" si="11"/>
        <v>1723800</v>
      </c>
      <c r="O142" s="6">
        <f t="shared" si="2"/>
        <v>999216.8298</v>
      </c>
      <c r="P142" s="6">
        <f t="shared" si="3"/>
        <v>35.58464494</v>
      </c>
      <c r="Q142" s="6"/>
      <c r="R142" s="6">
        <f t="shared" si="12"/>
        <v>9558</v>
      </c>
      <c r="S142" s="6">
        <f t="shared" si="13"/>
        <v>999216.8298</v>
      </c>
      <c r="T142" s="81">
        <f t="shared" si="4"/>
        <v>256.1902817</v>
      </c>
      <c r="U142" s="6"/>
      <c r="V142" s="6"/>
      <c r="W142" s="6"/>
      <c r="X142" s="6"/>
      <c r="Y142" s="6"/>
    </row>
    <row r="143" ht="11.25" customHeight="1">
      <c r="A143" s="7"/>
      <c r="B143" s="68">
        <f t="shared" si="14"/>
        <v>138</v>
      </c>
      <c r="C143" s="607"/>
      <c r="D143" s="6">
        <f t="shared" si="15"/>
        <v>0</v>
      </c>
      <c r="E143" s="6">
        <f t="shared" si="1"/>
        <v>0</v>
      </c>
      <c r="F143" s="6">
        <f t="shared" si="7"/>
        <v>2808000</v>
      </c>
      <c r="G143" s="6">
        <f t="shared" si="8"/>
        <v>390029.1702</v>
      </c>
      <c r="H143" s="6">
        <f t="shared" si="9"/>
        <v>3198029.17</v>
      </c>
      <c r="I143" s="6">
        <f t="shared" si="10"/>
        <v>0.000157801127</v>
      </c>
      <c r="J143" s="620"/>
      <c r="K143" s="591"/>
      <c r="L143" s="6"/>
      <c r="M143" s="9">
        <v>12000.0</v>
      </c>
      <c r="N143" s="79">
        <f t="shared" si="11"/>
        <v>1735800</v>
      </c>
      <c r="O143" s="6">
        <f t="shared" si="2"/>
        <v>1008774.83</v>
      </c>
      <c r="P143" s="6">
        <f t="shared" si="3"/>
        <v>35.92502955</v>
      </c>
      <c r="Q143" s="6"/>
      <c r="R143" s="6">
        <f t="shared" si="12"/>
        <v>9558</v>
      </c>
      <c r="S143" s="6">
        <f t="shared" si="13"/>
        <v>1008774.83</v>
      </c>
      <c r="T143" s="81">
        <f t="shared" si="4"/>
        <v>258.6408677</v>
      </c>
      <c r="U143" s="6"/>
      <c r="V143" s="6"/>
      <c r="W143" s="6"/>
      <c r="X143" s="6"/>
      <c r="Y143" s="6"/>
    </row>
    <row r="144" ht="11.25" customHeight="1">
      <c r="A144" s="7"/>
      <c r="B144" s="68">
        <f t="shared" si="14"/>
        <v>139</v>
      </c>
      <c r="C144" s="607"/>
      <c r="D144" s="6">
        <f t="shared" si="15"/>
        <v>0</v>
      </c>
      <c r="E144" s="6">
        <f t="shared" si="1"/>
        <v>0</v>
      </c>
      <c r="F144" s="6">
        <f t="shared" si="7"/>
        <v>2808000</v>
      </c>
      <c r="G144" s="6">
        <f t="shared" si="8"/>
        <v>390029.1702</v>
      </c>
      <c r="H144" s="6">
        <f t="shared" si="9"/>
        <v>3198029.17</v>
      </c>
      <c r="I144" s="6">
        <f t="shared" si="10"/>
        <v>0.000157801127</v>
      </c>
      <c r="J144" s="620"/>
      <c r="K144" s="591"/>
      <c r="L144" s="6"/>
      <c r="M144" s="9">
        <v>12000.0</v>
      </c>
      <c r="N144" s="79">
        <f t="shared" si="11"/>
        <v>1747800</v>
      </c>
      <c r="O144" s="6">
        <f t="shared" si="2"/>
        <v>1018332.83</v>
      </c>
      <c r="P144" s="6">
        <f t="shared" si="3"/>
        <v>36.26541417</v>
      </c>
      <c r="Q144" s="6"/>
      <c r="R144" s="6">
        <f t="shared" si="12"/>
        <v>9558</v>
      </c>
      <c r="S144" s="6">
        <f t="shared" si="13"/>
        <v>1018332.83</v>
      </c>
      <c r="T144" s="81">
        <f t="shared" si="4"/>
        <v>261.0914536</v>
      </c>
      <c r="U144" s="6"/>
      <c r="V144" s="6"/>
      <c r="W144" s="6"/>
      <c r="X144" s="6"/>
      <c r="Y144" s="6"/>
    </row>
    <row r="145" ht="11.25" customHeight="1">
      <c r="A145" s="7"/>
      <c r="B145" s="68">
        <f t="shared" si="14"/>
        <v>140</v>
      </c>
      <c r="C145" s="607"/>
      <c r="D145" s="6">
        <f t="shared" si="15"/>
        <v>0</v>
      </c>
      <c r="E145" s="6">
        <f t="shared" si="1"/>
        <v>0</v>
      </c>
      <c r="F145" s="6">
        <f t="shared" si="7"/>
        <v>2808000</v>
      </c>
      <c r="G145" s="6">
        <f t="shared" si="8"/>
        <v>390029.1702</v>
      </c>
      <c r="H145" s="6">
        <f t="shared" si="9"/>
        <v>3198029.17</v>
      </c>
      <c r="I145" s="6">
        <f t="shared" si="10"/>
        <v>0.000157801127</v>
      </c>
      <c r="J145" s="620"/>
      <c r="K145" s="591"/>
      <c r="L145" s="6"/>
      <c r="M145" s="9">
        <v>12000.0</v>
      </c>
      <c r="N145" s="79">
        <f t="shared" si="11"/>
        <v>1759800</v>
      </c>
      <c r="O145" s="6">
        <f t="shared" si="2"/>
        <v>1027890.83</v>
      </c>
      <c r="P145" s="6">
        <f t="shared" si="3"/>
        <v>36.60579879</v>
      </c>
      <c r="Q145" s="6"/>
      <c r="R145" s="6">
        <f t="shared" si="12"/>
        <v>9558</v>
      </c>
      <c r="S145" s="6">
        <f t="shared" si="13"/>
        <v>1027890.83</v>
      </c>
      <c r="T145" s="81">
        <f t="shared" si="4"/>
        <v>263.5420395</v>
      </c>
      <c r="U145" s="6"/>
      <c r="V145" s="6"/>
      <c r="W145" s="6"/>
      <c r="X145" s="6"/>
      <c r="Y145" s="6"/>
    </row>
    <row r="146" ht="11.25" customHeight="1">
      <c r="A146" s="7"/>
      <c r="B146" s="68">
        <f t="shared" si="14"/>
        <v>141</v>
      </c>
      <c r="C146" s="607"/>
      <c r="D146" s="6">
        <f t="shared" si="15"/>
        <v>0</v>
      </c>
      <c r="E146" s="6">
        <f t="shared" si="1"/>
        <v>0</v>
      </c>
      <c r="F146" s="6">
        <f t="shared" si="7"/>
        <v>2808000</v>
      </c>
      <c r="G146" s="6">
        <f t="shared" si="8"/>
        <v>390029.1702</v>
      </c>
      <c r="H146" s="6">
        <f t="shared" si="9"/>
        <v>3198029.17</v>
      </c>
      <c r="I146" s="6">
        <f t="shared" si="10"/>
        <v>0.000157801127</v>
      </c>
      <c r="J146" s="620"/>
      <c r="K146" s="591"/>
      <c r="L146" s="6"/>
      <c r="M146" s="9">
        <v>12000.0</v>
      </c>
      <c r="N146" s="79">
        <f t="shared" si="11"/>
        <v>1771800</v>
      </c>
      <c r="O146" s="6">
        <f t="shared" si="2"/>
        <v>1037448.83</v>
      </c>
      <c r="P146" s="6">
        <f t="shared" si="3"/>
        <v>36.9461834</v>
      </c>
      <c r="Q146" s="6"/>
      <c r="R146" s="6">
        <f t="shared" si="12"/>
        <v>9558</v>
      </c>
      <c r="S146" s="6">
        <f t="shared" si="13"/>
        <v>1037448.83</v>
      </c>
      <c r="T146" s="81">
        <f t="shared" si="4"/>
        <v>265.9926255</v>
      </c>
      <c r="U146" s="6"/>
      <c r="V146" s="6"/>
      <c r="W146" s="6"/>
      <c r="X146" s="6"/>
      <c r="Y146" s="6"/>
    </row>
    <row r="147" ht="11.25" customHeight="1">
      <c r="A147" s="7"/>
      <c r="B147" s="68">
        <f t="shared" si="14"/>
        <v>142</v>
      </c>
      <c r="C147" s="607"/>
      <c r="D147" s="6">
        <f t="shared" si="15"/>
        <v>0</v>
      </c>
      <c r="E147" s="6">
        <f t="shared" si="1"/>
        <v>0</v>
      </c>
      <c r="F147" s="6">
        <f t="shared" si="7"/>
        <v>2808000</v>
      </c>
      <c r="G147" s="6">
        <f t="shared" si="8"/>
        <v>390029.1702</v>
      </c>
      <c r="H147" s="6">
        <f t="shared" si="9"/>
        <v>3198029.17</v>
      </c>
      <c r="I147" s="6">
        <f t="shared" si="10"/>
        <v>0.000157801127</v>
      </c>
      <c r="J147" s="620"/>
      <c r="K147" s="591"/>
      <c r="L147" s="6"/>
      <c r="M147" s="9">
        <v>12000.0</v>
      </c>
      <c r="N147" s="79">
        <f t="shared" si="11"/>
        <v>1783800</v>
      </c>
      <c r="O147" s="6">
        <f t="shared" si="2"/>
        <v>1047006.83</v>
      </c>
      <c r="P147" s="6">
        <f t="shared" si="3"/>
        <v>37.28656802</v>
      </c>
      <c r="Q147" s="6"/>
      <c r="R147" s="6">
        <f t="shared" si="12"/>
        <v>9558</v>
      </c>
      <c r="S147" s="6">
        <f t="shared" si="13"/>
        <v>1047006.83</v>
      </c>
      <c r="T147" s="81">
        <f t="shared" si="4"/>
        <v>268.4432114</v>
      </c>
      <c r="U147" s="6"/>
      <c r="V147" s="6"/>
      <c r="W147" s="6"/>
      <c r="X147" s="6"/>
      <c r="Y147" s="6"/>
    </row>
    <row r="148" ht="11.25" customHeight="1">
      <c r="A148" s="7"/>
      <c r="B148" s="68">
        <f t="shared" si="14"/>
        <v>143</v>
      </c>
      <c r="C148" s="607"/>
      <c r="D148" s="6">
        <f t="shared" si="15"/>
        <v>0</v>
      </c>
      <c r="E148" s="6">
        <f t="shared" si="1"/>
        <v>0</v>
      </c>
      <c r="F148" s="6">
        <f t="shared" si="7"/>
        <v>2808000</v>
      </c>
      <c r="G148" s="6">
        <f t="shared" si="8"/>
        <v>390029.1702</v>
      </c>
      <c r="H148" s="6">
        <f t="shared" si="9"/>
        <v>3198029.17</v>
      </c>
      <c r="I148" s="6">
        <f t="shared" si="10"/>
        <v>0.000157801127</v>
      </c>
      <c r="J148" s="620"/>
      <c r="K148" s="591"/>
      <c r="L148" s="6"/>
      <c r="M148" s="9">
        <v>12000.0</v>
      </c>
      <c r="N148" s="79">
        <f t="shared" si="11"/>
        <v>1795800</v>
      </c>
      <c r="O148" s="6">
        <f t="shared" si="2"/>
        <v>1056564.83</v>
      </c>
      <c r="P148" s="6">
        <f t="shared" si="3"/>
        <v>37.62695263</v>
      </c>
      <c r="Q148" s="6"/>
      <c r="R148" s="6">
        <f t="shared" si="12"/>
        <v>9558</v>
      </c>
      <c r="S148" s="6">
        <f t="shared" si="13"/>
        <v>1056564.83</v>
      </c>
      <c r="T148" s="81">
        <f t="shared" si="4"/>
        <v>270.8937974</v>
      </c>
      <c r="U148" s="6"/>
      <c r="V148" s="6"/>
      <c r="W148" s="6"/>
      <c r="X148" s="6"/>
      <c r="Y148" s="6"/>
    </row>
    <row r="149" ht="11.25" customHeight="1">
      <c r="A149" s="71"/>
      <c r="B149" s="72">
        <f t="shared" si="14"/>
        <v>144</v>
      </c>
      <c r="C149" s="607"/>
      <c r="D149" s="10">
        <f t="shared" si="15"/>
        <v>0</v>
      </c>
      <c r="E149" s="10">
        <f t="shared" si="1"/>
        <v>0</v>
      </c>
      <c r="F149" s="10">
        <f t="shared" si="7"/>
        <v>2808000</v>
      </c>
      <c r="G149" s="10">
        <f t="shared" si="8"/>
        <v>390029.1702</v>
      </c>
      <c r="H149" s="10">
        <f t="shared" si="9"/>
        <v>3198029.17</v>
      </c>
      <c r="I149" s="10">
        <f t="shared" si="10"/>
        <v>0.000157801127</v>
      </c>
      <c r="J149" s="620"/>
      <c r="K149" s="591"/>
      <c r="L149" s="6"/>
      <c r="M149" s="9">
        <v>12000.0</v>
      </c>
      <c r="N149" s="79">
        <f t="shared" si="11"/>
        <v>1807800</v>
      </c>
      <c r="O149" s="6">
        <f t="shared" si="2"/>
        <v>1066122.83</v>
      </c>
      <c r="P149" s="6">
        <f t="shared" si="3"/>
        <v>37.96733725</v>
      </c>
      <c r="Q149" s="6"/>
      <c r="R149" s="6">
        <f t="shared" si="12"/>
        <v>9558</v>
      </c>
      <c r="S149" s="6">
        <f t="shared" si="13"/>
        <v>1066122.83</v>
      </c>
      <c r="T149" s="81">
        <f t="shared" si="4"/>
        <v>273.3443833</v>
      </c>
      <c r="U149" s="6"/>
      <c r="V149" s="6"/>
      <c r="W149" s="6"/>
      <c r="X149" s="6"/>
      <c r="Y149" s="6"/>
    </row>
    <row r="150" ht="11.25" customHeight="1">
      <c r="A150" s="100">
        <v>13.0</v>
      </c>
      <c r="B150" s="66">
        <f t="shared" si="14"/>
        <v>145</v>
      </c>
      <c r="C150" s="607"/>
      <c r="D150" s="617">
        <f t="shared" si="15"/>
        <v>0</v>
      </c>
      <c r="E150" s="617">
        <f t="shared" si="1"/>
        <v>0</v>
      </c>
      <c r="F150" s="617">
        <f t="shared" si="7"/>
        <v>2808000</v>
      </c>
      <c r="G150" s="617">
        <f t="shared" si="8"/>
        <v>390029.1702</v>
      </c>
      <c r="H150" s="617">
        <f t="shared" si="9"/>
        <v>3198029.17</v>
      </c>
      <c r="I150" s="617">
        <f t="shared" si="10"/>
        <v>0.000157801127</v>
      </c>
      <c r="J150" s="620"/>
      <c r="K150" s="591"/>
      <c r="L150" s="6"/>
      <c r="M150" s="9">
        <v>12000.0</v>
      </c>
      <c r="N150" s="79">
        <f t="shared" si="11"/>
        <v>1819800</v>
      </c>
      <c r="O150" s="6">
        <f t="shared" si="2"/>
        <v>1075680.83</v>
      </c>
      <c r="P150" s="6">
        <f t="shared" si="3"/>
        <v>38.30772186</v>
      </c>
      <c r="Q150" s="6"/>
      <c r="R150" s="6">
        <f t="shared" si="12"/>
        <v>9558</v>
      </c>
      <c r="S150" s="6">
        <f t="shared" si="13"/>
        <v>1075680.83</v>
      </c>
      <c r="T150" s="81">
        <f t="shared" si="4"/>
        <v>275.7949692</v>
      </c>
      <c r="U150" s="6"/>
      <c r="V150" s="6"/>
      <c r="W150" s="6"/>
      <c r="X150" s="6"/>
      <c r="Y150" s="6"/>
    </row>
    <row r="151" ht="11.25" customHeight="1">
      <c r="A151" s="7"/>
      <c r="B151" s="68">
        <f t="shared" si="14"/>
        <v>146</v>
      </c>
      <c r="C151" s="607"/>
      <c r="D151" s="6">
        <f t="shared" si="15"/>
        <v>0</v>
      </c>
      <c r="E151" s="6">
        <f t="shared" si="1"/>
        <v>0</v>
      </c>
      <c r="F151" s="6">
        <f t="shared" si="7"/>
        <v>2808000</v>
      </c>
      <c r="G151" s="6">
        <f t="shared" si="8"/>
        <v>390029.1702</v>
      </c>
      <c r="H151" s="6">
        <f t="shared" si="9"/>
        <v>3198029.17</v>
      </c>
      <c r="I151" s="6">
        <f t="shared" si="10"/>
        <v>0.000157801127</v>
      </c>
      <c r="J151" s="620"/>
      <c r="K151" s="591"/>
      <c r="L151" s="6"/>
      <c r="M151" s="9">
        <v>12000.0</v>
      </c>
      <c r="N151" s="79">
        <f t="shared" si="11"/>
        <v>1831800</v>
      </c>
      <c r="O151" s="6">
        <f t="shared" si="2"/>
        <v>1085238.83</v>
      </c>
      <c r="P151" s="6">
        <f t="shared" si="3"/>
        <v>38.64810648</v>
      </c>
      <c r="Q151" s="6"/>
      <c r="R151" s="6">
        <f t="shared" si="12"/>
        <v>9558</v>
      </c>
      <c r="S151" s="6">
        <f t="shared" si="13"/>
        <v>1085238.83</v>
      </c>
      <c r="T151" s="81">
        <f t="shared" si="4"/>
        <v>278.2455552</v>
      </c>
      <c r="U151" s="6"/>
      <c r="V151" s="6"/>
      <c r="W151" s="6"/>
      <c r="X151" s="6"/>
      <c r="Y151" s="6"/>
    </row>
    <row r="152" ht="11.25" customHeight="1">
      <c r="A152" s="7"/>
      <c r="B152" s="68">
        <f t="shared" si="14"/>
        <v>147</v>
      </c>
      <c r="C152" s="607"/>
      <c r="D152" s="6">
        <f t="shared" si="15"/>
        <v>0</v>
      </c>
      <c r="E152" s="6">
        <f t="shared" si="1"/>
        <v>0</v>
      </c>
      <c r="F152" s="6">
        <f t="shared" si="7"/>
        <v>2808000</v>
      </c>
      <c r="G152" s="6">
        <f t="shared" si="8"/>
        <v>390029.1702</v>
      </c>
      <c r="H152" s="6">
        <f t="shared" si="9"/>
        <v>3198029.17</v>
      </c>
      <c r="I152" s="6">
        <f t="shared" si="10"/>
        <v>0.000157801127</v>
      </c>
      <c r="J152" s="620"/>
      <c r="K152" s="591"/>
      <c r="L152" s="6"/>
      <c r="M152" s="9">
        <v>12000.0</v>
      </c>
      <c r="N152" s="79">
        <f t="shared" si="11"/>
        <v>1843800</v>
      </c>
      <c r="O152" s="6">
        <f t="shared" si="2"/>
        <v>1094796.83</v>
      </c>
      <c r="P152" s="6">
        <f t="shared" si="3"/>
        <v>38.98849109</v>
      </c>
      <c r="Q152" s="6"/>
      <c r="R152" s="6">
        <f t="shared" si="12"/>
        <v>9558</v>
      </c>
      <c r="S152" s="6">
        <f t="shared" si="13"/>
        <v>1094796.83</v>
      </c>
      <c r="T152" s="81">
        <f t="shared" si="4"/>
        <v>280.6961411</v>
      </c>
      <c r="U152" s="6"/>
      <c r="V152" s="6"/>
      <c r="W152" s="6"/>
      <c r="X152" s="6"/>
      <c r="Y152" s="6"/>
    </row>
    <row r="153" ht="11.25" customHeight="1">
      <c r="A153" s="7"/>
      <c r="B153" s="68">
        <f t="shared" si="14"/>
        <v>148</v>
      </c>
      <c r="C153" s="607"/>
      <c r="D153" s="6">
        <f t="shared" si="15"/>
        <v>0</v>
      </c>
      <c r="E153" s="6">
        <f t="shared" si="1"/>
        <v>0</v>
      </c>
      <c r="F153" s="6">
        <f t="shared" si="7"/>
        <v>2808000</v>
      </c>
      <c r="G153" s="6">
        <f t="shared" si="8"/>
        <v>390029.1702</v>
      </c>
      <c r="H153" s="6">
        <f t="shared" si="9"/>
        <v>3198029.17</v>
      </c>
      <c r="I153" s="6">
        <f t="shared" si="10"/>
        <v>0.000157801127</v>
      </c>
      <c r="J153" s="620"/>
      <c r="K153" s="591"/>
      <c r="L153" s="6"/>
      <c r="M153" s="9">
        <v>12000.0</v>
      </c>
      <c r="N153" s="79">
        <f t="shared" si="11"/>
        <v>1855800</v>
      </c>
      <c r="O153" s="6">
        <f t="shared" si="2"/>
        <v>1104354.83</v>
      </c>
      <c r="P153" s="6">
        <f t="shared" si="3"/>
        <v>39.32887571</v>
      </c>
      <c r="Q153" s="6"/>
      <c r="R153" s="6">
        <f t="shared" si="12"/>
        <v>9558</v>
      </c>
      <c r="S153" s="6">
        <f t="shared" si="13"/>
        <v>1104354.83</v>
      </c>
      <c r="T153" s="81">
        <f t="shared" si="4"/>
        <v>283.1467271</v>
      </c>
      <c r="U153" s="6"/>
      <c r="V153" s="6"/>
      <c r="W153" s="6"/>
      <c r="X153" s="6"/>
      <c r="Y153" s="6"/>
    </row>
    <row r="154" ht="11.25" customHeight="1">
      <c r="A154" s="7"/>
      <c r="B154" s="68">
        <f t="shared" si="14"/>
        <v>149</v>
      </c>
      <c r="C154" s="607"/>
      <c r="D154" s="6">
        <f t="shared" si="15"/>
        <v>0</v>
      </c>
      <c r="E154" s="6">
        <f t="shared" si="1"/>
        <v>0</v>
      </c>
      <c r="F154" s="6">
        <f t="shared" si="7"/>
        <v>2808000</v>
      </c>
      <c r="G154" s="6">
        <f t="shared" si="8"/>
        <v>390029.1702</v>
      </c>
      <c r="H154" s="6">
        <f t="shared" si="9"/>
        <v>3198029.17</v>
      </c>
      <c r="I154" s="6">
        <f t="shared" si="10"/>
        <v>0.000157801127</v>
      </c>
      <c r="J154" s="620"/>
      <c r="K154" s="591"/>
      <c r="L154" s="6"/>
      <c r="M154" s="9">
        <v>12000.0</v>
      </c>
      <c r="N154" s="79">
        <f t="shared" si="11"/>
        <v>1867800</v>
      </c>
      <c r="O154" s="6">
        <f t="shared" si="2"/>
        <v>1113912.83</v>
      </c>
      <c r="P154" s="6">
        <f t="shared" si="3"/>
        <v>39.66926032</v>
      </c>
      <c r="Q154" s="6"/>
      <c r="R154" s="6">
        <f t="shared" si="12"/>
        <v>9558</v>
      </c>
      <c r="S154" s="6">
        <f t="shared" si="13"/>
        <v>1113912.83</v>
      </c>
      <c r="T154" s="81">
        <f t="shared" si="4"/>
        <v>285.597313</v>
      </c>
      <c r="U154" s="6"/>
      <c r="V154" s="6"/>
      <c r="W154" s="6"/>
      <c r="X154" s="6"/>
      <c r="Y154" s="6"/>
    </row>
    <row r="155" ht="11.25" customHeight="1">
      <c r="A155" s="7"/>
      <c r="B155" s="68">
        <f t="shared" si="14"/>
        <v>150</v>
      </c>
      <c r="C155" s="607"/>
      <c r="D155" s="6">
        <f t="shared" si="15"/>
        <v>0</v>
      </c>
      <c r="E155" s="6">
        <f t="shared" si="1"/>
        <v>0</v>
      </c>
      <c r="F155" s="6">
        <f t="shared" si="7"/>
        <v>2808000</v>
      </c>
      <c r="G155" s="6">
        <f t="shared" si="8"/>
        <v>390029.1702</v>
      </c>
      <c r="H155" s="6">
        <f t="shared" si="9"/>
        <v>3198029.17</v>
      </c>
      <c r="I155" s="6">
        <f t="shared" si="10"/>
        <v>0.000157801127</v>
      </c>
      <c r="J155" s="620"/>
      <c r="K155" s="591"/>
      <c r="L155" s="6"/>
      <c r="M155" s="9">
        <v>12000.0</v>
      </c>
      <c r="N155" s="79">
        <f t="shared" si="11"/>
        <v>1879800</v>
      </c>
      <c r="O155" s="6">
        <f t="shared" si="2"/>
        <v>1123470.83</v>
      </c>
      <c r="P155" s="6">
        <f t="shared" si="3"/>
        <v>40.00964494</v>
      </c>
      <c r="Q155" s="6"/>
      <c r="R155" s="6">
        <f t="shared" si="12"/>
        <v>9558</v>
      </c>
      <c r="S155" s="6">
        <f t="shared" si="13"/>
        <v>1123470.83</v>
      </c>
      <c r="T155" s="81">
        <f t="shared" si="4"/>
        <v>288.0478989</v>
      </c>
      <c r="U155" s="6"/>
      <c r="V155" s="6"/>
      <c r="W155" s="6"/>
      <c r="X155" s="6"/>
      <c r="Y155" s="6"/>
    </row>
    <row r="156" ht="11.25" customHeight="1">
      <c r="A156" s="7"/>
      <c r="B156" s="68">
        <f t="shared" si="14"/>
        <v>151</v>
      </c>
      <c r="C156" s="607"/>
      <c r="D156" s="6">
        <f t="shared" si="15"/>
        <v>0</v>
      </c>
      <c r="E156" s="6">
        <f t="shared" si="1"/>
        <v>0</v>
      </c>
      <c r="F156" s="6">
        <f t="shared" si="7"/>
        <v>2808000</v>
      </c>
      <c r="G156" s="6">
        <f t="shared" si="8"/>
        <v>390029.1702</v>
      </c>
      <c r="H156" s="6">
        <f t="shared" si="9"/>
        <v>3198029.17</v>
      </c>
      <c r="I156" s="6">
        <f t="shared" si="10"/>
        <v>0.000157801127</v>
      </c>
      <c r="J156" s="620"/>
      <c r="K156" s="591"/>
      <c r="L156" s="6"/>
      <c r="M156" s="9">
        <v>12000.0</v>
      </c>
      <c r="N156" s="79">
        <f t="shared" si="11"/>
        <v>1891800</v>
      </c>
      <c r="O156" s="6">
        <f t="shared" si="2"/>
        <v>1133028.83</v>
      </c>
      <c r="P156" s="6">
        <f t="shared" si="3"/>
        <v>40.35002956</v>
      </c>
      <c r="Q156" s="6"/>
      <c r="R156" s="6">
        <f t="shared" si="12"/>
        <v>9558</v>
      </c>
      <c r="S156" s="6">
        <f t="shared" si="13"/>
        <v>1133028.83</v>
      </c>
      <c r="T156" s="81">
        <f t="shared" si="4"/>
        <v>290.4984849</v>
      </c>
      <c r="U156" s="6"/>
      <c r="V156" s="6"/>
      <c r="W156" s="6"/>
      <c r="X156" s="6"/>
      <c r="Y156" s="6"/>
    </row>
    <row r="157" ht="11.25" customHeight="1">
      <c r="A157" s="7"/>
      <c r="B157" s="68">
        <f t="shared" si="14"/>
        <v>152</v>
      </c>
      <c r="C157" s="607"/>
      <c r="D157" s="6">
        <f t="shared" si="15"/>
        <v>0</v>
      </c>
      <c r="E157" s="6">
        <f t="shared" si="1"/>
        <v>0</v>
      </c>
      <c r="F157" s="6">
        <f t="shared" si="7"/>
        <v>2808000</v>
      </c>
      <c r="G157" s="6">
        <f t="shared" si="8"/>
        <v>390029.1702</v>
      </c>
      <c r="H157" s="6">
        <f t="shared" si="9"/>
        <v>3198029.17</v>
      </c>
      <c r="I157" s="6">
        <f t="shared" si="10"/>
        <v>0.000157801127</v>
      </c>
      <c r="J157" s="620"/>
      <c r="K157" s="591"/>
      <c r="L157" s="6"/>
      <c r="M157" s="9">
        <v>12000.0</v>
      </c>
      <c r="N157" s="79">
        <f t="shared" si="11"/>
        <v>1903800</v>
      </c>
      <c r="O157" s="6">
        <f t="shared" si="2"/>
        <v>1142586.83</v>
      </c>
      <c r="P157" s="6">
        <f t="shared" si="3"/>
        <v>40.69041417</v>
      </c>
      <c r="Q157" s="6"/>
      <c r="R157" s="6">
        <f t="shared" si="12"/>
        <v>9558</v>
      </c>
      <c r="S157" s="6">
        <f t="shared" si="13"/>
        <v>1142586.83</v>
      </c>
      <c r="T157" s="81">
        <f t="shared" si="4"/>
        <v>292.9490708</v>
      </c>
      <c r="U157" s="6"/>
      <c r="V157" s="6"/>
      <c r="W157" s="6"/>
      <c r="X157" s="6"/>
      <c r="Y157" s="6"/>
    </row>
    <row r="158" ht="11.25" customHeight="1">
      <c r="A158" s="7"/>
      <c r="B158" s="68">
        <f t="shared" si="14"/>
        <v>153</v>
      </c>
      <c r="C158" s="607"/>
      <c r="D158" s="6">
        <f t="shared" si="15"/>
        <v>0</v>
      </c>
      <c r="E158" s="6">
        <f t="shared" si="1"/>
        <v>0</v>
      </c>
      <c r="F158" s="6">
        <f t="shared" si="7"/>
        <v>2808000</v>
      </c>
      <c r="G158" s="6">
        <f t="shared" si="8"/>
        <v>390029.1702</v>
      </c>
      <c r="H158" s="6">
        <f t="shared" si="9"/>
        <v>3198029.17</v>
      </c>
      <c r="I158" s="6">
        <f t="shared" si="10"/>
        <v>0.000157801127</v>
      </c>
      <c r="J158" s="620"/>
      <c r="K158" s="591"/>
      <c r="L158" s="6"/>
      <c r="M158" s="9">
        <v>12000.0</v>
      </c>
      <c r="N158" s="79">
        <f t="shared" si="11"/>
        <v>1915800</v>
      </c>
      <c r="O158" s="6">
        <f t="shared" si="2"/>
        <v>1152144.83</v>
      </c>
      <c r="P158" s="6">
        <f t="shared" si="3"/>
        <v>41.03079879</v>
      </c>
      <c r="Q158" s="6"/>
      <c r="R158" s="6">
        <f t="shared" si="12"/>
        <v>9558</v>
      </c>
      <c r="S158" s="6">
        <f t="shared" si="13"/>
        <v>1152144.83</v>
      </c>
      <c r="T158" s="81">
        <f t="shared" si="4"/>
        <v>295.3996567</v>
      </c>
      <c r="U158" s="6"/>
      <c r="V158" s="6"/>
      <c r="W158" s="6"/>
      <c r="X158" s="6"/>
      <c r="Y158" s="6"/>
    </row>
    <row r="159" ht="11.25" customHeight="1">
      <c r="A159" s="7"/>
      <c r="B159" s="68">
        <f t="shared" si="14"/>
        <v>154</v>
      </c>
      <c r="C159" s="607"/>
      <c r="D159" s="6">
        <f t="shared" si="15"/>
        <v>0</v>
      </c>
      <c r="E159" s="6">
        <f t="shared" si="1"/>
        <v>0</v>
      </c>
      <c r="F159" s="6">
        <f t="shared" si="7"/>
        <v>2808000</v>
      </c>
      <c r="G159" s="6">
        <f t="shared" si="8"/>
        <v>390029.1702</v>
      </c>
      <c r="H159" s="6">
        <f t="shared" si="9"/>
        <v>3198029.17</v>
      </c>
      <c r="I159" s="6">
        <f t="shared" si="10"/>
        <v>0.000157801127</v>
      </c>
      <c r="J159" s="620"/>
      <c r="K159" s="591"/>
      <c r="L159" s="6"/>
      <c r="M159" s="9">
        <v>12000.0</v>
      </c>
      <c r="N159" s="79">
        <f t="shared" si="11"/>
        <v>1927800</v>
      </c>
      <c r="O159" s="6">
        <f t="shared" si="2"/>
        <v>1161702.83</v>
      </c>
      <c r="P159" s="6">
        <f t="shared" si="3"/>
        <v>41.3711834</v>
      </c>
      <c r="Q159" s="6"/>
      <c r="R159" s="6">
        <f t="shared" si="12"/>
        <v>9558</v>
      </c>
      <c r="S159" s="6">
        <f t="shared" si="13"/>
        <v>1161702.83</v>
      </c>
      <c r="T159" s="81">
        <f t="shared" si="4"/>
        <v>297.8502427</v>
      </c>
      <c r="U159" s="6"/>
      <c r="V159" s="6"/>
      <c r="W159" s="6"/>
      <c r="X159" s="6"/>
      <c r="Y159" s="6"/>
    </row>
    <row r="160" ht="11.25" customHeight="1">
      <c r="A160" s="7"/>
      <c r="B160" s="68">
        <f t="shared" si="14"/>
        <v>155</v>
      </c>
      <c r="C160" s="607"/>
      <c r="D160" s="6">
        <f t="shared" si="15"/>
        <v>0</v>
      </c>
      <c r="E160" s="6">
        <f t="shared" si="1"/>
        <v>0</v>
      </c>
      <c r="F160" s="6">
        <f t="shared" si="7"/>
        <v>2808000</v>
      </c>
      <c r="G160" s="6">
        <f t="shared" si="8"/>
        <v>390029.1702</v>
      </c>
      <c r="H160" s="6">
        <f t="shared" si="9"/>
        <v>3198029.17</v>
      </c>
      <c r="I160" s="6">
        <f t="shared" si="10"/>
        <v>0.000157801127</v>
      </c>
      <c r="J160" s="620"/>
      <c r="K160" s="591"/>
      <c r="L160" s="6"/>
      <c r="M160" s="9">
        <v>12000.0</v>
      </c>
      <c r="N160" s="79">
        <f t="shared" si="11"/>
        <v>1939800</v>
      </c>
      <c r="O160" s="6">
        <f t="shared" si="2"/>
        <v>1171260.83</v>
      </c>
      <c r="P160" s="6">
        <f t="shared" si="3"/>
        <v>41.71156802</v>
      </c>
      <c r="Q160" s="6"/>
      <c r="R160" s="6">
        <f t="shared" si="12"/>
        <v>9558</v>
      </c>
      <c r="S160" s="6">
        <f t="shared" si="13"/>
        <v>1171260.83</v>
      </c>
      <c r="T160" s="81">
        <f t="shared" si="4"/>
        <v>300.3008286</v>
      </c>
      <c r="U160" s="6"/>
      <c r="V160" s="6"/>
      <c r="W160" s="6"/>
      <c r="X160" s="6"/>
      <c r="Y160" s="6"/>
    </row>
    <row r="161" ht="11.25" customHeight="1">
      <c r="A161" s="71"/>
      <c r="B161" s="72">
        <f t="shared" si="14"/>
        <v>156</v>
      </c>
      <c r="C161" s="607"/>
      <c r="D161" s="10">
        <f t="shared" si="15"/>
        <v>0</v>
      </c>
      <c r="E161" s="10">
        <f t="shared" si="1"/>
        <v>0</v>
      </c>
      <c r="F161" s="10">
        <f t="shared" si="7"/>
        <v>2808000</v>
      </c>
      <c r="G161" s="10">
        <f t="shared" si="8"/>
        <v>390029.1702</v>
      </c>
      <c r="H161" s="10">
        <f t="shared" si="9"/>
        <v>3198029.17</v>
      </c>
      <c r="I161" s="10">
        <f t="shared" si="10"/>
        <v>0.000157801127</v>
      </c>
      <c r="J161" s="620"/>
      <c r="K161" s="591"/>
      <c r="L161" s="6"/>
      <c r="M161" s="9">
        <v>12000.0</v>
      </c>
      <c r="N161" s="79">
        <f t="shared" si="11"/>
        <v>1951800</v>
      </c>
      <c r="O161" s="6">
        <f t="shared" si="2"/>
        <v>1180818.83</v>
      </c>
      <c r="P161" s="6">
        <f t="shared" si="3"/>
        <v>42.05195263</v>
      </c>
      <c r="Q161" s="6"/>
      <c r="R161" s="6">
        <f t="shared" si="12"/>
        <v>9558</v>
      </c>
      <c r="S161" s="6">
        <f t="shared" si="13"/>
        <v>1180818.83</v>
      </c>
      <c r="T161" s="81">
        <f t="shared" si="4"/>
        <v>302.7514146</v>
      </c>
      <c r="U161" s="6"/>
      <c r="V161" s="6"/>
      <c r="W161" s="6"/>
      <c r="X161" s="6"/>
      <c r="Y161" s="6"/>
    </row>
    <row r="162" ht="11.25" customHeight="1">
      <c r="A162" s="100">
        <v>14.0</v>
      </c>
      <c r="B162" s="66">
        <f t="shared" si="14"/>
        <v>157</v>
      </c>
      <c r="C162" s="607"/>
      <c r="D162" s="617">
        <f t="shared" si="15"/>
        <v>0</v>
      </c>
      <c r="E162" s="617">
        <f t="shared" si="1"/>
        <v>0</v>
      </c>
      <c r="F162" s="617">
        <f t="shared" si="7"/>
        <v>2808000</v>
      </c>
      <c r="G162" s="617">
        <f t="shared" si="8"/>
        <v>390029.1702</v>
      </c>
      <c r="H162" s="617">
        <f t="shared" si="9"/>
        <v>3198029.17</v>
      </c>
      <c r="I162" s="617">
        <f t="shared" si="10"/>
        <v>0.000157801127</v>
      </c>
      <c r="J162" s="620"/>
      <c r="K162" s="591"/>
      <c r="L162" s="6"/>
      <c r="M162" s="9">
        <v>12000.0</v>
      </c>
      <c r="N162" s="79">
        <f t="shared" si="11"/>
        <v>1963800</v>
      </c>
      <c r="O162" s="6">
        <f t="shared" si="2"/>
        <v>1190376.83</v>
      </c>
      <c r="P162" s="6">
        <f t="shared" si="3"/>
        <v>42.39233725</v>
      </c>
      <c r="Q162" s="6"/>
      <c r="R162" s="6">
        <f t="shared" si="12"/>
        <v>9558</v>
      </c>
      <c r="S162" s="6">
        <f t="shared" si="13"/>
        <v>1190376.83</v>
      </c>
      <c r="T162" s="81">
        <f t="shared" si="4"/>
        <v>305.2020005</v>
      </c>
      <c r="U162" s="6"/>
      <c r="V162" s="6"/>
      <c r="W162" s="6"/>
      <c r="X162" s="6"/>
      <c r="Y162" s="6"/>
    </row>
    <row r="163" ht="11.25" customHeight="1">
      <c r="A163" s="7"/>
      <c r="B163" s="68">
        <f t="shared" si="14"/>
        <v>158</v>
      </c>
      <c r="C163" s="607"/>
      <c r="D163" s="6">
        <f t="shared" si="15"/>
        <v>0</v>
      </c>
      <c r="E163" s="6">
        <f t="shared" si="1"/>
        <v>0</v>
      </c>
      <c r="F163" s="6">
        <f t="shared" si="7"/>
        <v>2808000</v>
      </c>
      <c r="G163" s="6">
        <f t="shared" si="8"/>
        <v>390029.1702</v>
      </c>
      <c r="H163" s="6">
        <f t="shared" si="9"/>
        <v>3198029.17</v>
      </c>
      <c r="I163" s="6">
        <f t="shared" si="10"/>
        <v>0.000157801127</v>
      </c>
      <c r="J163" s="620"/>
      <c r="K163" s="591"/>
      <c r="L163" s="6"/>
      <c r="M163" s="9">
        <v>12000.0</v>
      </c>
      <c r="N163" s="79">
        <f t="shared" si="11"/>
        <v>1975800</v>
      </c>
      <c r="O163" s="6">
        <f t="shared" si="2"/>
        <v>1199934.83</v>
      </c>
      <c r="P163" s="6">
        <f t="shared" si="3"/>
        <v>42.73272186</v>
      </c>
      <c r="Q163" s="6"/>
      <c r="R163" s="6">
        <f t="shared" si="12"/>
        <v>9558</v>
      </c>
      <c r="S163" s="6">
        <f t="shared" si="13"/>
        <v>1199934.83</v>
      </c>
      <c r="T163" s="81">
        <f t="shared" si="4"/>
        <v>307.6525864</v>
      </c>
      <c r="U163" s="6"/>
      <c r="V163" s="6"/>
      <c r="W163" s="6"/>
      <c r="X163" s="6"/>
      <c r="Y163" s="6"/>
    </row>
    <row r="164" ht="11.25" customHeight="1">
      <c r="A164" s="7"/>
      <c r="B164" s="68">
        <f t="shared" si="14"/>
        <v>159</v>
      </c>
      <c r="C164" s="607"/>
      <c r="D164" s="6">
        <f t="shared" si="15"/>
        <v>0</v>
      </c>
      <c r="E164" s="6">
        <f t="shared" si="1"/>
        <v>0</v>
      </c>
      <c r="F164" s="6">
        <f t="shared" si="7"/>
        <v>2808000</v>
      </c>
      <c r="G164" s="6">
        <f t="shared" si="8"/>
        <v>390029.1702</v>
      </c>
      <c r="H164" s="6">
        <f t="shared" si="9"/>
        <v>3198029.17</v>
      </c>
      <c r="I164" s="6">
        <f t="shared" si="10"/>
        <v>0.000157801127</v>
      </c>
      <c r="J164" s="620"/>
      <c r="K164" s="591"/>
      <c r="L164" s="6"/>
      <c r="M164" s="9">
        <v>12000.0</v>
      </c>
      <c r="N164" s="79">
        <f t="shared" si="11"/>
        <v>1987800</v>
      </c>
      <c r="O164" s="6">
        <f t="shared" si="2"/>
        <v>1209492.83</v>
      </c>
      <c r="P164" s="6">
        <f t="shared" si="3"/>
        <v>43.07310648</v>
      </c>
      <c r="Q164" s="6"/>
      <c r="R164" s="6">
        <f t="shared" si="12"/>
        <v>9558</v>
      </c>
      <c r="S164" s="6">
        <f t="shared" si="13"/>
        <v>1209492.83</v>
      </c>
      <c r="T164" s="81">
        <f t="shared" si="4"/>
        <v>310.1031724</v>
      </c>
      <c r="U164" s="6"/>
      <c r="V164" s="6"/>
      <c r="W164" s="6"/>
      <c r="X164" s="6"/>
      <c r="Y164" s="6"/>
    </row>
    <row r="165" ht="11.25" customHeight="1">
      <c r="A165" s="7"/>
      <c r="B165" s="68">
        <f t="shared" si="14"/>
        <v>160</v>
      </c>
      <c r="C165" s="607"/>
      <c r="D165" s="6">
        <f t="shared" si="15"/>
        <v>0</v>
      </c>
      <c r="E165" s="6">
        <f t="shared" si="1"/>
        <v>0</v>
      </c>
      <c r="F165" s="6">
        <f t="shared" si="7"/>
        <v>2808000</v>
      </c>
      <c r="G165" s="6">
        <f t="shared" si="8"/>
        <v>390029.1702</v>
      </c>
      <c r="H165" s="6">
        <f t="shared" si="9"/>
        <v>3198029.17</v>
      </c>
      <c r="I165" s="6">
        <f t="shared" si="10"/>
        <v>0.000157801127</v>
      </c>
      <c r="J165" s="620"/>
      <c r="K165" s="591"/>
      <c r="L165" s="6"/>
      <c r="M165" s="9">
        <v>12000.0</v>
      </c>
      <c r="N165" s="79">
        <f t="shared" si="11"/>
        <v>1999800</v>
      </c>
      <c r="O165" s="6">
        <f t="shared" si="2"/>
        <v>1219050.83</v>
      </c>
      <c r="P165" s="6">
        <f t="shared" si="3"/>
        <v>43.41349109</v>
      </c>
      <c r="Q165" s="6"/>
      <c r="R165" s="6">
        <f t="shared" si="12"/>
        <v>9558</v>
      </c>
      <c r="S165" s="6">
        <f t="shared" si="13"/>
        <v>1219050.83</v>
      </c>
      <c r="T165" s="81">
        <f t="shared" si="4"/>
        <v>312.5537583</v>
      </c>
      <c r="U165" s="6"/>
      <c r="V165" s="6"/>
      <c r="W165" s="6"/>
      <c r="X165" s="6"/>
      <c r="Y165" s="6"/>
    </row>
    <row r="166" ht="11.25" customHeight="1">
      <c r="A166" s="7"/>
      <c r="B166" s="68">
        <f t="shared" si="14"/>
        <v>161</v>
      </c>
      <c r="C166" s="607"/>
      <c r="D166" s="6">
        <f t="shared" si="15"/>
        <v>0</v>
      </c>
      <c r="E166" s="6">
        <f t="shared" si="1"/>
        <v>0</v>
      </c>
      <c r="F166" s="6">
        <f t="shared" si="7"/>
        <v>2808000</v>
      </c>
      <c r="G166" s="6">
        <f t="shared" si="8"/>
        <v>390029.1702</v>
      </c>
      <c r="H166" s="6">
        <f t="shared" si="9"/>
        <v>3198029.17</v>
      </c>
      <c r="I166" s="6">
        <f t="shared" si="10"/>
        <v>0.000157801127</v>
      </c>
      <c r="J166" s="620"/>
      <c r="K166" s="591"/>
      <c r="L166" s="6"/>
      <c r="M166" s="9">
        <v>12000.0</v>
      </c>
      <c r="N166" s="79">
        <f t="shared" si="11"/>
        <v>2011800</v>
      </c>
      <c r="O166" s="6">
        <f t="shared" si="2"/>
        <v>1228608.83</v>
      </c>
      <c r="P166" s="6">
        <f t="shared" si="3"/>
        <v>43.75387571</v>
      </c>
      <c r="Q166" s="6"/>
      <c r="R166" s="6">
        <f t="shared" si="12"/>
        <v>9558</v>
      </c>
      <c r="S166" s="6">
        <f t="shared" si="13"/>
        <v>1228608.83</v>
      </c>
      <c r="T166" s="81">
        <f t="shared" si="4"/>
        <v>315.0043443</v>
      </c>
      <c r="U166" s="6"/>
      <c r="V166" s="6"/>
      <c r="W166" s="6"/>
      <c r="X166" s="6"/>
      <c r="Y166" s="6"/>
    </row>
    <row r="167" ht="11.25" customHeight="1">
      <c r="A167" s="7"/>
      <c r="B167" s="68">
        <f t="shared" si="14"/>
        <v>162</v>
      </c>
      <c r="C167" s="607"/>
      <c r="D167" s="6">
        <f t="shared" si="15"/>
        <v>0</v>
      </c>
      <c r="E167" s="6">
        <f t="shared" si="1"/>
        <v>0</v>
      </c>
      <c r="F167" s="6">
        <f t="shared" si="7"/>
        <v>2808000</v>
      </c>
      <c r="G167" s="6">
        <f t="shared" si="8"/>
        <v>390029.1702</v>
      </c>
      <c r="H167" s="6">
        <f t="shared" si="9"/>
        <v>3198029.17</v>
      </c>
      <c r="I167" s="6">
        <f t="shared" si="10"/>
        <v>0.000157801127</v>
      </c>
      <c r="J167" s="620"/>
      <c r="K167" s="591"/>
      <c r="L167" s="6"/>
      <c r="M167" s="9">
        <v>12000.0</v>
      </c>
      <c r="N167" s="79">
        <f t="shared" si="11"/>
        <v>2023800</v>
      </c>
      <c r="O167" s="6">
        <f t="shared" si="2"/>
        <v>1238166.83</v>
      </c>
      <c r="P167" s="6">
        <f t="shared" si="3"/>
        <v>44.09426032</v>
      </c>
      <c r="Q167" s="6"/>
      <c r="R167" s="6">
        <f t="shared" si="12"/>
        <v>9558</v>
      </c>
      <c r="S167" s="6">
        <f t="shared" si="13"/>
        <v>1238166.83</v>
      </c>
      <c r="T167" s="81">
        <f t="shared" si="4"/>
        <v>317.4549302</v>
      </c>
      <c r="U167" s="6"/>
      <c r="V167" s="6"/>
      <c r="W167" s="6"/>
      <c r="X167" s="6"/>
      <c r="Y167" s="6"/>
    </row>
    <row r="168" ht="11.25" customHeight="1">
      <c r="A168" s="7"/>
      <c r="B168" s="68">
        <f t="shared" si="14"/>
        <v>163</v>
      </c>
      <c r="C168" s="607"/>
      <c r="D168" s="6">
        <f t="shared" si="15"/>
        <v>0</v>
      </c>
      <c r="E168" s="6">
        <f t="shared" si="1"/>
        <v>0</v>
      </c>
      <c r="F168" s="6">
        <f t="shared" si="7"/>
        <v>2808000</v>
      </c>
      <c r="G168" s="6">
        <f t="shared" si="8"/>
        <v>390029.1702</v>
      </c>
      <c r="H168" s="6">
        <f t="shared" si="9"/>
        <v>3198029.17</v>
      </c>
      <c r="I168" s="6">
        <f t="shared" si="10"/>
        <v>0.000157801127</v>
      </c>
      <c r="J168" s="620"/>
      <c r="K168" s="591"/>
      <c r="L168" s="6"/>
      <c r="M168" s="9">
        <v>12000.0</v>
      </c>
      <c r="N168" s="79">
        <f t="shared" si="11"/>
        <v>2035800</v>
      </c>
      <c r="O168" s="6">
        <f t="shared" si="2"/>
        <v>1247724.83</v>
      </c>
      <c r="P168" s="6">
        <f t="shared" si="3"/>
        <v>44.43464494</v>
      </c>
      <c r="Q168" s="6"/>
      <c r="R168" s="6">
        <f t="shared" si="12"/>
        <v>9558</v>
      </c>
      <c r="S168" s="6">
        <f t="shared" si="13"/>
        <v>1247724.83</v>
      </c>
      <c r="T168" s="81">
        <f t="shared" si="4"/>
        <v>319.9055161</v>
      </c>
      <c r="U168" s="6"/>
      <c r="V168" s="6"/>
      <c r="W168" s="6"/>
      <c r="X168" s="6"/>
      <c r="Y168" s="6"/>
    </row>
    <row r="169" ht="11.25" customHeight="1">
      <c r="A169" s="7"/>
      <c r="B169" s="68">
        <f t="shared" si="14"/>
        <v>164</v>
      </c>
      <c r="C169" s="607"/>
      <c r="D169" s="6">
        <f t="shared" si="15"/>
        <v>0</v>
      </c>
      <c r="E169" s="6">
        <f t="shared" si="1"/>
        <v>0</v>
      </c>
      <c r="F169" s="6">
        <f t="shared" si="7"/>
        <v>2808000</v>
      </c>
      <c r="G169" s="6">
        <f t="shared" si="8"/>
        <v>390029.1702</v>
      </c>
      <c r="H169" s="6">
        <f t="shared" si="9"/>
        <v>3198029.17</v>
      </c>
      <c r="I169" s="6">
        <f t="shared" si="10"/>
        <v>0.000157801127</v>
      </c>
      <c r="J169" s="620"/>
      <c r="K169" s="591"/>
      <c r="L169" s="6"/>
      <c r="M169" s="9">
        <v>12000.0</v>
      </c>
      <c r="N169" s="79">
        <f t="shared" si="11"/>
        <v>2047800</v>
      </c>
      <c r="O169" s="6">
        <f t="shared" si="2"/>
        <v>1257282.83</v>
      </c>
      <c r="P169" s="6">
        <f t="shared" si="3"/>
        <v>44.77502956</v>
      </c>
      <c r="Q169" s="6"/>
      <c r="R169" s="6">
        <f t="shared" si="12"/>
        <v>9558</v>
      </c>
      <c r="S169" s="6">
        <f t="shared" si="13"/>
        <v>1257282.83</v>
      </c>
      <c r="T169" s="81">
        <f t="shared" si="4"/>
        <v>322.3561021</v>
      </c>
      <c r="U169" s="6"/>
      <c r="V169" s="6"/>
      <c r="W169" s="6"/>
      <c r="X169" s="6"/>
      <c r="Y169" s="6"/>
    </row>
    <row r="170" ht="11.25" customHeight="1">
      <c r="A170" s="7"/>
      <c r="B170" s="68">
        <f t="shared" si="14"/>
        <v>165</v>
      </c>
      <c r="C170" s="607"/>
      <c r="D170" s="6">
        <f t="shared" si="15"/>
        <v>0</v>
      </c>
      <c r="E170" s="6">
        <f t="shared" si="1"/>
        <v>0</v>
      </c>
      <c r="F170" s="6">
        <f t="shared" si="7"/>
        <v>2808000</v>
      </c>
      <c r="G170" s="6">
        <f t="shared" si="8"/>
        <v>390029.1702</v>
      </c>
      <c r="H170" s="6">
        <f t="shared" si="9"/>
        <v>3198029.17</v>
      </c>
      <c r="I170" s="6">
        <f t="shared" si="10"/>
        <v>0.000157801127</v>
      </c>
      <c r="J170" s="620"/>
      <c r="K170" s="591"/>
      <c r="L170" s="6"/>
      <c r="M170" s="9">
        <v>12000.0</v>
      </c>
      <c r="N170" s="79">
        <f t="shared" si="11"/>
        <v>2059800</v>
      </c>
      <c r="O170" s="6">
        <f t="shared" si="2"/>
        <v>1266840.83</v>
      </c>
      <c r="P170" s="6">
        <f t="shared" si="3"/>
        <v>45.11541417</v>
      </c>
      <c r="Q170" s="6"/>
      <c r="R170" s="6">
        <f t="shared" si="12"/>
        <v>9558</v>
      </c>
      <c r="S170" s="6">
        <f t="shared" si="13"/>
        <v>1266840.83</v>
      </c>
      <c r="T170" s="81">
        <f t="shared" si="4"/>
        <v>324.806688</v>
      </c>
      <c r="U170" s="6"/>
      <c r="V170" s="6"/>
      <c r="W170" s="6"/>
      <c r="X170" s="6"/>
      <c r="Y170" s="6"/>
    </row>
    <row r="171" ht="11.25" customHeight="1">
      <c r="A171" s="7"/>
      <c r="B171" s="68">
        <f t="shared" si="14"/>
        <v>166</v>
      </c>
      <c r="C171" s="607"/>
      <c r="D171" s="6">
        <f t="shared" si="15"/>
        <v>0</v>
      </c>
      <c r="E171" s="6">
        <f t="shared" si="1"/>
        <v>0</v>
      </c>
      <c r="F171" s="6">
        <f t="shared" si="7"/>
        <v>2808000</v>
      </c>
      <c r="G171" s="6">
        <f t="shared" si="8"/>
        <v>390029.1702</v>
      </c>
      <c r="H171" s="6">
        <f t="shared" si="9"/>
        <v>3198029.17</v>
      </c>
      <c r="I171" s="6">
        <f t="shared" si="10"/>
        <v>0.000157801127</v>
      </c>
      <c r="J171" s="620"/>
      <c r="K171" s="591"/>
      <c r="L171" s="6"/>
      <c r="M171" s="9">
        <v>12000.0</v>
      </c>
      <c r="N171" s="79">
        <f t="shared" si="11"/>
        <v>2071800</v>
      </c>
      <c r="O171" s="6">
        <f t="shared" si="2"/>
        <v>1276398.83</v>
      </c>
      <c r="P171" s="6">
        <f t="shared" si="3"/>
        <v>45.45579879</v>
      </c>
      <c r="Q171" s="6"/>
      <c r="R171" s="6">
        <f t="shared" si="12"/>
        <v>9558</v>
      </c>
      <c r="S171" s="6">
        <f t="shared" si="13"/>
        <v>1276398.83</v>
      </c>
      <c r="T171" s="81">
        <f t="shared" si="4"/>
        <v>327.2572739</v>
      </c>
      <c r="U171" s="6"/>
      <c r="V171" s="6"/>
      <c r="W171" s="6"/>
      <c r="X171" s="6"/>
      <c r="Y171" s="6"/>
    </row>
    <row r="172" ht="11.25" customHeight="1">
      <c r="A172" s="7"/>
      <c r="B172" s="68">
        <f t="shared" si="14"/>
        <v>167</v>
      </c>
      <c r="C172" s="607"/>
      <c r="D172" s="6">
        <f t="shared" si="15"/>
        <v>0</v>
      </c>
      <c r="E172" s="6">
        <f t="shared" si="1"/>
        <v>0</v>
      </c>
      <c r="F172" s="6">
        <f t="shared" si="7"/>
        <v>2808000</v>
      </c>
      <c r="G172" s="6">
        <f t="shared" si="8"/>
        <v>390029.1702</v>
      </c>
      <c r="H172" s="6">
        <f t="shared" si="9"/>
        <v>3198029.17</v>
      </c>
      <c r="I172" s="6">
        <f t="shared" si="10"/>
        <v>0.000157801127</v>
      </c>
      <c r="J172" s="620"/>
      <c r="K172" s="591"/>
      <c r="L172" s="6"/>
      <c r="M172" s="9">
        <v>12000.0</v>
      </c>
      <c r="N172" s="79">
        <f t="shared" si="11"/>
        <v>2083800</v>
      </c>
      <c r="O172" s="6">
        <f t="shared" si="2"/>
        <v>1285956.83</v>
      </c>
      <c r="P172" s="6">
        <f t="shared" si="3"/>
        <v>45.7961834</v>
      </c>
      <c r="Q172" s="6"/>
      <c r="R172" s="6">
        <f t="shared" si="12"/>
        <v>9558</v>
      </c>
      <c r="S172" s="6">
        <f t="shared" si="13"/>
        <v>1285956.83</v>
      </c>
      <c r="T172" s="81">
        <f t="shared" si="4"/>
        <v>329.7078599</v>
      </c>
      <c r="U172" s="6"/>
      <c r="V172" s="6"/>
      <c r="W172" s="6"/>
      <c r="X172" s="6"/>
      <c r="Y172" s="6"/>
    </row>
    <row r="173" ht="11.25" customHeight="1">
      <c r="A173" s="71"/>
      <c r="B173" s="72">
        <f t="shared" si="14"/>
        <v>168</v>
      </c>
      <c r="C173" s="607"/>
      <c r="D173" s="10">
        <f t="shared" si="15"/>
        <v>0</v>
      </c>
      <c r="E173" s="10">
        <f t="shared" si="1"/>
        <v>0</v>
      </c>
      <c r="F173" s="10">
        <f t="shared" si="7"/>
        <v>2808000</v>
      </c>
      <c r="G173" s="10">
        <f t="shared" si="8"/>
        <v>390029.1702</v>
      </c>
      <c r="H173" s="10">
        <f t="shared" si="9"/>
        <v>3198029.17</v>
      </c>
      <c r="I173" s="10">
        <f t="shared" si="10"/>
        <v>0.000157801127</v>
      </c>
      <c r="J173" s="620"/>
      <c r="K173" s="591"/>
      <c r="L173" s="6"/>
      <c r="M173" s="9">
        <v>12000.0</v>
      </c>
      <c r="N173" s="79">
        <f t="shared" si="11"/>
        <v>2095800</v>
      </c>
      <c r="O173" s="6">
        <f t="shared" si="2"/>
        <v>1295514.83</v>
      </c>
      <c r="P173" s="6">
        <f t="shared" si="3"/>
        <v>46.13656802</v>
      </c>
      <c r="Q173" s="6"/>
      <c r="R173" s="6">
        <f t="shared" si="12"/>
        <v>9558</v>
      </c>
      <c r="S173" s="6">
        <f t="shared" si="13"/>
        <v>1295514.83</v>
      </c>
      <c r="T173" s="81">
        <f t="shared" si="4"/>
        <v>332.1584458</v>
      </c>
      <c r="U173" s="6"/>
      <c r="V173" s="6"/>
      <c r="W173" s="6"/>
      <c r="X173" s="6"/>
      <c r="Y173" s="6"/>
    </row>
    <row r="174" ht="11.25" customHeight="1">
      <c r="A174" s="100">
        <v>15.0</v>
      </c>
      <c r="B174" s="66">
        <f t="shared" si="14"/>
        <v>169</v>
      </c>
      <c r="C174" s="607"/>
      <c r="D174" s="617">
        <f t="shared" si="15"/>
        <v>0</v>
      </c>
      <c r="E174" s="617">
        <f t="shared" si="1"/>
        <v>0</v>
      </c>
      <c r="F174" s="617">
        <f t="shared" si="7"/>
        <v>2808000</v>
      </c>
      <c r="G174" s="617">
        <f t="shared" si="8"/>
        <v>390029.1702</v>
      </c>
      <c r="H174" s="617">
        <f t="shared" si="9"/>
        <v>3198029.17</v>
      </c>
      <c r="I174" s="617">
        <f t="shared" si="10"/>
        <v>0.000157801127</v>
      </c>
      <c r="J174" s="620"/>
      <c r="K174" s="591"/>
      <c r="L174" s="6"/>
      <c r="M174" s="9">
        <v>12000.0</v>
      </c>
      <c r="N174" s="79">
        <f t="shared" si="11"/>
        <v>2107800</v>
      </c>
      <c r="O174" s="6">
        <f t="shared" si="2"/>
        <v>1305072.83</v>
      </c>
      <c r="P174" s="6">
        <f t="shared" si="3"/>
        <v>46.47695263</v>
      </c>
      <c r="Q174" s="6"/>
      <c r="R174" s="6">
        <f t="shared" si="12"/>
        <v>9558</v>
      </c>
      <c r="S174" s="6">
        <f t="shared" si="13"/>
        <v>1305072.83</v>
      </c>
      <c r="T174" s="81">
        <f t="shared" si="4"/>
        <v>334.6090318</v>
      </c>
      <c r="U174" s="6"/>
      <c r="V174" s="6"/>
      <c r="W174" s="6"/>
      <c r="X174" s="6"/>
      <c r="Y174" s="6"/>
    </row>
    <row r="175" ht="11.25" customHeight="1">
      <c r="A175" s="7"/>
      <c r="B175" s="68">
        <f t="shared" si="14"/>
        <v>170</v>
      </c>
      <c r="C175" s="607"/>
      <c r="D175" s="6">
        <f t="shared" si="15"/>
        <v>0</v>
      </c>
      <c r="E175" s="6">
        <f t="shared" si="1"/>
        <v>0</v>
      </c>
      <c r="F175" s="6">
        <f t="shared" si="7"/>
        <v>2808000</v>
      </c>
      <c r="G175" s="6">
        <f t="shared" si="8"/>
        <v>390029.1702</v>
      </c>
      <c r="H175" s="6">
        <f t="shared" si="9"/>
        <v>3198029.17</v>
      </c>
      <c r="I175" s="6">
        <f t="shared" si="10"/>
        <v>0.000157801127</v>
      </c>
      <c r="J175" s="620"/>
      <c r="K175" s="591"/>
      <c r="L175" s="6"/>
      <c r="M175" s="9">
        <v>12000.0</v>
      </c>
      <c r="N175" s="79">
        <f t="shared" si="11"/>
        <v>2119800</v>
      </c>
      <c r="O175" s="6">
        <f t="shared" si="2"/>
        <v>1314630.83</v>
      </c>
      <c r="P175" s="6">
        <f t="shared" si="3"/>
        <v>46.81733725</v>
      </c>
      <c r="Q175" s="6"/>
      <c r="R175" s="6">
        <f t="shared" si="12"/>
        <v>9558</v>
      </c>
      <c r="S175" s="6">
        <f t="shared" si="13"/>
        <v>1314630.83</v>
      </c>
      <c r="T175" s="81">
        <f t="shared" si="4"/>
        <v>337.0596177</v>
      </c>
      <c r="U175" s="6"/>
      <c r="V175" s="6"/>
      <c r="W175" s="6"/>
      <c r="X175" s="6"/>
      <c r="Y175" s="6"/>
    </row>
    <row r="176" ht="11.25" customHeight="1">
      <c r="A176" s="7"/>
      <c r="B176" s="68">
        <f t="shared" si="14"/>
        <v>171</v>
      </c>
      <c r="C176" s="607"/>
      <c r="D176" s="6">
        <f t="shared" si="15"/>
        <v>0</v>
      </c>
      <c r="E176" s="6">
        <f t="shared" si="1"/>
        <v>0</v>
      </c>
      <c r="F176" s="6">
        <f t="shared" si="7"/>
        <v>2808000</v>
      </c>
      <c r="G176" s="6">
        <f t="shared" si="8"/>
        <v>390029.1702</v>
      </c>
      <c r="H176" s="6">
        <f t="shared" si="9"/>
        <v>3198029.17</v>
      </c>
      <c r="I176" s="6">
        <f t="shared" si="10"/>
        <v>0.000157801127</v>
      </c>
      <c r="J176" s="620"/>
      <c r="K176" s="591"/>
      <c r="L176" s="6"/>
      <c r="M176" s="9">
        <v>12000.0</v>
      </c>
      <c r="N176" s="79">
        <f t="shared" si="11"/>
        <v>2131800</v>
      </c>
      <c r="O176" s="6">
        <f t="shared" si="2"/>
        <v>1324188.83</v>
      </c>
      <c r="P176" s="6">
        <f t="shared" si="3"/>
        <v>47.15772186</v>
      </c>
      <c r="Q176" s="6"/>
      <c r="R176" s="6">
        <f t="shared" si="12"/>
        <v>9558</v>
      </c>
      <c r="S176" s="6">
        <f t="shared" si="13"/>
        <v>1324188.83</v>
      </c>
      <c r="T176" s="81">
        <f t="shared" si="4"/>
        <v>339.5102036</v>
      </c>
      <c r="U176" s="6"/>
      <c r="V176" s="6"/>
      <c r="W176" s="6"/>
      <c r="X176" s="6"/>
      <c r="Y176" s="6"/>
    </row>
    <row r="177" ht="11.25" customHeight="1">
      <c r="A177" s="7"/>
      <c r="B177" s="68">
        <f t="shared" si="14"/>
        <v>172</v>
      </c>
      <c r="C177" s="607"/>
      <c r="D177" s="6">
        <f t="shared" si="15"/>
        <v>0</v>
      </c>
      <c r="E177" s="6">
        <f t="shared" si="1"/>
        <v>0</v>
      </c>
      <c r="F177" s="6">
        <f t="shared" si="7"/>
        <v>2808000</v>
      </c>
      <c r="G177" s="6">
        <f t="shared" si="8"/>
        <v>390029.1702</v>
      </c>
      <c r="H177" s="6">
        <f t="shared" si="9"/>
        <v>3198029.17</v>
      </c>
      <c r="I177" s="6">
        <f t="shared" si="10"/>
        <v>0.000157801127</v>
      </c>
      <c r="J177" s="620"/>
      <c r="K177" s="591"/>
      <c r="L177" s="6"/>
      <c r="M177" s="9">
        <v>12000.0</v>
      </c>
      <c r="N177" s="79">
        <f t="shared" si="11"/>
        <v>2143800</v>
      </c>
      <c r="O177" s="6">
        <f t="shared" si="2"/>
        <v>1333746.83</v>
      </c>
      <c r="P177" s="6">
        <f t="shared" si="3"/>
        <v>47.49810648</v>
      </c>
      <c r="Q177" s="6"/>
      <c r="R177" s="6">
        <f t="shared" si="12"/>
        <v>9558</v>
      </c>
      <c r="S177" s="6">
        <f t="shared" si="13"/>
        <v>1333746.83</v>
      </c>
      <c r="T177" s="81">
        <f t="shared" si="4"/>
        <v>341.9607896</v>
      </c>
      <c r="U177" s="6"/>
      <c r="V177" s="6"/>
      <c r="W177" s="6"/>
      <c r="X177" s="6"/>
      <c r="Y177" s="6"/>
    </row>
    <row r="178" ht="11.25" customHeight="1">
      <c r="A178" s="7"/>
      <c r="B178" s="68">
        <f t="shared" si="14"/>
        <v>173</v>
      </c>
      <c r="C178" s="607"/>
      <c r="D178" s="6">
        <f t="shared" si="15"/>
        <v>0</v>
      </c>
      <c r="E178" s="6">
        <f t="shared" si="1"/>
        <v>0</v>
      </c>
      <c r="F178" s="6">
        <f t="shared" si="7"/>
        <v>2808000</v>
      </c>
      <c r="G178" s="6">
        <f t="shared" si="8"/>
        <v>390029.1702</v>
      </c>
      <c r="H178" s="6">
        <f t="shared" si="9"/>
        <v>3198029.17</v>
      </c>
      <c r="I178" s="6">
        <f t="shared" si="10"/>
        <v>0.000157801127</v>
      </c>
      <c r="J178" s="620"/>
      <c r="K178" s="591"/>
      <c r="L178" s="6"/>
      <c r="M178" s="9">
        <v>12000.0</v>
      </c>
      <c r="N178" s="79">
        <f t="shared" si="11"/>
        <v>2155800</v>
      </c>
      <c r="O178" s="6">
        <f t="shared" si="2"/>
        <v>1343304.83</v>
      </c>
      <c r="P178" s="6">
        <f t="shared" si="3"/>
        <v>47.83849109</v>
      </c>
      <c r="Q178" s="6"/>
      <c r="R178" s="6">
        <f t="shared" si="12"/>
        <v>9558</v>
      </c>
      <c r="S178" s="6">
        <f t="shared" si="13"/>
        <v>1343304.83</v>
      </c>
      <c r="T178" s="81">
        <f t="shared" si="4"/>
        <v>344.4113755</v>
      </c>
      <c r="U178" s="6"/>
      <c r="V178" s="6"/>
      <c r="W178" s="6"/>
      <c r="X178" s="6"/>
      <c r="Y178" s="6"/>
    </row>
    <row r="179" ht="11.25" customHeight="1">
      <c r="A179" s="7"/>
      <c r="B179" s="68">
        <f t="shared" si="14"/>
        <v>174</v>
      </c>
      <c r="C179" s="607"/>
      <c r="D179" s="6">
        <f t="shared" si="15"/>
        <v>0</v>
      </c>
      <c r="E179" s="6">
        <f t="shared" si="1"/>
        <v>0</v>
      </c>
      <c r="F179" s="6">
        <f t="shared" si="7"/>
        <v>2808000</v>
      </c>
      <c r="G179" s="6">
        <f t="shared" si="8"/>
        <v>390029.1702</v>
      </c>
      <c r="H179" s="6">
        <f t="shared" si="9"/>
        <v>3198029.17</v>
      </c>
      <c r="I179" s="6">
        <f t="shared" si="10"/>
        <v>0.000157801127</v>
      </c>
      <c r="J179" s="620"/>
      <c r="K179" s="591"/>
      <c r="L179" s="6"/>
      <c r="M179" s="9">
        <v>12000.0</v>
      </c>
      <c r="N179" s="79">
        <f t="shared" si="11"/>
        <v>2167800</v>
      </c>
      <c r="O179" s="6">
        <f t="shared" si="2"/>
        <v>1352862.83</v>
      </c>
      <c r="P179" s="6">
        <f t="shared" si="3"/>
        <v>48.17887571</v>
      </c>
      <c r="Q179" s="6"/>
      <c r="R179" s="6">
        <f t="shared" si="12"/>
        <v>9558</v>
      </c>
      <c r="S179" s="6">
        <f t="shared" si="13"/>
        <v>1352862.83</v>
      </c>
      <c r="T179" s="81">
        <f t="shared" si="4"/>
        <v>346.8619615</v>
      </c>
      <c r="U179" s="6"/>
      <c r="V179" s="6"/>
      <c r="W179" s="6"/>
      <c r="X179" s="6"/>
      <c r="Y179" s="6"/>
    </row>
    <row r="180" ht="11.25" customHeight="1">
      <c r="A180" s="7"/>
      <c r="B180" s="68">
        <f t="shared" si="14"/>
        <v>175</v>
      </c>
      <c r="C180" s="607"/>
      <c r="D180" s="6">
        <f t="shared" si="15"/>
        <v>0</v>
      </c>
      <c r="E180" s="6">
        <f t="shared" si="1"/>
        <v>0</v>
      </c>
      <c r="F180" s="6">
        <f t="shared" si="7"/>
        <v>2808000</v>
      </c>
      <c r="G180" s="6">
        <f t="shared" si="8"/>
        <v>390029.1702</v>
      </c>
      <c r="H180" s="6">
        <f t="shared" si="9"/>
        <v>3198029.17</v>
      </c>
      <c r="I180" s="6">
        <f t="shared" si="10"/>
        <v>0.000157801127</v>
      </c>
      <c r="J180" s="620"/>
      <c r="K180" s="591"/>
      <c r="L180" s="6"/>
      <c r="M180" s="9">
        <v>12000.0</v>
      </c>
      <c r="N180" s="79">
        <f t="shared" si="11"/>
        <v>2179800</v>
      </c>
      <c r="O180" s="6">
        <f t="shared" si="2"/>
        <v>1362420.83</v>
      </c>
      <c r="P180" s="6">
        <f t="shared" si="3"/>
        <v>48.51926032</v>
      </c>
      <c r="Q180" s="6"/>
      <c r="R180" s="6">
        <f t="shared" si="12"/>
        <v>9558</v>
      </c>
      <c r="S180" s="6">
        <f t="shared" si="13"/>
        <v>1362420.83</v>
      </c>
      <c r="T180" s="81">
        <f t="shared" si="4"/>
        <v>349.3125474</v>
      </c>
      <c r="U180" s="6"/>
      <c r="V180" s="6"/>
      <c r="W180" s="6"/>
      <c r="X180" s="6"/>
      <c r="Y180" s="6"/>
    </row>
    <row r="181" ht="11.25" customHeight="1">
      <c r="A181" s="7"/>
      <c r="B181" s="68">
        <f t="shared" si="14"/>
        <v>176</v>
      </c>
      <c r="C181" s="607"/>
      <c r="D181" s="6">
        <f t="shared" si="15"/>
        <v>0</v>
      </c>
      <c r="E181" s="6">
        <f t="shared" si="1"/>
        <v>0</v>
      </c>
      <c r="F181" s="6">
        <f t="shared" si="7"/>
        <v>2808000</v>
      </c>
      <c r="G181" s="6">
        <f t="shared" si="8"/>
        <v>390029.1702</v>
      </c>
      <c r="H181" s="6">
        <f t="shared" si="9"/>
        <v>3198029.17</v>
      </c>
      <c r="I181" s="6">
        <f t="shared" si="10"/>
        <v>0.000157801127</v>
      </c>
      <c r="J181" s="620"/>
      <c r="K181" s="591"/>
      <c r="L181" s="6"/>
      <c r="M181" s="9">
        <v>12000.0</v>
      </c>
      <c r="N181" s="79">
        <f t="shared" si="11"/>
        <v>2191800</v>
      </c>
      <c r="O181" s="6">
        <f t="shared" si="2"/>
        <v>1371978.83</v>
      </c>
      <c r="P181" s="6">
        <f t="shared" si="3"/>
        <v>48.85964494</v>
      </c>
      <c r="Q181" s="6"/>
      <c r="R181" s="6">
        <f t="shared" si="12"/>
        <v>9558</v>
      </c>
      <c r="S181" s="6">
        <f t="shared" si="13"/>
        <v>1371978.83</v>
      </c>
      <c r="T181" s="81">
        <f t="shared" si="4"/>
        <v>351.7631333</v>
      </c>
      <c r="U181" s="6"/>
      <c r="V181" s="6"/>
      <c r="W181" s="6"/>
      <c r="X181" s="6"/>
      <c r="Y181" s="6"/>
    </row>
    <row r="182" ht="11.25" customHeight="1">
      <c r="A182" s="7"/>
      <c r="B182" s="68">
        <f t="shared" si="14"/>
        <v>177</v>
      </c>
      <c r="C182" s="607"/>
      <c r="D182" s="6">
        <f t="shared" si="15"/>
        <v>0</v>
      </c>
      <c r="E182" s="6">
        <f t="shared" si="1"/>
        <v>0</v>
      </c>
      <c r="F182" s="6">
        <f t="shared" si="7"/>
        <v>2808000</v>
      </c>
      <c r="G182" s="6">
        <f t="shared" si="8"/>
        <v>390029.1702</v>
      </c>
      <c r="H182" s="6">
        <f t="shared" si="9"/>
        <v>3198029.17</v>
      </c>
      <c r="I182" s="6">
        <f t="shared" si="10"/>
        <v>0.000157801127</v>
      </c>
      <c r="J182" s="610"/>
      <c r="K182" s="591"/>
      <c r="L182" s="6"/>
      <c r="M182" s="9">
        <v>12000.0</v>
      </c>
      <c r="N182" s="79">
        <f t="shared" si="11"/>
        <v>2203800</v>
      </c>
      <c r="O182" s="6">
        <f t="shared" si="2"/>
        <v>1381536.83</v>
      </c>
      <c r="P182" s="6">
        <f t="shared" si="3"/>
        <v>49.20002956</v>
      </c>
      <c r="Q182" s="6"/>
      <c r="R182" s="6">
        <f t="shared" si="12"/>
        <v>9558</v>
      </c>
      <c r="S182" s="6">
        <f t="shared" si="13"/>
        <v>1381536.83</v>
      </c>
      <c r="T182" s="81">
        <f t="shared" si="4"/>
        <v>354.2137193</v>
      </c>
      <c r="U182" s="6"/>
      <c r="V182" s="6"/>
      <c r="W182" s="6"/>
      <c r="X182" s="6"/>
      <c r="Y182" s="6"/>
    </row>
    <row r="183" ht="11.25" customHeight="1">
      <c r="A183" s="7"/>
      <c r="B183" s="68">
        <f t="shared" si="14"/>
        <v>178</v>
      </c>
      <c r="C183" s="607"/>
      <c r="D183" s="6">
        <f t="shared" si="15"/>
        <v>0</v>
      </c>
      <c r="E183" s="6">
        <f t="shared" si="1"/>
        <v>0</v>
      </c>
      <c r="F183" s="6">
        <f t="shared" si="7"/>
        <v>2808000</v>
      </c>
      <c r="G183" s="6">
        <f t="shared" si="8"/>
        <v>390029.1702</v>
      </c>
      <c r="H183" s="6">
        <f t="shared" si="9"/>
        <v>3198029.17</v>
      </c>
      <c r="I183" s="6">
        <f t="shared" si="10"/>
        <v>0.000157801127</v>
      </c>
      <c r="J183" s="610"/>
      <c r="K183" s="591"/>
      <c r="L183" s="6"/>
      <c r="M183" s="9">
        <v>12000.0</v>
      </c>
      <c r="N183" s="79">
        <f t="shared" si="11"/>
        <v>2215800</v>
      </c>
      <c r="O183" s="6">
        <f t="shared" si="2"/>
        <v>1391094.83</v>
      </c>
      <c r="P183" s="6">
        <f t="shared" si="3"/>
        <v>49.54041417</v>
      </c>
      <c r="Q183" s="6"/>
      <c r="R183" s="6">
        <f t="shared" si="12"/>
        <v>9558</v>
      </c>
      <c r="S183" s="6">
        <f t="shared" si="13"/>
        <v>1391094.83</v>
      </c>
      <c r="T183" s="81">
        <f t="shared" si="4"/>
        <v>356.6643052</v>
      </c>
      <c r="U183" s="6"/>
      <c r="V183" s="6"/>
      <c r="W183" s="6"/>
      <c r="X183" s="6"/>
      <c r="Y183" s="6"/>
    </row>
    <row r="184" ht="11.25" customHeight="1">
      <c r="A184" s="7"/>
      <c r="B184" s="68">
        <f t="shared" si="14"/>
        <v>179</v>
      </c>
      <c r="C184" s="607"/>
      <c r="D184" s="6">
        <f t="shared" si="15"/>
        <v>0</v>
      </c>
      <c r="E184" s="6">
        <f t="shared" si="1"/>
        <v>0</v>
      </c>
      <c r="F184" s="6">
        <f t="shared" si="7"/>
        <v>2808000</v>
      </c>
      <c r="G184" s="6">
        <f t="shared" si="8"/>
        <v>390029.1702</v>
      </c>
      <c r="H184" s="6">
        <f t="shared" si="9"/>
        <v>3198029.17</v>
      </c>
      <c r="I184" s="6">
        <f t="shared" si="10"/>
        <v>0.000157801127</v>
      </c>
      <c r="J184" s="610"/>
      <c r="K184" s="591"/>
      <c r="L184" s="6"/>
      <c r="M184" s="9">
        <v>12000.0</v>
      </c>
      <c r="N184" s="79">
        <f t="shared" si="11"/>
        <v>2227800</v>
      </c>
      <c r="O184" s="6">
        <f t="shared" si="2"/>
        <v>1400652.83</v>
      </c>
      <c r="P184" s="6">
        <f t="shared" si="3"/>
        <v>49.88079879</v>
      </c>
      <c r="Q184" s="6"/>
      <c r="R184" s="6">
        <f t="shared" si="12"/>
        <v>9558</v>
      </c>
      <c r="S184" s="6">
        <f t="shared" si="13"/>
        <v>1400652.83</v>
      </c>
      <c r="T184" s="81">
        <f t="shared" si="4"/>
        <v>359.1148911</v>
      </c>
      <c r="U184" s="6"/>
      <c r="V184" s="6"/>
      <c r="W184" s="6"/>
      <c r="X184" s="6"/>
      <c r="Y184" s="6"/>
    </row>
    <row r="185" ht="11.25" customHeight="1">
      <c r="A185" s="71"/>
      <c r="B185" s="72">
        <f t="shared" si="14"/>
        <v>180</v>
      </c>
      <c r="C185" s="607"/>
      <c r="D185" s="10">
        <f t="shared" si="15"/>
        <v>0</v>
      </c>
      <c r="E185" s="10">
        <f t="shared" si="1"/>
        <v>0</v>
      </c>
      <c r="F185" s="10">
        <f t="shared" si="7"/>
        <v>2808000</v>
      </c>
      <c r="G185" s="10">
        <f t="shared" si="8"/>
        <v>390029.1702</v>
      </c>
      <c r="H185" s="10">
        <f t="shared" si="9"/>
        <v>3198029.17</v>
      </c>
      <c r="I185" s="10">
        <f t="shared" si="10"/>
        <v>0.000157801127</v>
      </c>
      <c r="J185" s="610"/>
      <c r="K185" s="591"/>
      <c r="L185" s="6"/>
      <c r="M185" s="9">
        <v>12000.0</v>
      </c>
      <c r="N185" s="79">
        <f t="shared" si="11"/>
        <v>2239800</v>
      </c>
      <c r="O185" s="6">
        <f t="shared" si="2"/>
        <v>1410210.83</v>
      </c>
      <c r="P185" s="6">
        <f t="shared" si="3"/>
        <v>50.2211834</v>
      </c>
      <c r="Q185" s="6"/>
      <c r="R185" s="6">
        <f t="shared" si="12"/>
        <v>9558</v>
      </c>
      <c r="S185" s="6">
        <f t="shared" si="13"/>
        <v>1410210.83</v>
      </c>
      <c r="T185" s="81">
        <f t="shared" si="4"/>
        <v>361.5654771</v>
      </c>
      <c r="U185" s="6"/>
      <c r="V185" s="6"/>
      <c r="W185" s="6"/>
      <c r="X185" s="6"/>
      <c r="Y185" s="6"/>
    </row>
    <row r="186" ht="11.25" customHeight="1">
      <c r="A186" s="100">
        <v>16.0</v>
      </c>
      <c r="B186" s="66">
        <f t="shared" si="14"/>
        <v>181</v>
      </c>
      <c r="C186" s="607"/>
      <c r="D186" s="617">
        <f t="shared" si="15"/>
        <v>0</v>
      </c>
      <c r="E186" s="617">
        <f t="shared" si="1"/>
        <v>0</v>
      </c>
      <c r="F186" s="617">
        <f t="shared" si="7"/>
        <v>2808000</v>
      </c>
      <c r="G186" s="617">
        <f t="shared" si="8"/>
        <v>390029.1702</v>
      </c>
      <c r="H186" s="617">
        <f t="shared" si="9"/>
        <v>3198029.17</v>
      </c>
      <c r="I186" s="617">
        <f t="shared" si="10"/>
        <v>0.000157801127</v>
      </c>
      <c r="J186" s="610"/>
      <c r="K186" s="591"/>
      <c r="L186" s="6"/>
      <c r="M186" s="9">
        <v>12000.0</v>
      </c>
      <c r="N186" s="79">
        <f t="shared" si="11"/>
        <v>2251800</v>
      </c>
      <c r="O186" s="6">
        <f t="shared" si="2"/>
        <v>1419768.83</v>
      </c>
      <c r="P186" s="6">
        <f t="shared" si="3"/>
        <v>50.56156802</v>
      </c>
      <c r="Q186" s="6"/>
      <c r="R186" s="6">
        <f t="shared" si="12"/>
        <v>9558</v>
      </c>
      <c r="S186" s="6">
        <f t="shared" si="13"/>
        <v>1419768.83</v>
      </c>
      <c r="T186" s="81">
        <f t="shared" si="4"/>
        <v>364.016063</v>
      </c>
      <c r="U186" s="6"/>
      <c r="V186" s="6"/>
      <c r="W186" s="6"/>
      <c r="X186" s="6"/>
      <c r="Y186" s="6"/>
    </row>
    <row r="187" ht="11.25" customHeight="1">
      <c r="A187" s="7"/>
      <c r="B187" s="68">
        <f t="shared" si="14"/>
        <v>182</v>
      </c>
      <c r="C187" s="607"/>
      <c r="D187" s="6">
        <f t="shared" si="15"/>
        <v>0</v>
      </c>
      <c r="E187" s="6">
        <f t="shared" si="1"/>
        <v>0</v>
      </c>
      <c r="F187" s="6">
        <f t="shared" si="7"/>
        <v>2808000</v>
      </c>
      <c r="G187" s="6">
        <f t="shared" si="8"/>
        <v>390029.1702</v>
      </c>
      <c r="H187" s="6">
        <f t="shared" si="9"/>
        <v>3198029.17</v>
      </c>
      <c r="I187" s="6">
        <f t="shared" si="10"/>
        <v>0.000157801127</v>
      </c>
      <c r="J187" s="610"/>
      <c r="K187" s="591"/>
      <c r="L187" s="6"/>
      <c r="M187" s="9">
        <v>12000.0</v>
      </c>
      <c r="N187" s="79">
        <f t="shared" si="11"/>
        <v>2263800</v>
      </c>
      <c r="O187" s="6">
        <f t="shared" si="2"/>
        <v>1429326.83</v>
      </c>
      <c r="P187" s="6">
        <f t="shared" si="3"/>
        <v>50.90195263</v>
      </c>
      <c r="Q187" s="6"/>
      <c r="R187" s="6">
        <f t="shared" si="12"/>
        <v>9558</v>
      </c>
      <c r="S187" s="6">
        <f t="shared" si="13"/>
        <v>1429326.83</v>
      </c>
      <c r="T187" s="81">
        <f t="shared" si="4"/>
        <v>366.466649</v>
      </c>
      <c r="U187" s="6"/>
      <c r="V187" s="6"/>
      <c r="W187" s="6"/>
      <c r="X187" s="6"/>
      <c r="Y187" s="6"/>
    </row>
    <row r="188" ht="11.25" customHeight="1">
      <c r="A188" s="7"/>
      <c r="B188" s="68">
        <f t="shared" si="14"/>
        <v>183</v>
      </c>
      <c r="C188" s="607"/>
      <c r="D188" s="6">
        <f t="shared" si="15"/>
        <v>0</v>
      </c>
      <c r="E188" s="6">
        <f t="shared" si="1"/>
        <v>0</v>
      </c>
      <c r="F188" s="6">
        <f t="shared" si="7"/>
        <v>2808000</v>
      </c>
      <c r="G188" s="6">
        <f t="shared" si="8"/>
        <v>390029.1702</v>
      </c>
      <c r="H188" s="6">
        <f t="shared" si="9"/>
        <v>3198029.17</v>
      </c>
      <c r="I188" s="6">
        <f t="shared" si="10"/>
        <v>0.000157801127</v>
      </c>
      <c r="J188" s="610"/>
      <c r="K188" s="591"/>
      <c r="L188" s="6"/>
      <c r="M188" s="9">
        <v>12000.0</v>
      </c>
      <c r="N188" s="79">
        <f t="shared" si="11"/>
        <v>2275800</v>
      </c>
      <c r="O188" s="6">
        <f t="shared" si="2"/>
        <v>1438884.83</v>
      </c>
      <c r="P188" s="6">
        <f t="shared" si="3"/>
        <v>51.24233725</v>
      </c>
      <c r="Q188" s="6"/>
      <c r="R188" s="6">
        <f t="shared" si="12"/>
        <v>9558</v>
      </c>
      <c r="S188" s="6">
        <f t="shared" si="13"/>
        <v>1438884.83</v>
      </c>
      <c r="T188" s="81">
        <f t="shared" si="4"/>
        <v>368.9172349</v>
      </c>
      <c r="U188" s="6"/>
      <c r="V188" s="6"/>
      <c r="W188" s="6"/>
      <c r="X188" s="6"/>
      <c r="Y188" s="6"/>
    </row>
    <row r="189" ht="11.25" customHeight="1">
      <c r="A189" s="7"/>
      <c r="B189" s="68">
        <f t="shared" si="14"/>
        <v>184</v>
      </c>
      <c r="C189" s="607"/>
      <c r="D189" s="6">
        <f t="shared" si="15"/>
        <v>0</v>
      </c>
      <c r="E189" s="6">
        <f t="shared" si="1"/>
        <v>0</v>
      </c>
      <c r="F189" s="6">
        <f t="shared" si="7"/>
        <v>2808000</v>
      </c>
      <c r="G189" s="6">
        <f t="shared" si="8"/>
        <v>390029.1702</v>
      </c>
      <c r="H189" s="6">
        <f t="shared" si="9"/>
        <v>3198029.17</v>
      </c>
      <c r="I189" s="6">
        <f t="shared" si="10"/>
        <v>0.000157801127</v>
      </c>
      <c r="J189" s="610"/>
      <c r="K189" s="591"/>
      <c r="L189" s="6"/>
      <c r="M189" s="9">
        <v>12000.0</v>
      </c>
      <c r="N189" s="79">
        <f t="shared" si="11"/>
        <v>2287800</v>
      </c>
      <c r="O189" s="6">
        <f t="shared" si="2"/>
        <v>1448442.83</v>
      </c>
      <c r="P189" s="6">
        <f t="shared" si="3"/>
        <v>51.58272186</v>
      </c>
      <c r="Q189" s="6"/>
      <c r="R189" s="6">
        <f t="shared" si="12"/>
        <v>9558</v>
      </c>
      <c r="S189" s="6">
        <f t="shared" si="13"/>
        <v>1448442.83</v>
      </c>
      <c r="T189" s="81">
        <f t="shared" si="4"/>
        <v>371.3678208</v>
      </c>
      <c r="U189" s="6"/>
      <c r="V189" s="6"/>
      <c r="W189" s="6"/>
      <c r="X189" s="6"/>
      <c r="Y189" s="6"/>
    </row>
    <row r="190" ht="11.25" customHeight="1">
      <c r="A190" s="7"/>
      <c r="B190" s="68">
        <f t="shared" si="14"/>
        <v>185</v>
      </c>
      <c r="C190" s="607"/>
      <c r="D190" s="6">
        <f t="shared" si="15"/>
        <v>0</v>
      </c>
      <c r="E190" s="6">
        <f t="shared" si="1"/>
        <v>0</v>
      </c>
      <c r="F190" s="6">
        <f t="shared" si="7"/>
        <v>2808000</v>
      </c>
      <c r="G190" s="6">
        <f t="shared" si="8"/>
        <v>390029.1702</v>
      </c>
      <c r="H190" s="6">
        <f t="shared" si="9"/>
        <v>3198029.17</v>
      </c>
      <c r="I190" s="6">
        <f t="shared" si="10"/>
        <v>0.000157801127</v>
      </c>
      <c r="J190" s="610"/>
      <c r="K190" s="591"/>
      <c r="L190" s="6"/>
      <c r="M190" s="9">
        <v>12000.0</v>
      </c>
      <c r="N190" s="79">
        <f t="shared" si="11"/>
        <v>2299800</v>
      </c>
      <c r="O190" s="6">
        <f t="shared" si="2"/>
        <v>1458000.83</v>
      </c>
      <c r="P190" s="6">
        <f t="shared" si="3"/>
        <v>51.92310648</v>
      </c>
      <c r="Q190" s="6"/>
      <c r="R190" s="6">
        <f t="shared" si="12"/>
        <v>9558</v>
      </c>
      <c r="S190" s="6">
        <f t="shared" si="13"/>
        <v>1458000.83</v>
      </c>
      <c r="T190" s="81">
        <f t="shared" si="4"/>
        <v>373.8184068</v>
      </c>
      <c r="U190" s="6"/>
      <c r="V190" s="6"/>
      <c r="W190" s="6"/>
      <c r="X190" s="6"/>
      <c r="Y190" s="6"/>
    </row>
    <row r="191" ht="11.25" customHeight="1">
      <c r="A191" s="7"/>
      <c r="B191" s="68">
        <f t="shared" si="14"/>
        <v>186</v>
      </c>
      <c r="C191" s="607"/>
      <c r="D191" s="6">
        <f t="shared" si="15"/>
        <v>0</v>
      </c>
      <c r="E191" s="6">
        <f t="shared" si="1"/>
        <v>0</v>
      </c>
      <c r="F191" s="6">
        <f t="shared" si="7"/>
        <v>2808000</v>
      </c>
      <c r="G191" s="6">
        <f t="shared" si="8"/>
        <v>390029.1702</v>
      </c>
      <c r="H191" s="6">
        <f t="shared" si="9"/>
        <v>3198029.17</v>
      </c>
      <c r="I191" s="6">
        <f t="shared" si="10"/>
        <v>0.000157801127</v>
      </c>
      <c r="J191" s="610"/>
      <c r="K191" s="591"/>
      <c r="L191" s="6"/>
      <c r="M191" s="9">
        <v>12000.0</v>
      </c>
      <c r="N191" s="79">
        <f t="shared" si="11"/>
        <v>2311800</v>
      </c>
      <c r="O191" s="6">
        <f t="shared" si="2"/>
        <v>1467558.83</v>
      </c>
      <c r="P191" s="6">
        <f t="shared" si="3"/>
        <v>52.26349109</v>
      </c>
      <c r="Q191" s="6"/>
      <c r="R191" s="6">
        <f t="shared" si="12"/>
        <v>9558</v>
      </c>
      <c r="S191" s="6">
        <f t="shared" si="13"/>
        <v>1467558.83</v>
      </c>
      <c r="T191" s="81">
        <f t="shared" si="4"/>
        <v>376.2689927</v>
      </c>
      <c r="U191" s="6"/>
      <c r="V191" s="6"/>
      <c r="W191" s="6"/>
      <c r="X191" s="6"/>
      <c r="Y191" s="6"/>
    </row>
    <row r="192" ht="11.25" customHeight="1">
      <c r="A192" s="7"/>
      <c r="B192" s="68">
        <f t="shared" si="14"/>
        <v>187</v>
      </c>
      <c r="C192" s="607"/>
      <c r="D192" s="6">
        <f t="shared" si="15"/>
        <v>0</v>
      </c>
      <c r="E192" s="6">
        <f t="shared" si="1"/>
        <v>0</v>
      </c>
      <c r="F192" s="6">
        <f t="shared" si="7"/>
        <v>2808000</v>
      </c>
      <c r="G192" s="6">
        <f t="shared" si="8"/>
        <v>390029.1702</v>
      </c>
      <c r="H192" s="6">
        <f t="shared" si="9"/>
        <v>3198029.17</v>
      </c>
      <c r="I192" s="6">
        <f t="shared" si="10"/>
        <v>0.000157801127</v>
      </c>
      <c r="J192" s="610"/>
      <c r="K192" s="591"/>
      <c r="L192" s="6"/>
      <c r="M192" s="9">
        <v>12000.0</v>
      </c>
      <c r="N192" s="79">
        <f t="shared" si="11"/>
        <v>2323800</v>
      </c>
      <c r="O192" s="6">
        <f t="shared" si="2"/>
        <v>1477116.83</v>
      </c>
      <c r="P192" s="6">
        <f t="shared" si="3"/>
        <v>52.60387571</v>
      </c>
      <c r="Q192" s="6"/>
      <c r="R192" s="6">
        <f t="shared" si="12"/>
        <v>9558</v>
      </c>
      <c r="S192" s="6">
        <f t="shared" si="13"/>
        <v>1477116.83</v>
      </c>
      <c r="T192" s="81">
        <f t="shared" si="4"/>
        <v>378.7195787</v>
      </c>
      <c r="U192" s="6"/>
      <c r="V192" s="6"/>
      <c r="W192" s="6"/>
      <c r="X192" s="6"/>
      <c r="Y192" s="6"/>
    </row>
    <row r="193" ht="11.25" customHeight="1">
      <c r="A193" s="7"/>
      <c r="B193" s="68">
        <f t="shared" si="14"/>
        <v>188</v>
      </c>
      <c r="C193" s="607"/>
      <c r="D193" s="6">
        <f t="shared" si="15"/>
        <v>0</v>
      </c>
      <c r="E193" s="6">
        <f t="shared" si="1"/>
        <v>0</v>
      </c>
      <c r="F193" s="6">
        <f t="shared" si="7"/>
        <v>2808000</v>
      </c>
      <c r="G193" s="6">
        <f t="shared" si="8"/>
        <v>390029.1702</v>
      </c>
      <c r="H193" s="6">
        <f t="shared" si="9"/>
        <v>3198029.17</v>
      </c>
      <c r="I193" s="6">
        <f t="shared" si="10"/>
        <v>0.000157801127</v>
      </c>
      <c r="J193" s="610"/>
      <c r="K193" s="591"/>
      <c r="L193" s="6"/>
      <c r="M193" s="9">
        <v>12000.0</v>
      </c>
      <c r="N193" s="79">
        <f t="shared" si="11"/>
        <v>2335800</v>
      </c>
      <c r="O193" s="6">
        <f t="shared" si="2"/>
        <v>1486674.83</v>
      </c>
      <c r="P193" s="6">
        <f t="shared" si="3"/>
        <v>52.94426032</v>
      </c>
      <c r="Q193" s="6"/>
      <c r="R193" s="6">
        <f t="shared" si="12"/>
        <v>9558</v>
      </c>
      <c r="S193" s="6">
        <f t="shared" si="13"/>
        <v>1486674.83</v>
      </c>
      <c r="T193" s="81">
        <f t="shared" si="4"/>
        <v>381.1701646</v>
      </c>
      <c r="U193" s="6"/>
      <c r="V193" s="6"/>
      <c r="W193" s="6"/>
      <c r="X193" s="6"/>
      <c r="Y193" s="6"/>
    </row>
    <row r="194" ht="11.25" customHeight="1">
      <c r="A194" s="7"/>
      <c r="B194" s="68">
        <f t="shared" si="14"/>
        <v>189</v>
      </c>
      <c r="C194" s="607"/>
      <c r="D194" s="6">
        <f t="shared" si="15"/>
        <v>0</v>
      </c>
      <c r="E194" s="6">
        <f t="shared" si="1"/>
        <v>0</v>
      </c>
      <c r="F194" s="6">
        <f t="shared" si="7"/>
        <v>2808000</v>
      </c>
      <c r="G194" s="6">
        <f t="shared" si="8"/>
        <v>390029.1702</v>
      </c>
      <c r="H194" s="6">
        <f t="shared" si="9"/>
        <v>3198029.17</v>
      </c>
      <c r="I194" s="6">
        <f t="shared" si="10"/>
        <v>0.000157801127</v>
      </c>
      <c r="J194" s="610"/>
      <c r="K194" s="591"/>
      <c r="L194" s="6"/>
      <c r="M194" s="9">
        <v>12000.0</v>
      </c>
      <c r="N194" s="79">
        <f t="shared" si="11"/>
        <v>2347800</v>
      </c>
      <c r="O194" s="6">
        <f t="shared" si="2"/>
        <v>1496232.83</v>
      </c>
      <c r="P194" s="6">
        <f t="shared" si="3"/>
        <v>53.28464494</v>
      </c>
      <c r="Q194" s="6"/>
      <c r="R194" s="6">
        <f t="shared" si="12"/>
        <v>9558</v>
      </c>
      <c r="S194" s="6">
        <f t="shared" si="13"/>
        <v>1496232.83</v>
      </c>
      <c r="T194" s="81">
        <f t="shared" si="4"/>
        <v>383.6207505</v>
      </c>
      <c r="U194" s="6"/>
      <c r="V194" s="6"/>
      <c r="W194" s="6"/>
      <c r="X194" s="6"/>
      <c r="Y194" s="6"/>
    </row>
    <row r="195" ht="11.25" customHeight="1">
      <c r="A195" s="7"/>
      <c r="B195" s="68">
        <f t="shared" si="14"/>
        <v>190</v>
      </c>
      <c r="C195" s="607"/>
      <c r="D195" s="6">
        <f t="shared" si="15"/>
        <v>0</v>
      </c>
      <c r="E195" s="6">
        <f t="shared" si="1"/>
        <v>0</v>
      </c>
      <c r="F195" s="6">
        <f t="shared" si="7"/>
        <v>2808000</v>
      </c>
      <c r="G195" s="6">
        <f t="shared" si="8"/>
        <v>390029.1702</v>
      </c>
      <c r="H195" s="6">
        <f t="shared" si="9"/>
        <v>3198029.17</v>
      </c>
      <c r="I195" s="6">
        <f t="shared" si="10"/>
        <v>0.000157801127</v>
      </c>
      <c r="J195" s="610"/>
      <c r="K195" s="591"/>
      <c r="L195" s="6"/>
      <c r="M195" s="9">
        <v>12000.0</v>
      </c>
      <c r="N195" s="79">
        <f t="shared" si="11"/>
        <v>2359800</v>
      </c>
      <c r="O195" s="6">
        <f t="shared" si="2"/>
        <v>1505790.83</v>
      </c>
      <c r="P195" s="6">
        <f t="shared" si="3"/>
        <v>53.62502956</v>
      </c>
      <c r="Q195" s="6"/>
      <c r="R195" s="6">
        <f t="shared" si="12"/>
        <v>9558</v>
      </c>
      <c r="S195" s="6">
        <f t="shared" si="13"/>
        <v>1505790.83</v>
      </c>
      <c r="T195" s="81">
        <f t="shared" si="4"/>
        <v>386.0713365</v>
      </c>
      <c r="U195" s="6"/>
      <c r="V195" s="6"/>
      <c r="W195" s="6"/>
      <c r="X195" s="6"/>
      <c r="Y195" s="6"/>
    </row>
    <row r="196" ht="11.25" customHeight="1">
      <c r="A196" s="7"/>
      <c r="B196" s="68">
        <f t="shared" si="14"/>
        <v>191</v>
      </c>
      <c r="C196" s="607"/>
      <c r="D196" s="6">
        <f t="shared" si="15"/>
        <v>0</v>
      </c>
      <c r="E196" s="6">
        <f t="shared" si="1"/>
        <v>0</v>
      </c>
      <c r="F196" s="6">
        <f t="shared" si="7"/>
        <v>2808000</v>
      </c>
      <c r="G196" s="6">
        <f t="shared" si="8"/>
        <v>390029.1702</v>
      </c>
      <c r="H196" s="6">
        <f t="shared" si="9"/>
        <v>3198029.17</v>
      </c>
      <c r="I196" s="6">
        <f t="shared" si="10"/>
        <v>0.000157801127</v>
      </c>
      <c r="J196" s="610"/>
      <c r="K196" s="591"/>
      <c r="L196" s="6"/>
      <c r="M196" s="9">
        <v>12000.0</v>
      </c>
      <c r="N196" s="79">
        <f t="shared" si="11"/>
        <v>2371800</v>
      </c>
      <c r="O196" s="6">
        <f t="shared" si="2"/>
        <v>1515348.83</v>
      </c>
      <c r="P196" s="6">
        <f t="shared" si="3"/>
        <v>53.96541417</v>
      </c>
      <c r="Q196" s="6"/>
      <c r="R196" s="6">
        <f t="shared" si="12"/>
        <v>9558</v>
      </c>
      <c r="S196" s="6">
        <f t="shared" si="13"/>
        <v>1515348.83</v>
      </c>
      <c r="T196" s="81">
        <f t="shared" si="4"/>
        <v>388.5219224</v>
      </c>
      <c r="U196" s="6"/>
      <c r="V196" s="6"/>
      <c r="W196" s="6"/>
      <c r="X196" s="6"/>
      <c r="Y196" s="6"/>
    </row>
    <row r="197" ht="11.25" customHeight="1">
      <c r="A197" s="71"/>
      <c r="B197" s="72">
        <f t="shared" si="14"/>
        <v>192</v>
      </c>
      <c r="C197" s="607"/>
      <c r="D197" s="10">
        <f t="shared" si="15"/>
        <v>0</v>
      </c>
      <c r="E197" s="10">
        <f t="shared" si="1"/>
        <v>0</v>
      </c>
      <c r="F197" s="10">
        <f t="shared" si="7"/>
        <v>2808000</v>
      </c>
      <c r="G197" s="10">
        <f t="shared" si="8"/>
        <v>390029.1702</v>
      </c>
      <c r="H197" s="10">
        <f t="shared" si="9"/>
        <v>3198029.17</v>
      </c>
      <c r="I197" s="10">
        <f t="shared" si="10"/>
        <v>0.000157801127</v>
      </c>
      <c r="J197" s="610"/>
      <c r="K197" s="591"/>
      <c r="L197" s="6"/>
      <c r="M197" s="9">
        <v>12000.0</v>
      </c>
      <c r="N197" s="79">
        <f t="shared" si="11"/>
        <v>2383800</v>
      </c>
      <c r="O197" s="6">
        <f t="shared" si="2"/>
        <v>1524906.83</v>
      </c>
      <c r="P197" s="6">
        <f t="shared" si="3"/>
        <v>54.30579879</v>
      </c>
      <c r="Q197" s="6"/>
      <c r="R197" s="6">
        <f t="shared" si="12"/>
        <v>9558</v>
      </c>
      <c r="S197" s="6">
        <f t="shared" si="13"/>
        <v>1524906.83</v>
      </c>
      <c r="T197" s="81">
        <f t="shared" si="4"/>
        <v>390.9725083</v>
      </c>
      <c r="U197" s="6"/>
      <c r="V197" s="6"/>
      <c r="W197" s="6"/>
      <c r="X197" s="6"/>
      <c r="Y197" s="6"/>
    </row>
    <row r="198" ht="11.25" customHeight="1">
      <c r="A198" s="100">
        <v>17.0</v>
      </c>
      <c r="B198" s="66">
        <f t="shared" si="14"/>
        <v>193</v>
      </c>
      <c r="C198" s="607"/>
      <c r="D198" s="617">
        <f t="shared" si="15"/>
        <v>0</v>
      </c>
      <c r="E198" s="617">
        <f t="shared" si="1"/>
        <v>0</v>
      </c>
      <c r="F198" s="617">
        <f t="shared" si="7"/>
        <v>2808000</v>
      </c>
      <c r="G198" s="617">
        <f t="shared" si="8"/>
        <v>390029.1702</v>
      </c>
      <c r="H198" s="617">
        <f t="shared" si="9"/>
        <v>3198029.17</v>
      </c>
      <c r="I198" s="617">
        <f t="shared" si="10"/>
        <v>0.000157801127</v>
      </c>
      <c r="J198" s="610"/>
      <c r="K198" s="591"/>
      <c r="L198" s="6"/>
      <c r="M198" s="9">
        <v>12000.0</v>
      </c>
      <c r="N198" s="79">
        <f t="shared" si="11"/>
        <v>2395800</v>
      </c>
      <c r="O198" s="6">
        <f t="shared" si="2"/>
        <v>1534464.83</v>
      </c>
      <c r="P198" s="6">
        <f t="shared" si="3"/>
        <v>54.6461834</v>
      </c>
      <c r="Q198" s="6"/>
      <c r="R198" s="6">
        <f t="shared" si="12"/>
        <v>9558</v>
      </c>
      <c r="S198" s="6">
        <f t="shared" si="13"/>
        <v>1534464.83</v>
      </c>
      <c r="T198" s="81">
        <f t="shared" si="4"/>
        <v>393.4230943</v>
      </c>
      <c r="U198" s="6"/>
      <c r="V198" s="6"/>
      <c r="W198" s="6"/>
      <c r="X198" s="6"/>
      <c r="Y198" s="6"/>
    </row>
    <row r="199" ht="11.25" customHeight="1">
      <c r="A199" s="7"/>
      <c r="B199" s="68">
        <f t="shared" si="14"/>
        <v>194</v>
      </c>
      <c r="C199" s="607"/>
      <c r="D199" s="6">
        <f t="shared" si="15"/>
        <v>0</v>
      </c>
      <c r="E199" s="6">
        <f t="shared" si="1"/>
        <v>0</v>
      </c>
      <c r="F199" s="6">
        <f t="shared" si="7"/>
        <v>2808000</v>
      </c>
      <c r="G199" s="6">
        <f t="shared" si="8"/>
        <v>390029.1702</v>
      </c>
      <c r="H199" s="6">
        <f t="shared" si="9"/>
        <v>3198029.17</v>
      </c>
      <c r="I199" s="6">
        <f t="shared" si="10"/>
        <v>0.000157801127</v>
      </c>
      <c r="J199" s="610"/>
      <c r="K199" s="591"/>
      <c r="L199" s="6"/>
      <c r="M199" s="9">
        <v>12000.0</v>
      </c>
      <c r="N199" s="79">
        <f t="shared" si="11"/>
        <v>2407800</v>
      </c>
      <c r="O199" s="6">
        <f t="shared" si="2"/>
        <v>1544022.83</v>
      </c>
      <c r="P199" s="6">
        <f t="shared" si="3"/>
        <v>54.98656802</v>
      </c>
      <c r="Q199" s="6"/>
      <c r="R199" s="6">
        <f t="shared" si="12"/>
        <v>9558</v>
      </c>
      <c r="S199" s="6">
        <f t="shared" si="13"/>
        <v>1544022.83</v>
      </c>
      <c r="T199" s="81">
        <f t="shared" si="4"/>
        <v>395.8736802</v>
      </c>
      <c r="U199" s="6"/>
      <c r="V199" s="6"/>
      <c r="W199" s="6"/>
      <c r="X199" s="6"/>
      <c r="Y199" s="6"/>
    </row>
    <row r="200" ht="11.25" customHeight="1">
      <c r="A200" s="7"/>
      <c r="B200" s="68">
        <f t="shared" si="14"/>
        <v>195</v>
      </c>
      <c r="C200" s="607"/>
      <c r="D200" s="6">
        <f t="shared" si="15"/>
        <v>0</v>
      </c>
      <c r="E200" s="6">
        <f t="shared" si="1"/>
        <v>0</v>
      </c>
      <c r="F200" s="6">
        <f t="shared" si="7"/>
        <v>2808000</v>
      </c>
      <c r="G200" s="6">
        <f t="shared" si="8"/>
        <v>390029.1702</v>
      </c>
      <c r="H200" s="6">
        <f t="shared" si="9"/>
        <v>3198029.17</v>
      </c>
      <c r="I200" s="6">
        <f t="shared" si="10"/>
        <v>0.000157801127</v>
      </c>
      <c r="J200" s="610"/>
      <c r="K200" s="591"/>
      <c r="L200" s="6"/>
      <c r="M200" s="9">
        <v>12000.0</v>
      </c>
      <c r="N200" s="79">
        <f t="shared" si="11"/>
        <v>2419800</v>
      </c>
      <c r="O200" s="6">
        <f t="shared" si="2"/>
        <v>1553580.83</v>
      </c>
      <c r="P200" s="6">
        <f t="shared" si="3"/>
        <v>55.32695263</v>
      </c>
      <c r="Q200" s="6"/>
      <c r="R200" s="6">
        <f t="shared" si="12"/>
        <v>9558</v>
      </c>
      <c r="S200" s="6">
        <f t="shared" si="13"/>
        <v>1553580.83</v>
      </c>
      <c r="T200" s="81">
        <f t="shared" si="4"/>
        <v>398.3242662</v>
      </c>
      <c r="U200" s="6"/>
      <c r="V200" s="6"/>
      <c r="W200" s="6"/>
      <c r="X200" s="6"/>
      <c r="Y200" s="6"/>
    </row>
    <row r="201" ht="11.25" customHeight="1">
      <c r="A201" s="7"/>
      <c r="B201" s="68">
        <f t="shared" si="14"/>
        <v>196</v>
      </c>
      <c r="C201" s="607"/>
      <c r="D201" s="6">
        <f t="shared" si="15"/>
        <v>0</v>
      </c>
      <c r="E201" s="6">
        <f t="shared" si="1"/>
        <v>0</v>
      </c>
      <c r="F201" s="6">
        <f t="shared" si="7"/>
        <v>2808000</v>
      </c>
      <c r="G201" s="6">
        <f t="shared" si="8"/>
        <v>390029.1702</v>
      </c>
      <c r="H201" s="6">
        <f t="shared" si="9"/>
        <v>3198029.17</v>
      </c>
      <c r="I201" s="6">
        <f t="shared" si="10"/>
        <v>0.000157801127</v>
      </c>
      <c r="J201" s="610"/>
      <c r="K201" s="591"/>
      <c r="L201" s="6"/>
      <c r="M201" s="9">
        <v>12000.0</v>
      </c>
      <c r="N201" s="79">
        <f t="shared" si="11"/>
        <v>2431800</v>
      </c>
      <c r="O201" s="6">
        <f t="shared" si="2"/>
        <v>1563138.83</v>
      </c>
      <c r="P201" s="6">
        <f t="shared" si="3"/>
        <v>55.66733725</v>
      </c>
      <c r="Q201" s="6"/>
      <c r="R201" s="6">
        <f t="shared" si="12"/>
        <v>9558</v>
      </c>
      <c r="S201" s="6">
        <f t="shared" si="13"/>
        <v>1563138.83</v>
      </c>
      <c r="T201" s="81">
        <f t="shared" si="4"/>
        <v>400.7748521</v>
      </c>
      <c r="U201" s="6"/>
      <c r="V201" s="6"/>
      <c r="W201" s="6"/>
      <c r="X201" s="6"/>
      <c r="Y201" s="6"/>
    </row>
    <row r="202" ht="11.25" customHeight="1">
      <c r="A202" s="7"/>
      <c r="B202" s="68">
        <f t="shared" si="14"/>
        <v>197</v>
      </c>
      <c r="C202" s="607"/>
      <c r="D202" s="6">
        <f t="shared" si="15"/>
        <v>0</v>
      </c>
      <c r="E202" s="6">
        <f t="shared" si="1"/>
        <v>0</v>
      </c>
      <c r="F202" s="6">
        <f t="shared" si="7"/>
        <v>2808000</v>
      </c>
      <c r="G202" s="6">
        <f t="shared" si="8"/>
        <v>390029.1702</v>
      </c>
      <c r="H202" s="6">
        <f t="shared" si="9"/>
        <v>3198029.17</v>
      </c>
      <c r="I202" s="6">
        <f t="shared" si="10"/>
        <v>0.000157801127</v>
      </c>
      <c r="J202" s="610"/>
      <c r="K202" s="591"/>
      <c r="L202" s="6"/>
      <c r="M202" s="9">
        <v>12000.0</v>
      </c>
      <c r="N202" s="79">
        <f t="shared" si="11"/>
        <v>2443800</v>
      </c>
      <c r="O202" s="6">
        <f t="shared" si="2"/>
        <v>1572696.83</v>
      </c>
      <c r="P202" s="6">
        <f t="shared" si="3"/>
        <v>56.00772186</v>
      </c>
      <c r="Q202" s="6"/>
      <c r="R202" s="6">
        <f t="shared" si="12"/>
        <v>9558</v>
      </c>
      <c r="S202" s="6">
        <f t="shared" si="13"/>
        <v>1572696.83</v>
      </c>
      <c r="T202" s="81">
        <f t="shared" si="4"/>
        <v>403.225438</v>
      </c>
      <c r="U202" s="6"/>
      <c r="V202" s="6"/>
      <c r="W202" s="6"/>
      <c r="X202" s="6"/>
      <c r="Y202" s="6"/>
    </row>
    <row r="203" ht="11.25" customHeight="1">
      <c r="A203" s="7"/>
      <c r="B203" s="68">
        <f t="shared" si="14"/>
        <v>198</v>
      </c>
      <c r="C203" s="607"/>
      <c r="D203" s="6">
        <f t="shared" si="15"/>
        <v>0</v>
      </c>
      <c r="E203" s="6">
        <f t="shared" si="1"/>
        <v>0</v>
      </c>
      <c r="F203" s="6">
        <f t="shared" si="7"/>
        <v>2808000</v>
      </c>
      <c r="G203" s="6">
        <f t="shared" si="8"/>
        <v>390029.1702</v>
      </c>
      <c r="H203" s="6">
        <f t="shared" si="9"/>
        <v>3198029.17</v>
      </c>
      <c r="I203" s="6">
        <f t="shared" si="10"/>
        <v>0.000157801127</v>
      </c>
      <c r="J203" s="610"/>
      <c r="K203" s="591"/>
      <c r="L203" s="6"/>
      <c r="M203" s="9">
        <v>12000.0</v>
      </c>
      <c r="N203" s="79">
        <f t="shared" si="11"/>
        <v>2455800</v>
      </c>
      <c r="O203" s="6">
        <f t="shared" si="2"/>
        <v>1582254.83</v>
      </c>
      <c r="P203" s="6">
        <f t="shared" si="3"/>
        <v>56.34810648</v>
      </c>
      <c r="Q203" s="6"/>
      <c r="R203" s="6">
        <f t="shared" si="12"/>
        <v>9558</v>
      </c>
      <c r="S203" s="6">
        <f t="shared" si="13"/>
        <v>1582254.83</v>
      </c>
      <c r="T203" s="81">
        <f t="shared" si="4"/>
        <v>405.676024</v>
      </c>
      <c r="U203" s="6"/>
      <c r="V203" s="6"/>
      <c r="W203" s="6"/>
      <c r="X203" s="6"/>
      <c r="Y203" s="6"/>
    </row>
    <row r="204" ht="11.25" customHeight="1">
      <c r="A204" s="7"/>
      <c r="B204" s="68">
        <f t="shared" si="14"/>
        <v>199</v>
      </c>
      <c r="C204" s="607"/>
      <c r="D204" s="6">
        <f t="shared" si="15"/>
        <v>0</v>
      </c>
      <c r="E204" s="6">
        <f t="shared" si="1"/>
        <v>0</v>
      </c>
      <c r="F204" s="6">
        <f t="shared" si="7"/>
        <v>2808000</v>
      </c>
      <c r="G204" s="6">
        <f t="shared" si="8"/>
        <v>390029.1702</v>
      </c>
      <c r="H204" s="6">
        <f t="shared" si="9"/>
        <v>3198029.17</v>
      </c>
      <c r="I204" s="6">
        <f t="shared" si="10"/>
        <v>0.000157801127</v>
      </c>
      <c r="J204" s="610"/>
      <c r="K204" s="591"/>
      <c r="L204" s="6"/>
      <c r="M204" s="9">
        <v>12000.0</v>
      </c>
      <c r="N204" s="79">
        <f t="shared" si="11"/>
        <v>2467800</v>
      </c>
      <c r="O204" s="6">
        <f t="shared" si="2"/>
        <v>1591812.83</v>
      </c>
      <c r="P204" s="6">
        <f t="shared" si="3"/>
        <v>56.68849109</v>
      </c>
      <c r="Q204" s="6"/>
      <c r="R204" s="6">
        <f t="shared" si="12"/>
        <v>9558</v>
      </c>
      <c r="S204" s="6">
        <f t="shared" si="13"/>
        <v>1591812.83</v>
      </c>
      <c r="T204" s="81">
        <f t="shared" si="4"/>
        <v>408.1266099</v>
      </c>
      <c r="U204" s="6"/>
      <c r="V204" s="6"/>
      <c r="W204" s="6"/>
      <c r="X204" s="6"/>
      <c r="Y204" s="6"/>
    </row>
    <row r="205" ht="11.25" customHeight="1">
      <c r="A205" s="7"/>
      <c r="B205" s="68">
        <f t="shared" si="14"/>
        <v>200</v>
      </c>
      <c r="C205" s="607"/>
      <c r="D205" s="6">
        <f t="shared" si="15"/>
        <v>0</v>
      </c>
      <c r="E205" s="6">
        <f t="shared" si="1"/>
        <v>0</v>
      </c>
      <c r="F205" s="6">
        <f t="shared" si="7"/>
        <v>2808000</v>
      </c>
      <c r="G205" s="6">
        <f t="shared" si="8"/>
        <v>390029.1702</v>
      </c>
      <c r="H205" s="6">
        <f t="shared" si="9"/>
        <v>3198029.17</v>
      </c>
      <c r="I205" s="6">
        <f t="shared" si="10"/>
        <v>0.000157801127</v>
      </c>
      <c r="J205" s="610"/>
      <c r="K205" s="591"/>
      <c r="L205" s="6"/>
      <c r="M205" s="9">
        <v>12000.0</v>
      </c>
      <c r="N205" s="79">
        <f t="shared" si="11"/>
        <v>2479800</v>
      </c>
      <c r="O205" s="6">
        <f t="shared" si="2"/>
        <v>1601370.83</v>
      </c>
      <c r="P205" s="6">
        <f t="shared" si="3"/>
        <v>57.02887571</v>
      </c>
      <c r="Q205" s="6"/>
      <c r="R205" s="6">
        <f t="shared" si="12"/>
        <v>9558</v>
      </c>
      <c r="S205" s="6">
        <f t="shared" si="13"/>
        <v>1601370.83</v>
      </c>
      <c r="T205" s="81">
        <f t="shared" si="4"/>
        <v>410.5771959</v>
      </c>
      <c r="U205" s="6"/>
      <c r="V205" s="6"/>
      <c r="W205" s="6"/>
      <c r="X205" s="6"/>
      <c r="Y205" s="6"/>
    </row>
    <row r="206" ht="11.25" customHeight="1">
      <c r="A206" s="7"/>
      <c r="B206" s="68">
        <f t="shared" si="14"/>
        <v>201</v>
      </c>
      <c r="C206" s="607"/>
      <c r="D206" s="6">
        <f t="shared" si="15"/>
        <v>0</v>
      </c>
      <c r="E206" s="6">
        <f t="shared" si="1"/>
        <v>0</v>
      </c>
      <c r="F206" s="6">
        <f t="shared" si="7"/>
        <v>2808000</v>
      </c>
      <c r="G206" s="6">
        <f t="shared" si="8"/>
        <v>390029.1702</v>
      </c>
      <c r="H206" s="6">
        <f t="shared" si="9"/>
        <v>3198029.17</v>
      </c>
      <c r="I206" s="6">
        <f t="shared" si="10"/>
        <v>0.000157801127</v>
      </c>
      <c r="J206" s="610"/>
      <c r="K206" s="591"/>
      <c r="L206" s="6"/>
      <c r="M206" s="9">
        <v>12000.0</v>
      </c>
      <c r="N206" s="79">
        <f t="shared" si="11"/>
        <v>2491800</v>
      </c>
      <c r="O206" s="6">
        <f t="shared" si="2"/>
        <v>1610928.83</v>
      </c>
      <c r="P206" s="6">
        <f t="shared" si="3"/>
        <v>57.36926033</v>
      </c>
      <c r="Q206" s="6"/>
      <c r="R206" s="6">
        <f t="shared" si="12"/>
        <v>9558</v>
      </c>
      <c r="S206" s="6">
        <f t="shared" si="13"/>
        <v>1610928.83</v>
      </c>
      <c r="T206" s="81">
        <f t="shared" si="4"/>
        <v>413.0277818</v>
      </c>
      <c r="U206" s="6"/>
      <c r="V206" s="6"/>
      <c r="W206" s="6"/>
      <c r="X206" s="6"/>
      <c r="Y206" s="6"/>
    </row>
    <row r="207" ht="11.25" customHeight="1">
      <c r="A207" s="7"/>
      <c r="B207" s="68">
        <f t="shared" si="14"/>
        <v>202</v>
      </c>
      <c r="C207" s="607"/>
      <c r="D207" s="6">
        <f t="shared" si="15"/>
        <v>0</v>
      </c>
      <c r="E207" s="6">
        <f t="shared" si="1"/>
        <v>0</v>
      </c>
      <c r="F207" s="6">
        <f t="shared" si="7"/>
        <v>2808000</v>
      </c>
      <c r="G207" s="6">
        <f t="shared" si="8"/>
        <v>390029.1702</v>
      </c>
      <c r="H207" s="6">
        <f t="shared" si="9"/>
        <v>3198029.17</v>
      </c>
      <c r="I207" s="6">
        <f t="shared" si="10"/>
        <v>0.000157801127</v>
      </c>
      <c r="J207" s="610"/>
      <c r="K207" s="591"/>
      <c r="L207" s="6"/>
      <c r="M207" s="9">
        <v>12000.0</v>
      </c>
      <c r="N207" s="79">
        <f t="shared" si="11"/>
        <v>2503800</v>
      </c>
      <c r="O207" s="6">
        <f t="shared" si="2"/>
        <v>1620486.83</v>
      </c>
      <c r="P207" s="6">
        <f t="shared" si="3"/>
        <v>57.70964494</v>
      </c>
      <c r="Q207" s="6"/>
      <c r="R207" s="6">
        <f t="shared" si="12"/>
        <v>9558</v>
      </c>
      <c r="S207" s="6">
        <f t="shared" si="13"/>
        <v>1620486.83</v>
      </c>
      <c r="T207" s="81">
        <f t="shared" si="4"/>
        <v>415.4783677</v>
      </c>
      <c r="U207" s="6"/>
      <c r="V207" s="6"/>
      <c r="W207" s="6"/>
      <c r="X207" s="6"/>
      <c r="Y207" s="6"/>
    </row>
    <row r="208" ht="11.25" customHeight="1">
      <c r="A208" s="7"/>
      <c r="B208" s="68">
        <f t="shared" si="14"/>
        <v>203</v>
      </c>
      <c r="C208" s="607"/>
      <c r="D208" s="6">
        <f t="shared" si="15"/>
        <v>0</v>
      </c>
      <c r="E208" s="6">
        <f t="shared" si="1"/>
        <v>0</v>
      </c>
      <c r="F208" s="6">
        <f t="shared" si="7"/>
        <v>2808000</v>
      </c>
      <c r="G208" s="6">
        <f t="shared" si="8"/>
        <v>390029.1702</v>
      </c>
      <c r="H208" s="6">
        <f t="shared" si="9"/>
        <v>3198029.17</v>
      </c>
      <c r="I208" s="6">
        <f t="shared" si="10"/>
        <v>0.000157801127</v>
      </c>
      <c r="J208" s="610"/>
      <c r="K208" s="591"/>
      <c r="L208" s="6"/>
      <c r="M208" s="9">
        <v>12000.0</v>
      </c>
      <c r="N208" s="79">
        <f t="shared" si="11"/>
        <v>2515800</v>
      </c>
      <c r="O208" s="6">
        <f t="shared" si="2"/>
        <v>1630044.83</v>
      </c>
      <c r="P208" s="6">
        <f t="shared" si="3"/>
        <v>58.05002956</v>
      </c>
      <c r="Q208" s="6"/>
      <c r="R208" s="6">
        <f t="shared" si="12"/>
        <v>9558</v>
      </c>
      <c r="S208" s="6">
        <f t="shared" si="13"/>
        <v>1630044.83</v>
      </c>
      <c r="T208" s="81">
        <f t="shared" si="4"/>
        <v>417.9289537</v>
      </c>
      <c r="U208" s="6"/>
      <c r="V208" s="6"/>
      <c r="W208" s="6"/>
      <c r="X208" s="6"/>
      <c r="Y208" s="6"/>
    </row>
    <row r="209" ht="11.25" customHeight="1">
      <c r="A209" s="71"/>
      <c r="B209" s="72">
        <f t="shared" si="14"/>
        <v>204</v>
      </c>
      <c r="C209" s="607"/>
      <c r="D209" s="10">
        <f t="shared" si="15"/>
        <v>0</v>
      </c>
      <c r="E209" s="10">
        <f t="shared" si="1"/>
        <v>0</v>
      </c>
      <c r="F209" s="10">
        <f t="shared" si="7"/>
        <v>2808000</v>
      </c>
      <c r="G209" s="10">
        <f t="shared" si="8"/>
        <v>390029.1702</v>
      </c>
      <c r="H209" s="10">
        <f t="shared" si="9"/>
        <v>3198029.17</v>
      </c>
      <c r="I209" s="10">
        <f t="shared" si="10"/>
        <v>0.000157801127</v>
      </c>
      <c r="J209" s="610"/>
      <c r="K209" s="591"/>
      <c r="L209" s="6"/>
      <c r="M209" s="9">
        <v>12000.0</v>
      </c>
      <c r="N209" s="79">
        <f t="shared" si="11"/>
        <v>2527800</v>
      </c>
      <c r="O209" s="6">
        <f t="shared" si="2"/>
        <v>1639602.83</v>
      </c>
      <c r="P209" s="6">
        <f t="shared" si="3"/>
        <v>58.39041417</v>
      </c>
      <c r="Q209" s="6"/>
      <c r="R209" s="6">
        <f t="shared" si="12"/>
        <v>9558</v>
      </c>
      <c r="S209" s="6">
        <f t="shared" si="13"/>
        <v>1639602.83</v>
      </c>
      <c r="T209" s="81">
        <f t="shared" si="4"/>
        <v>420.3795396</v>
      </c>
      <c r="U209" s="6"/>
      <c r="V209" s="6"/>
      <c r="W209" s="6"/>
      <c r="X209" s="6"/>
      <c r="Y209" s="6"/>
    </row>
    <row r="210" ht="11.25" customHeight="1">
      <c r="A210" s="100">
        <v>18.0</v>
      </c>
      <c r="B210" s="66">
        <f t="shared" si="14"/>
        <v>205</v>
      </c>
      <c r="C210" s="607"/>
      <c r="D210" s="617">
        <f t="shared" si="15"/>
        <v>0</v>
      </c>
      <c r="E210" s="617">
        <f t="shared" si="1"/>
        <v>0</v>
      </c>
      <c r="F210" s="617">
        <f t="shared" si="7"/>
        <v>2808000</v>
      </c>
      <c r="G210" s="617">
        <f t="shared" si="8"/>
        <v>390029.1702</v>
      </c>
      <c r="H210" s="617">
        <f t="shared" si="9"/>
        <v>3198029.17</v>
      </c>
      <c r="I210" s="617">
        <f t="shared" si="10"/>
        <v>0.000157801127</v>
      </c>
      <c r="J210" s="610"/>
      <c r="K210" s="591"/>
      <c r="L210" s="6"/>
      <c r="M210" s="9">
        <v>12000.0</v>
      </c>
      <c r="N210" s="79">
        <f t="shared" si="11"/>
        <v>2539800</v>
      </c>
      <c r="O210" s="6">
        <f t="shared" si="2"/>
        <v>1649160.83</v>
      </c>
      <c r="P210" s="6">
        <f t="shared" si="3"/>
        <v>58.73079879</v>
      </c>
      <c r="Q210" s="6"/>
      <c r="R210" s="6">
        <f t="shared" si="12"/>
        <v>9558</v>
      </c>
      <c r="S210" s="6">
        <f t="shared" si="13"/>
        <v>1649160.83</v>
      </c>
      <c r="T210" s="81">
        <f t="shared" si="4"/>
        <v>422.8301255</v>
      </c>
      <c r="U210" s="6"/>
      <c r="V210" s="6"/>
      <c r="W210" s="6"/>
      <c r="X210" s="6"/>
      <c r="Y210" s="6"/>
    </row>
    <row r="211" ht="11.25" customHeight="1">
      <c r="A211" s="7"/>
      <c r="B211" s="68">
        <f t="shared" si="14"/>
        <v>206</v>
      </c>
      <c r="C211" s="607"/>
      <c r="D211" s="6">
        <f t="shared" si="15"/>
        <v>0</v>
      </c>
      <c r="E211" s="6">
        <f t="shared" si="1"/>
        <v>0</v>
      </c>
      <c r="F211" s="6">
        <f t="shared" si="7"/>
        <v>2808000</v>
      </c>
      <c r="G211" s="6">
        <f t="shared" si="8"/>
        <v>390029.1702</v>
      </c>
      <c r="H211" s="6">
        <f t="shared" si="9"/>
        <v>3198029.17</v>
      </c>
      <c r="I211" s="6">
        <f t="shared" si="10"/>
        <v>0.000157801127</v>
      </c>
      <c r="J211" s="610"/>
      <c r="K211" s="591"/>
      <c r="L211" s="6"/>
      <c r="M211" s="9">
        <v>12000.0</v>
      </c>
      <c r="N211" s="79">
        <f t="shared" si="11"/>
        <v>2551800</v>
      </c>
      <c r="O211" s="6">
        <f t="shared" si="2"/>
        <v>1658718.83</v>
      </c>
      <c r="P211" s="6">
        <f t="shared" si="3"/>
        <v>59.0711834</v>
      </c>
      <c r="Q211" s="6"/>
      <c r="R211" s="6">
        <f t="shared" si="12"/>
        <v>9558</v>
      </c>
      <c r="S211" s="6">
        <f t="shared" si="13"/>
        <v>1658718.83</v>
      </c>
      <c r="T211" s="81">
        <f t="shared" si="4"/>
        <v>425.2807115</v>
      </c>
      <c r="U211" s="6"/>
      <c r="V211" s="6"/>
      <c r="W211" s="6"/>
      <c r="X211" s="6"/>
      <c r="Y211" s="6"/>
    </row>
    <row r="212" ht="11.25" customHeight="1">
      <c r="A212" s="7"/>
      <c r="B212" s="68">
        <f t="shared" si="14"/>
        <v>207</v>
      </c>
      <c r="C212" s="607"/>
      <c r="D212" s="6">
        <f t="shared" si="15"/>
        <v>0</v>
      </c>
      <c r="E212" s="6">
        <f t="shared" si="1"/>
        <v>0</v>
      </c>
      <c r="F212" s="6">
        <f t="shared" si="7"/>
        <v>2808000</v>
      </c>
      <c r="G212" s="6">
        <f t="shared" si="8"/>
        <v>390029.1702</v>
      </c>
      <c r="H212" s="6">
        <f t="shared" si="9"/>
        <v>3198029.17</v>
      </c>
      <c r="I212" s="6">
        <f t="shared" si="10"/>
        <v>0.000157801127</v>
      </c>
      <c r="J212" s="610"/>
      <c r="K212" s="591"/>
      <c r="L212" s="6"/>
      <c r="M212" s="9">
        <v>12000.0</v>
      </c>
      <c r="N212" s="79">
        <f t="shared" si="11"/>
        <v>2563800</v>
      </c>
      <c r="O212" s="6">
        <f t="shared" si="2"/>
        <v>1668276.83</v>
      </c>
      <c r="P212" s="6">
        <f t="shared" si="3"/>
        <v>59.41156802</v>
      </c>
      <c r="Q212" s="6"/>
      <c r="R212" s="6">
        <f t="shared" si="12"/>
        <v>9558</v>
      </c>
      <c r="S212" s="6">
        <f t="shared" si="13"/>
        <v>1668276.83</v>
      </c>
      <c r="T212" s="81">
        <f t="shared" si="4"/>
        <v>427.7312974</v>
      </c>
      <c r="U212" s="6"/>
      <c r="V212" s="6"/>
      <c r="W212" s="6"/>
      <c r="X212" s="6"/>
      <c r="Y212" s="6"/>
    </row>
    <row r="213" ht="11.25" customHeight="1">
      <c r="A213" s="7"/>
      <c r="B213" s="68">
        <f t="shared" si="14"/>
        <v>208</v>
      </c>
      <c r="C213" s="607"/>
      <c r="D213" s="6">
        <f t="shared" si="15"/>
        <v>0</v>
      </c>
      <c r="E213" s="6">
        <f t="shared" si="1"/>
        <v>0</v>
      </c>
      <c r="F213" s="6">
        <f t="shared" si="7"/>
        <v>2808000</v>
      </c>
      <c r="G213" s="6">
        <f t="shared" si="8"/>
        <v>390029.1702</v>
      </c>
      <c r="H213" s="6">
        <f t="shared" si="9"/>
        <v>3198029.17</v>
      </c>
      <c r="I213" s="6">
        <f t="shared" si="10"/>
        <v>0.000157801127</v>
      </c>
      <c r="J213" s="610"/>
      <c r="K213" s="591"/>
      <c r="L213" s="6"/>
      <c r="M213" s="9">
        <v>12000.0</v>
      </c>
      <c r="N213" s="79">
        <f t="shared" si="11"/>
        <v>2575800</v>
      </c>
      <c r="O213" s="6">
        <f t="shared" si="2"/>
        <v>1677834.83</v>
      </c>
      <c r="P213" s="6">
        <f t="shared" si="3"/>
        <v>59.75195263</v>
      </c>
      <c r="Q213" s="6"/>
      <c r="R213" s="6">
        <f t="shared" si="12"/>
        <v>9558</v>
      </c>
      <c r="S213" s="6">
        <f t="shared" si="13"/>
        <v>1677834.83</v>
      </c>
      <c r="T213" s="81">
        <f t="shared" si="4"/>
        <v>430.1818834</v>
      </c>
      <c r="U213" s="6"/>
      <c r="V213" s="6"/>
      <c r="W213" s="6"/>
      <c r="X213" s="6"/>
      <c r="Y213" s="6"/>
    </row>
    <row r="214" ht="11.25" customHeight="1">
      <c r="A214" s="7"/>
      <c r="B214" s="68">
        <f t="shared" si="14"/>
        <v>209</v>
      </c>
      <c r="C214" s="607"/>
      <c r="D214" s="6">
        <f t="shared" si="15"/>
        <v>0</v>
      </c>
      <c r="E214" s="6">
        <f t="shared" si="1"/>
        <v>0</v>
      </c>
      <c r="F214" s="6">
        <f t="shared" si="7"/>
        <v>2808000</v>
      </c>
      <c r="G214" s="6">
        <f t="shared" si="8"/>
        <v>390029.1702</v>
      </c>
      <c r="H214" s="6">
        <f t="shared" si="9"/>
        <v>3198029.17</v>
      </c>
      <c r="I214" s="6">
        <f t="shared" si="10"/>
        <v>0.000157801127</v>
      </c>
      <c r="J214" s="610"/>
      <c r="K214" s="591"/>
      <c r="L214" s="6"/>
      <c r="M214" s="9">
        <v>12000.0</v>
      </c>
      <c r="N214" s="79">
        <f t="shared" si="11"/>
        <v>2587800</v>
      </c>
      <c r="O214" s="6">
        <f t="shared" si="2"/>
        <v>1687392.83</v>
      </c>
      <c r="P214" s="6">
        <f t="shared" si="3"/>
        <v>60.09233725</v>
      </c>
      <c r="Q214" s="6"/>
      <c r="R214" s="6">
        <f t="shared" si="12"/>
        <v>9558</v>
      </c>
      <c r="S214" s="6">
        <f t="shared" si="13"/>
        <v>1687392.83</v>
      </c>
      <c r="T214" s="81">
        <f t="shared" si="4"/>
        <v>432.6324693</v>
      </c>
      <c r="U214" s="6"/>
      <c r="V214" s="6"/>
      <c r="W214" s="6"/>
      <c r="X214" s="6"/>
      <c r="Y214" s="6"/>
    </row>
    <row r="215" ht="11.25" customHeight="1">
      <c r="A215" s="7"/>
      <c r="B215" s="68">
        <f t="shared" si="14"/>
        <v>210</v>
      </c>
      <c r="C215" s="607"/>
      <c r="D215" s="6">
        <f t="shared" si="15"/>
        <v>0</v>
      </c>
      <c r="E215" s="6">
        <f t="shared" si="1"/>
        <v>0</v>
      </c>
      <c r="F215" s="6">
        <f t="shared" si="7"/>
        <v>2808000</v>
      </c>
      <c r="G215" s="6">
        <f t="shared" si="8"/>
        <v>390029.1702</v>
      </c>
      <c r="H215" s="6">
        <f t="shared" si="9"/>
        <v>3198029.17</v>
      </c>
      <c r="I215" s="6">
        <f t="shared" si="10"/>
        <v>0.000157801127</v>
      </c>
      <c r="J215" s="610"/>
      <c r="K215" s="591"/>
      <c r="L215" s="6"/>
      <c r="M215" s="9">
        <v>12000.0</v>
      </c>
      <c r="N215" s="79">
        <f t="shared" si="11"/>
        <v>2599800</v>
      </c>
      <c r="O215" s="6">
        <f t="shared" si="2"/>
        <v>1696950.83</v>
      </c>
      <c r="P215" s="6">
        <f t="shared" si="3"/>
        <v>60.43272186</v>
      </c>
      <c r="Q215" s="6"/>
      <c r="R215" s="6">
        <f t="shared" si="12"/>
        <v>9558</v>
      </c>
      <c r="S215" s="6">
        <f t="shared" si="13"/>
        <v>1696950.83</v>
      </c>
      <c r="T215" s="81">
        <f t="shared" si="4"/>
        <v>435.0830552</v>
      </c>
      <c r="U215" s="6"/>
      <c r="V215" s="6"/>
      <c r="W215" s="6"/>
      <c r="X215" s="6"/>
      <c r="Y215" s="6"/>
    </row>
    <row r="216" ht="11.25" customHeight="1">
      <c r="A216" s="7"/>
      <c r="B216" s="68">
        <f t="shared" si="14"/>
        <v>211</v>
      </c>
      <c r="C216" s="607"/>
      <c r="D216" s="6">
        <f t="shared" si="15"/>
        <v>0</v>
      </c>
      <c r="E216" s="6">
        <f t="shared" si="1"/>
        <v>0</v>
      </c>
      <c r="F216" s="6">
        <f t="shared" si="7"/>
        <v>2808000</v>
      </c>
      <c r="G216" s="6">
        <f t="shared" si="8"/>
        <v>390029.1702</v>
      </c>
      <c r="H216" s="6">
        <f t="shared" si="9"/>
        <v>3198029.17</v>
      </c>
      <c r="I216" s="6">
        <f t="shared" si="10"/>
        <v>0.000157801127</v>
      </c>
      <c r="J216" s="610"/>
      <c r="K216" s="591"/>
      <c r="L216" s="6"/>
      <c r="M216" s="9">
        <v>12000.0</v>
      </c>
      <c r="N216" s="79">
        <f t="shared" si="11"/>
        <v>2611800</v>
      </c>
      <c r="O216" s="6">
        <f t="shared" si="2"/>
        <v>1706508.83</v>
      </c>
      <c r="P216" s="6">
        <f t="shared" si="3"/>
        <v>60.77310648</v>
      </c>
      <c r="Q216" s="6"/>
      <c r="R216" s="6">
        <f t="shared" si="12"/>
        <v>9558</v>
      </c>
      <c r="S216" s="6">
        <f t="shared" si="13"/>
        <v>1706508.83</v>
      </c>
      <c r="T216" s="81">
        <f t="shared" si="4"/>
        <v>437.5336412</v>
      </c>
      <c r="U216" s="6"/>
      <c r="V216" s="6"/>
      <c r="W216" s="6"/>
      <c r="X216" s="6"/>
      <c r="Y216" s="6"/>
    </row>
    <row r="217" ht="11.25" customHeight="1">
      <c r="A217" s="7"/>
      <c r="B217" s="68">
        <f t="shared" si="14"/>
        <v>212</v>
      </c>
      <c r="C217" s="607"/>
      <c r="D217" s="6">
        <f t="shared" si="15"/>
        <v>0</v>
      </c>
      <c r="E217" s="6">
        <f t="shared" si="1"/>
        <v>0</v>
      </c>
      <c r="F217" s="6">
        <f t="shared" si="7"/>
        <v>2808000</v>
      </c>
      <c r="G217" s="6">
        <f t="shared" si="8"/>
        <v>390029.1702</v>
      </c>
      <c r="H217" s="6">
        <f t="shared" si="9"/>
        <v>3198029.17</v>
      </c>
      <c r="I217" s="6">
        <f t="shared" si="10"/>
        <v>0.000157801127</v>
      </c>
      <c r="J217" s="610"/>
      <c r="K217" s="591"/>
      <c r="L217" s="6"/>
      <c r="M217" s="9">
        <v>12000.0</v>
      </c>
      <c r="N217" s="79">
        <f t="shared" si="11"/>
        <v>2623800</v>
      </c>
      <c r="O217" s="6">
        <f t="shared" si="2"/>
        <v>1716066.83</v>
      </c>
      <c r="P217" s="6">
        <f t="shared" si="3"/>
        <v>61.11349109</v>
      </c>
      <c r="Q217" s="6"/>
      <c r="R217" s="6">
        <f t="shared" si="12"/>
        <v>9558</v>
      </c>
      <c r="S217" s="6">
        <f t="shared" si="13"/>
        <v>1716066.83</v>
      </c>
      <c r="T217" s="81">
        <f t="shared" si="4"/>
        <v>439.9842271</v>
      </c>
      <c r="U217" s="6"/>
      <c r="V217" s="6"/>
      <c r="W217" s="6"/>
      <c r="X217" s="6"/>
      <c r="Y217" s="6"/>
    </row>
    <row r="218" ht="11.25" customHeight="1">
      <c r="A218" s="7"/>
      <c r="B218" s="68">
        <f t="shared" si="14"/>
        <v>213</v>
      </c>
      <c r="C218" s="607"/>
      <c r="D218" s="6">
        <f t="shared" si="15"/>
        <v>0</v>
      </c>
      <c r="E218" s="6">
        <f t="shared" si="1"/>
        <v>0</v>
      </c>
      <c r="F218" s="6">
        <f t="shared" si="7"/>
        <v>2808000</v>
      </c>
      <c r="G218" s="6">
        <f t="shared" si="8"/>
        <v>390029.1702</v>
      </c>
      <c r="H218" s="6">
        <f t="shared" si="9"/>
        <v>3198029.17</v>
      </c>
      <c r="I218" s="6">
        <f t="shared" si="10"/>
        <v>0.000157801127</v>
      </c>
      <c r="J218" s="610"/>
      <c r="K218" s="591"/>
      <c r="L218" s="6"/>
      <c r="M218" s="9">
        <v>12000.0</v>
      </c>
      <c r="N218" s="79">
        <f t="shared" si="11"/>
        <v>2635800</v>
      </c>
      <c r="O218" s="6">
        <f t="shared" si="2"/>
        <v>1725624.83</v>
      </c>
      <c r="P218" s="6">
        <f t="shared" si="3"/>
        <v>61.45387571</v>
      </c>
      <c r="Q218" s="6"/>
      <c r="R218" s="6">
        <f t="shared" si="12"/>
        <v>9558</v>
      </c>
      <c r="S218" s="6">
        <f t="shared" si="13"/>
        <v>1725624.83</v>
      </c>
      <c r="T218" s="81">
        <f t="shared" si="4"/>
        <v>442.4348131</v>
      </c>
      <c r="U218" s="6"/>
      <c r="V218" s="6"/>
      <c r="W218" s="6"/>
      <c r="X218" s="6"/>
      <c r="Y218" s="6"/>
    </row>
    <row r="219" ht="11.25" customHeight="1">
      <c r="A219" s="7"/>
      <c r="B219" s="68">
        <f t="shared" si="14"/>
        <v>214</v>
      </c>
      <c r="C219" s="607"/>
      <c r="D219" s="6">
        <f t="shared" si="15"/>
        <v>0</v>
      </c>
      <c r="E219" s="6">
        <f t="shared" si="1"/>
        <v>0</v>
      </c>
      <c r="F219" s="6">
        <f t="shared" si="7"/>
        <v>2808000</v>
      </c>
      <c r="G219" s="6">
        <f t="shared" si="8"/>
        <v>390029.1702</v>
      </c>
      <c r="H219" s="6">
        <f t="shared" si="9"/>
        <v>3198029.17</v>
      </c>
      <c r="I219" s="6">
        <f t="shared" si="10"/>
        <v>0.000157801127</v>
      </c>
      <c r="J219" s="610"/>
      <c r="K219" s="591"/>
      <c r="L219" s="6"/>
      <c r="M219" s="9">
        <v>12000.0</v>
      </c>
      <c r="N219" s="79">
        <f t="shared" si="11"/>
        <v>2647800</v>
      </c>
      <c r="O219" s="6">
        <f t="shared" si="2"/>
        <v>1735182.83</v>
      </c>
      <c r="P219" s="6">
        <f t="shared" si="3"/>
        <v>61.79426033</v>
      </c>
      <c r="Q219" s="6"/>
      <c r="R219" s="6">
        <f t="shared" si="12"/>
        <v>9558</v>
      </c>
      <c r="S219" s="6">
        <f t="shared" si="13"/>
        <v>1735182.83</v>
      </c>
      <c r="T219" s="81">
        <f t="shared" si="4"/>
        <v>444.885399</v>
      </c>
      <c r="U219" s="6"/>
      <c r="V219" s="6"/>
      <c r="W219" s="6"/>
      <c r="X219" s="6"/>
      <c r="Y219" s="6"/>
    </row>
    <row r="220" ht="11.25" customHeight="1">
      <c r="A220" s="7"/>
      <c r="B220" s="68">
        <f t="shared" si="14"/>
        <v>215</v>
      </c>
      <c r="C220" s="607"/>
      <c r="D220" s="6">
        <f t="shared" si="15"/>
        <v>0</v>
      </c>
      <c r="E220" s="6">
        <f t="shared" si="1"/>
        <v>0</v>
      </c>
      <c r="F220" s="6">
        <f t="shared" si="7"/>
        <v>2808000</v>
      </c>
      <c r="G220" s="6">
        <f t="shared" si="8"/>
        <v>390029.1702</v>
      </c>
      <c r="H220" s="6">
        <f t="shared" si="9"/>
        <v>3198029.17</v>
      </c>
      <c r="I220" s="6">
        <f t="shared" si="10"/>
        <v>0.000157801127</v>
      </c>
      <c r="J220" s="610"/>
      <c r="K220" s="591"/>
      <c r="L220" s="6"/>
      <c r="M220" s="9">
        <v>12000.0</v>
      </c>
      <c r="N220" s="79">
        <f t="shared" si="11"/>
        <v>2659800</v>
      </c>
      <c r="O220" s="6">
        <f t="shared" si="2"/>
        <v>1744740.83</v>
      </c>
      <c r="P220" s="6">
        <f t="shared" si="3"/>
        <v>62.13464494</v>
      </c>
      <c r="Q220" s="6"/>
      <c r="R220" s="6">
        <f t="shared" si="12"/>
        <v>9558</v>
      </c>
      <c r="S220" s="6">
        <f t="shared" si="13"/>
        <v>1744740.83</v>
      </c>
      <c r="T220" s="81">
        <f t="shared" si="4"/>
        <v>447.3359849</v>
      </c>
      <c r="U220" s="6"/>
      <c r="V220" s="6"/>
      <c r="W220" s="6"/>
      <c r="X220" s="6"/>
      <c r="Y220" s="6"/>
    </row>
    <row r="221" ht="11.25" customHeight="1">
      <c r="A221" s="71"/>
      <c r="B221" s="72">
        <f t="shared" si="14"/>
        <v>216</v>
      </c>
      <c r="C221" s="607"/>
      <c r="D221" s="10">
        <f t="shared" si="15"/>
        <v>0</v>
      </c>
      <c r="E221" s="10">
        <f t="shared" si="1"/>
        <v>0</v>
      </c>
      <c r="F221" s="10">
        <f t="shared" si="7"/>
        <v>2808000</v>
      </c>
      <c r="G221" s="10">
        <f t="shared" si="8"/>
        <v>390029.1702</v>
      </c>
      <c r="H221" s="10">
        <f t="shared" si="9"/>
        <v>3198029.17</v>
      </c>
      <c r="I221" s="10">
        <f t="shared" si="10"/>
        <v>0.000157801127</v>
      </c>
      <c r="J221" s="610"/>
      <c r="K221" s="591"/>
      <c r="L221" s="6"/>
      <c r="M221" s="9">
        <v>12000.0</v>
      </c>
      <c r="N221" s="79">
        <f t="shared" si="11"/>
        <v>2671800</v>
      </c>
      <c r="O221" s="6">
        <f t="shared" si="2"/>
        <v>1754298.83</v>
      </c>
      <c r="P221" s="6">
        <f t="shared" si="3"/>
        <v>62.47502956</v>
      </c>
      <c r="Q221" s="6"/>
      <c r="R221" s="6">
        <f t="shared" si="12"/>
        <v>9558</v>
      </c>
      <c r="S221" s="6">
        <f t="shared" si="13"/>
        <v>1754298.83</v>
      </c>
      <c r="T221" s="81">
        <f t="shared" si="4"/>
        <v>449.7865709</v>
      </c>
      <c r="U221" s="6"/>
      <c r="V221" s="6"/>
      <c r="W221" s="6"/>
      <c r="X221" s="6"/>
      <c r="Y221" s="6"/>
    </row>
    <row r="222" ht="11.25" customHeight="1">
      <c r="A222" s="100">
        <v>19.0</v>
      </c>
      <c r="B222" s="66">
        <f t="shared" si="14"/>
        <v>217</v>
      </c>
      <c r="C222" s="607"/>
      <c r="D222" s="617">
        <f t="shared" si="15"/>
        <v>0</v>
      </c>
      <c r="E222" s="617">
        <f t="shared" si="1"/>
        <v>0</v>
      </c>
      <c r="F222" s="617">
        <f t="shared" si="7"/>
        <v>2808000</v>
      </c>
      <c r="G222" s="617">
        <f t="shared" si="8"/>
        <v>390029.1702</v>
      </c>
      <c r="H222" s="617">
        <f t="shared" si="9"/>
        <v>3198029.17</v>
      </c>
      <c r="I222" s="617">
        <f t="shared" si="10"/>
        <v>0.000157801127</v>
      </c>
      <c r="J222" s="610"/>
      <c r="K222" s="591"/>
      <c r="L222" s="6"/>
      <c r="M222" s="9">
        <v>12000.0</v>
      </c>
      <c r="N222" s="79">
        <f t="shared" si="11"/>
        <v>2683800</v>
      </c>
      <c r="O222" s="6">
        <f t="shared" si="2"/>
        <v>1763856.83</v>
      </c>
      <c r="P222" s="6">
        <f t="shared" si="3"/>
        <v>62.81541417</v>
      </c>
      <c r="Q222" s="6"/>
      <c r="R222" s="6">
        <f t="shared" si="12"/>
        <v>9558</v>
      </c>
      <c r="S222" s="6">
        <f t="shared" si="13"/>
        <v>1763856.83</v>
      </c>
      <c r="T222" s="81">
        <f t="shared" si="4"/>
        <v>452.2371568</v>
      </c>
      <c r="U222" s="6"/>
      <c r="V222" s="6"/>
      <c r="W222" s="6"/>
      <c r="X222" s="6"/>
      <c r="Y222" s="6"/>
    </row>
    <row r="223" ht="11.25" customHeight="1">
      <c r="A223" s="7"/>
      <c r="B223" s="68">
        <f t="shared" si="14"/>
        <v>218</v>
      </c>
      <c r="C223" s="607"/>
      <c r="D223" s="6">
        <f t="shared" si="15"/>
        <v>0</v>
      </c>
      <c r="E223" s="6">
        <f t="shared" si="1"/>
        <v>0</v>
      </c>
      <c r="F223" s="6">
        <f t="shared" si="7"/>
        <v>2808000</v>
      </c>
      <c r="G223" s="6">
        <f t="shared" si="8"/>
        <v>390029.1702</v>
      </c>
      <c r="H223" s="6">
        <f t="shared" si="9"/>
        <v>3198029.17</v>
      </c>
      <c r="I223" s="6">
        <f t="shared" si="10"/>
        <v>0.000157801127</v>
      </c>
      <c r="J223" s="610"/>
      <c r="K223" s="591"/>
      <c r="L223" s="6"/>
      <c r="M223" s="9">
        <v>12000.0</v>
      </c>
      <c r="N223" s="79">
        <f t="shared" si="11"/>
        <v>2695800</v>
      </c>
      <c r="O223" s="6">
        <f t="shared" si="2"/>
        <v>1773414.83</v>
      </c>
      <c r="P223" s="6">
        <f t="shared" si="3"/>
        <v>63.15579879</v>
      </c>
      <c r="Q223" s="6"/>
      <c r="R223" s="6">
        <f t="shared" si="12"/>
        <v>9558</v>
      </c>
      <c r="S223" s="6">
        <f t="shared" si="13"/>
        <v>1773414.83</v>
      </c>
      <c r="T223" s="81">
        <f t="shared" si="4"/>
        <v>454.6877427</v>
      </c>
      <c r="U223" s="6"/>
      <c r="V223" s="6"/>
      <c r="W223" s="6"/>
      <c r="X223" s="6"/>
      <c r="Y223" s="6"/>
    </row>
    <row r="224" ht="11.25" customHeight="1">
      <c r="A224" s="7"/>
      <c r="B224" s="68">
        <f t="shared" si="14"/>
        <v>219</v>
      </c>
      <c r="C224" s="607"/>
      <c r="D224" s="6">
        <f t="shared" si="15"/>
        <v>0</v>
      </c>
      <c r="E224" s="6">
        <f t="shared" si="1"/>
        <v>0</v>
      </c>
      <c r="F224" s="6">
        <f t="shared" si="7"/>
        <v>2808000</v>
      </c>
      <c r="G224" s="6">
        <f t="shared" si="8"/>
        <v>390029.1702</v>
      </c>
      <c r="H224" s="6">
        <f t="shared" si="9"/>
        <v>3198029.17</v>
      </c>
      <c r="I224" s="6">
        <f t="shared" si="10"/>
        <v>0.000157801127</v>
      </c>
      <c r="J224" s="610"/>
      <c r="K224" s="591"/>
      <c r="L224" s="6"/>
      <c r="M224" s="9">
        <v>12000.0</v>
      </c>
      <c r="N224" s="79">
        <f t="shared" si="11"/>
        <v>2707800</v>
      </c>
      <c r="O224" s="6">
        <f t="shared" si="2"/>
        <v>1782972.83</v>
      </c>
      <c r="P224" s="6">
        <f t="shared" si="3"/>
        <v>63.4961834</v>
      </c>
      <c r="Q224" s="6"/>
      <c r="R224" s="6">
        <f t="shared" si="12"/>
        <v>9558</v>
      </c>
      <c r="S224" s="6">
        <f t="shared" si="13"/>
        <v>1782972.83</v>
      </c>
      <c r="T224" s="81">
        <f t="shared" si="4"/>
        <v>457.1383287</v>
      </c>
      <c r="U224" s="6"/>
      <c r="V224" s="6"/>
      <c r="W224" s="6"/>
      <c r="X224" s="6"/>
      <c r="Y224" s="6"/>
    </row>
    <row r="225" ht="11.25" customHeight="1">
      <c r="A225" s="7"/>
      <c r="B225" s="68">
        <f t="shared" si="14"/>
        <v>220</v>
      </c>
      <c r="C225" s="607"/>
      <c r="D225" s="6">
        <f t="shared" si="15"/>
        <v>0</v>
      </c>
      <c r="E225" s="6">
        <f t="shared" si="1"/>
        <v>0</v>
      </c>
      <c r="F225" s="6">
        <f t="shared" si="7"/>
        <v>2808000</v>
      </c>
      <c r="G225" s="6">
        <f t="shared" si="8"/>
        <v>390029.1702</v>
      </c>
      <c r="H225" s="6">
        <f t="shared" si="9"/>
        <v>3198029.17</v>
      </c>
      <c r="I225" s="6">
        <f t="shared" si="10"/>
        <v>0.000157801127</v>
      </c>
      <c r="J225" s="610"/>
      <c r="K225" s="591"/>
      <c r="L225" s="6"/>
      <c r="M225" s="9">
        <v>12000.0</v>
      </c>
      <c r="N225" s="79">
        <f t="shared" si="11"/>
        <v>2719800</v>
      </c>
      <c r="O225" s="6">
        <f t="shared" si="2"/>
        <v>1792530.83</v>
      </c>
      <c r="P225" s="6">
        <f t="shared" si="3"/>
        <v>63.83656802</v>
      </c>
      <c r="Q225" s="6"/>
      <c r="R225" s="6">
        <f t="shared" si="12"/>
        <v>9558</v>
      </c>
      <c r="S225" s="6">
        <f t="shared" si="13"/>
        <v>1792530.83</v>
      </c>
      <c r="T225" s="81">
        <f t="shared" si="4"/>
        <v>459.5889146</v>
      </c>
      <c r="U225" s="6"/>
      <c r="V225" s="6"/>
      <c r="W225" s="6"/>
      <c r="X225" s="6"/>
      <c r="Y225" s="6"/>
    </row>
    <row r="226" ht="11.25" customHeight="1">
      <c r="A226" s="7"/>
      <c r="B226" s="68">
        <f t="shared" si="14"/>
        <v>221</v>
      </c>
      <c r="C226" s="607"/>
      <c r="D226" s="6">
        <f t="shared" si="15"/>
        <v>0</v>
      </c>
      <c r="E226" s="6">
        <f t="shared" si="1"/>
        <v>0</v>
      </c>
      <c r="F226" s="6">
        <f t="shared" si="7"/>
        <v>2808000</v>
      </c>
      <c r="G226" s="6">
        <f t="shared" si="8"/>
        <v>390029.1702</v>
      </c>
      <c r="H226" s="6">
        <f t="shared" si="9"/>
        <v>3198029.17</v>
      </c>
      <c r="I226" s="6">
        <f t="shared" si="10"/>
        <v>0.000157801127</v>
      </c>
      <c r="J226" s="610"/>
      <c r="K226" s="591"/>
      <c r="L226" s="6"/>
      <c r="M226" s="9">
        <v>12000.0</v>
      </c>
      <c r="N226" s="79">
        <f t="shared" si="11"/>
        <v>2731800</v>
      </c>
      <c r="O226" s="6">
        <f t="shared" si="2"/>
        <v>1802088.83</v>
      </c>
      <c r="P226" s="6">
        <f t="shared" si="3"/>
        <v>64.17695263</v>
      </c>
      <c r="Q226" s="6"/>
      <c r="R226" s="6">
        <f t="shared" si="12"/>
        <v>9558</v>
      </c>
      <c r="S226" s="6">
        <f t="shared" si="13"/>
        <v>1802088.83</v>
      </c>
      <c r="T226" s="81">
        <f t="shared" si="4"/>
        <v>462.0395006</v>
      </c>
      <c r="U226" s="6"/>
      <c r="V226" s="6"/>
      <c r="W226" s="6"/>
      <c r="X226" s="6"/>
      <c r="Y226" s="6"/>
    </row>
    <row r="227" ht="11.25" customHeight="1">
      <c r="A227" s="7"/>
      <c r="B227" s="68">
        <f t="shared" si="14"/>
        <v>222</v>
      </c>
      <c r="C227" s="607"/>
      <c r="D227" s="6">
        <f t="shared" si="15"/>
        <v>0</v>
      </c>
      <c r="E227" s="6">
        <f t="shared" si="1"/>
        <v>0</v>
      </c>
      <c r="F227" s="6">
        <f t="shared" si="7"/>
        <v>2808000</v>
      </c>
      <c r="G227" s="6">
        <f t="shared" si="8"/>
        <v>390029.1702</v>
      </c>
      <c r="H227" s="6">
        <f t="shared" si="9"/>
        <v>3198029.17</v>
      </c>
      <c r="I227" s="6">
        <f t="shared" si="10"/>
        <v>0.000157801127</v>
      </c>
      <c r="J227" s="610"/>
      <c r="K227" s="591"/>
      <c r="L227" s="6"/>
      <c r="M227" s="9">
        <v>12000.0</v>
      </c>
      <c r="N227" s="79">
        <f t="shared" si="11"/>
        <v>2743800</v>
      </c>
      <c r="O227" s="6">
        <f t="shared" si="2"/>
        <v>1811646.83</v>
      </c>
      <c r="P227" s="6">
        <f t="shared" si="3"/>
        <v>64.51733725</v>
      </c>
      <c r="Q227" s="6"/>
      <c r="R227" s="6">
        <f t="shared" si="12"/>
        <v>9558</v>
      </c>
      <c r="S227" s="6">
        <f t="shared" si="13"/>
        <v>1811646.83</v>
      </c>
      <c r="T227" s="81">
        <f t="shared" si="4"/>
        <v>464.4900865</v>
      </c>
      <c r="U227" s="6"/>
      <c r="V227" s="6"/>
      <c r="W227" s="6"/>
      <c r="X227" s="6"/>
      <c r="Y227" s="6"/>
    </row>
    <row r="228" ht="11.25" customHeight="1">
      <c r="A228" s="7"/>
      <c r="B228" s="68">
        <f t="shared" si="14"/>
        <v>223</v>
      </c>
      <c r="C228" s="607"/>
      <c r="D228" s="6">
        <f t="shared" si="15"/>
        <v>0</v>
      </c>
      <c r="E228" s="6">
        <f t="shared" si="1"/>
        <v>0</v>
      </c>
      <c r="F228" s="6">
        <f t="shared" si="7"/>
        <v>2808000</v>
      </c>
      <c r="G228" s="6">
        <f t="shared" si="8"/>
        <v>390029.1702</v>
      </c>
      <c r="H228" s="6">
        <f t="shared" si="9"/>
        <v>3198029.17</v>
      </c>
      <c r="I228" s="6">
        <f t="shared" si="10"/>
        <v>0.000157801127</v>
      </c>
      <c r="J228" s="610"/>
      <c r="K228" s="591"/>
      <c r="L228" s="6"/>
      <c r="M228" s="9">
        <v>12000.0</v>
      </c>
      <c r="N228" s="79">
        <f t="shared" si="11"/>
        <v>2755800</v>
      </c>
      <c r="O228" s="6">
        <f t="shared" si="2"/>
        <v>1821204.83</v>
      </c>
      <c r="P228" s="6">
        <f t="shared" si="3"/>
        <v>64.85772186</v>
      </c>
      <c r="Q228" s="6"/>
      <c r="R228" s="6">
        <f t="shared" si="12"/>
        <v>9558</v>
      </c>
      <c r="S228" s="6">
        <f t="shared" si="13"/>
        <v>1821204.83</v>
      </c>
      <c r="T228" s="81">
        <f t="shared" si="4"/>
        <v>466.9406724</v>
      </c>
      <c r="U228" s="6"/>
      <c r="V228" s="6"/>
      <c r="W228" s="6"/>
      <c r="X228" s="6"/>
      <c r="Y228" s="6"/>
    </row>
    <row r="229" ht="11.25" customHeight="1">
      <c r="A229" s="7"/>
      <c r="B229" s="68">
        <f t="shared" si="14"/>
        <v>224</v>
      </c>
      <c r="C229" s="607"/>
      <c r="D229" s="6">
        <f t="shared" si="15"/>
        <v>0</v>
      </c>
      <c r="E229" s="6">
        <f t="shared" si="1"/>
        <v>0</v>
      </c>
      <c r="F229" s="6">
        <f t="shared" si="7"/>
        <v>2808000</v>
      </c>
      <c r="G229" s="6">
        <f t="shared" si="8"/>
        <v>390029.1702</v>
      </c>
      <c r="H229" s="6">
        <f t="shared" si="9"/>
        <v>3198029.17</v>
      </c>
      <c r="I229" s="6">
        <f t="shared" si="10"/>
        <v>0.000157801127</v>
      </c>
      <c r="J229" s="610"/>
      <c r="K229" s="591"/>
      <c r="L229" s="6"/>
      <c r="M229" s="9">
        <v>12000.0</v>
      </c>
      <c r="N229" s="79">
        <f t="shared" si="11"/>
        <v>2767800</v>
      </c>
      <c r="O229" s="6">
        <f t="shared" si="2"/>
        <v>1830762.83</v>
      </c>
      <c r="P229" s="6">
        <f t="shared" si="3"/>
        <v>65.19810648</v>
      </c>
      <c r="Q229" s="6"/>
      <c r="R229" s="6">
        <f t="shared" si="12"/>
        <v>9558</v>
      </c>
      <c r="S229" s="6">
        <f t="shared" si="13"/>
        <v>1830762.83</v>
      </c>
      <c r="T229" s="81">
        <f t="shared" si="4"/>
        <v>469.3912584</v>
      </c>
      <c r="U229" s="6"/>
      <c r="V229" s="6"/>
      <c r="W229" s="6"/>
      <c r="X229" s="6"/>
      <c r="Y229" s="6"/>
    </row>
    <row r="230" ht="11.25" customHeight="1">
      <c r="A230" s="7"/>
      <c r="B230" s="68">
        <f t="shared" si="14"/>
        <v>225</v>
      </c>
      <c r="C230" s="607"/>
      <c r="D230" s="6">
        <f t="shared" si="15"/>
        <v>0</v>
      </c>
      <c r="E230" s="6">
        <f t="shared" si="1"/>
        <v>0</v>
      </c>
      <c r="F230" s="6">
        <f t="shared" si="7"/>
        <v>2808000</v>
      </c>
      <c r="G230" s="6">
        <f t="shared" si="8"/>
        <v>390029.1702</v>
      </c>
      <c r="H230" s="6">
        <f t="shared" si="9"/>
        <v>3198029.17</v>
      </c>
      <c r="I230" s="6">
        <f t="shared" si="10"/>
        <v>0.000157801127</v>
      </c>
      <c r="J230" s="610"/>
      <c r="K230" s="591"/>
      <c r="L230" s="6"/>
      <c r="M230" s="9">
        <v>12000.0</v>
      </c>
      <c r="N230" s="79">
        <f t="shared" si="11"/>
        <v>2779800</v>
      </c>
      <c r="O230" s="6">
        <f t="shared" si="2"/>
        <v>1840320.83</v>
      </c>
      <c r="P230" s="6">
        <f t="shared" si="3"/>
        <v>65.53849109</v>
      </c>
      <c r="Q230" s="6"/>
      <c r="R230" s="6">
        <f t="shared" si="12"/>
        <v>9558</v>
      </c>
      <c r="S230" s="6">
        <f t="shared" si="13"/>
        <v>1840320.83</v>
      </c>
      <c r="T230" s="81">
        <f t="shared" si="4"/>
        <v>471.8418443</v>
      </c>
      <c r="U230" s="6"/>
      <c r="V230" s="6"/>
      <c r="W230" s="6"/>
      <c r="X230" s="6"/>
      <c r="Y230" s="6"/>
    </row>
    <row r="231" ht="11.25" customHeight="1">
      <c r="A231" s="7"/>
      <c r="B231" s="68">
        <f t="shared" si="14"/>
        <v>226</v>
      </c>
      <c r="C231" s="607"/>
      <c r="D231" s="6">
        <f t="shared" si="15"/>
        <v>0</v>
      </c>
      <c r="E231" s="6">
        <f t="shared" si="1"/>
        <v>0</v>
      </c>
      <c r="F231" s="6">
        <f t="shared" si="7"/>
        <v>2808000</v>
      </c>
      <c r="G231" s="6">
        <f t="shared" si="8"/>
        <v>390029.1702</v>
      </c>
      <c r="H231" s="6">
        <f t="shared" si="9"/>
        <v>3198029.17</v>
      </c>
      <c r="I231" s="6">
        <f t="shared" si="10"/>
        <v>0.000157801127</v>
      </c>
      <c r="J231" s="610"/>
      <c r="K231" s="591"/>
      <c r="L231" s="6"/>
      <c r="M231" s="9">
        <v>12000.0</v>
      </c>
      <c r="N231" s="79">
        <f t="shared" si="11"/>
        <v>2791800</v>
      </c>
      <c r="O231" s="6">
        <f t="shared" si="2"/>
        <v>1849878.83</v>
      </c>
      <c r="P231" s="6">
        <f t="shared" si="3"/>
        <v>65.87887571</v>
      </c>
      <c r="Q231" s="6"/>
      <c r="R231" s="6">
        <f t="shared" si="12"/>
        <v>9558</v>
      </c>
      <c r="S231" s="6">
        <f t="shared" si="13"/>
        <v>1849878.83</v>
      </c>
      <c r="T231" s="81">
        <f t="shared" si="4"/>
        <v>474.2924303</v>
      </c>
      <c r="U231" s="6"/>
      <c r="V231" s="6"/>
      <c r="W231" s="6"/>
      <c r="X231" s="6"/>
      <c r="Y231" s="6"/>
    </row>
    <row r="232" ht="11.25" customHeight="1">
      <c r="A232" s="7"/>
      <c r="B232" s="68">
        <f t="shared" si="14"/>
        <v>227</v>
      </c>
      <c r="C232" s="607"/>
      <c r="D232" s="6">
        <f t="shared" si="15"/>
        <v>0</v>
      </c>
      <c r="E232" s="6">
        <f t="shared" si="1"/>
        <v>0</v>
      </c>
      <c r="F232" s="6">
        <f t="shared" si="7"/>
        <v>2808000</v>
      </c>
      <c r="G232" s="6">
        <f t="shared" si="8"/>
        <v>390029.1702</v>
      </c>
      <c r="H232" s="6">
        <f t="shared" si="9"/>
        <v>3198029.17</v>
      </c>
      <c r="I232" s="6">
        <f t="shared" si="10"/>
        <v>0.000157801127</v>
      </c>
      <c r="J232" s="610"/>
      <c r="K232" s="591"/>
      <c r="L232" s="6"/>
      <c r="M232" s="9">
        <v>12000.0</v>
      </c>
      <c r="N232" s="79">
        <f t="shared" si="11"/>
        <v>2803800</v>
      </c>
      <c r="O232" s="6">
        <f t="shared" si="2"/>
        <v>1859436.83</v>
      </c>
      <c r="P232" s="6">
        <f t="shared" si="3"/>
        <v>66.21926033</v>
      </c>
      <c r="Q232" s="6"/>
      <c r="R232" s="6">
        <f t="shared" si="12"/>
        <v>9558</v>
      </c>
      <c r="S232" s="6">
        <f t="shared" si="13"/>
        <v>1859436.83</v>
      </c>
      <c r="T232" s="81">
        <f t="shared" si="4"/>
        <v>476.7430162</v>
      </c>
      <c r="U232" s="6"/>
      <c r="V232" s="6"/>
      <c r="W232" s="6"/>
      <c r="X232" s="6"/>
      <c r="Y232" s="6"/>
    </row>
    <row r="233" ht="11.25" customHeight="1">
      <c r="A233" s="71"/>
      <c r="B233" s="72">
        <f t="shared" si="14"/>
        <v>228</v>
      </c>
      <c r="C233" s="607"/>
      <c r="D233" s="10">
        <f t="shared" si="15"/>
        <v>0</v>
      </c>
      <c r="E233" s="10">
        <f t="shared" si="1"/>
        <v>0</v>
      </c>
      <c r="F233" s="10">
        <f t="shared" si="7"/>
        <v>2808000</v>
      </c>
      <c r="G233" s="10">
        <f t="shared" si="8"/>
        <v>390029.1702</v>
      </c>
      <c r="H233" s="10">
        <f t="shared" si="9"/>
        <v>3198029.17</v>
      </c>
      <c r="I233" s="10">
        <f t="shared" si="10"/>
        <v>0.000157801127</v>
      </c>
      <c r="J233" s="610"/>
      <c r="K233" s="591"/>
      <c r="L233" s="6"/>
      <c r="M233" s="9">
        <v>12000.0</v>
      </c>
      <c r="N233" s="79">
        <f t="shared" si="11"/>
        <v>2815800</v>
      </c>
      <c r="O233" s="6">
        <f t="shared" si="2"/>
        <v>1868994.83</v>
      </c>
      <c r="P233" s="6">
        <f t="shared" si="3"/>
        <v>66.55964494</v>
      </c>
      <c r="Q233" s="6"/>
      <c r="R233" s="6">
        <f t="shared" si="12"/>
        <v>9558</v>
      </c>
      <c r="S233" s="6">
        <f t="shared" si="13"/>
        <v>1868994.83</v>
      </c>
      <c r="T233" s="81">
        <f t="shared" si="4"/>
        <v>479.1936021</v>
      </c>
      <c r="U233" s="6"/>
      <c r="V233" s="6"/>
      <c r="W233" s="6"/>
      <c r="X233" s="6"/>
      <c r="Y233" s="6"/>
    </row>
    <row r="234" ht="11.25" customHeight="1">
      <c r="A234" s="100">
        <v>20.0</v>
      </c>
      <c r="B234" s="66">
        <f t="shared" si="14"/>
        <v>229</v>
      </c>
      <c r="C234" s="607"/>
      <c r="D234" s="617">
        <f t="shared" si="15"/>
        <v>0</v>
      </c>
      <c r="E234" s="617">
        <f t="shared" si="1"/>
        <v>0</v>
      </c>
      <c r="F234" s="617">
        <f t="shared" si="7"/>
        <v>2808000</v>
      </c>
      <c r="G234" s="617">
        <f t="shared" si="8"/>
        <v>390029.1702</v>
      </c>
      <c r="H234" s="617">
        <f t="shared" si="9"/>
        <v>3198029.17</v>
      </c>
      <c r="I234" s="617">
        <f t="shared" si="10"/>
        <v>0.000157801127</v>
      </c>
      <c r="J234" s="610"/>
      <c r="K234" s="591"/>
      <c r="L234" s="6"/>
      <c r="M234" s="9">
        <v>12000.0</v>
      </c>
      <c r="N234" s="79">
        <f t="shared" si="11"/>
        <v>2827800</v>
      </c>
      <c r="O234" s="6">
        <f t="shared" si="2"/>
        <v>1878552.83</v>
      </c>
      <c r="P234" s="6">
        <f t="shared" si="3"/>
        <v>66.90002956</v>
      </c>
      <c r="Q234" s="6"/>
      <c r="R234" s="6">
        <f t="shared" si="12"/>
        <v>9558</v>
      </c>
      <c r="S234" s="6">
        <f t="shared" si="13"/>
        <v>1878552.83</v>
      </c>
      <c r="T234" s="81">
        <f t="shared" si="4"/>
        <v>481.6441881</v>
      </c>
      <c r="U234" s="6"/>
      <c r="V234" s="6"/>
      <c r="W234" s="6"/>
      <c r="X234" s="6"/>
      <c r="Y234" s="6"/>
    </row>
    <row r="235" ht="11.25" customHeight="1">
      <c r="A235" s="7"/>
      <c r="B235" s="68">
        <f t="shared" si="14"/>
        <v>230</v>
      </c>
      <c r="C235" s="607"/>
      <c r="D235" s="6">
        <f t="shared" si="15"/>
        <v>0</v>
      </c>
      <c r="E235" s="6">
        <f t="shared" si="1"/>
        <v>0</v>
      </c>
      <c r="F235" s="6">
        <f t="shared" si="7"/>
        <v>2808000</v>
      </c>
      <c r="G235" s="6">
        <f t="shared" si="8"/>
        <v>390029.1702</v>
      </c>
      <c r="H235" s="6">
        <f t="shared" si="9"/>
        <v>3198029.17</v>
      </c>
      <c r="I235" s="6">
        <f t="shared" si="10"/>
        <v>0.000157801127</v>
      </c>
      <c r="J235" s="610"/>
      <c r="K235" s="591"/>
      <c r="L235" s="6"/>
      <c r="M235" s="9">
        <v>12000.0</v>
      </c>
      <c r="N235" s="79">
        <f t="shared" si="11"/>
        <v>2839800</v>
      </c>
      <c r="O235" s="6">
        <f t="shared" si="2"/>
        <v>1888110.83</v>
      </c>
      <c r="P235" s="6">
        <f t="shared" si="3"/>
        <v>67.24041417</v>
      </c>
      <c r="Q235" s="6"/>
      <c r="R235" s="6">
        <f t="shared" si="12"/>
        <v>9558</v>
      </c>
      <c r="S235" s="6">
        <f t="shared" si="13"/>
        <v>1888110.83</v>
      </c>
      <c r="T235" s="81">
        <f t="shared" si="4"/>
        <v>484.094774</v>
      </c>
      <c r="U235" s="6"/>
      <c r="V235" s="6"/>
      <c r="W235" s="6"/>
      <c r="X235" s="6"/>
      <c r="Y235" s="6"/>
    </row>
    <row r="236" ht="11.25" customHeight="1">
      <c r="A236" s="7"/>
      <c r="B236" s="68">
        <f t="shared" si="14"/>
        <v>231</v>
      </c>
      <c r="C236" s="607"/>
      <c r="D236" s="6">
        <f t="shared" si="15"/>
        <v>0</v>
      </c>
      <c r="E236" s="6">
        <f t="shared" si="1"/>
        <v>0</v>
      </c>
      <c r="F236" s="6">
        <f t="shared" si="7"/>
        <v>2808000</v>
      </c>
      <c r="G236" s="6">
        <f t="shared" si="8"/>
        <v>390029.1702</v>
      </c>
      <c r="H236" s="6">
        <f t="shared" si="9"/>
        <v>3198029.17</v>
      </c>
      <c r="I236" s="6">
        <f t="shared" si="10"/>
        <v>0.000157801127</v>
      </c>
      <c r="J236" s="610"/>
      <c r="K236" s="591"/>
      <c r="L236" s="6"/>
      <c r="M236" s="9">
        <v>12000.0</v>
      </c>
      <c r="N236" s="79">
        <f t="shared" si="11"/>
        <v>2851800</v>
      </c>
      <c r="O236" s="6">
        <f t="shared" si="2"/>
        <v>1897668.83</v>
      </c>
      <c r="P236" s="6">
        <f t="shared" si="3"/>
        <v>67.58079879</v>
      </c>
      <c r="Q236" s="6"/>
      <c r="R236" s="6">
        <f t="shared" si="12"/>
        <v>9558</v>
      </c>
      <c r="S236" s="6">
        <f t="shared" si="13"/>
        <v>1897668.83</v>
      </c>
      <c r="T236" s="81">
        <f t="shared" si="4"/>
        <v>486.5453599</v>
      </c>
      <c r="U236" s="6"/>
      <c r="V236" s="6"/>
      <c r="W236" s="6"/>
      <c r="X236" s="6"/>
      <c r="Y236" s="6"/>
    </row>
    <row r="237" ht="11.25" customHeight="1">
      <c r="A237" s="7"/>
      <c r="B237" s="68">
        <f t="shared" si="14"/>
        <v>232</v>
      </c>
      <c r="C237" s="607"/>
      <c r="D237" s="6">
        <f t="shared" si="15"/>
        <v>0</v>
      </c>
      <c r="E237" s="6">
        <f t="shared" si="1"/>
        <v>0</v>
      </c>
      <c r="F237" s="6">
        <f t="shared" si="7"/>
        <v>2808000</v>
      </c>
      <c r="G237" s="6">
        <f t="shared" si="8"/>
        <v>390029.1702</v>
      </c>
      <c r="H237" s="6">
        <f t="shared" si="9"/>
        <v>3198029.17</v>
      </c>
      <c r="I237" s="6">
        <f t="shared" si="10"/>
        <v>0.000157801127</v>
      </c>
      <c r="J237" s="610"/>
      <c r="K237" s="591"/>
      <c r="L237" s="6"/>
      <c r="M237" s="9">
        <v>12000.0</v>
      </c>
      <c r="N237" s="79">
        <f t="shared" si="11"/>
        <v>2863800</v>
      </c>
      <c r="O237" s="6">
        <f t="shared" si="2"/>
        <v>1907226.83</v>
      </c>
      <c r="P237" s="6">
        <f t="shared" si="3"/>
        <v>67.9211834</v>
      </c>
      <c r="Q237" s="6"/>
      <c r="R237" s="6">
        <f t="shared" si="12"/>
        <v>9558</v>
      </c>
      <c r="S237" s="6">
        <f t="shared" si="13"/>
        <v>1907226.83</v>
      </c>
      <c r="T237" s="81">
        <f t="shared" si="4"/>
        <v>488.9959459</v>
      </c>
      <c r="U237" s="6"/>
      <c r="V237" s="6"/>
      <c r="W237" s="6"/>
      <c r="X237" s="6"/>
      <c r="Y237" s="6"/>
    </row>
    <row r="238" ht="11.25" customHeight="1">
      <c r="A238" s="7"/>
      <c r="B238" s="68">
        <f t="shared" si="14"/>
        <v>233</v>
      </c>
      <c r="C238" s="607"/>
      <c r="D238" s="6">
        <f t="shared" si="15"/>
        <v>0</v>
      </c>
      <c r="E238" s="6">
        <f t="shared" si="1"/>
        <v>0</v>
      </c>
      <c r="F238" s="6">
        <f t="shared" si="7"/>
        <v>2808000</v>
      </c>
      <c r="G238" s="6">
        <f t="shared" si="8"/>
        <v>390029.1702</v>
      </c>
      <c r="H238" s="6">
        <f t="shared" si="9"/>
        <v>3198029.17</v>
      </c>
      <c r="I238" s="6">
        <f t="shared" si="10"/>
        <v>0.000157801127</v>
      </c>
      <c r="J238" s="610"/>
      <c r="K238" s="591"/>
      <c r="L238" s="6"/>
      <c r="M238" s="9">
        <v>12000.0</v>
      </c>
      <c r="N238" s="79">
        <f t="shared" si="11"/>
        <v>2875800</v>
      </c>
      <c r="O238" s="6">
        <f t="shared" si="2"/>
        <v>1916784.83</v>
      </c>
      <c r="P238" s="6">
        <f t="shared" si="3"/>
        <v>68.26156802</v>
      </c>
      <c r="Q238" s="6"/>
      <c r="R238" s="6">
        <f t="shared" si="12"/>
        <v>9558</v>
      </c>
      <c r="S238" s="6">
        <f t="shared" si="13"/>
        <v>1916784.83</v>
      </c>
      <c r="T238" s="81">
        <f t="shared" si="4"/>
        <v>491.4465318</v>
      </c>
      <c r="U238" s="6"/>
      <c r="V238" s="6"/>
      <c r="W238" s="6"/>
      <c r="X238" s="6"/>
      <c r="Y238" s="6"/>
    </row>
    <row r="239" ht="11.25" customHeight="1">
      <c r="A239" s="7"/>
      <c r="B239" s="68">
        <f t="shared" si="14"/>
        <v>234</v>
      </c>
      <c r="C239" s="607"/>
      <c r="D239" s="6">
        <f t="shared" si="15"/>
        <v>0</v>
      </c>
      <c r="E239" s="6">
        <f t="shared" si="1"/>
        <v>0</v>
      </c>
      <c r="F239" s="6">
        <f t="shared" si="7"/>
        <v>2808000</v>
      </c>
      <c r="G239" s="6">
        <f t="shared" si="8"/>
        <v>390029.1702</v>
      </c>
      <c r="H239" s="6">
        <f t="shared" si="9"/>
        <v>3198029.17</v>
      </c>
      <c r="I239" s="6">
        <f t="shared" si="10"/>
        <v>0.000157801127</v>
      </c>
      <c r="J239" s="610"/>
      <c r="K239" s="591"/>
      <c r="L239" s="6"/>
      <c r="M239" s="9">
        <v>12000.0</v>
      </c>
      <c r="N239" s="79">
        <f t="shared" si="11"/>
        <v>2887800</v>
      </c>
      <c r="O239" s="6">
        <f t="shared" si="2"/>
        <v>1926342.83</v>
      </c>
      <c r="P239" s="6">
        <f t="shared" si="3"/>
        <v>68.60195263</v>
      </c>
      <c r="Q239" s="6"/>
      <c r="R239" s="6">
        <f t="shared" si="12"/>
        <v>9558</v>
      </c>
      <c r="S239" s="6">
        <f t="shared" si="13"/>
        <v>1926342.83</v>
      </c>
      <c r="T239" s="81">
        <f t="shared" si="4"/>
        <v>493.8971178</v>
      </c>
      <c r="U239" s="6"/>
      <c r="V239" s="6"/>
      <c r="W239" s="6"/>
      <c r="X239" s="6"/>
      <c r="Y239" s="6"/>
    </row>
    <row r="240" ht="11.25" customHeight="1">
      <c r="A240" s="7"/>
      <c r="B240" s="68">
        <f t="shared" si="14"/>
        <v>235</v>
      </c>
      <c r="C240" s="607"/>
      <c r="D240" s="6">
        <f t="shared" si="15"/>
        <v>0</v>
      </c>
      <c r="E240" s="6">
        <f t="shared" si="1"/>
        <v>0</v>
      </c>
      <c r="F240" s="6">
        <f t="shared" si="7"/>
        <v>2808000</v>
      </c>
      <c r="G240" s="6">
        <f t="shared" si="8"/>
        <v>390029.1702</v>
      </c>
      <c r="H240" s="6">
        <f t="shared" si="9"/>
        <v>3198029.17</v>
      </c>
      <c r="I240" s="6">
        <f t="shared" si="10"/>
        <v>0.000157801127</v>
      </c>
      <c r="J240" s="610"/>
      <c r="K240" s="591"/>
      <c r="L240" s="6"/>
      <c r="M240" s="9">
        <v>12000.0</v>
      </c>
      <c r="N240" s="79">
        <f t="shared" si="11"/>
        <v>2899800</v>
      </c>
      <c r="O240" s="6">
        <f t="shared" si="2"/>
        <v>1935900.83</v>
      </c>
      <c r="P240" s="6">
        <f t="shared" si="3"/>
        <v>68.94233725</v>
      </c>
      <c r="Q240" s="6"/>
      <c r="R240" s="6">
        <f t="shared" si="12"/>
        <v>9558</v>
      </c>
      <c r="S240" s="6">
        <f t="shared" si="13"/>
        <v>1935900.83</v>
      </c>
      <c r="T240" s="81">
        <f t="shared" si="4"/>
        <v>496.3477037</v>
      </c>
      <c r="U240" s="6"/>
      <c r="V240" s="6"/>
      <c r="W240" s="6"/>
      <c r="X240" s="6"/>
      <c r="Y240" s="6"/>
    </row>
    <row r="241" ht="11.25" customHeight="1">
      <c r="A241" s="7"/>
      <c r="B241" s="68">
        <f t="shared" si="14"/>
        <v>236</v>
      </c>
      <c r="C241" s="607"/>
      <c r="D241" s="6">
        <f t="shared" si="15"/>
        <v>0</v>
      </c>
      <c r="E241" s="6">
        <f t="shared" si="1"/>
        <v>0</v>
      </c>
      <c r="F241" s="6">
        <f t="shared" si="7"/>
        <v>2808000</v>
      </c>
      <c r="G241" s="6">
        <f t="shared" si="8"/>
        <v>390029.1702</v>
      </c>
      <c r="H241" s="6">
        <f t="shared" si="9"/>
        <v>3198029.17</v>
      </c>
      <c r="I241" s="6">
        <f t="shared" si="10"/>
        <v>0.000157801127</v>
      </c>
      <c r="J241" s="610"/>
      <c r="K241" s="591"/>
      <c r="L241" s="6"/>
      <c r="M241" s="9">
        <v>12000.0</v>
      </c>
      <c r="N241" s="79">
        <f t="shared" si="11"/>
        <v>2911800</v>
      </c>
      <c r="O241" s="6">
        <f t="shared" si="2"/>
        <v>1945458.83</v>
      </c>
      <c r="P241" s="6">
        <f t="shared" si="3"/>
        <v>69.28272186</v>
      </c>
      <c r="Q241" s="6"/>
      <c r="R241" s="6">
        <f t="shared" si="12"/>
        <v>9558</v>
      </c>
      <c r="S241" s="6">
        <f t="shared" si="13"/>
        <v>1945458.83</v>
      </c>
      <c r="T241" s="81">
        <f t="shared" si="4"/>
        <v>498.7982896</v>
      </c>
      <c r="U241" s="6"/>
      <c r="V241" s="6"/>
      <c r="W241" s="6"/>
      <c r="X241" s="6"/>
      <c r="Y241" s="6"/>
    </row>
    <row r="242" ht="11.25" customHeight="1">
      <c r="A242" s="7"/>
      <c r="B242" s="68">
        <f t="shared" si="14"/>
        <v>237</v>
      </c>
      <c r="C242" s="607"/>
      <c r="D242" s="6">
        <f t="shared" si="15"/>
        <v>0</v>
      </c>
      <c r="E242" s="6">
        <f t="shared" si="1"/>
        <v>0</v>
      </c>
      <c r="F242" s="6">
        <f t="shared" si="7"/>
        <v>2808000</v>
      </c>
      <c r="G242" s="6">
        <f t="shared" si="8"/>
        <v>390029.1702</v>
      </c>
      <c r="H242" s="6">
        <f t="shared" si="9"/>
        <v>3198029.17</v>
      </c>
      <c r="I242" s="6">
        <f t="shared" si="10"/>
        <v>0.000157801127</v>
      </c>
      <c r="J242" s="610"/>
      <c r="K242" s="591"/>
      <c r="L242" s="6"/>
      <c r="M242" s="9">
        <v>12000.0</v>
      </c>
      <c r="N242" s="79">
        <f t="shared" si="11"/>
        <v>2923800</v>
      </c>
      <c r="O242" s="6">
        <f t="shared" si="2"/>
        <v>1955016.83</v>
      </c>
      <c r="P242" s="6">
        <f t="shared" si="3"/>
        <v>69.62310648</v>
      </c>
      <c r="Q242" s="6"/>
      <c r="R242" s="6">
        <f t="shared" si="12"/>
        <v>9558</v>
      </c>
      <c r="S242" s="6">
        <f t="shared" si="13"/>
        <v>1955016.83</v>
      </c>
      <c r="T242" s="81">
        <f t="shared" si="4"/>
        <v>501.2488756</v>
      </c>
      <c r="U242" s="6"/>
      <c r="V242" s="6"/>
      <c r="W242" s="6"/>
      <c r="X242" s="6"/>
      <c r="Y242" s="6"/>
    </row>
    <row r="243" ht="11.25" customHeight="1">
      <c r="A243" s="7"/>
      <c r="B243" s="68">
        <f t="shared" si="14"/>
        <v>238</v>
      </c>
      <c r="C243" s="607"/>
      <c r="D243" s="6">
        <f t="shared" si="15"/>
        <v>0</v>
      </c>
      <c r="E243" s="6">
        <f t="shared" si="1"/>
        <v>0</v>
      </c>
      <c r="F243" s="6">
        <f t="shared" si="7"/>
        <v>2808000</v>
      </c>
      <c r="G243" s="6">
        <f t="shared" si="8"/>
        <v>390029.1702</v>
      </c>
      <c r="H243" s="6">
        <f t="shared" si="9"/>
        <v>3198029.17</v>
      </c>
      <c r="I243" s="6">
        <f t="shared" si="10"/>
        <v>0.000157801127</v>
      </c>
      <c r="J243" s="610"/>
      <c r="K243" s="591"/>
      <c r="L243" s="6"/>
      <c r="M243" s="9">
        <v>12000.0</v>
      </c>
      <c r="N243" s="79">
        <f t="shared" si="11"/>
        <v>2935800</v>
      </c>
      <c r="O243" s="6">
        <f t="shared" si="2"/>
        <v>1964574.83</v>
      </c>
      <c r="P243" s="6">
        <f t="shared" si="3"/>
        <v>69.9634911</v>
      </c>
      <c r="Q243" s="6"/>
      <c r="R243" s="6">
        <f t="shared" si="12"/>
        <v>9558</v>
      </c>
      <c r="S243" s="6">
        <f t="shared" si="13"/>
        <v>1964574.83</v>
      </c>
      <c r="T243" s="81">
        <f t="shared" si="4"/>
        <v>503.6994615</v>
      </c>
      <c r="U243" s="6"/>
      <c r="V243" s="6"/>
      <c r="W243" s="6"/>
      <c r="X243" s="6"/>
      <c r="Y243" s="6"/>
    </row>
    <row r="244" ht="11.25" customHeight="1">
      <c r="A244" s="7"/>
      <c r="B244" s="68">
        <f t="shared" si="14"/>
        <v>239</v>
      </c>
      <c r="C244" s="607"/>
      <c r="D244" s="6">
        <f t="shared" si="15"/>
        <v>0</v>
      </c>
      <c r="E244" s="6">
        <f t="shared" si="1"/>
        <v>0</v>
      </c>
      <c r="F244" s="6">
        <f t="shared" si="7"/>
        <v>2808000</v>
      </c>
      <c r="G244" s="6">
        <f t="shared" si="8"/>
        <v>390029.1702</v>
      </c>
      <c r="H244" s="6">
        <f t="shared" si="9"/>
        <v>3198029.17</v>
      </c>
      <c r="I244" s="6">
        <f t="shared" si="10"/>
        <v>0.000157801127</v>
      </c>
      <c r="J244" s="610"/>
      <c r="K244" s="591"/>
      <c r="L244" s="6"/>
      <c r="M244" s="9">
        <v>12000.0</v>
      </c>
      <c r="N244" s="79">
        <f t="shared" si="11"/>
        <v>2947800</v>
      </c>
      <c r="O244" s="6">
        <f t="shared" si="2"/>
        <v>1974132.83</v>
      </c>
      <c r="P244" s="6">
        <f t="shared" si="3"/>
        <v>70.30387571</v>
      </c>
      <c r="Q244" s="6"/>
      <c r="R244" s="6">
        <f t="shared" si="12"/>
        <v>9558</v>
      </c>
      <c r="S244" s="6">
        <f t="shared" si="13"/>
        <v>1974132.83</v>
      </c>
      <c r="T244" s="81">
        <f t="shared" si="4"/>
        <v>506.1500475</v>
      </c>
      <c r="U244" s="6"/>
      <c r="V244" s="6"/>
      <c r="W244" s="6"/>
      <c r="X244" s="6"/>
      <c r="Y244" s="6"/>
    </row>
    <row r="245" ht="11.25" customHeight="1">
      <c r="A245" s="71"/>
      <c r="B245" s="72">
        <f t="shared" si="14"/>
        <v>240</v>
      </c>
      <c r="C245" s="607"/>
      <c r="D245" s="10">
        <f t="shared" si="15"/>
        <v>0</v>
      </c>
      <c r="E245" s="10">
        <f t="shared" si="1"/>
        <v>0</v>
      </c>
      <c r="F245" s="10">
        <f t="shared" si="7"/>
        <v>2808000</v>
      </c>
      <c r="G245" s="10">
        <f t="shared" si="8"/>
        <v>390029.1702</v>
      </c>
      <c r="H245" s="10">
        <f t="shared" si="9"/>
        <v>3198029.17</v>
      </c>
      <c r="I245" s="10">
        <f t="shared" si="10"/>
        <v>0.000157801127</v>
      </c>
      <c r="J245" s="610"/>
      <c r="K245" s="591"/>
      <c r="L245" s="6"/>
      <c r="M245" s="9">
        <v>12000.0</v>
      </c>
      <c r="N245" s="79">
        <f t="shared" si="11"/>
        <v>2959800</v>
      </c>
      <c r="O245" s="6">
        <f t="shared" si="2"/>
        <v>1983690.83</v>
      </c>
      <c r="P245" s="6">
        <f t="shared" si="3"/>
        <v>70.64426033</v>
      </c>
      <c r="Q245" s="6"/>
      <c r="R245" s="6">
        <f t="shared" si="12"/>
        <v>9558</v>
      </c>
      <c r="S245" s="6">
        <f t="shared" si="13"/>
        <v>1983690.83</v>
      </c>
      <c r="T245" s="81">
        <f t="shared" si="4"/>
        <v>508.6006334</v>
      </c>
      <c r="U245" s="6"/>
      <c r="V245" s="6"/>
      <c r="W245" s="6"/>
      <c r="X245" s="6"/>
      <c r="Y245" s="6"/>
    </row>
    <row r="246" ht="11.25" customHeight="1">
      <c r="A246" s="100">
        <v>21.0</v>
      </c>
      <c r="B246" s="66">
        <f t="shared" si="14"/>
        <v>241</v>
      </c>
      <c r="C246" s="607"/>
      <c r="D246" s="617">
        <f t="shared" si="15"/>
        <v>0</v>
      </c>
      <c r="E246" s="617">
        <f t="shared" si="1"/>
        <v>0</v>
      </c>
      <c r="F246" s="617">
        <f t="shared" si="7"/>
        <v>2808000</v>
      </c>
      <c r="G246" s="617">
        <f t="shared" si="8"/>
        <v>390029.1702</v>
      </c>
      <c r="H246" s="617">
        <f t="shared" si="9"/>
        <v>3198029.17</v>
      </c>
      <c r="I246" s="617">
        <f t="shared" si="10"/>
        <v>0.000157801127</v>
      </c>
      <c r="J246" s="610"/>
      <c r="K246" s="591"/>
      <c r="L246" s="6"/>
      <c r="M246" s="9">
        <v>12000.0</v>
      </c>
      <c r="N246" s="79">
        <f t="shared" si="11"/>
        <v>2971800</v>
      </c>
      <c r="O246" s="6">
        <f t="shared" si="2"/>
        <v>1993248.83</v>
      </c>
      <c r="P246" s="6">
        <f t="shared" si="3"/>
        <v>70.98464494</v>
      </c>
      <c r="Q246" s="6"/>
      <c r="R246" s="6">
        <f t="shared" si="12"/>
        <v>9558</v>
      </c>
      <c r="S246" s="6">
        <f t="shared" si="13"/>
        <v>1993248.83</v>
      </c>
      <c r="T246" s="81">
        <f t="shared" si="4"/>
        <v>511.0512193</v>
      </c>
      <c r="U246" s="6"/>
      <c r="V246" s="6"/>
      <c r="W246" s="6"/>
      <c r="X246" s="6"/>
      <c r="Y246" s="6"/>
    </row>
    <row r="247" ht="11.25" customHeight="1">
      <c r="A247" s="7"/>
      <c r="B247" s="68">
        <f t="shared" si="14"/>
        <v>242</v>
      </c>
      <c r="C247" s="607"/>
      <c r="D247" s="6">
        <f t="shared" si="15"/>
        <v>0</v>
      </c>
      <c r="E247" s="6">
        <f t="shared" si="1"/>
        <v>0</v>
      </c>
      <c r="F247" s="6">
        <f t="shared" si="7"/>
        <v>2808000</v>
      </c>
      <c r="G247" s="6">
        <f t="shared" si="8"/>
        <v>390029.1702</v>
      </c>
      <c r="H247" s="6">
        <f t="shared" si="9"/>
        <v>3198029.17</v>
      </c>
      <c r="I247" s="6">
        <f t="shared" si="10"/>
        <v>0.000157801127</v>
      </c>
      <c r="J247" s="610"/>
      <c r="K247" s="591"/>
      <c r="L247" s="6"/>
      <c r="M247" s="9">
        <v>12000.0</v>
      </c>
      <c r="N247" s="79">
        <f t="shared" si="11"/>
        <v>2983800</v>
      </c>
      <c r="O247" s="6">
        <f t="shared" si="2"/>
        <v>2002806.83</v>
      </c>
      <c r="P247" s="6">
        <f t="shared" si="3"/>
        <v>71.32502956</v>
      </c>
      <c r="Q247" s="6"/>
      <c r="R247" s="6">
        <f t="shared" si="12"/>
        <v>9558</v>
      </c>
      <c r="S247" s="6">
        <f t="shared" si="13"/>
        <v>2002806.83</v>
      </c>
      <c r="T247" s="81">
        <f t="shared" si="4"/>
        <v>513.5018053</v>
      </c>
      <c r="U247" s="6"/>
      <c r="V247" s="6"/>
      <c r="W247" s="6"/>
      <c r="X247" s="6"/>
      <c r="Y247" s="6"/>
    </row>
    <row r="248" ht="11.25" customHeight="1">
      <c r="A248" s="7"/>
      <c r="B248" s="68">
        <f t="shared" si="14"/>
        <v>243</v>
      </c>
      <c r="C248" s="607"/>
      <c r="D248" s="6">
        <f t="shared" si="15"/>
        <v>0</v>
      </c>
      <c r="E248" s="6">
        <f t="shared" si="1"/>
        <v>0</v>
      </c>
      <c r="F248" s="6">
        <f t="shared" si="7"/>
        <v>2808000</v>
      </c>
      <c r="G248" s="6">
        <f t="shared" si="8"/>
        <v>390029.1702</v>
      </c>
      <c r="H248" s="6">
        <f t="shared" si="9"/>
        <v>3198029.17</v>
      </c>
      <c r="I248" s="6">
        <f t="shared" si="10"/>
        <v>0.000157801127</v>
      </c>
      <c r="J248" s="610"/>
      <c r="K248" s="591"/>
      <c r="L248" s="6"/>
      <c r="M248" s="9">
        <v>12000.0</v>
      </c>
      <c r="N248" s="79">
        <f t="shared" si="11"/>
        <v>2995800</v>
      </c>
      <c r="O248" s="6">
        <f t="shared" si="2"/>
        <v>2012364.83</v>
      </c>
      <c r="P248" s="6">
        <f t="shared" si="3"/>
        <v>71.66541417</v>
      </c>
      <c r="Q248" s="6"/>
      <c r="R248" s="6">
        <f t="shared" si="12"/>
        <v>9558</v>
      </c>
      <c r="S248" s="6">
        <f t="shared" si="13"/>
        <v>2012364.83</v>
      </c>
      <c r="T248" s="81">
        <f t="shared" si="4"/>
        <v>515.9523912</v>
      </c>
      <c r="U248" s="6"/>
      <c r="V248" s="6"/>
      <c r="W248" s="6"/>
      <c r="X248" s="6"/>
      <c r="Y248" s="6"/>
    </row>
    <row r="249" ht="11.25" customHeight="1">
      <c r="A249" s="7"/>
      <c r="B249" s="68">
        <f t="shared" si="14"/>
        <v>244</v>
      </c>
      <c r="C249" s="607"/>
      <c r="D249" s="6">
        <f t="shared" si="15"/>
        <v>0</v>
      </c>
      <c r="E249" s="6">
        <f t="shared" si="1"/>
        <v>0</v>
      </c>
      <c r="F249" s="6">
        <f t="shared" si="7"/>
        <v>2808000</v>
      </c>
      <c r="G249" s="6">
        <f t="shared" si="8"/>
        <v>390029.1702</v>
      </c>
      <c r="H249" s="6">
        <f t="shared" si="9"/>
        <v>3198029.17</v>
      </c>
      <c r="I249" s="6">
        <f t="shared" si="10"/>
        <v>0.000157801127</v>
      </c>
      <c r="J249" s="610"/>
      <c r="K249" s="591"/>
      <c r="L249" s="6"/>
      <c r="M249" s="9">
        <v>12000.0</v>
      </c>
      <c r="N249" s="79">
        <f t="shared" si="11"/>
        <v>3007800</v>
      </c>
      <c r="O249" s="6">
        <f t="shared" si="2"/>
        <v>2021922.83</v>
      </c>
      <c r="P249" s="6">
        <f t="shared" si="3"/>
        <v>72.00579879</v>
      </c>
      <c r="Q249" s="6"/>
      <c r="R249" s="6">
        <f t="shared" si="12"/>
        <v>9558</v>
      </c>
      <c r="S249" s="6">
        <f t="shared" si="13"/>
        <v>2021922.83</v>
      </c>
      <c r="T249" s="81">
        <f t="shared" si="4"/>
        <v>518.4029771</v>
      </c>
      <c r="U249" s="6"/>
      <c r="V249" s="6"/>
      <c r="W249" s="6"/>
      <c r="X249" s="6"/>
      <c r="Y249" s="6"/>
    </row>
    <row r="250" ht="11.25" customHeight="1">
      <c r="A250" s="7"/>
      <c r="B250" s="68">
        <f t="shared" si="14"/>
        <v>245</v>
      </c>
      <c r="C250" s="607"/>
      <c r="D250" s="6">
        <f t="shared" si="15"/>
        <v>0</v>
      </c>
      <c r="E250" s="6">
        <f t="shared" si="1"/>
        <v>0</v>
      </c>
      <c r="F250" s="6">
        <f t="shared" si="7"/>
        <v>2808000</v>
      </c>
      <c r="G250" s="6">
        <f t="shared" si="8"/>
        <v>390029.1702</v>
      </c>
      <c r="H250" s="6">
        <f t="shared" si="9"/>
        <v>3198029.17</v>
      </c>
      <c r="I250" s="6">
        <f t="shared" si="10"/>
        <v>0.000157801127</v>
      </c>
      <c r="J250" s="610"/>
      <c r="K250" s="591"/>
      <c r="L250" s="6"/>
      <c r="M250" s="9">
        <v>12000.0</v>
      </c>
      <c r="N250" s="79">
        <f t="shared" si="11"/>
        <v>3019800</v>
      </c>
      <c r="O250" s="6">
        <f t="shared" si="2"/>
        <v>2031480.83</v>
      </c>
      <c r="P250" s="6">
        <f t="shared" si="3"/>
        <v>72.3461834</v>
      </c>
      <c r="Q250" s="6"/>
      <c r="R250" s="6">
        <f t="shared" si="12"/>
        <v>9558</v>
      </c>
      <c r="S250" s="6">
        <f t="shared" si="13"/>
        <v>2031480.83</v>
      </c>
      <c r="T250" s="81">
        <f t="shared" si="4"/>
        <v>520.8535631</v>
      </c>
      <c r="U250" s="6"/>
      <c r="V250" s="6"/>
      <c r="W250" s="6"/>
      <c r="X250" s="6"/>
      <c r="Y250" s="6"/>
    </row>
    <row r="251" ht="11.25" customHeight="1">
      <c r="A251" s="7"/>
      <c r="B251" s="68">
        <f t="shared" si="14"/>
        <v>246</v>
      </c>
      <c r="C251" s="607"/>
      <c r="D251" s="6">
        <f t="shared" si="15"/>
        <v>0</v>
      </c>
      <c r="E251" s="6">
        <f t="shared" si="1"/>
        <v>0</v>
      </c>
      <c r="F251" s="6">
        <f t="shared" si="7"/>
        <v>2808000</v>
      </c>
      <c r="G251" s="6">
        <f t="shared" si="8"/>
        <v>390029.1702</v>
      </c>
      <c r="H251" s="6">
        <f t="shared" si="9"/>
        <v>3198029.17</v>
      </c>
      <c r="I251" s="6">
        <f t="shared" si="10"/>
        <v>0.000157801127</v>
      </c>
      <c r="J251" s="610"/>
      <c r="K251" s="591"/>
      <c r="L251" s="6"/>
      <c r="M251" s="9">
        <v>12000.0</v>
      </c>
      <c r="N251" s="79">
        <f t="shared" si="11"/>
        <v>3031800</v>
      </c>
      <c r="O251" s="6">
        <f t="shared" si="2"/>
        <v>2041038.83</v>
      </c>
      <c r="P251" s="6">
        <f t="shared" si="3"/>
        <v>72.68656802</v>
      </c>
      <c r="Q251" s="6"/>
      <c r="R251" s="6">
        <f t="shared" si="12"/>
        <v>9558</v>
      </c>
      <c r="S251" s="6">
        <f t="shared" si="13"/>
        <v>2041038.83</v>
      </c>
      <c r="T251" s="81">
        <f t="shared" si="4"/>
        <v>523.304149</v>
      </c>
      <c r="U251" s="6"/>
      <c r="V251" s="6"/>
      <c r="W251" s="6"/>
      <c r="X251" s="6"/>
      <c r="Y251" s="6"/>
    </row>
    <row r="252" ht="11.25" customHeight="1">
      <c r="A252" s="7"/>
      <c r="B252" s="68">
        <f t="shared" si="14"/>
        <v>247</v>
      </c>
      <c r="C252" s="607"/>
      <c r="D252" s="6">
        <f t="shared" si="15"/>
        <v>0</v>
      </c>
      <c r="E252" s="6">
        <f t="shared" si="1"/>
        <v>0</v>
      </c>
      <c r="F252" s="6">
        <f t="shared" si="7"/>
        <v>2808000</v>
      </c>
      <c r="G252" s="6">
        <f t="shared" si="8"/>
        <v>390029.1702</v>
      </c>
      <c r="H252" s="6">
        <f t="shared" si="9"/>
        <v>3198029.17</v>
      </c>
      <c r="I252" s="6">
        <f t="shared" si="10"/>
        <v>0.000157801127</v>
      </c>
      <c r="J252" s="610"/>
      <c r="K252" s="591"/>
      <c r="L252" s="6"/>
      <c r="M252" s="9">
        <v>12000.0</v>
      </c>
      <c r="N252" s="79">
        <f t="shared" si="11"/>
        <v>3043800</v>
      </c>
      <c r="O252" s="6">
        <f t="shared" si="2"/>
        <v>2050596.83</v>
      </c>
      <c r="P252" s="6">
        <f t="shared" si="3"/>
        <v>73.02695263</v>
      </c>
      <c r="Q252" s="6"/>
      <c r="R252" s="6">
        <f t="shared" si="12"/>
        <v>9558</v>
      </c>
      <c r="S252" s="6">
        <f t="shared" si="13"/>
        <v>2050596.83</v>
      </c>
      <c r="T252" s="81">
        <f t="shared" si="4"/>
        <v>525.754735</v>
      </c>
      <c r="U252" s="6"/>
      <c r="V252" s="6"/>
      <c r="W252" s="6"/>
      <c r="X252" s="6"/>
      <c r="Y252" s="6"/>
    </row>
    <row r="253" ht="11.25" customHeight="1">
      <c r="A253" s="7"/>
      <c r="B253" s="68">
        <f t="shared" si="14"/>
        <v>248</v>
      </c>
      <c r="C253" s="607"/>
      <c r="D253" s="6">
        <f t="shared" si="15"/>
        <v>0</v>
      </c>
      <c r="E253" s="6">
        <f t="shared" si="1"/>
        <v>0</v>
      </c>
      <c r="F253" s="6">
        <f t="shared" si="7"/>
        <v>2808000</v>
      </c>
      <c r="G253" s="6">
        <f t="shared" si="8"/>
        <v>390029.1702</v>
      </c>
      <c r="H253" s="6">
        <f t="shared" si="9"/>
        <v>3198029.17</v>
      </c>
      <c r="I253" s="6">
        <f t="shared" si="10"/>
        <v>0.000157801127</v>
      </c>
      <c r="J253" s="610"/>
      <c r="K253" s="591"/>
      <c r="L253" s="6"/>
      <c r="M253" s="9">
        <v>12000.0</v>
      </c>
      <c r="N253" s="79">
        <f t="shared" si="11"/>
        <v>3055800</v>
      </c>
      <c r="O253" s="6">
        <f t="shared" si="2"/>
        <v>2060154.83</v>
      </c>
      <c r="P253" s="6">
        <f t="shared" si="3"/>
        <v>73.36733725</v>
      </c>
      <c r="Q253" s="6"/>
      <c r="R253" s="6">
        <f t="shared" si="12"/>
        <v>9558</v>
      </c>
      <c r="S253" s="6">
        <f t="shared" si="13"/>
        <v>2060154.83</v>
      </c>
      <c r="T253" s="81">
        <f t="shared" si="4"/>
        <v>528.2053209</v>
      </c>
      <c r="U253" s="6"/>
      <c r="V253" s="6"/>
      <c r="W253" s="6"/>
      <c r="X253" s="6"/>
      <c r="Y253" s="6"/>
    </row>
    <row r="254" ht="11.25" customHeight="1">
      <c r="A254" s="7"/>
      <c r="B254" s="68">
        <f t="shared" si="14"/>
        <v>249</v>
      </c>
      <c r="C254" s="607"/>
      <c r="D254" s="6">
        <f t="shared" si="15"/>
        <v>0</v>
      </c>
      <c r="E254" s="6">
        <f t="shared" si="1"/>
        <v>0</v>
      </c>
      <c r="F254" s="6">
        <f t="shared" si="7"/>
        <v>2808000</v>
      </c>
      <c r="G254" s="6">
        <f t="shared" si="8"/>
        <v>390029.1702</v>
      </c>
      <c r="H254" s="6">
        <f t="shared" si="9"/>
        <v>3198029.17</v>
      </c>
      <c r="I254" s="6">
        <f t="shared" si="10"/>
        <v>0.000157801127</v>
      </c>
      <c r="J254" s="610"/>
      <c r="K254" s="591"/>
      <c r="L254" s="6"/>
      <c r="M254" s="9">
        <v>12000.0</v>
      </c>
      <c r="N254" s="79">
        <f t="shared" si="11"/>
        <v>3067800</v>
      </c>
      <c r="O254" s="6">
        <f t="shared" si="2"/>
        <v>2069712.83</v>
      </c>
      <c r="P254" s="6">
        <f t="shared" si="3"/>
        <v>73.70772186</v>
      </c>
      <c r="Q254" s="6"/>
      <c r="R254" s="6">
        <f t="shared" si="12"/>
        <v>9558</v>
      </c>
      <c r="S254" s="6">
        <f t="shared" si="13"/>
        <v>2069712.83</v>
      </c>
      <c r="T254" s="81">
        <f t="shared" si="4"/>
        <v>530.6559068</v>
      </c>
      <c r="U254" s="6"/>
      <c r="V254" s="6"/>
      <c r="W254" s="6"/>
      <c r="X254" s="6"/>
      <c r="Y254" s="6"/>
    </row>
    <row r="255" ht="11.25" customHeight="1">
      <c r="A255" s="7"/>
      <c r="B255" s="68">
        <f t="shared" si="14"/>
        <v>250</v>
      </c>
      <c r="C255" s="607"/>
      <c r="D255" s="6">
        <f t="shared" si="15"/>
        <v>0</v>
      </c>
      <c r="E255" s="6">
        <f t="shared" si="1"/>
        <v>0</v>
      </c>
      <c r="F255" s="6">
        <f t="shared" si="7"/>
        <v>2808000</v>
      </c>
      <c r="G255" s="6">
        <f t="shared" si="8"/>
        <v>390029.1702</v>
      </c>
      <c r="H255" s="6">
        <f t="shared" si="9"/>
        <v>3198029.17</v>
      </c>
      <c r="I255" s="6">
        <f t="shared" si="10"/>
        <v>0.000157801127</v>
      </c>
      <c r="J255" s="610"/>
      <c r="K255" s="591"/>
      <c r="L255" s="6"/>
      <c r="M255" s="9">
        <v>12000.0</v>
      </c>
      <c r="N255" s="79">
        <f t="shared" si="11"/>
        <v>3079800</v>
      </c>
      <c r="O255" s="6">
        <f t="shared" si="2"/>
        <v>2079270.83</v>
      </c>
      <c r="P255" s="6">
        <f t="shared" si="3"/>
        <v>74.04810648</v>
      </c>
      <c r="Q255" s="6"/>
      <c r="R255" s="6">
        <f t="shared" si="12"/>
        <v>9558</v>
      </c>
      <c r="S255" s="6">
        <f t="shared" si="13"/>
        <v>2079270.83</v>
      </c>
      <c r="T255" s="81">
        <f t="shared" si="4"/>
        <v>533.1064928</v>
      </c>
      <c r="U255" s="6"/>
      <c r="V255" s="6"/>
      <c r="W255" s="6"/>
      <c r="X255" s="6"/>
      <c r="Y255" s="6"/>
    </row>
    <row r="256" ht="11.25" customHeight="1">
      <c r="A256" s="7"/>
      <c r="B256" s="68">
        <f t="shared" si="14"/>
        <v>251</v>
      </c>
      <c r="C256" s="607"/>
      <c r="D256" s="6">
        <f t="shared" si="15"/>
        <v>0</v>
      </c>
      <c r="E256" s="6">
        <f t="shared" si="1"/>
        <v>0</v>
      </c>
      <c r="F256" s="6">
        <f t="shared" si="7"/>
        <v>2808000</v>
      </c>
      <c r="G256" s="6">
        <f t="shared" si="8"/>
        <v>390029.1702</v>
      </c>
      <c r="H256" s="6">
        <f t="shared" si="9"/>
        <v>3198029.17</v>
      </c>
      <c r="I256" s="6">
        <f t="shared" si="10"/>
        <v>0.000157801127</v>
      </c>
      <c r="J256" s="610"/>
      <c r="K256" s="591"/>
      <c r="L256" s="6"/>
      <c r="M256" s="9">
        <v>12000.0</v>
      </c>
      <c r="N256" s="79">
        <f t="shared" si="11"/>
        <v>3091800</v>
      </c>
      <c r="O256" s="6">
        <f t="shared" si="2"/>
        <v>2088828.83</v>
      </c>
      <c r="P256" s="6">
        <f t="shared" si="3"/>
        <v>74.3884911</v>
      </c>
      <c r="Q256" s="6"/>
      <c r="R256" s="6">
        <f t="shared" si="12"/>
        <v>9558</v>
      </c>
      <c r="S256" s="6">
        <f t="shared" si="13"/>
        <v>2088828.83</v>
      </c>
      <c r="T256" s="81">
        <f t="shared" si="4"/>
        <v>535.5570787</v>
      </c>
      <c r="U256" s="6"/>
      <c r="V256" s="6"/>
      <c r="W256" s="6"/>
      <c r="X256" s="6"/>
      <c r="Y256" s="6"/>
    </row>
    <row r="257" ht="11.25" customHeight="1">
      <c r="A257" s="71"/>
      <c r="B257" s="72">
        <f t="shared" si="14"/>
        <v>252</v>
      </c>
      <c r="C257" s="607"/>
      <c r="D257" s="10">
        <f t="shared" si="15"/>
        <v>0</v>
      </c>
      <c r="E257" s="10">
        <f t="shared" si="1"/>
        <v>0</v>
      </c>
      <c r="F257" s="10">
        <f t="shared" si="7"/>
        <v>2808000</v>
      </c>
      <c r="G257" s="10">
        <f t="shared" si="8"/>
        <v>390029.1702</v>
      </c>
      <c r="H257" s="10">
        <f t="shared" si="9"/>
        <v>3198029.17</v>
      </c>
      <c r="I257" s="10">
        <f t="shared" si="10"/>
        <v>0.000157801127</v>
      </c>
      <c r="J257" s="610"/>
      <c r="K257" s="591"/>
      <c r="L257" s="6"/>
      <c r="M257" s="9">
        <v>12000.0</v>
      </c>
      <c r="N257" s="79">
        <f t="shared" si="11"/>
        <v>3103800</v>
      </c>
      <c r="O257" s="6">
        <f t="shared" si="2"/>
        <v>2098386.83</v>
      </c>
      <c r="P257" s="6">
        <f t="shared" si="3"/>
        <v>74.72887571</v>
      </c>
      <c r="Q257" s="6"/>
      <c r="R257" s="6">
        <f t="shared" si="12"/>
        <v>9558</v>
      </c>
      <c r="S257" s="6">
        <f t="shared" si="13"/>
        <v>2098386.83</v>
      </c>
      <c r="T257" s="81">
        <f t="shared" si="4"/>
        <v>538.0076647</v>
      </c>
      <c r="U257" s="6"/>
      <c r="V257" s="6"/>
      <c r="W257" s="6"/>
      <c r="X257" s="6"/>
      <c r="Y257" s="6"/>
    </row>
    <row r="258" ht="11.25" customHeight="1">
      <c r="A258" s="100">
        <v>22.0</v>
      </c>
      <c r="B258" s="66">
        <f t="shared" si="14"/>
        <v>253</v>
      </c>
      <c r="C258" s="607"/>
      <c r="D258" s="617">
        <f t="shared" si="15"/>
        <v>0</v>
      </c>
      <c r="E258" s="617">
        <f t="shared" si="1"/>
        <v>0</v>
      </c>
      <c r="F258" s="617">
        <f t="shared" si="7"/>
        <v>2808000</v>
      </c>
      <c r="G258" s="617">
        <f t="shared" si="8"/>
        <v>390029.1702</v>
      </c>
      <c r="H258" s="617">
        <f t="shared" si="9"/>
        <v>3198029.17</v>
      </c>
      <c r="I258" s="617">
        <f t="shared" si="10"/>
        <v>0.000157801127</v>
      </c>
      <c r="J258" s="610"/>
      <c r="K258" s="591"/>
      <c r="L258" s="6"/>
      <c r="M258" s="9">
        <v>12000.0</v>
      </c>
      <c r="N258" s="79">
        <f t="shared" si="11"/>
        <v>3115800</v>
      </c>
      <c r="O258" s="6">
        <f t="shared" si="2"/>
        <v>2107944.83</v>
      </c>
      <c r="P258" s="6">
        <f t="shared" si="3"/>
        <v>75.06926033</v>
      </c>
      <c r="Q258" s="6"/>
      <c r="R258" s="6">
        <f t="shared" si="12"/>
        <v>9558</v>
      </c>
      <c r="S258" s="6">
        <f t="shared" si="13"/>
        <v>2107944.83</v>
      </c>
      <c r="T258" s="81">
        <f t="shared" si="4"/>
        <v>540.4582506</v>
      </c>
      <c r="U258" s="6"/>
      <c r="V258" s="6"/>
      <c r="W258" s="6"/>
      <c r="X258" s="6"/>
      <c r="Y258" s="6"/>
    </row>
    <row r="259" ht="11.25" customHeight="1">
      <c r="A259" s="7"/>
      <c r="B259" s="68">
        <f t="shared" si="14"/>
        <v>254</v>
      </c>
      <c r="C259" s="607"/>
      <c r="D259" s="6">
        <f t="shared" si="15"/>
        <v>0</v>
      </c>
      <c r="E259" s="6">
        <f t="shared" si="1"/>
        <v>0</v>
      </c>
      <c r="F259" s="6">
        <f t="shared" si="7"/>
        <v>2808000</v>
      </c>
      <c r="G259" s="6">
        <f t="shared" si="8"/>
        <v>390029.1702</v>
      </c>
      <c r="H259" s="6">
        <f t="shared" si="9"/>
        <v>3198029.17</v>
      </c>
      <c r="I259" s="6">
        <f t="shared" si="10"/>
        <v>0.000157801127</v>
      </c>
      <c r="J259" s="610"/>
      <c r="K259" s="591"/>
      <c r="L259" s="6"/>
      <c r="M259" s="9">
        <v>12000.0</v>
      </c>
      <c r="N259" s="79">
        <f t="shared" si="11"/>
        <v>3127800</v>
      </c>
      <c r="O259" s="6">
        <f t="shared" si="2"/>
        <v>2117502.83</v>
      </c>
      <c r="P259" s="6">
        <f t="shared" si="3"/>
        <v>75.40964494</v>
      </c>
      <c r="Q259" s="6"/>
      <c r="R259" s="6">
        <f t="shared" si="12"/>
        <v>9558</v>
      </c>
      <c r="S259" s="6">
        <f t="shared" si="13"/>
        <v>2117502.83</v>
      </c>
      <c r="T259" s="81">
        <f t="shared" si="4"/>
        <v>542.9088365</v>
      </c>
      <c r="U259" s="6"/>
      <c r="V259" s="6"/>
      <c r="W259" s="6"/>
      <c r="X259" s="6"/>
      <c r="Y259" s="6"/>
    </row>
    <row r="260" ht="11.25" customHeight="1">
      <c r="A260" s="7"/>
      <c r="B260" s="68">
        <f t="shared" si="14"/>
        <v>255</v>
      </c>
      <c r="C260" s="607"/>
      <c r="D260" s="6">
        <f t="shared" si="15"/>
        <v>0</v>
      </c>
      <c r="E260" s="6">
        <f t="shared" si="1"/>
        <v>0</v>
      </c>
      <c r="F260" s="6">
        <f t="shared" si="7"/>
        <v>2808000</v>
      </c>
      <c r="G260" s="6">
        <f t="shared" si="8"/>
        <v>390029.1702</v>
      </c>
      <c r="H260" s="6">
        <f t="shared" si="9"/>
        <v>3198029.17</v>
      </c>
      <c r="I260" s="6">
        <f t="shared" si="10"/>
        <v>0.000157801127</v>
      </c>
      <c r="J260" s="610"/>
      <c r="K260" s="591"/>
      <c r="L260" s="6"/>
      <c r="M260" s="9">
        <v>12000.0</v>
      </c>
      <c r="N260" s="79">
        <f t="shared" si="11"/>
        <v>3139800</v>
      </c>
      <c r="O260" s="6">
        <f t="shared" si="2"/>
        <v>2127060.83</v>
      </c>
      <c r="P260" s="6">
        <f t="shared" si="3"/>
        <v>75.75002956</v>
      </c>
      <c r="Q260" s="6"/>
      <c r="R260" s="6">
        <f t="shared" si="12"/>
        <v>9558</v>
      </c>
      <c r="S260" s="6">
        <f t="shared" si="13"/>
        <v>2127060.83</v>
      </c>
      <c r="T260" s="81">
        <f t="shared" si="4"/>
        <v>545.3594225</v>
      </c>
      <c r="U260" s="6"/>
      <c r="V260" s="6"/>
      <c r="W260" s="6"/>
      <c r="X260" s="6"/>
      <c r="Y260" s="6"/>
    </row>
    <row r="261" ht="11.25" customHeight="1">
      <c r="A261" s="7"/>
      <c r="B261" s="68">
        <f t="shared" si="14"/>
        <v>256</v>
      </c>
      <c r="C261" s="607"/>
      <c r="D261" s="6">
        <f t="shared" si="15"/>
        <v>0</v>
      </c>
      <c r="E261" s="6">
        <f t="shared" si="1"/>
        <v>0</v>
      </c>
      <c r="F261" s="6">
        <f t="shared" si="7"/>
        <v>2808000</v>
      </c>
      <c r="G261" s="6">
        <f t="shared" si="8"/>
        <v>390029.1702</v>
      </c>
      <c r="H261" s="6">
        <f t="shared" si="9"/>
        <v>3198029.17</v>
      </c>
      <c r="I261" s="6">
        <f t="shared" si="10"/>
        <v>0.000157801127</v>
      </c>
      <c r="J261" s="610"/>
      <c r="K261" s="591"/>
      <c r="L261" s="6"/>
      <c r="M261" s="9">
        <v>12000.0</v>
      </c>
      <c r="N261" s="79">
        <f t="shared" si="11"/>
        <v>3151800</v>
      </c>
      <c r="O261" s="6">
        <f t="shared" si="2"/>
        <v>2136618.83</v>
      </c>
      <c r="P261" s="6">
        <f t="shared" si="3"/>
        <v>76.09041417</v>
      </c>
      <c r="Q261" s="6"/>
      <c r="R261" s="6">
        <f t="shared" si="12"/>
        <v>9558</v>
      </c>
      <c r="S261" s="6">
        <f t="shared" si="13"/>
        <v>2136618.83</v>
      </c>
      <c r="T261" s="81">
        <f t="shared" si="4"/>
        <v>547.8100084</v>
      </c>
      <c r="U261" s="6"/>
      <c r="V261" s="6"/>
      <c r="W261" s="6"/>
      <c r="X261" s="6"/>
      <c r="Y261" s="6"/>
    </row>
    <row r="262" ht="11.25" customHeight="1">
      <c r="A262" s="7"/>
      <c r="B262" s="68">
        <f t="shared" si="14"/>
        <v>257</v>
      </c>
      <c r="C262" s="607"/>
      <c r="D262" s="6">
        <f t="shared" si="15"/>
        <v>0</v>
      </c>
      <c r="E262" s="6">
        <f t="shared" si="1"/>
        <v>0</v>
      </c>
      <c r="F262" s="6">
        <f t="shared" si="7"/>
        <v>2808000</v>
      </c>
      <c r="G262" s="6">
        <f t="shared" si="8"/>
        <v>390029.1702</v>
      </c>
      <c r="H262" s="6">
        <f t="shared" si="9"/>
        <v>3198029.17</v>
      </c>
      <c r="I262" s="6">
        <f t="shared" si="10"/>
        <v>0.000157801127</v>
      </c>
      <c r="J262" s="610"/>
      <c r="K262" s="591"/>
      <c r="L262" s="6"/>
      <c r="M262" s="9">
        <v>12000.0</v>
      </c>
      <c r="N262" s="79">
        <f t="shared" si="11"/>
        <v>3163800</v>
      </c>
      <c r="O262" s="6">
        <f t="shared" si="2"/>
        <v>2146176.83</v>
      </c>
      <c r="P262" s="6">
        <f t="shared" si="3"/>
        <v>76.43079879</v>
      </c>
      <c r="Q262" s="6"/>
      <c r="R262" s="6">
        <f t="shared" si="12"/>
        <v>9558</v>
      </c>
      <c r="S262" s="6">
        <f t="shared" si="13"/>
        <v>2146176.83</v>
      </c>
      <c r="T262" s="81">
        <f t="shared" si="4"/>
        <v>550.2605943</v>
      </c>
      <c r="U262" s="6"/>
      <c r="V262" s="6"/>
      <c r="W262" s="6"/>
      <c r="X262" s="6"/>
      <c r="Y262" s="6"/>
    </row>
    <row r="263" ht="11.25" customHeight="1">
      <c r="A263" s="7"/>
      <c r="B263" s="68">
        <f t="shared" si="14"/>
        <v>258</v>
      </c>
      <c r="C263" s="607"/>
      <c r="D263" s="6">
        <f t="shared" si="15"/>
        <v>0</v>
      </c>
      <c r="E263" s="6">
        <f t="shared" si="1"/>
        <v>0</v>
      </c>
      <c r="F263" s="6">
        <f t="shared" si="7"/>
        <v>2808000</v>
      </c>
      <c r="G263" s="6">
        <f t="shared" si="8"/>
        <v>390029.1702</v>
      </c>
      <c r="H263" s="6">
        <f t="shared" si="9"/>
        <v>3198029.17</v>
      </c>
      <c r="I263" s="6">
        <f t="shared" si="10"/>
        <v>0.000157801127</v>
      </c>
      <c r="J263" s="610"/>
      <c r="K263" s="591"/>
      <c r="L263" s="6"/>
      <c r="M263" s="9">
        <v>12000.0</v>
      </c>
      <c r="N263" s="79">
        <f t="shared" si="11"/>
        <v>3175800</v>
      </c>
      <c r="O263" s="6">
        <f t="shared" si="2"/>
        <v>2155734.83</v>
      </c>
      <c r="P263" s="6">
        <f t="shared" si="3"/>
        <v>76.7711834</v>
      </c>
      <c r="Q263" s="6"/>
      <c r="R263" s="6">
        <f t="shared" si="12"/>
        <v>9558</v>
      </c>
      <c r="S263" s="6">
        <f t="shared" si="13"/>
        <v>2155734.83</v>
      </c>
      <c r="T263" s="81">
        <f t="shared" si="4"/>
        <v>552.7111803</v>
      </c>
      <c r="U263" s="6"/>
      <c r="V263" s="6"/>
      <c r="W263" s="6"/>
      <c r="X263" s="6"/>
      <c r="Y263" s="6"/>
    </row>
    <row r="264" ht="11.25" customHeight="1">
      <c r="A264" s="7"/>
      <c r="B264" s="68">
        <f t="shared" si="14"/>
        <v>259</v>
      </c>
      <c r="C264" s="607"/>
      <c r="D264" s="6">
        <f t="shared" si="15"/>
        <v>0</v>
      </c>
      <c r="E264" s="6">
        <f t="shared" si="1"/>
        <v>0</v>
      </c>
      <c r="F264" s="6">
        <f t="shared" si="7"/>
        <v>2808000</v>
      </c>
      <c r="G264" s="6">
        <f t="shared" si="8"/>
        <v>390029.1702</v>
      </c>
      <c r="H264" s="6">
        <f t="shared" si="9"/>
        <v>3198029.17</v>
      </c>
      <c r="I264" s="6">
        <f t="shared" si="10"/>
        <v>0.000157801127</v>
      </c>
      <c r="J264" s="610"/>
      <c r="K264" s="591"/>
      <c r="L264" s="6"/>
      <c r="M264" s="9">
        <v>12000.0</v>
      </c>
      <c r="N264" s="79">
        <f t="shared" si="11"/>
        <v>3187800</v>
      </c>
      <c r="O264" s="6">
        <f t="shared" si="2"/>
        <v>2165292.83</v>
      </c>
      <c r="P264" s="6">
        <f t="shared" si="3"/>
        <v>77.11156802</v>
      </c>
      <c r="Q264" s="6"/>
      <c r="R264" s="6">
        <f t="shared" si="12"/>
        <v>9558</v>
      </c>
      <c r="S264" s="6">
        <f t="shared" si="13"/>
        <v>2165292.83</v>
      </c>
      <c r="T264" s="81">
        <f t="shared" si="4"/>
        <v>555.1617662</v>
      </c>
      <c r="U264" s="6"/>
      <c r="V264" s="6"/>
      <c r="W264" s="6"/>
      <c r="X264" s="6"/>
      <c r="Y264" s="6"/>
    </row>
    <row r="265" ht="11.25" customHeight="1">
      <c r="A265" s="7"/>
      <c r="B265" s="68">
        <f t="shared" si="14"/>
        <v>260</v>
      </c>
      <c r="C265" s="607"/>
      <c r="D265" s="6">
        <f t="shared" si="15"/>
        <v>0</v>
      </c>
      <c r="E265" s="6">
        <f t="shared" si="1"/>
        <v>0</v>
      </c>
      <c r="F265" s="6">
        <f t="shared" si="7"/>
        <v>2808000</v>
      </c>
      <c r="G265" s="6">
        <f t="shared" si="8"/>
        <v>390029.1702</v>
      </c>
      <c r="H265" s="6">
        <f t="shared" si="9"/>
        <v>3198029.17</v>
      </c>
      <c r="I265" s="6">
        <f t="shared" si="10"/>
        <v>0.000157801127</v>
      </c>
      <c r="J265" s="610"/>
      <c r="K265" s="591"/>
      <c r="L265" s="6"/>
      <c r="M265" s="9">
        <v>12000.0</v>
      </c>
      <c r="N265" s="79">
        <f t="shared" si="11"/>
        <v>3199800</v>
      </c>
      <c r="O265" s="6">
        <f t="shared" si="2"/>
        <v>2174850.83</v>
      </c>
      <c r="P265" s="6">
        <f t="shared" si="3"/>
        <v>77.45195263</v>
      </c>
      <c r="Q265" s="6"/>
      <c r="R265" s="6">
        <f t="shared" si="12"/>
        <v>9558</v>
      </c>
      <c r="S265" s="6">
        <f t="shared" si="13"/>
        <v>2174850.83</v>
      </c>
      <c r="T265" s="81">
        <f t="shared" si="4"/>
        <v>557.6123522</v>
      </c>
      <c r="U265" s="6"/>
      <c r="V265" s="6"/>
      <c r="W265" s="6"/>
      <c r="X265" s="6"/>
      <c r="Y265" s="6"/>
    </row>
    <row r="266" ht="11.25" customHeight="1">
      <c r="A266" s="7"/>
      <c r="B266" s="68">
        <f t="shared" si="14"/>
        <v>261</v>
      </c>
      <c r="C266" s="607"/>
      <c r="D266" s="6">
        <f t="shared" si="15"/>
        <v>0</v>
      </c>
      <c r="E266" s="6">
        <f t="shared" si="1"/>
        <v>0</v>
      </c>
      <c r="F266" s="6">
        <f t="shared" si="7"/>
        <v>2808000</v>
      </c>
      <c r="G266" s="6">
        <f t="shared" si="8"/>
        <v>390029.1702</v>
      </c>
      <c r="H266" s="6">
        <f t="shared" si="9"/>
        <v>3198029.17</v>
      </c>
      <c r="I266" s="6">
        <f t="shared" si="10"/>
        <v>0.000157801127</v>
      </c>
      <c r="J266" s="610"/>
      <c r="K266" s="591"/>
      <c r="L266" s="6"/>
      <c r="M266" s="9">
        <v>12000.0</v>
      </c>
      <c r="N266" s="79">
        <f t="shared" si="11"/>
        <v>3211800</v>
      </c>
      <c r="O266" s="6">
        <f t="shared" si="2"/>
        <v>2184408.83</v>
      </c>
      <c r="P266" s="6">
        <f t="shared" si="3"/>
        <v>77.79233725</v>
      </c>
      <c r="Q266" s="6"/>
      <c r="R266" s="6">
        <f t="shared" si="12"/>
        <v>9558</v>
      </c>
      <c r="S266" s="6">
        <f t="shared" si="13"/>
        <v>2184408.83</v>
      </c>
      <c r="T266" s="81">
        <f t="shared" si="4"/>
        <v>560.0629381</v>
      </c>
      <c r="U266" s="6"/>
      <c r="V266" s="6"/>
      <c r="W266" s="6"/>
      <c r="X266" s="6"/>
      <c r="Y266" s="6"/>
    </row>
    <row r="267" ht="11.25" customHeight="1">
      <c r="A267" s="7"/>
      <c r="B267" s="68">
        <f t="shared" si="14"/>
        <v>262</v>
      </c>
      <c r="C267" s="607"/>
      <c r="D267" s="6">
        <f t="shared" si="15"/>
        <v>0</v>
      </c>
      <c r="E267" s="6">
        <f t="shared" si="1"/>
        <v>0</v>
      </c>
      <c r="F267" s="6">
        <f t="shared" si="7"/>
        <v>2808000</v>
      </c>
      <c r="G267" s="6">
        <f t="shared" si="8"/>
        <v>390029.1702</v>
      </c>
      <c r="H267" s="6">
        <f t="shared" si="9"/>
        <v>3198029.17</v>
      </c>
      <c r="I267" s="6">
        <f t="shared" si="10"/>
        <v>0.000157801127</v>
      </c>
      <c r="J267" s="610"/>
      <c r="K267" s="591"/>
      <c r="L267" s="6"/>
      <c r="M267" s="9">
        <v>12000.0</v>
      </c>
      <c r="N267" s="79">
        <f t="shared" si="11"/>
        <v>3223800</v>
      </c>
      <c r="O267" s="6">
        <f t="shared" si="2"/>
        <v>2193966.83</v>
      </c>
      <c r="P267" s="6">
        <f t="shared" si="3"/>
        <v>78.13272186</v>
      </c>
      <c r="Q267" s="6"/>
      <c r="R267" s="6">
        <f t="shared" si="12"/>
        <v>9558</v>
      </c>
      <c r="S267" s="6">
        <f t="shared" si="13"/>
        <v>2193966.83</v>
      </c>
      <c r="T267" s="81">
        <f t="shared" si="4"/>
        <v>562.513524</v>
      </c>
      <c r="U267" s="6"/>
      <c r="V267" s="6"/>
      <c r="W267" s="6"/>
      <c r="X267" s="6"/>
      <c r="Y267" s="6"/>
    </row>
    <row r="268" ht="11.25" customHeight="1">
      <c r="A268" s="7"/>
      <c r="B268" s="68">
        <f t="shared" si="14"/>
        <v>263</v>
      </c>
      <c r="C268" s="607"/>
      <c r="D268" s="6">
        <f t="shared" si="15"/>
        <v>0</v>
      </c>
      <c r="E268" s="6">
        <f t="shared" si="1"/>
        <v>0</v>
      </c>
      <c r="F268" s="6">
        <f t="shared" si="7"/>
        <v>2808000</v>
      </c>
      <c r="G268" s="6">
        <f t="shared" si="8"/>
        <v>390029.1702</v>
      </c>
      <c r="H268" s="6">
        <f t="shared" si="9"/>
        <v>3198029.17</v>
      </c>
      <c r="I268" s="6">
        <f t="shared" si="10"/>
        <v>0.000157801127</v>
      </c>
      <c r="J268" s="610"/>
      <c r="K268" s="591"/>
      <c r="L268" s="6"/>
      <c r="M268" s="9">
        <v>12000.0</v>
      </c>
      <c r="N268" s="79">
        <f t="shared" si="11"/>
        <v>3235800</v>
      </c>
      <c r="O268" s="6">
        <f t="shared" si="2"/>
        <v>2203524.83</v>
      </c>
      <c r="P268" s="6">
        <f t="shared" si="3"/>
        <v>78.47310648</v>
      </c>
      <c r="Q268" s="6"/>
      <c r="R268" s="6">
        <f t="shared" si="12"/>
        <v>9558</v>
      </c>
      <c r="S268" s="6">
        <f t="shared" si="13"/>
        <v>2203524.83</v>
      </c>
      <c r="T268" s="81">
        <f t="shared" si="4"/>
        <v>564.96411</v>
      </c>
      <c r="U268" s="6"/>
      <c r="V268" s="6"/>
      <c r="W268" s="6"/>
      <c r="X268" s="6"/>
      <c r="Y268" s="6"/>
    </row>
    <row r="269" ht="11.25" customHeight="1">
      <c r="A269" s="71"/>
      <c r="B269" s="72">
        <f t="shared" si="14"/>
        <v>264</v>
      </c>
      <c r="C269" s="607"/>
      <c r="D269" s="10">
        <f t="shared" si="15"/>
        <v>0</v>
      </c>
      <c r="E269" s="10">
        <f t="shared" si="1"/>
        <v>0</v>
      </c>
      <c r="F269" s="10">
        <f t="shared" si="7"/>
        <v>2808000</v>
      </c>
      <c r="G269" s="10">
        <f t="shared" si="8"/>
        <v>390029.1702</v>
      </c>
      <c r="H269" s="10">
        <f t="shared" si="9"/>
        <v>3198029.17</v>
      </c>
      <c r="I269" s="10">
        <f t="shared" si="10"/>
        <v>0.000157801127</v>
      </c>
      <c r="J269" s="610"/>
      <c r="K269" s="591"/>
      <c r="L269" s="6"/>
      <c r="M269" s="9">
        <v>12000.0</v>
      </c>
      <c r="N269" s="79">
        <f t="shared" si="11"/>
        <v>3247800</v>
      </c>
      <c r="O269" s="6">
        <f t="shared" si="2"/>
        <v>2213082.83</v>
      </c>
      <c r="P269" s="6">
        <f t="shared" si="3"/>
        <v>78.8134911</v>
      </c>
      <c r="Q269" s="6"/>
      <c r="R269" s="6">
        <f t="shared" si="12"/>
        <v>9558</v>
      </c>
      <c r="S269" s="6">
        <f t="shared" si="13"/>
        <v>2213082.83</v>
      </c>
      <c r="T269" s="81">
        <f t="shared" si="4"/>
        <v>567.4146959</v>
      </c>
      <c r="U269" s="6"/>
      <c r="V269" s="6"/>
      <c r="W269" s="6"/>
      <c r="X269" s="6"/>
      <c r="Y269" s="6"/>
    </row>
    <row r="270" ht="11.25" customHeight="1">
      <c r="A270" s="100">
        <v>23.0</v>
      </c>
      <c r="B270" s="66">
        <f t="shared" si="14"/>
        <v>265</v>
      </c>
      <c r="C270" s="607"/>
      <c r="D270" s="617">
        <f t="shared" si="15"/>
        <v>0</v>
      </c>
      <c r="E270" s="617">
        <f t="shared" si="1"/>
        <v>0</v>
      </c>
      <c r="F270" s="617">
        <f t="shared" si="7"/>
        <v>2808000</v>
      </c>
      <c r="G270" s="617">
        <f t="shared" si="8"/>
        <v>390029.1702</v>
      </c>
      <c r="H270" s="617">
        <f t="shared" si="9"/>
        <v>3198029.17</v>
      </c>
      <c r="I270" s="617">
        <f t="shared" si="10"/>
        <v>0.000157801127</v>
      </c>
      <c r="J270" s="610"/>
      <c r="K270" s="591"/>
      <c r="L270" s="6"/>
      <c r="M270" s="9">
        <v>12000.0</v>
      </c>
      <c r="N270" s="79">
        <f t="shared" si="11"/>
        <v>3259800</v>
      </c>
      <c r="O270" s="6">
        <f t="shared" si="2"/>
        <v>2222640.83</v>
      </c>
      <c r="P270" s="6">
        <f t="shared" si="3"/>
        <v>79.15387571</v>
      </c>
      <c r="Q270" s="6"/>
      <c r="R270" s="6">
        <f t="shared" si="12"/>
        <v>9558</v>
      </c>
      <c r="S270" s="6">
        <f t="shared" si="13"/>
        <v>2222640.83</v>
      </c>
      <c r="T270" s="81">
        <f t="shared" si="4"/>
        <v>569.8652819</v>
      </c>
      <c r="U270" s="6"/>
      <c r="V270" s="6"/>
      <c r="W270" s="6"/>
      <c r="X270" s="6"/>
      <c r="Y270" s="6"/>
    </row>
    <row r="271" ht="11.25" customHeight="1">
      <c r="A271" s="7"/>
      <c r="B271" s="68">
        <f t="shared" si="14"/>
        <v>266</v>
      </c>
      <c r="C271" s="607"/>
      <c r="D271" s="6">
        <f t="shared" si="15"/>
        <v>0</v>
      </c>
      <c r="E271" s="6">
        <f t="shared" si="1"/>
        <v>0</v>
      </c>
      <c r="F271" s="6">
        <f t="shared" si="7"/>
        <v>2808000</v>
      </c>
      <c r="G271" s="6">
        <f t="shared" si="8"/>
        <v>390029.1702</v>
      </c>
      <c r="H271" s="6">
        <f t="shared" si="9"/>
        <v>3198029.17</v>
      </c>
      <c r="I271" s="6">
        <f t="shared" si="10"/>
        <v>0.000157801127</v>
      </c>
      <c r="J271" s="610"/>
      <c r="K271" s="591"/>
      <c r="L271" s="6"/>
      <c r="M271" s="9">
        <v>12000.0</v>
      </c>
      <c r="N271" s="79">
        <f t="shared" si="11"/>
        <v>3271800</v>
      </c>
      <c r="O271" s="6">
        <f t="shared" si="2"/>
        <v>2232198.83</v>
      </c>
      <c r="P271" s="6">
        <f t="shared" si="3"/>
        <v>79.49426033</v>
      </c>
      <c r="Q271" s="6"/>
      <c r="R271" s="6">
        <f t="shared" si="12"/>
        <v>9558</v>
      </c>
      <c r="S271" s="6">
        <f t="shared" si="13"/>
        <v>2232198.83</v>
      </c>
      <c r="T271" s="81">
        <f t="shared" si="4"/>
        <v>572.3158678</v>
      </c>
      <c r="U271" s="6"/>
      <c r="V271" s="6"/>
      <c r="W271" s="6"/>
      <c r="X271" s="6"/>
      <c r="Y271" s="6"/>
    </row>
    <row r="272" ht="11.25" customHeight="1">
      <c r="A272" s="7"/>
      <c r="B272" s="68">
        <f t="shared" si="14"/>
        <v>267</v>
      </c>
      <c r="C272" s="607"/>
      <c r="D272" s="6">
        <f t="shared" si="15"/>
        <v>0</v>
      </c>
      <c r="E272" s="6">
        <f t="shared" si="1"/>
        <v>0</v>
      </c>
      <c r="F272" s="6">
        <f t="shared" si="7"/>
        <v>2808000</v>
      </c>
      <c r="G272" s="6">
        <f t="shared" si="8"/>
        <v>390029.1702</v>
      </c>
      <c r="H272" s="6">
        <f t="shared" si="9"/>
        <v>3198029.17</v>
      </c>
      <c r="I272" s="6">
        <f t="shared" si="10"/>
        <v>0.000157801127</v>
      </c>
      <c r="J272" s="610"/>
      <c r="K272" s="591"/>
      <c r="L272" s="6"/>
      <c r="M272" s="9">
        <v>12000.0</v>
      </c>
      <c r="N272" s="79">
        <f t="shared" si="11"/>
        <v>3283800</v>
      </c>
      <c r="O272" s="6">
        <f t="shared" si="2"/>
        <v>2241756.83</v>
      </c>
      <c r="P272" s="6">
        <f t="shared" si="3"/>
        <v>79.83464494</v>
      </c>
      <c r="Q272" s="6"/>
      <c r="R272" s="6">
        <f t="shared" si="12"/>
        <v>9558</v>
      </c>
      <c r="S272" s="6">
        <f t="shared" si="13"/>
        <v>2241756.83</v>
      </c>
      <c r="T272" s="81">
        <f t="shared" si="4"/>
        <v>574.7664537</v>
      </c>
      <c r="U272" s="6"/>
      <c r="V272" s="6"/>
      <c r="W272" s="6"/>
      <c r="X272" s="6"/>
      <c r="Y272" s="6"/>
    </row>
    <row r="273" ht="11.25" customHeight="1">
      <c r="A273" s="7"/>
      <c r="B273" s="68">
        <f t="shared" si="14"/>
        <v>268</v>
      </c>
      <c r="C273" s="607"/>
      <c r="D273" s="6">
        <f t="shared" si="15"/>
        <v>0</v>
      </c>
      <c r="E273" s="6">
        <f t="shared" si="1"/>
        <v>0</v>
      </c>
      <c r="F273" s="6">
        <f t="shared" si="7"/>
        <v>2808000</v>
      </c>
      <c r="G273" s="6">
        <f t="shared" si="8"/>
        <v>390029.1702</v>
      </c>
      <c r="H273" s="6">
        <f t="shared" si="9"/>
        <v>3198029.17</v>
      </c>
      <c r="I273" s="6">
        <f t="shared" si="10"/>
        <v>0.000157801127</v>
      </c>
      <c r="J273" s="610"/>
      <c r="K273" s="591"/>
      <c r="L273" s="6"/>
      <c r="M273" s="9">
        <v>12000.0</v>
      </c>
      <c r="N273" s="79">
        <f t="shared" si="11"/>
        <v>3295800</v>
      </c>
      <c r="O273" s="6">
        <f t="shared" si="2"/>
        <v>2251314.83</v>
      </c>
      <c r="P273" s="6">
        <f t="shared" si="3"/>
        <v>80.17502956</v>
      </c>
      <c r="Q273" s="6"/>
      <c r="R273" s="6">
        <f t="shared" si="12"/>
        <v>9558</v>
      </c>
      <c r="S273" s="6">
        <f t="shared" si="13"/>
        <v>2251314.83</v>
      </c>
      <c r="T273" s="81">
        <f t="shared" si="4"/>
        <v>577.2170397</v>
      </c>
      <c r="U273" s="6"/>
      <c r="V273" s="6"/>
      <c r="W273" s="6"/>
      <c r="X273" s="6"/>
      <c r="Y273" s="6"/>
    </row>
    <row r="274" ht="11.25" customHeight="1">
      <c r="A274" s="7"/>
      <c r="B274" s="68">
        <f t="shared" si="14"/>
        <v>269</v>
      </c>
      <c r="C274" s="607"/>
      <c r="D274" s="6">
        <f t="shared" si="15"/>
        <v>0</v>
      </c>
      <c r="E274" s="6">
        <f t="shared" si="1"/>
        <v>0</v>
      </c>
      <c r="F274" s="6">
        <f t="shared" si="7"/>
        <v>2808000</v>
      </c>
      <c r="G274" s="6">
        <f t="shared" si="8"/>
        <v>390029.1702</v>
      </c>
      <c r="H274" s="6">
        <f t="shared" si="9"/>
        <v>3198029.17</v>
      </c>
      <c r="I274" s="6">
        <f t="shared" si="10"/>
        <v>0.000157801127</v>
      </c>
      <c r="J274" s="610"/>
      <c r="K274" s="591"/>
      <c r="L274" s="6"/>
      <c r="M274" s="9">
        <v>12000.0</v>
      </c>
      <c r="N274" s="79">
        <f t="shared" si="11"/>
        <v>3307800</v>
      </c>
      <c r="O274" s="6">
        <f t="shared" si="2"/>
        <v>2260872.83</v>
      </c>
      <c r="P274" s="6">
        <f t="shared" si="3"/>
        <v>80.51541417</v>
      </c>
      <c r="Q274" s="6"/>
      <c r="R274" s="6">
        <f t="shared" si="12"/>
        <v>9558</v>
      </c>
      <c r="S274" s="6">
        <f t="shared" si="13"/>
        <v>2260872.83</v>
      </c>
      <c r="T274" s="81">
        <f t="shared" si="4"/>
        <v>579.6676256</v>
      </c>
      <c r="U274" s="6"/>
      <c r="V274" s="6"/>
      <c r="W274" s="6"/>
      <c r="X274" s="6"/>
      <c r="Y274" s="6"/>
    </row>
    <row r="275" ht="11.25" customHeight="1">
      <c r="A275" s="7"/>
      <c r="B275" s="68">
        <f t="shared" si="14"/>
        <v>270</v>
      </c>
      <c r="C275" s="607"/>
      <c r="D275" s="6">
        <f t="shared" si="15"/>
        <v>0</v>
      </c>
      <c r="E275" s="6">
        <f t="shared" si="1"/>
        <v>0</v>
      </c>
      <c r="F275" s="6">
        <f t="shared" si="7"/>
        <v>2808000</v>
      </c>
      <c r="G275" s="6">
        <f t="shared" si="8"/>
        <v>390029.1702</v>
      </c>
      <c r="H275" s="6">
        <f t="shared" si="9"/>
        <v>3198029.17</v>
      </c>
      <c r="I275" s="6">
        <f t="shared" si="10"/>
        <v>0.000157801127</v>
      </c>
      <c r="J275" s="610"/>
      <c r="K275" s="591"/>
      <c r="L275" s="6"/>
      <c r="M275" s="9">
        <v>12000.0</v>
      </c>
      <c r="N275" s="79">
        <f t="shared" si="11"/>
        <v>3319800</v>
      </c>
      <c r="O275" s="6">
        <f t="shared" si="2"/>
        <v>2270430.83</v>
      </c>
      <c r="P275" s="6">
        <f t="shared" si="3"/>
        <v>80.85579879</v>
      </c>
      <c r="Q275" s="6"/>
      <c r="R275" s="6">
        <f t="shared" si="12"/>
        <v>9558</v>
      </c>
      <c r="S275" s="6">
        <f t="shared" si="13"/>
        <v>2270430.83</v>
      </c>
      <c r="T275" s="81">
        <f t="shared" si="4"/>
        <v>582.1182115</v>
      </c>
      <c r="U275" s="6"/>
      <c r="V275" s="6"/>
      <c r="W275" s="6"/>
      <c r="X275" s="6"/>
      <c r="Y275" s="6"/>
    </row>
    <row r="276" ht="11.25" customHeight="1">
      <c r="A276" s="7"/>
      <c r="B276" s="68">
        <f t="shared" si="14"/>
        <v>271</v>
      </c>
      <c r="C276" s="607"/>
      <c r="D276" s="6">
        <f t="shared" si="15"/>
        <v>0</v>
      </c>
      <c r="E276" s="6">
        <f t="shared" si="1"/>
        <v>0</v>
      </c>
      <c r="F276" s="6">
        <f t="shared" si="7"/>
        <v>2808000</v>
      </c>
      <c r="G276" s="6">
        <f t="shared" si="8"/>
        <v>390029.1702</v>
      </c>
      <c r="H276" s="6">
        <f t="shared" si="9"/>
        <v>3198029.17</v>
      </c>
      <c r="I276" s="6">
        <f t="shared" si="10"/>
        <v>0.000157801127</v>
      </c>
      <c r="J276" s="610"/>
      <c r="K276" s="591"/>
      <c r="L276" s="6"/>
      <c r="M276" s="9">
        <v>12000.0</v>
      </c>
      <c r="N276" s="79">
        <f t="shared" si="11"/>
        <v>3331800</v>
      </c>
      <c r="O276" s="6">
        <f t="shared" si="2"/>
        <v>2279988.83</v>
      </c>
      <c r="P276" s="6">
        <f t="shared" si="3"/>
        <v>81.1961834</v>
      </c>
      <c r="Q276" s="6"/>
      <c r="R276" s="6">
        <f t="shared" si="12"/>
        <v>9558</v>
      </c>
      <c r="S276" s="6">
        <f t="shared" si="13"/>
        <v>2279988.83</v>
      </c>
      <c r="T276" s="81">
        <f t="shared" si="4"/>
        <v>584.5687975</v>
      </c>
      <c r="U276" s="6"/>
      <c r="V276" s="6"/>
      <c r="W276" s="6"/>
      <c r="X276" s="6"/>
      <c r="Y276" s="6"/>
    </row>
    <row r="277" ht="11.25" customHeight="1">
      <c r="A277" s="7"/>
      <c r="B277" s="68">
        <f t="shared" si="14"/>
        <v>272</v>
      </c>
      <c r="C277" s="607"/>
      <c r="D277" s="6">
        <f t="shared" si="15"/>
        <v>0</v>
      </c>
      <c r="E277" s="6">
        <f t="shared" si="1"/>
        <v>0</v>
      </c>
      <c r="F277" s="6">
        <f t="shared" si="7"/>
        <v>2808000</v>
      </c>
      <c r="G277" s="6">
        <f t="shared" si="8"/>
        <v>390029.1702</v>
      </c>
      <c r="H277" s="6">
        <f t="shared" si="9"/>
        <v>3198029.17</v>
      </c>
      <c r="I277" s="6">
        <f t="shared" si="10"/>
        <v>0.000157801127</v>
      </c>
      <c r="J277" s="610"/>
      <c r="K277" s="591"/>
      <c r="L277" s="6"/>
      <c r="M277" s="9">
        <v>12000.0</v>
      </c>
      <c r="N277" s="79">
        <f t="shared" si="11"/>
        <v>3343800</v>
      </c>
      <c r="O277" s="6">
        <f t="shared" si="2"/>
        <v>2289546.83</v>
      </c>
      <c r="P277" s="6">
        <f t="shared" si="3"/>
        <v>81.53656802</v>
      </c>
      <c r="Q277" s="6"/>
      <c r="R277" s="6">
        <f t="shared" si="12"/>
        <v>9558</v>
      </c>
      <c r="S277" s="6">
        <f t="shared" si="13"/>
        <v>2289546.83</v>
      </c>
      <c r="T277" s="81">
        <f t="shared" si="4"/>
        <v>587.0193834</v>
      </c>
      <c r="U277" s="6"/>
      <c r="V277" s="6"/>
      <c r="W277" s="6"/>
      <c r="X277" s="6"/>
      <c r="Y277" s="6"/>
    </row>
    <row r="278" ht="11.25" customHeight="1">
      <c r="A278" s="7"/>
      <c r="B278" s="68">
        <f t="shared" si="14"/>
        <v>273</v>
      </c>
      <c r="C278" s="607"/>
      <c r="D278" s="6">
        <f t="shared" si="15"/>
        <v>0</v>
      </c>
      <c r="E278" s="6">
        <f t="shared" si="1"/>
        <v>0</v>
      </c>
      <c r="F278" s="6">
        <f t="shared" si="7"/>
        <v>2808000</v>
      </c>
      <c r="G278" s="6">
        <f t="shared" si="8"/>
        <v>390029.1702</v>
      </c>
      <c r="H278" s="6">
        <f t="shared" si="9"/>
        <v>3198029.17</v>
      </c>
      <c r="I278" s="6">
        <f t="shared" si="10"/>
        <v>0.000157801127</v>
      </c>
      <c r="J278" s="610"/>
      <c r="K278" s="591"/>
      <c r="L278" s="6"/>
      <c r="M278" s="9">
        <v>12000.0</v>
      </c>
      <c r="N278" s="79">
        <f t="shared" si="11"/>
        <v>3355800</v>
      </c>
      <c r="O278" s="6">
        <f t="shared" si="2"/>
        <v>2299104.83</v>
      </c>
      <c r="P278" s="6">
        <f t="shared" si="3"/>
        <v>81.87695263</v>
      </c>
      <c r="Q278" s="6"/>
      <c r="R278" s="6">
        <f t="shared" si="12"/>
        <v>9558</v>
      </c>
      <c r="S278" s="6">
        <f t="shared" si="13"/>
        <v>2299104.83</v>
      </c>
      <c r="T278" s="81">
        <f t="shared" si="4"/>
        <v>589.4699694</v>
      </c>
      <c r="U278" s="6"/>
      <c r="V278" s="6"/>
      <c r="W278" s="6"/>
      <c r="X278" s="6"/>
      <c r="Y278" s="6"/>
    </row>
    <row r="279" ht="11.25" customHeight="1">
      <c r="A279" s="7"/>
      <c r="B279" s="68">
        <f t="shared" si="14"/>
        <v>274</v>
      </c>
      <c r="C279" s="607"/>
      <c r="D279" s="6">
        <f t="shared" si="15"/>
        <v>0</v>
      </c>
      <c r="E279" s="6">
        <f t="shared" si="1"/>
        <v>0</v>
      </c>
      <c r="F279" s="6">
        <f t="shared" si="7"/>
        <v>2808000</v>
      </c>
      <c r="G279" s="6">
        <f t="shared" si="8"/>
        <v>390029.1702</v>
      </c>
      <c r="H279" s="6">
        <f t="shared" si="9"/>
        <v>3198029.17</v>
      </c>
      <c r="I279" s="6">
        <f t="shared" si="10"/>
        <v>0.000157801127</v>
      </c>
      <c r="J279" s="610"/>
      <c r="K279" s="591"/>
      <c r="L279" s="6"/>
      <c r="M279" s="9">
        <v>12000.0</v>
      </c>
      <c r="N279" s="79">
        <f t="shared" si="11"/>
        <v>3367800</v>
      </c>
      <c r="O279" s="6">
        <f t="shared" si="2"/>
        <v>2308662.83</v>
      </c>
      <c r="P279" s="6">
        <f t="shared" si="3"/>
        <v>82.21733725</v>
      </c>
      <c r="Q279" s="6"/>
      <c r="R279" s="6">
        <f t="shared" si="12"/>
        <v>9558</v>
      </c>
      <c r="S279" s="6">
        <f t="shared" si="13"/>
        <v>2308662.83</v>
      </c>
      <c r="T279" s="81">
        <f t="shared" si="4"/>
        <v>591.9205553</v>
      </c>
      <c r="U279" s="6"/>
      <c r="V279" s="6"/>
      <c r="W279" s="6"/>
      <c r="X279" s="6"/>
      <c r="Y279" s="6"/>
    </row>
    <row r="280" ht="11.25" customHeight="1">
      <c r="A280" s="7"/>
      <c r="B280" s="68">
        <f t="shared" si="14"/>
        <v>275</v>
      </c>
      <c r="C280" s="607"/>
      <c r="D280" s="6">
        <f t="shared" si="15"/>
        <v>0</v>
      </c>
      <c r="E280" s="6">
        <f t="shared" si="1"/>
        <v>0</v>
      </c>
      <c r="F280" s="6">
        <f t="shared" si="7"/>
        <v>2808000</v>
      </c>
      <c r="G280" s="6">
        <f t="shared" si="8"/>
        <v>390029.1702</v>
      </c>
      <c r="H280" s="6">
        <f t="shared" si="9"/>
        <v>3198029.17</v>
      </c>
      <c r="I280" s="6">
        <f t="shared" si="10"/>
        <v>0.000157801127</v>
      </c>
      <c r="J280" s="610"/>
      <c r="K280" s="591"/>
      <c r="L280" s="6"/>
      <c r="M280" s="9">
        <v>12000.0</v>
      </c>
      <c r="N280" s="79">
        <f t="shared" si="11"/>
        <v>3379800</v>
      </c>
      <c r="O280" s="6">
        <f t="shared" si="2"/>
        <v>2318220.83</v>
      </c>
      <c r="P280" s="6">
        <f t="shared" si="3"/>
        <v>82.55772187</v>
      </c>
      <c r="Q280" s="6"/>
      <c r="R280" s="6">
        <f t="shared" si="12"/>
        <v>9558</v>
      </c>
      <c r="S280" s="6">
        <f t="shared" si="13"/>
        <v>2318220.83</v>
      </c>
      <c r="T280" s="81">
        <f t="shared" si="4"/>
        <v>594.3711412</v>
      </c>
      <c r="U280" s="6"/>
      <c r="V280" s="6"/>
      <c r="W280" s="6"/>
      <c r="X280" s="6"/>
      <c r="Y280" s="6"/>
    </row>
    <row r="281" ht="11.25" customHeight="1">
      <c r="A281" s="71"/>
      <c r="B281" s="72">
        <f t="shared" si="14"/>
        <v>276</v>
      </c>
      <c r="C281" s="607"/>
      <c r="D281" s="10">
        <f t="shared" si="15"/>
        <v>0</v>
      </c>
      <c r="E281" s="10">
        <f t="shared" si="1"/>
        <v>0</v>
      </c>
      <c r="F281" s="10">
        <f t="shared" si="7"/>
        <v>2808000</v>
      </c>
      <c r="G281" s="10">
        <f t="shared" si="8"/>
        <v>390029.1702</v>
      </c>
      <c r="H281" s="10">
        <f t="shared" si="9"/>
        <v>3198029.17</v>
      </c>
      <c r="I281" s="10">
        <f t="shared" si="10"/>
        <v>0.000157801127</v>
      </c>
      <c r="J281" s="610"/>
      <c r="K281" s="591"/>
      <c r="L281" s="6"/>
      <c r="M281" s="9">
        <v>12000.0</v>
      </c>
      <c r="N281" s="79">
        <f t="shared" si="11"/>
        <v>3391800</v>
      </c>
      <c r="O281" s="6">
        <f t="shared" si="2"/>
        <v>2327778.83</v>
      </c>
      <c r="P281" s="6">
        <f t="shared" si="3"/>
        <v>82.89810648</v>
      </c>
      <c r="Q281" s="6"/>
      <c r="R281" s="6">
        <f t="shared" si="12"/>
        <v>9558</v>
      </c>
      <c r="S281" s="6">
        <f t="shared" si="13"/>
        <v>2327778.83</v>
      </c>
      <c r="T281" s="81">
        <f t="shared" si="4"/>
        <v>596.8217272</v>
      </c>
      <c r="U281" s="6"/>
      <c r="V281" s="6"/>
      <c r="W281" s="6"/>
      <c r="X281" s="6"/>
      <c r="Y281" s="6"/>
    </row>
    <row r="282" ht="11.25" customHeight="1">
      <c r="A282" s="100">
        <v>24.0</v>
      </c>
      <c r="B282" s="66">
        <f t="shared" si="14"/>
        <v>277</v>
      </c>
      <c r="C282" s="607"/>
      <c r="D282" s="617">
        <f t="shared" si="15"/>
        <v>0</v>
      </c>
      <c r="E282" s="617">
        <f t="shared" si="1"/>
        <v>0</v>
      </c>
      <c r="F282" s="617">
        <f t="shared" si="7"/>
        <v>2808000</v>
      </c>
      <c r="G282" s="617">
        <f t="shared" si="8"/>
        <v>390029.1702</v>
      </c>
      <c r="H282" s="617">
        <f t="shared" si="9"/>
        <v>3198029.17</v>
      </c>
      <c r="I282" s="617">
        <f t="shared" si="10"/>
        <v>0.000157801127</v>
      </c>
      <c r="J282" s="610"/>
      <c r="K282" s="591"/>
      <c r="L282" s="6"/>
      <c r="M282" s="9">
        <v>12000.0</v>
      </c>
      <c r="N282" s="79">
        <f t="shared" si="11"/>
        <v>3403800</v>
      </c>
      <c r="O282" s="6">
        <f t="shared" si="2"/>
        <v>2337336.83</v>
      </c>
      <c r="P282" s="6">
        <f t="shared" si="3"/>
        <v>83.2384911</v>
      </c>
      <c r="Q282" s="6"/>
      <c r="R282" s="6">
        <f t="shared" si="12"/>
        <v>9558</v>
      </c>
      <c r="S282" s="6">
        <f t="shared" si="13"/>
        <v>2337336.83</v>
      </c>
      <c r="T282" s="81">
        <f t="shared" si="4"/>
        <v>599.2723131</v>
      </c>
      <c r="U282" s="6"/>
      <c r="V282" s="6"/>
      <c r="W282" s="6"/>
      <c r="X282" s="6"/>
      <c r="Y282" s="6"/>
    </row>
    <row r="283" ht="11.25" customHeight="1">
      <c r="A283" s="7"/>
      <c r="B283" s="68">
        <f t="shared" si="14"/>
        <v>278</v>
      </c>
      <c r="C283" s="607"/>
      <c r="D283" s="6">
        <f t="shared" si="15"/>
        <v>0</v>
      </c>
      <c r="E283" s="6">
        <f t="shared" si="1"/>
        <v>0</v>
      </c>
      <c r="F283" s="6">
        <f t="shared" si="7"/>
        <v>2808000</v>
      </c>
      <c r="G283" s="6">
        <f t="shared" si="8"/>
        <v>390029.1702</v>
      </c>
      <c r="H283" s="6">
        <f t="shared" si="9"/>
        <v>3198029.17</v>
      </c>
      <c r="I283" s="6">
        <f t="shared" si="10"/>
        <v>0.000157801127</v>
      </c>
      <c r="J283" s="610"/>
      <c r="K283" s="591"/>
      <c r="L283" s="6"/>
      <c r="M283" s="9">
        <v>12000.0</v>
      </c>
      <c r="N283" s="79">
        <f t="shared" si="11"/>
        <v>3415800</v>
      </c>
      <c r="O283" s="6">
        <f t="shared" si="2"/>
        <v>2346894.83</v>
      </c>
      <c r="P283" s="6">
        <f t="shared" si="3"/>
        <v>83.57887571</v>
      </c>
      <c r="Q283" s="6"/>
      <c r="R283" s="6">
        <f t="shared" si="12"/>
        <v>9558</v>
      </c>
      <c r="S283" s="6">
        <f t="shared" si="13"/>
        <v>2346894.83</v>
      </c>
      <c r="T283" s="81">
        <f t="shared" si="4"/>
        <v>601.7228991</v>
      </c>
      <c r="U283" s="6"/>
      <c r="V283" s="6"/>
      <c r="W283" s="6"/>
      <c r="X283" s="6"/>
      <c r="Y283" s="6"/>
    </row>
    <row r="284" ht="11.25" customHeight="1">
      <c r="A284" s="7"/>
      <c r="B284" s="68">
        <f t="shared" si="14"/>
        <v>279</v>
      </c>
      <c r="C284" s="607"/>
      <c r="D284" s="6">
        <f t="shared" si="15"/>
        <v>0</v>
      </c>
      <c r="E284" s="6">
        <f t="shared" si="1"/>
        <v>0</v>
      </c>
      <c r="F284" s="6">
        <f t="shared" si="7"/>
        <v>2808000</v>
      </c>
      <c r="G284" s="6">
        <f t="shared" si="8"/>
        <v>390029.1702</v>
      </c>
      <c r="H284" s="6">
        <f t="shared" si="9"/>
        <v>3198029.17</v>
      </c>
      <c r="I284" s="6">
        <f t="shared" si="10"/>
        <v>0.000157801127</v>
      </c>
      <c r="J284" s="610"/>
      <c r="K284" s="591"/>
      <c r="L284" s="6"/>
      <c r="M284" s="9">
        <v>12000.0</v>
      </c>
      <c r="N284" s="79">
        <f t="shared" si="11"/>
        <v>3427800</v>
      </c>
      <c r="O284" s="6">
        <f t="shared" si="2"/>
        <v>2356452.83</v>
      </c>
      <c r="P284" s="6">
        <f t="shared" si="3"/>
        <v>83.91926033</v>
      </c>
      <c r="Q284" s="6"/>
      <c r="R284" s="6">
        <f t="shared" si="12"/>
        <v>9558</v>
      </c>
      <c r="S284" s="6">
        <f t="shared" si="13"/>
        <v>2356452.83</v>
      </c>
      <c r="T284" s="81">
        <f t="shared" si="4"/>
        <v>604.173485</v>
      </c>
      <c r="U284" s="6"/>
      <c r="V284" s="6"/>
      <c r="W284" s="6"/>
      <c r="X284" s="6"/>
      <c r="Y284" s="6"/>
    </row>
    <row r="285" ht="11.25" customHeight="1">
      <c r="A285" s="7"/>
      <c r="B285" s="68">
        <f t="shared" si="14"/>
        <v>280</v>
      </c>
      <c r="C285" s="607"/>
      <c r="D285" s="6">
        <f t="shared" si="15"/>
        <v>0</v>
      </c>
      <c r="E285" s="6">
        <f t="shared" si="1"/>
        <v>0</v>
      </c>
      <c r="F285" s="6">
        <f t="shared" si="7"/>
        <v>2808000</v>
      </c>
      <c r="G285" s="6">
        <f t="shared" si="8"/>
        <v>390029.1702</v>
      </c>
      <c r="H285" s="6">
        <f t="shared" si="9"/>
        <v>3198029.17</v>
      </c>
      <c r="I285" s="6">
        <f t="shared" si="10"/>
        <v>0.000157801127</v>
      </c>
      <c r="J285" s="610"/>
      <c r="K285" s="591"/>
      <c r="L285" s="6"/>
      <c r="M285" s="9">
        <v>12000.0</v>
      </c>
      <c r="N285" s="79">
        <f t="shared" si="11"/>
        <v>3439800</v>
      </c>
      <c r="O285" s="6">
        <f t="shared" si="2"/>
        <v>2366010.83</v>
      </c>
      <c r="P285" s="6">
        <f t="shared" si="3"/>
        <v>84.25964494</v>
      </c>
      <c r="Q285" s="6"/>
      <c r="R285" s="6">
        <f t="shared" si="12"/>
        <v>9558</v>
      </c>
      <c r="S285" s="6">
        <f t="shared" si="13"/>
        <v>2366010.83</v>
      </c>
      <c r="T285" s="81">
        <f t="shared" si="4"/>
        <v>606.6240709</v>
      </c>
      <c r="U285" s="6"/>
      <c r="V285" s="6"/>
      <c r="W285" s="6"/>
      <c r="X285" s="6"/>
      <c r="Y285" s="6"/>
    </row>
    <row r="286" ht="11.25" customHeight="1">
      <c r="A286" s="7"/>
      <c r="B286" s="68">
        <f t="shared" si="14"/>
        <v>281</v>
      </c>
      <c r="C286" s="607"/>
      <c r="D286" s="6">
        <f t="shared" si="15"/>
        <v>0</v>
      </c>
      <c r="E286" s="6">
        <f t="shared" si="1"/>
        <v>0</v>
      </c>
      <c r="F286" s="6">
        <f t="shared" si="7"/>
        <v>2808000</v>
      </c>
      <c r="G286" s="6">
        <f t="shared" si="8"/>
        <v>390029.1702</v>
      </c>
      <c r="H286" s="6">
        <f t="shared" si="9"/>
        <v>3198029.17</v>
      </c>
      <c r="I286" s="6">
        <f t="shared" si="10"/>
        <v>0.000157801127</v>
      </c>
      <c r="J286" s="610"/>
      <c r="K286" s="591"/>
      <c r="L286" s="6"/>
      <c r="M286" s="9">
        <v>12000.0</v>
      </c>
      <c r="N286" s="79">
        <f t="shared" si="11"/>
        <v>3451800</v>
      </c>
      <c r="O286" s="6">
        <f t="shared" si="2"/>
        <v>2375568.83</v>
      </c>
      <c r="P286" s="6">
        <f t="shared" si="3"/>
        <v>84.60002956</v>
      </c>
      <c r="Q286" s="6"/>
      <c r="R286" s="6">
        <f t="shared" si="12"/>
        <v>9558</v>
      </c>
      <c r="S286" s="6">
        <f t="shared" si="13"/>
        <v>2375568.83</v>
      </c>
      <c r="T286" s="81">
        <f t="shared" si="4"/>
        <v>609.0746569</v>
      </c>
      <c r="U286" s="6"/>
      <c r="V286" s="6"/>
      <c r="W286" s="6"/>
      <c r="X286" s="6"/>
      <c r="Y286" s="6"/>
    </row>
    <row r="287" ht="11.25" customHeight="1">
      <c r="A287" s="7"/>
      <c r="B287" s="68">
        <f t="shared" si="14"/>
        <v>282</v>
      </c>
      <c r="C287" s="607"/>
      <c r="D287" s="6">
        <f t="shared" si="15"/>
        <v>0</v>
      </c>
      <c r="E287" s="6">
        <f t="shared" si="1"/>
        <v>0</v>
      </c>
      <c r="F287" s="6">
        <f t="shared" si="7"/>
        <v>2808000</v>
      </c>
      <c r="G287" s="6">
        <f t="shared" si="8"/>
        <v>390029.1702</v>
      </c>
      <c r="H287" s="6">
        <f t="shared" si="9"/>
        <v>3198029.17</v>
      </c>
      <c r="I287" s="6">
        <f t="shared" si="10"/>
        <v>0.000157801127</v>
      </c>
      <c r="J287" s="610"/>
      <c r="K287" s="591"/>
      <c r="L287" s="6"/>
      <c r="M287" s="9">
        <v>12000.0</v>
      </c>
      <c r="N287" s="79">
        <f t="shared" si="11"/>
        <v>3463800</v>
      </c>
      <c r="O287" s="6">
        <f t="shared" si="2"/>
        <v>2385126.83</v>
      </c>
      <c r="P287" s="6">
        <f t="shared" si="3"/>
        <v>84.94041417</v>
      </c>
      <c r="Q287" s="6"/>
      <c r="R287" s="6">
        <f t="shared" si="12"/>
        <v>9558</v>
      </c>
      <c r="S287" s="6">
        <f t="shared" si="13"/>
        <v>2385126.83</v>
      </c>
      <c r="T287" s="81">
        <f t="shared" si="4"/>
        <v>611.5252428</v>
      </c>
      <c r="U287" s="6"/>
      <c r="V287" s="6"/>
      <c r="W287" s="6"/>
      <c r="X287" s="6"/>
      <c r="Y287" s="6"/>
    </row>
    <row r="288" ht="11.25" customHeight="1">
      <c r="A288" s="7"/>
      <c r="B288" s="68">
        <f t="shared" si="14"/>
        <v>283</v>
      </c>
      <c r="C288" s="607"/>
      <c r="D288" s="6">
        <f t="shared" si="15"/>
        <v>0</v>
      </c>
      <c r="E288" s="6">
        <f t="shared" si="1"/>
        <v>0</v>
      </c>
      <c r="F288" s="6">
        <f t="shared" si="7"/>
        <v>2808000</v>
      </c>
      <c r="G288" s="6">
        <f t="shared" si="8"/>
        <v>390029.1702</v>
      </c>
      <c r="H288" s="6">
        <f t="shared" si="9"/>
        <v>3198029.17</v>
      </c>
      <c r="I288" s="6">
        <f t="shared" si="10"/>
        <v>0.000157801127</v>
      </c>
      <c r="J288" s="610"/>
      <c r="K288" s="591"/>
      <c r="L288" s="6"/>
      <c r="M288" s="9">
        <v>12000.0</v>
      </c>
      <c r="N288" s="79">
        <f t="shared" si="11"/>
        <v>3475800</v>
      </c>
      <c r="O288" s="6">
        <f t="shared" si="2"/>
        <v>2394684.83</v>
      </c>
      <c r="P288" s="6">
        <f t="shared" si="3"/>
        <v>85.28079879</v>
      </c>
      <c r="Q288" s="6"/>
      <c r="R288" s="6">
        <f t="shared" si="12"/>
        <v>9558</v>
      </c>
      <c r="S288" s="6">
        <f t="shared" si="13"/>
        <v>2394684.83</v>
      </c>
      <c r="T288" s="81">
        <f t="shared" si="4"/>
        <v>613.9758287</v>
      </c>
      <c r="U288" s="6"/>
      <c r="V288" s="6"/>
      <c r="W288" s="6"/>
      <c r="X288" s="6"/>
      <c r="Y288" s="6"/>
    </row>
    <row r="289" ht="11.25" customHeight="1">
      <c r="A289" s="7"/>
      <c r="B289" s="68">
        <f t="shared" si="14"/>
        <v>284</v>
      </c>
      <c r="C289" s="607"/>
      <c r="D289" s="6">
        <f t="shared" si="15"/>
        <v>0</v>
      </c>
      <c r="E289" s="6">
        <f t="shared" si="1"/>
        <v>0</v>
      </c>
      <c r="F289" s="6">
        <f t="shared" si="7"/>
        <v>2808000</v>
      </c>
      <c r="G289" s="6">
        <f t="shared" si="8"/>
        <v>390029.1702</v>
      </c>
      <c r="H289" s="6">
        <f t="shared" si="9"/>
        <v>3198029.17</v>
      </c>
      <c r="I289" s="6">
        <f t="shared" si="10"/>
        <v>0.000157801127</v>
      </c>
      <c r="J289" s="610"/>
      <c r="K289" s="591"/>
      <c r="L289" s="6"/>
      <c r="M289" s="9">
        <v>12000.0</v>
      </c>
      <c r="N289" s="79">
        <f t="shared" si="11"/>
        <v>3487800</v>
      </c>
      <c r="O289" s="6">
        <f t="shared" si="2"/>
        <v>2404242.83</v>
      </c>
      <c r="P289" s="6">
        <f t="shared" si="3"/>
        <v>85.6211834</v>
      </c>
      <c r="Q289" s="6"/>
      <c r="R289" s="6">
        <f t="shared" si="12"/>
        <v>9558</v>
      </c>
      <c r="S289" s="6">
        <f t="shared" si="13"/>
        <v>2404242.83</v>
      </c>
      <c r="T289" s="81">
        <f t="shared" si="4"/>
        <v>616.4264147</v>
      </c>
      <c r="U289" s="6"/>
      <c r="V289" s="6"/>
      <c r="W289" s="6"/>
      <c r="X289" s="6"/>
      <c r="Y289" s="6"/>
    </row>
    <row r="290" ht="11.25" customHeight="1">
      <c r="A290" s="7"/>
      <c r="B290" s="68">
        <f t="shared" si="14"/>
        <v>285</v>
      </c>
      <c r="C290" s="607"/>
      <c r="D290" s="6">
        <f t="shared" si="15"/>
        <v>0</v>
      </c>
      <c r="E290" s="6">
        <f t="shared" si="1"/>
        <v>0</v>
      </c>
      <c r="F290" s="6">
        <f t="shared" si="7"/>
        <v>2808000</v>
      </c>
      <c r="G290" s="6">
        <f t="shared" si="8"/>
        <v>390029.1702</v>
      </c>
      <c r="H290" s="6">
        <f t="shared" si="9"/>
        <v>3198029.17</v>
      </c>
      <c r="I290" s="6">
        <f t="shared" si="10"/>
        <v>0.000157801127</v>
      </c>
      <c r="J290" s="610"/>
      <c r="K290" s="591"/>
      <c r="L290" s="6"/>
      <c r="M290" s="9">
        <v>12000.0</v>
      </c>
      <c r="N290" s="79">
        <f t="shared" si="11"/>
        <v>3499800</v>
      </c>
      <c r="O290" s="6">
        <f t="shared" si="2"/>
        <v>2413800.83</v>
      </c>
      <c r="P290" s="6">
        <f t="shared" si="3"/>
        <v>85.96156802</v>
      </c>
      <c r="Q290" s="6"/>
      <c r="R290" s="6">
        <f t="shared" si="12"/>
        <v>9558</v>
      </c>
      <c r="S290" s="6">
        <f t="shared" si="13"/>
        <v>2413800.83</v>
      </c>
      <c r="T290" s="81">
        <f t="shared" si="4"/>
        <v>618.8770006</v>
      </c>
      <c r="U290" s="6"/>
      <c r="V290" s="6"/>
      <c r="W290" s="6"/>
      <c r="X290" s="6"/>
      <c r="Y290" s="6"/>
    </row>
    <row r="291" ht="11.25" customHeight="1">
      <c r="A291" s="7"/>
      <c r="B291" s="68">
        <f t="shared" si="14"/>
        <v>286</v>
      </c>
      <c r="C291" s="607"/>
      <c r="D291" s="6">
        <f t="shared" si="15"/>
        <v>0</v>
      </c>
      <c r="E291" s="6">
        <f t="shared" si="1"/>
        <v>0</v>
      </c>
      <c r="F291" s="6">
        <f t="shared" si="7"/>
        <v>2808000</v>
      </c>
      <c r="G291" s="6">
        <f t="shared" si="8"/>
        <v>390029.1702</v>
      </c>
      <c r="H291" s="6">
        <f t="shared" si="9"/>
        <v>3198029.17</v>
      </c>
      <c r="I291" s="6">
        <f t="shared" si="10"/>
        <v>0.000157801127</v>
      </c>
      <c r="J291" s="610"/>
      <c r="K291" s="591"/>
      <c r="L291" s="6"/>
      <c r="M291" s="9">
        <v>12000.0</v>
      </c>
      <c r="N291" s="79">
        <f t="shared" si="11"/>
        <v>3511800</v>
      </c>
      <c r="O291" s="6">
        <f t="shared" si="2"/>
        <v>2423358.83</v>
      </c>
      <c r="P291" s="6">
        <f t="shared" si="3"/>
        <v>86.30195263</v>
      </c>
      <c r="Q291" s="6"/>
      <c r="R291" s="6">
        <f t="shared" si="12"/>
        <v>9558</v>
      </c>
      <c r="S291" s="6">
        <f t="shared" si="13"/>
        <v>2423358.83</v>
      </c>
      <c r="T291" s="81">
        <f t="shared" si="4"/>
        <v>621.3275866</v>
      </c>
      <c r="U291" s="6"/>
      <c r="V291" s="6"/>
      <c r="W291" s="6"/>
      <c r="X291" s="6"/>
      <c r="Y291" s="6"/>
    </row>
    <row r="292" ht="11.25" customHeight="1">
      <c r="A292" s="7"/>
      <c r="B292" s="68">
        <f t="shared" si="14"/>
        <v>287</v>
      </c>
      <c r="C292" s="607"/>
      <c r="D292" s="6">
        <f t="shared" si="15"/>
        <v>0</v>
      </c>
      <c r="E292" s="6">
        <f t="shared" si="1"/>
        <v>0</v>
      </c>
      <c r="F292" s="6">
        <f t="shared" si="7"/>
        <v>2808000</v>
      </c>
      <c r="G292" s="6">
        <f t="shared" si="8"/>
        <v>390029.1702</v>
      </c>
      <c r="H292" s="6">
        <f t="shared" si="9"/>
        <v>3198029.17</v>
      </c>
      <c r="I292" s="6">
        <f t="shared" si="10"/>
        <v>0.000157801127</v>
      </c>
      <c r="J292" s="610"/>
      <c r="K292" s="591"/>
      <c r="L292" s="6"/>
      <c r="M292" s="9">
        <v>12000.0</v>
      </c>
      <c r="N292" s="79">
        <f t="shared" si="11"/>
        <v>3523800</v>
      </c>
      <c r="O292" s="6">
        <f t="shared" si="2"/>
        <v>2432916.83</v>
      </c>
      <c r="P292" s="6">
        <f t="shared" si="3"/>
        <v>86.64233725</v>
      </c>
      <c r="Q292" s="6"/>
      <c r="R292" s="6">
        <f t="shared" si="12"/>
        <v>9558</v>
      </c>
      <c r="S292" s="6">
        <f t="shared" si="13"/>
        <v>2432916.83</v>
      </c>
      <c r="T292" s="81">
        <f t="shared" si="4"/>
        <v>623.7781725</v>
      </c>
      <c r="U292" s="6"/>
      <c r="V292" s="6"/>
      <c r="W292" s="6"/>
      <c r="X292" s="6"/>
      <c r="Y292" s="6"/>
    </row>
    <row r="293" ht="11.25" customHeight="1">
      <c r="A293" s="71"/>
      <c r="B293" s="72">
        <f t="shared" si="14"/>
        <v>288</v>
      </c>
      <c r="C293" s="607"/>
      <c r="D293" s="10">
        <f t="shared" si="15"/>
        <v>0</v>
      </c>
      <c r="E293" s="10">
        <f t="shared" si="1"/>
        <v>0</v>
      </c>
      <c r="F293" s="10">
        <f t="shared" si="7"/>
        <v>2808000</v>
      </c>
      <c r="G293" s="10">
        <f t="shared" si="8"/>
        <v>390029.1702</v>
      </c>
      <c r="H293" s="10">
        <f t="shared" si="9"/>
        <v>3198029.17</v>
      </c>
      <c r="I293" s="10">
        <f t="shared" si="10"/>
        <v>0.000157801127</v>
      </c>
      <c r="J293" s="610"/>
      <c r="K293" s="591"/>
      <c r="L293" s="6"/>
      <c r="M293" s="9">
        <v>12000.0</v>
      </c>
      <c r="N293" s="79">
        <f t="shared" si="11"/>
        <v>3535800</v>
      </c>
      <c r="O293" s="6">
        <f t="shared" si="2"/>
        <v>2442474.83</v>
      </c>
      <c r="P293" s="6">
        <f t="shared" si="3"/>
        <v>86.98272187</v>
      </c>
      <c r="Q293" s="6"/>
      <c r="R293" s="6">
        <f t="shared" si="12"/>
        <v>9558</v>
      </c>
      <c r="S293" s="6">
        <f t="shared" si="13"/>
        <v>2442474.83</v>
      </c>
      <c r="T293" s="81">
        <f t="shared" si="4"/>
        <v>626.2287584</v>
      </c>
      <c r="U293" s="6"/>
      <c r="V293" s="6"/>
      <c r="W293" s="6"/>
      <c r="X293" s="6"/>
      <c r="Y293" s="6"/>
    </row>
    <row r="294" ht="11.25" customHeight="1">
      <c r="A294" s="100">
        <v>25.0</v>
      </c>
      <c r="B294" s="66">
        <f t="shared" si="14"/>
        <v>289</v>
      </c>
      <c r="C294" s="607"/>
      <c r="D294" s="617">
        <f t="shared" si="15"/>
        <v>0</v>
      </c>
      <c r="E294" s="617">
        <f t="shared" si="1"/>
        <v>0</v>
      </c>
      <c r="F294" s="617">
        <f t="shared" si="7"/>
        <v>2808000</v>
      </c>
      <c r="G294" s="617">
        <f t="shared" si="8"/>
        <v>390029.1702</v>
      </c>
      <c r="H294" s="617">
        <f t="shared" si="9"/>
        <v>3198029.17</v>
      </c>
      <c r="I294" s="617">
        <f t="shared" si="10"/>
        <v>0.000157801127</v>
      </c>
      <c r="J294" s="610"/>
      <c r="K294" s="591"/>
      <c r="L294" s="6"/>
      <c r="M294" s="9">
        <v>12000.0</v>
      </c>
      <c r="N294" s="79">
        <f t="shared" si="11"/>
        <v>3547800</v>
      </c>
      <c r="O294" s="6">
        <f t="shared" si="2"/>
        <v>2452032.83</v>
      </c>
      <c r="P294" s="6">
        <f t="shared" si="3"/>
        <v>87.32310648</v>
      </c>
      <c r="Q294" s="6"/>
      <c r="R294" s="6">
        <f t="shared" si="12"/>
        <v>9558</v>
      </c>
      <c r="S294" s="6">
        <f t="shared" si="13"/>
        <v>2452032.83</v>
      </c>
      <c r="T294" s="81">
        <f t="shared" si="4"/>
        <v>628.6793444</v>
      </c>
      <c r="U294" s="6"/>
      <c r="V294" s="6"/>
      <c r="W294" s="6"/>
      <c r="X294" s="6"/>
      <c r="Y294" s="6"/>
    </row>
    <row r="295" ht="11.25" customHeight="1">
      <c r="A295" s="7"/>
      <c r="B295" s="68">
        <f t="shared" si="14"/>
        <v>290</v>
      </c>
      <c r="C295" s="607"/>
      <c r="D295" s="6">
        <f t="shared" si="15"/>
        <v>0</v>
      </c>
      <c r="E295" s="6">
        <f t="shared" si="1"/>
        <v>0</v>
      </c>
      <c r="F295" s="6">
        <f t="shared" si="7"/>
        <v>2808000</v>
      </c>
      <c r="G295" s="6">
        <f t="shared" si="8"/>
        <v>390029.1702</v>
      </c>
      <c r="H295" s="6">
        <f t="shared" si="9"/>
        <v>3198029.17</v>
      </c>
      <c r="I295" s="6">
        <f t="shared" si="10"/>
        <v>0.000157801127</v>
      </c>
      <c r="J295" s="610"/>
      <c r="K295" s="591"/>
      <c r="L295" s="6"/>
      <c r="M295" s="9">
        <v>12000.0</v>
      </c>
      <c r="N295" s="79">
        <f t="shared" si="11"/>
        <v>3559800</v>
      </c>
      <c r="O295" s="6">
        <f t="shared" si="2"/>
        <v>2461590.83</v>
      </c>
      <c r="P295" s="6">
        <f t="shared" si="3"/>
        <v>87.6634911</v>
      </c>
      <c r="Q295" s="6"/>
      <c r="R295" s="6">
        <f t="shared" si="12"/>
        <v>9558</v>
      </c>
      <c r="S295" s="6">
        <f t="shared" si="13"/>
        <v>2461590.83</v>
      </c>
      <c r="T295" s="81">
        <f t="shared" si="4"/>
        <v>631.1299303</v>
      </c>
      <c r="U295" s="6"/>
      <c r="V295" s="6"/>
      <c r="W295" s="6"/>
      <c r="X295" s="6"/>
      <c r="Y295" s="6"/>
    </row>
    <row r="296" ht="11.25" customHeight="1">
      <c r="A296" s="7"/>
      <c r="B296" s="68">
        <f t="shared" si="14"/>
        <v>291</v>
      </c>
      <c r="C296" s="607"/>
      <c r="D296" s="6">
        <f t="shared" si="15"/>
        <v>0</v>
      </c>
      <c r="E296" s="6">
        <f t="shared" si="1"/>
        <v>0</v>
      </c>
      <c r="F296" s="6">
        <f t="shared" si="7"/>
        <v>2808000</v>
      </c>
      <c r="G296" s="6">
        <f t="shared" si="8"/>
        <v>390029.1702</v>
      </c>
      <c r="H296" s="6">
        <f t="shared" si="9"/>
        <v>3198029.17</v>
      </c>
      <c r="I296" s="6">
        <f t="shared" si="10"/>
        <v>0.000157801127</v>
      </c>
      <c r="J296" s="610"/>
      <c r="K296" s="591"/>
      <c r="L296" s="6"/>
      <c r="M296" s="9">
        <v>12000.0</v>
      </c>
      <c r="N296" s="79">
        <f t="shared" si="11"/>
        <v>3571800</v>
      </c>
      <c r="O296" s="6">
        <f t="shared" si="2"/>
        <v>2471148.83</v>
      </c>
      <c r="P296" s="6">
        <f t="shared" si="3"/>
        <v>88.00387571</v>
      </c>
      <c r="Q296" s="6"/>
      <c r="R296" s="6">
        <f t="shared" si="12"/>
        <v>9558</v>
      </c>
      <c r="S296" s="6">
        <f t="shared" si="13"/>
        <v>2471148.83</v>
      </c>
      <c r="T296" s="81">
        <f t="shared" si="4"/>
        <v>633.5805163</v>
      </c>
      <c r="U296" s="6"/>
      <c r="V296" s="6"/>
      <c r="W296" s="6"/>
      <c r="X296" s="6"/>
      <c r="Y296" s="6"/>
    </row>
    <row r="297" ht="11.25" customHeight="1">
      <c r="A297" s="7"/>
      <c r="B297" s="68">
        <f t="shared" si="14"/>
        <v>292</v>
      </c>
      <c r="C297" s="607"/>
      <c r="D297" s="6">
        <f t="shared" si="15"/>
        <v>0</v>
      </c>
      <c r="E297" s="6">
        <f t="shared" si="1"/>
        <v>0</v>
      </c>
      <c r="F297" s="6">
        <f t="shared" si="7"/>
        <v>2808000</v>
      </c>
      <c r="G297" s="6">
        <f t="shared" si="8"/>
        <v>390029.1702</v>
      </c>
      <c r="H297" s="6">
        <f t="shared" si="9"/>
        <v>3198029.17</v>
      </c>
      <c r="I297" s="6">
        <f t="shared" si="10"/>
        <v>0.000157801127</v>
      </c>
      <c r="J297" s="610"/>
      <c r="K297" s="591"/>
      <c r="L297" s="6"/>
      <c r="M297" s="9">
        <v>12000.0</v>
      </c>
      <c r="N297" s="79">
        <f t="shared" si="11"/>
        <v>3583800</v>
      </c>
      <c r="O297" s="6">
        <f t="shared" si="2"/>
        <v>2480706.83</v>
      </c>
      <c r="P297" s="6">
        <f t="shared" si="3"/>
        <v>88.34426033</v>
      </c>
      <c r="Q297" s="6"/>
      <c r="R297" s="6">
        <f t="shared" si="12"/>
        <v>9558</v>
      </c>
      <c r="S297" s="6">
        <f t="shared" si="13"/>
        <v>2480706.83</v>
      </c>
      <c r="T297" s="81">
        <f t="shared" si="4"/>
        <v>636.0311022</v>
      </c>
      <c r="U297" s="6"/>
      <c r="V297" s="6"/>
      <c r="W297" s="6"/>
      <c r="X297" s="6"/>
      <c r="Y297" s="6"/>
    </row>
    <row r="298" ht="11.25" customHeight="1">
      <c r="A298" s="7"/>
      <c r="B298" s="68">
        <f t="shared" si="14"/>
        <v>293</v>
      </c>
      <c r="C298" s="607"/>
      <c r="D298" s="6">
        <f t="shared" si="15"/>
        <v>0</v>
      </c>
      <c r="E298" s="6">
        <f t="shared" si="1"/>
        <v>0</v>
      </c>
      <c r="F298" s="6">
        <f t="shared" si="7"/>
        <v>2808000</v>
      </c>
      <c r="G298" s="6">
        <f t="shared" si="8"/>
        <v>390029.1702</v>
      </c>
      <c r="H298" s="6">
        <f t="shared" si="9"/>
        <v>3198029.17</v>
      </c>
      <c r="I298" s="6">
        <f t="shared" si="10"/>
        <v>0.000157801127</v>
      </c>
      <c r="J298" s="610"/>
      <c r="K298" s="591"/>
      <c r="L298" s="6"/>
      <c r="M298" s="9">
        <v>12000.0</v>
      </c>
      <c r="N298" s="79">
        <f t="shared" si="11"/>
        <v>3595800</v>
      </c>
      <c r="O298" s="6">
        <f t="shared" si="2"/>
        <v>2490264.83</v>
      </c>
      <c r="P298" s="6">
        <f t="shared" si="3"/>
        <v>88.68464494</v>
      </c>
      <c r="Q298" s="6"/>
      <c r="R298" s="6">
        <f t="shared" si="12"/>
        <v>9558</v>
      </c>
      <c r="S298" s="6">
        <f t="shared" si="13"/>
        <v>2490264.83</v>
      </c>
      <c r="T298" s="81">
        <f t="shared" si="4"/>
        <v>638.4816881</v>
      </c>
      <c r="U298" s="6"/>
      <c r="V298" s="6"/>
      <c r="W298" s="6"/>
      <c r="X298" s="6"/>
      <c r="Y298" s="6"/>
    </row>
    <row r="299" ht="11.25" customHeight="1">
      <c r="A299" s="7"/>
      <c r="B299" s="68">
        <f t="shared" si="14"/>
        <v>294</v>
      </c>
      <c r="C299" s="607"/>
      <c r="D299" s="6">
        <f t="shared" si="15"/>
        <v>0</v>
      </c>
      <c r="E299" s="6">
        <f t="shared" si="1"/>
        <v>0</v>
      </c>
      <c r="F299" s="6">
        <f t="shared" si="7"/>
        <v>2808000</v>
      </c>
      <c r="G299" s="6">
        <f t="shared" si="8"/>
        <v>390029.1702</v>
      </c>
      <c r="H299" s="6">
        <f t="shared" si="9"/>
        <v>3198029.17</v>
      </c>
      <c r="I299" s="6">
        <f t="shared" si="10"/>
        <v>0.000157801127</v>
      </c>
      <c r="J299" s="610"/>
      <c r="K299" s="591"/>
      <c r="L299" s="6"/>
      <c r="M299" s="9">
        <v>12000.0</v>
      </c>
      <c r="N299" s="79">
        <f t="shared" si="11"/>
        <v>3607800</v>
      </c>
      <c r="O299" s="6">
        <f t="shared" si="2"/>
        <v>2499822.83</v>
      </c>
      <c r="P299" s="6">
        <f t="shared" si="3"/>
        <v>89.02502956</v>
      </c>
      <c r="Q299" s="6"/>
      <c r="R299" s="6">
        <f t="shared" si="12"/>
        <v>9558</v>
      </c>
      <c r="S299" s="6">
        <f t="shared" si="13"/>
        <v>2499822.83</v>
      </c>
      <c r="T299" s="81">
        <f t="shared" si="4"/>
        <v>640.9322741</v>
      </c>
      <c r="U299" s="6"/>
      <c r="V299" s="6"/>
      <c r="W299" s="6"/>
      <c r="X299" s="6"/>
      <c r="Y299" s="6"/>
    </row>
    <row r="300" ht="11.25" customHeight="1">
      <c r="A300" s="7"/>
      <c r="B300" s="68">
        <f t="shared" si="14"/>
        <v>295</v>
      </c>
      <c r="C300" s="607"/>
      <c r="D300" s="6">
        <f t="shared" si="15"/>
        <v>0</v>
      </c>
      <c r="E300" s="6">
        <f t="shared" si="1"/>
        <v>0</v>
      </c>
      <c r="F300" s="6">
        <f t="shared" si="7"/>
        <v>2808000</v>
      </c>
      <c r="G300" s="6">
        <f t="shared" si="8"/>
        <v>390029.1702</v>
      </c>
      <c r="H300" s="6">
        <f t="shared" si="9"/>
        <v>3198029.17</v>
      </c>
      <c r="I300" s="6">
        <f t="shared" si="10"/>
        <v>0.000157801127</v>
      </c>
      <c r="J300" s="610"/>
      <c r="K300" s="591"/>
      <c r="L300" s="6"/>
      <c r="M300" s="9">
        <v>12000.0</v>
      </c>
      <c r="N300" s="79">
        <f t="shared" si="11"/>
        <v>3619800</v>
      </c>
      <c r="O300" s="6">
        <f t="shared" si="2"/>
        <v>2509380.83</v>
      </c>
      <c r="P300" s="6">
        <f t="shared" si="3"/>
        <v>89.36541417</v>
      </c>
      <c r="Q300" s="6"/>
      <c r="R300" s="6">
        <f t="shared" si="12"/>
        <v>9558</v>
      </c>
      <c r="S300" s="6">
        <f t="shared" si="13"/>
        <v>2509380.83</v>
      </c>
      <c r="T300" s="81">
        <f t="shared" si="4"/>
        <v>643.38286</v>
      </c>
      <c r="U300" s="6"/>
      <c r="V300" s="6"/>
      <c r="W300" s="6"/>
      <c r="X300" s="6"/>
      <c r="Y300" s="6"/>
    </row>
    <row r="301" ht="11.25" customHeight="1">
      <c r="A301" s="7"/>
      <c r="B301" s="68">
        <f t="shared" si="14"/>
        <v>296</v>
      </c>
      <c r="C301" s="607"/>
      <c r="D301" s="6">
        <f t="shared" si="15"/>
        <v>0</v>
      </c>
      <c r="E301" s="6">
        <f t="shared" si="1"/>
        <v>0</v>
      </c>
      <c r="F301" s="6">
        <f t="shared" si="7"/>
        <v>2808000</v>
      </c>
      <c r="G301" s="6">
        <f t="shared" si="8"/>
        <v>390029.1702</v>
      </c>
      <c r="H301" s="6">
        <f t="shared" si="9"/>
        <v>3198029.17</v>
      </c>
      <c r="I301" s="6">
        <f t="shared" si="10"/>
        <v>0.000157801127</v>
      </c>
      <c r="J301" s="610"/>
      <c r="K301" s="591"/>
      <c r="L301" s="6"/>
      <c r="M301" s="9">
        <v>12000.0</v>
      </c>
      <c r="N301" s="79">
        <f t="shared" si="11"/>
        <v>3631800</v>
      </c>
      <c r="O301" s="6">
        <f t="shared" si="2"/>
        <v>2518938.83</v>
      </c>
      <c r="P301" s="6">
        <f t="shared" si="3"/>
        <v>89.70579879</v>
      </c>
      <c r="Q301" s="6"/>
      <c r="R301" s="6">
        <f t="shared" si="12"/>
        <v>9558</v>
      </c>
      <c r="S301" s="6">
        <f t="shared" si="13"/>
        <v>2518938.83</v>
      </c>
      <c r="T301" s="81">
        <f t="shared" si="4"/>
        <v>645.833446</v>
      </c>
      <c r="U301" s="6"/>
      <c r="V301" s="6"/>
      <c r="W301" s="6"/>
      <c r="X301" s="6"/>
      <c r="Y301" s="6"/>
    </row>
    <row r="302" ht="11.25" customHeight="1">
      <c r="A302" s="7"/>
      <c r="B302" s="68">
        <f t="shared" si="14"/>
        <v>297</v>
      </c>
      <c r="C302" s="607"/>
      <c r="D302" s="6">
        <f t="shared" si="15"/>
        <v>0</v>
      </c>
      <c r="E302" s="6">
        <f t="shared" si="1"/>
        <v>0</v>
      </c>
      <c r="F302" s="6">
        <f t="shared" si="7"/>
        <v>2808000</v>
      </c>
      <c r="G302" s="6">
        <f t="shared" si="8"/>
        <v>390029.1702</v>
      </c>
      <c r="H302" s="6">
        <f t="shared" si="9"/>
        <v>3198029.17</v>
      </c>
      <c r="I302" s="6">
        <f t="shared" si="10"/>
        <v>0.000157801127</v>
      </c>
      <c r="J302" s="610"/>
      <c r="K302" s="591"/>
      <c r="L302" s="6"/>
      <c r="M302" s="9">
        <v>12000.0</v>
      </c>
      <c r="N302" s="79">
        <f t="shared" si="11"/>
        <v>3643800</v>
      </c>
      <c r="O302" s="6">
        <f t="shared" si="2"/>
        <v>2528496.83</v>
      </c>
      <c r="P302" s="6">
        <f t="shared" si="3"/>
        <v>90.0461834</v>
      </c>
      <c r="Q302" s="6"/>
      <c r="R302" s="6">
        <f t="shared" si="12"/>
        <v>9558</v>
      </c>
      <c r="S302" s="6">
        <f t="shared" si="13"/>
        <v>2528496.83</v>
      </c>
      <c r="T302" s="81">
        <f t="shared" si="4"/>
        <v>648.2840319</v>
      </c>
      <c r="U302" s="6"/>
      <c r="V302" s="6"/>
      <c r="W302" s="6"/>
      <c r="X302" s="6"/>
      <c r="Y302" s="6"/>
    </row>
    <row r="303" ht="11.25" customHeight="1">
      <c r="A303" s="7"/>
      <c r="B303" s="68">
        <f t="shared" si="14"/>
        <v>298</v>
      </c>
      <c r="C303" s="607"/>
      <c r="D303" s="6">
        <f t="shared" si="15"/>
        <v>0</v>
      </c>
      <c r="E303" s="6">
        <f t="shared" si="1"/>
        <v>0</v>
      </c>
      <c r="F303" s="6">
        <f t="shared" si="7"/>
        <v>2808000</v>
      </c>
      <c r="G303" s="6">
        <f t="shared" si="8"/>
        <v>390029.1702</v>
      </c>
      <c r="H303" s="6">
        <f t="shared" si="9"/>
        <v>3198029.17</v>
      </c>
      <c r="I303" s="6">
        <f t="shared" si="10"/>
        <v>0.000157801127</v>
      </c>
      <c r="J303" s="610"/>
      <c r="K303" s="591"/>
      <c r="L303" s="6"/>
      <c r="M303" s="9">
        <v>12000.0</v>
      </c>
      <c r="N303" s="79">
        <f t="shared" si="11"/>
        <v>3655800</v>
      </c>
      <c r="O303" s="6">
        <f t="shared" si="2"/>
        <v>2538054.83</v>
      </c>
      <c r="P303" s="6">
        <f t="shared" si="3"/>
        <v>90.38656802</v>
      </c>
      <c r="Q303" s="6"/>
      <c r="R303" s="6">
        <f t="shared" si="12"/>
        <v>9558</v>
      </c>
      <c r="S303" s="6">
        <f t="shared" si="13"/>
        <v>2538054.83</v>
      </c>
      <c r="T303" s="81">
        <f t="shared" si="4"/>
        <v>650.7346178</v>
      </c>
      <c r="U303" s="6"/>
      <c r="V303" s="6"/>
      <c r="W303" s="6"/>
      <c r="X303" s="6"/>
      <c r="Y303" s="6"/>
    </row>
    <row r="304" ht="11.25" customHeight="1">
      <c r="A304" s="7"/>
      <c r="B304" s="68">
        <f t="shared" si="14"/>
        <v>299</v>
      </c>
      <c r="C304" s="607"/>
      <c r="D304" s="6">
        <f t="shared" si="15"/>
        <v>0</v>
      </c>
      <c r="E304" s="6">
        <f t="shared" si="1"/>
        <v>0</v>
      </c>
      <c r="F304" s="6">
        <f t="shared" si="7"/>
        <v>2808000</v>
      </c>
      <c r="G304" s="6">
        <f t="shared" si="8"/>
        <v>390029.1702</v>
      </c>
      <c r="H304" s="6">
        <f t="shared" si="9"/>
        <v>3198029.17</v>
      </c>
      <c r="I304" s="6">
        <f t="shared" si="10"/>
        <v>0.000157801127</v>
      </c>
      <c r="J304" s="610"/>
      <c r="K304" s="591"/>
      <c r="L304" s="6"/>
      <c r="M304" s="9">
        <v>12000.0</v>
      </c>
      <c r="N304" s="79">
        <f t="shared" si="11"/>
        <v>3667800</v>
      </c>
      <c r="O304" s="6">
        <f t="shared" si="2"/>
        <v>2547612.83</v>
      </c>
      <c r="P304" s="6">
        <f t="shared" si="3"/>
        <v>90.72695263</v>
      </c>
      <c r="Q304" s="6"/>
      <c r="R304" s="6">
        <f t="shared" si="12"/>
        <v>9558</v>
      </c>
      <c r="S304" s="6">
        <f t="shared" si="13"/>
        <v>2547612.83</v>
      </c>
      <c r="T304" s="81">
        <f t="shared" si="4"/>
        <v>653.1852038</v>
      </c>
      <c r="U304" s="6"/>
      <c r="V304" s="6"/>
      <c r="W304" s="6"/>
      <c r="X304" s="6"/>
      <c r="Y304" s="6"/>
    </row>
    <row r="305" ht="11.25" customHeight="1">
      <c r="A305" s="71"/>
      <c r="B305" s="72">
        <f t="shared" si="14"/>
        <v>300</v>
      </c>
      <c r="C305" s="607"/>
      <c r="D305" s="10">
        <f t="shared" si="15"/>
        <v>0</v>
      </c>
      <c r="E305" s="10">
        <f t="shared" si="1"/>
        <v>0</v>
      </c>
      <c r="F305" s="10">
        <f t="shared" si="7"/>
        <v>2808000</v>
      </c>
      <c r="G305" s="10">
        <f t="shared" si="8"/>
        <v>390029.1702</v>
      </c>
      <c r="H305" s="10">
        <f t="shared" si="9"/>
        <v>3198029.17</v>
      </c>
      <c r="I305" s="10">
        <f t="shared" si="10"/>
        <v>0.000157801127</v>
      </c>
      <c r="J305" s="610"/>
      <c r="K305" s="591"/>
      <c r="L305" s="6"/>
      <c r="M305" s="9">
        <v>12000.0</v>
      </c>
      <c r="N305" s="79">
        <f t="shared" si="11"/>
        <v>3679800</v>
      </c>
      <c r="O305" s="6">
        <f t="shared" si="2"/>
        <v>2557170.83</v>
      </c>
      <c r="P305" s="6">
        <f t="shared" si="3"/>
        <v>91.06733725</v>
      </c>
      <c r="Q305" s="6"/>
      <c r="R305" s="6">
        <f t="shared" si="12"/>
        <v>9558</v>
      </c>
      <c r="S305" s="6">
        <f t="shared" si="13"/>
        <v>2557170.83</v>
      </c>
      <c r="T305" s="81">
        <f t="shared" si="4"/>
        <v>655.6357897</v>
      </c>
      <c r="U305" s="6"/>
      <c r="V305" s="6"/>
      <c r="W305" s="6"/>
      <c r="X305" s="6"/>
      <c r="Y305" s="6"/>
    </row>
    <row r="306" ht="11.25" customHeight="1">
      <c r="A306" s="100">
        <v>26.0</v>
      </c>
      <c r="B306" s="66">
        <f t="shared" si="14"/>
        <v>301</v>
      </c>
      <c r="C306" s="607"/>
      <c r="D306" s="617">
        <f t="shared" si="15"/>
        <v>0</v>
      </c>
      <c r="E306" s="617">
        <f t="shared" si="1"/>
        <v>0</v>
      </c>
      <c r="F306" s="617">
        <f t="shared" si="7"/>
        <v>2808000</v>
      </c>
      <c r="G306" s="617">
        <f t="shared" si="8"/>
        <v>390029.1702</v>
      </c>
      <c r="H306" s="617">
        <f t="shared" si="9"/>
        <v>3198029.17</v>
      </c>
      <c r="I306" s="617">
        <f t="shared" si="10"/>
        <v>0.000157801127</v>
      </c>
      <c r="J306" s="610"/>
      <c r="K306" s="591"/>
      <c r="L306" s="6"/>
      <c r="M306" s="9">
        <v>12000.0</v>
      </c>
      <c r="N306" s="79">
        <f t="shared" si="11"/>
        <v>3691800</v>
      </c>
      <c r="O306" s="6">
        <f t="shared" si="2"/>
        <v>2566728.83</v>
      </c>
      <c r="P306" s="6">
        <f t="shared" si="3"/>
        <v>91.40772187</v>
      </c>
      <c r="Q306" s="6"/>
      <c r="R306" s="6">
        <f t="shared" si="12"/>
        <v>9558</v>
      </c>
      <c r="S306" s="6">
        <f t="shared" si="13"/>
        <v>2566728.83</v>
      </c>
      <c r="T306" s="81">
        <f t="shared" si="4"/>
        <v>658.0863756</v>
      </c>
      <c r="U306" s="6"/>
      <c r="V306" s="6"/>
      <c r="W306" s="6"/>
      <c r="X306" s="6"/>
      <c r="Y306" s="6"/>
    </row>
    <row r="307" ht="11.25" customHeight="1">
      <c r="A307" s="7"/>
      <c r="B307" s="68">
        <f t="shared" si="14"/>
        <v>302</v>
      </c>
      <c r="C307" s="607"/>
      <c r="D307" s="6">
        <f t="shared" si="15"/>
        <v>0</v>
      </c>
      <c r="E307" s="6">
        <f t="shared" si="1"/>
        <v>0</v>
      </c>
      <c r="F307" s="6">
        <f t="shared" si="7"/>
        <v>2808000</v>
      </c>
      <c r="G307" s="6">
        <f t="shared" si="8"/>
        <v>390029.1702</v>
      </c>
      <c r="H307" s="6">
        <f t="shared" si="9"/>
        <v>3198029.17</v>
      </c>
      <c r="I307" s="6">
        <f t="shared" si="10"/>
        <v>0.000157801127</v>
      </c>
      <c r="J307" s="610"/>
      <c r="K307" s="591"/>
      <c r="L307" s="6"/>
      <c r="M307" s="9">
        <v>12000.0</v>
      </c>
      <c r="N307" s="79">
        <f t="shared" si="11"/>
        <v>3703800</v>
      </c>
      <c r="O307" s="6">
        <f t="shared" si="2"/>
        <v>2576286.83</v>
      </c>
      <c r="P307" s="6">
        <f t="shared" si="3"/>
        <v>91.74810648</v>
      </c>
      <c r="Q307" s="6"/>
      <c r="R307" s="6">
        <f t="shared" si="12"/>
        <v>9558</v>
      </c>
      <c r="S307" s="6">
        <f t="shared" si="13"/>
        <v>2576286.83</v>
      </c>
      <c r="T307" s="81">
        <f t="shared" si="4"/>
        <v>660.5369616</v>
      </c>
      <c r="U307" s="6"/>
      <c r="V307" s="6"/>
      <c r="W307" s="6"/>
      <c r="X307" s="6"/>
      <c r="Y307" s="6"/>
    </row>
    <row r="308" ht="11.25" customHeight="1">
      <c r="A308" s="7"/>
      <c r="B308" s="68">
        <f t="shared" si="14"/>
        <v>303</v>
      </c>
      <c r="C308" s="607"/>
      <c r="D308" s="6">
        <f t="shared" si="15"/>
        <v>0</v>
      </c>
      <c r="E308" s="6">
        <f t="shared" si="1"/>
        <v>0</v>
      </c>
      <c r="F308" s="6">
        <f t="shared" si="7"/>
        <v>2808000</v>
      </c>
      <c r="G308" s="6">
        <f t="shared" si="8"/>
        <v>390029.1702</v>
      </c>
      <c r="H308" s="6">
        <f t="shared" si="9"/>
        <v>3198029.17</v>
      </c>
      <c r="I308" s="6">
        <f t="shared" si="10"/>
        <v>0.000157801127</v>
      </c>
      <c r="J308" s="610"/>
      <c r="K308" s="591"/>
      <c r="L308" s="6"/>
      <c r="M308" s="9">
        <v>12000.0</v>
      </c>
      <c r="N308" s="79">
        <f t="shared" si="11"/>
        <v>3715800</v>
      </c>
      <c r="O308" s="6">
        <f t="shared" si="2"/>
        <v>2585844.83</v>
      </c>
      <c r="P308" s="6">
        <f t="shared" si="3"/>
        <v>92.0884911</v>
      </c>
      <c r="Q308" s="6"/>
      <c r="R308" s="6">
        <f t="shared" si="12"/>
        <v>9558</v>
      </c>
      <c r="S308" s="6">
        <f t="shared" si="13"/>
        <v>2585844.83</v>
      </c>
      <c r="T308" s="81">
        <f t="shared" si="4"/>
        <v>662.9875475</v>
      </c>
      <c r="U308" s="6"/>
      <c r="V308" s="6"/>
      <c r="W308" s="6"/>
      <c r="X308" s="6"/>
      <c r="Y308" s="6"/>
    </row>
    <row r="309" ht="11.25" customHeight="1">
      <c r="A309" s="7"/>
      <c r="B309" s="68">
        <f t="shared" si="14"/>
        <v>304</v>
      </c>
      <c r="C309" s="607"/>
      <c r="D309" s="6">
        <f t="shared" si="15"/>
        <v>0</v>
      </c>
      <c r="E309" s="6">
        <f t="shared" si="1"/>
        <v>0</v>
      </c>
      <c r="F309" s="6">
        <f t="shared" si="7"/>
        <v>2808000</v>
      </c>
      <c r="G309" s="6">
        <f t="shared" si="8"/>
        <v>390029.1702</v>
      </c>
      <c r="H309" s="6">
        <f t="shared" si="9"/>
        <v>3198029.17</v>
      </c>
      <c r="I309" s="6">
        <f t="shared" si="10"/>
        <v>0.000157801127</v>
      </c>
      <c r="J309" s="610"/>
      <c r="K309" s="591"/>
      <c r="L309" s="6"/>
      <c r="M309" s="9">
        <v>12000.0</v>
      </c>
      <c r="N309" s="79">
        <f t="shared" si="11"/>
        <v>3727800</v>
      </c>
      <c r="O309" s="6">
        <f t="shared" si="2"/>
        <v>2595402.83</v>
      </c>
      <c r="P309" s="6">
        <f t="shared" si="3"/>
        <v>92.42887571</v>
      </c>
      <c r="Q309" s="6"/>
      <c r="R309" s="6">
        <f t="shared" si="12"/>
        <v>9558</v>
      </c>
      <c r="S309" s="6">
        <f t="shared" si="13"/>
        <v>2595402.83</v>
      </c>
      <c r="T309" s="81">
        <f t="shared" si="4"/>
        <v>665.4381335</v>
      </c>
      <c r="U309" s="6"/>
      <c r="V309" s="6"/>
      <c r="W309" s="6"/>
      <c r="X309" s="6"/>
      <c r="Y309" s="6"/>
    </row>
    <row r="310" ht="11.25" customHeight="1">
      <c r="A310" s="7"/>
      <c r="B310" s="68">
        <f t="shared" si="14"/>
        <v>305</v>
      </c>
      <c r="C310" s="607"/>
      <c r="D310" s="6">
        <f t="shared" si="15"/>
        <v>0</v>
      </c>
      <c r="E310" s="6">
        <f t="shared" si="1"/>
        <v>0</v>
      </c>
      <c r="F310" s="6">
        <f t="shared" si="7"/>
        <v>2808000</v>
      </c>
      <c r="G310" s="6">
        <f t="shared" si="8"/>
        <v>390029.1702</v>
      </c>
      <c r="H310" s="6">
        <f t="shared" si="9"/>
        <v>3198029.17</v>
      </c>
      <c r="I310" s="6">
        <f t="shared" si="10"/>
        <v>0.000157801127</v>
      </c>
      <c r="J310" s="610"/>
      <c r="K310" s="591"/>
      <c r="L310" s="6"/>
      <c r="M310" s="9">
        <v>12000.0</v>
      </c>
      <c r="N310" s="79">
        <f t="shared" si="11"/>
        <v>3739800</v>
      </c>
      <c r="O310" s="6">
        <f t="shared" si="2"/>
        <v>2604960.83</v>
      </c>
      <c r="P310" s="6">
        <f t="shared" si="3"/>
        <v>92.76926033</v>
      </c>
      <c r="Q310" s="6"/>
      <c r="R310" s="6">
        <f t="shared" si="12"/>
        <v>9558</v>
      </c>
      <c r="S310" s="6">
        <f t="shared" si="13"/>
        <v>2604960.83</v>
      </c>
      <c r="T310" s="81">
        <f t="shared" si="4"/>
        <v>667.8887194</v>
      </c>
      <c r="U310" s="6"/>
      <c r="V310" s="6"/>
      <c r="W310" s="6"/>
      <c r="X310" s="6"/>
      <c r="Y310" s="6"/>
    </row>
    <row r="311" ht="11.25" customHeight="1">
      <c r="A311" s="7"/>
      <c r="B311" s="68">
        <f t="shared" si="14"/>
        <v>306</v>
      </c>
      <c r="C311" s="607"/>
      <c r="D311" s="6">
        <f t="shared" si="15"/>
        <v>0</v>
      </c>
      <c r="E311" s="6">
        <f t="shared" si="1"/>
        <v>0</v>
      </c>
      <c r="F311" s="6">
        <f t="shared" si="7"/>
        <v>2808000</v>
      </c>
      <c r="G311" s="6">
        <f t="shared" si="8"/>
        <v>390029.1702</v>
      </c>
      <c r="H311" s="6">
        <f t="shared" si="9"/>
        <v>3198029.17</v>
      </c>
      <c r="I311" s="6">
        <f t="shared" si="10"/>
        <v>0.000157801127</v>
      </c>
      <c r="J311" s="610"/>
      <c r="K311" s="591"/>
      <c r="L311" s="6"/>
      <c r="M311" s="9">
        <v>12000.0</v>
      </c>
      <c r="N311" s="79">
        <f t="shared" si="11"/>
        <v>3751800</v>
      </c>
      <c r="O311" s="6">
        <f t="shared" si="2"/>
        <v>2614518.83</v>
      </c>
      <c r="P311" s="6">
        <f t="shared" si="3"/>
        <v>93.10964494</v>
      </c>
      <c r="Q311" s="6"/>
      <c r="R311" s="6">
        <f t="shared" si="12"/>
        <v>9558</v>
      </c>
      <c r="S311" s="6">
        <f t="shared" si="13"/>
        <v>2614518.83</v>
      </c>
      <c r="T311" s="81">
        <f t="shared" si="4"/>
        <v>670.3393053</v>
      </c>
      <c r="U311" s="6"/>
      <c r="V311" s="6"/>
      <c r="W311" s="6"/>
      <c r="X311" s="6"/>
      <c r="Y311" s="6"/>
    </row>
    <row r="312" ht="11.25" customHeight="1">
      <c r="A312" s="7"/>
      <c r="B312" s="68">
        <f t="shared" si="14"/>
        <v>307</v>
      </c>
      <c r="C312" s="607"/>
      <c r="D312" s="6">
        <f t="shared" si="15"/>
        <v>0</v>
      </c>
      <c r="E312" s="6">
        <f t="shared" si="1"/>
        <v>0</v>
      </c>
      <c r="F312" s="6">
        <f t="shared" si="7"/>
        <v>2808000</v>
      </c>
      <c r="G312" s="6">
        <f t="shared" si="8"/>
        <v>390029.1702</v>
      </c>
      <c r="H312" s="6">
        <f t="shared" si="9"/>
        <v>3198029.17</v>
      </c>
      <c r="I312" s="6">
        <f t="shared" si="10"/>
        <v>0.000157801127</v>
      </c>
      <c r="J312" s="610"/>
      <c r="K312" s="591"/>
      <c r="L312" s="6"/>
      <c r="M312" s="9">
        <v>12000.0</v>
      </c>
      <c r="N312" s="79">
        <f t="shared" si="11"/>
        <v>3763800</v>
      </c>
      <c r="O312" s="6">
        <f t="shared" si="2"/>
        <v>2624076.83</v>
      </c>
      <c r="P312" s="6">
        <f t="shared" si="3"/>
        <v>93.45002956</v>
      </c>
      <c r="Q312" s="6"/>
      <c r="R312" s="6">
        <f t="shared" si="12"/>
        <v>9558</v>
      </c>
      <c r="S312" s="6">
        <f t="shared" si="13"/>
        <v>2624076.83</v>
      </c>
      <c r="T312" s="81">
        <f t="shared" si="4"/>
        <v>672.7898913</v>
      </c>
      <c r="U312" s="6"/>
      <c r="V312" s="6"/>
      <c r="W312" s="6"/>
      <c r="X312" s="6"/>
      <c r="Y312" s="6"/>
    </row>
    <row r="313" ht="11.25" customHeight="1">
      <c r="A313" s="7"/>
      <c r="B313" s="68">
        <f t="shared" si="14"/>
        <v>308</v>
      </c>
      <c r="C313" s="607"/>
      <c r="D313" s="6">
        <f t="shared" si="15"/>
        <v>0</v>
      </c>
      <c r="E313" s="6">
        <f t="shared" si="1"/>
        <v>0</v>
      </c>
      <c r="F313" s="6">
        <f t="shared" si="7"/>
        <v>2808000</v>
      </c>
      <c r="G313" s="6">
        <f t="shared" si="8"/>
        <v>390029.1702</v>
      </c>
      <c r="H313" s="6">
        <f t="shared" si="9"/>
        <v>3198029.17</v>
      </c>
      <c r="I313" s="6">
        <f t="shared" si="10"/>
        <v>0.000157801127</v>
      </c>
      <c r="J313" s="610"/>
      <c r="K313" s="591"/>
      <c r="L313" s="6"/>
      <c r="M313" s="9">
        <v>12000.0</v>
      </c>
      <c r="N313" s="79">
        <f t="shared" si="11"/>
        <v>3775800</v>
      </c>
      <c r="O313" s="6">
        <f t="shared" si="2"/>
        <v>2633634.83</v>
      </c>
      <c r="P313" s="6">
        <f t="shared" si="3"/>
        <v>93.79041417</v>
      </c>
      <c r="Q313" s="6"/>
      <c r="R313" s="6">
        <f t="shared" si="12"/>
        <v>9558</v>
      </c>
      <c r="S313" s="6">
        <f t="shared" si="13"/>
        <v>2633634.83</v>
      </c>
      <c r="T313" s="81">
        <f t="shared" si="4"/>
        <v>675.2404772</v>
      </c>
      <c r="U313" s="6"/>
      <c r="V313" s="6"/>
      <c r="W313" s="6"/>
      <c r="X313" s="6"/>
      <c r="Y313" s="6"/>
    </row>
    <row r="314" ht="11.25" customHeight="1">
      <c r="A314" s="7"/>
      <c r="B314" s="68">
        <f t="shared" si="14"/>
        <v>309</v>
      </c>
      <c r="C314" s="607"/>
      <c r="D314" s="6">
        <f t="shared" si="15"/>
        <v>0</v>
      </c>
      <c r="E314" s="6">
        <f t="shared" si="1"/>
        <v>0</v>
      </c>
      <c r="F314" s="6">
        <f t="shared" si="7"/>
        <v>2808000</v>
      </c>
      <c r="G314" s="6">
        <f t="shared" si="8"/>
        <v>390029.1702</v>
      </c>
      <c r="H314" s="6">
        <f t="shared" si="9"/>
        <v>3198029.17</v>
      </c>
      <c r="I314" s="6">
        <f t="shared" si="10"/>
        <v>0.000157801127</v>
      </c>
      <c r="J314" s="610"/>
      <c r="K314" s="591"/>
      <c r="L314" s="6"/>
      <c r="M314" s="9">
        <v>12000.0</v>
      </c>
      <c r="N314" s="79">
        <f t="shared" si="11"/>
        <v>3787800</v>
      </c>
      <c r="O314" s="6">
        <f t="shared" si="2"/>
        <v>2643192.83</v>
      </c>
      <c r="P314" s="6">
        <f t="shared" si="3"/>
        <v>94.13079879</v>
      </c>
      <c r="Q314" s="6"/>
      <c r="R314" s="6">
        <f t="shared" si="12"/>
        <v>9558</v>
      </c>
      <c r="S314" s="6">
        <f t="shared" si="13"/>
        <v>2643192.83</v>
      </c>
      <c r="T314" s="81">
        <f t="shared" si="4"/>
        <v>677.6910632</v>
      </c>
      <c r="U314" s="6"/>
      <c r="V314" s="6"/>
      <c r="W314" s="6"/>
      <c r="X314" s="6"/>
      <c r="Y314" s="6"/>
    </row>
    <row r="315" ht="11.25" customHeight="1">
      <c r="A315" s="7"/>
      <c r="B315" s="68">
        <f t="shared" si="14"/>
        <v>310</v>
      </c>
      <c r="C315" s="607"/>
      <c r="D315" s="6">
        <f t="shared" si="15"/>
        <v>0</v>
      </c>
      <c r="E315" s="6">
        <f t="shared" si="1"/>
        <v>0</v>
      </c>
      <c r="F315" s="6">
        <f t="shared" si="7"/>
        <v>2808000</v>
      </c>
      <c r="G315" s="6">
        <f t="shared" si="8"/>
        <v>390029.1702</v>
      </c>
      <c r="H315" s="6">
        <f t="shared" si="9"/>
        <v>3198029.17</v>
      </c>
      <c r="I315" s="6">
        <f t="shared" si="10"/>
        <v>0.000157801127</v>
      </c>
      <c r="J315" s="610"/>
      <c r="K315" s="591"/>
      <c r="L315" s="6"/>
      <c r="M315" s="9">
        <v>12000.0</v>
      </c>
      <c r="N315" s="79">
        <f t="shared" si="11"/>
        <v>3799800</v>
      </c>
      <c r="O315" s="6">
        <f t="shared" si="2"/>
        <v>2652750.83</v>
      </c>
      <c r="P315" s="6">
        <f t="shared" si="3"/>
        <v>94.4711834</v>
      </c>
      <c r="Q315" s="6"/>
      <c r="R315" s="6">
        <f t="shared" si="12"/>
        <v>9558</v>
      </c>
      <c r="S315" s="6">
        <f t="shared" si="13"/>
        <v>2652750.83</v>
      </c>
      <c r="T315" s="81">
        <f t="shared" si="4"/>
        <v>680.1416491</v>
      </c>
      <c r="U315" s="6"/>
      <c r="V315" s="6"/>
      <c r="W315" s="6"/>
      <c r="X315" s="6"/>
      <c r="Y315" s="6"/>
    </row>
    <row r="316" ht="11.25" customHeight="1">
      <c r="A316" s="7"/>
      <c r="B316" s="68">
        <f t="shared" si="14"/>
        <v>311</v>
      </c>
      <c r="C316" s="607"/>
      <c r="D316" s="6">
        <f t="shared" si="15"/>
        <v>0</v>
      </c>
      <c r="E316" s="6">
        <f t="shared" si="1"/>
        <v>0</v>
      </c>
      <c r="F316" s="6">
        <f t="shared" si="7"/>
        <v>2808000</v>
      </c>
      <c r="G316" s="6">
        <f t="shared" si="8"/>
        <v>390029.1702</v>
      </c>
      <c r="H316" s="6">
        <f t="shared" si="9"/>
        <v>3198029.17</v>
      </c>
      <c r="I316" s="6">
        <f t="shared" si="10"/>
        <v>0.000157801127</v>
      </c>
      <c r="J316" s="610"/>
      <c r="K316" s="591"/>
      <c r="L316" s="6"/>
      <c r="M316" s="9">
        <v>12000.0</v>
      </c>
      <c r="N316" s="79">
        <f t="shared" si="11"/>
        <v>3811800</v>
      </c>
      <c r="O316" s="6">
        <f t="shared" si="2"/>
        <v>2662308.83</v>
      </c>
      <c r="P316" s="6">
        <f t="shared" si="3"/>
        <v>94.81156802</v>
      </c>
      <c r="Q316" s="6"/>
      <c r="R316" s="6">
        <f t="shared" si="12"/>
        <v>9558</v>
      </c>
      <c r="S316" s="6">
        <f t="shared" si="13"/>
        <v>2662308.83</v>
      </c>
      <c r="T316" s="81">
        <f t="shared" si="4"/>
        <v>682.592235</v>
      </c>
      <c r="U316" s="6"/>
      <c r="V316" s="6"/>
      <c r="W316" s="6"/>
      <c r="X316" s="6"/>
      <c r="Y316" s="6"/>
    </row>
    <row r="317" ht="11.25" customHeight="1">
      <c r="A317" s="71"/>
      <c r="B317" s="72">
        <f t="shared" si="14"/>
        <v>312</v>
      </c>
      <c r="C317" s="607"/>
      <c r="D317" s="10">
        <f t="shared" si="15"/>
        <v>0</v>
      </c>
      <c r="E317" s="10">
        <f t="shared" si="1"/>
        <v>0</v>
      </c>
      <c r="F317" s="10">
        <f t="shared" si="7"/>
        <v>2808000</v>
      </c>
      <c r="G317" s="10">
        <f t="shared" si="8"/>
        <v>390029.1702</v>
      </c>
      <c r="H317" s="10">
        <f t="shared" si="9"/>
        <v>3198029.17</v>
      </c>
      <c r="I317" s="10">
        <f t="shared" si="10"/>
        <v>0.000157801127</v>
      </c>
      <c r="J317" s="610"/>
      <c r="K317" s="591"/>
      <c r="L317" s="6"/>
      <c r="M317" s="9">
        <v>12000.0</v>
      </c>
      <c r="N317" s="79">
        <f t="shared" si="11"/>
        <v>3823800</v>
      </c>
      <c r="O317" s="6">
        <f t="shared" si="2"/>
        <v>2671866.83</v>
      </c>
      <c r="P317" s="6">
        <f t="shared" si="3"/>
        <v>95.15195264</v>
      </c>
      <c r="Q317" s="6"/>
      <c r="R317" s="6">
        <f t="shared" si="12"/>
        <v>9558</v>
      </c>
      <c r="S317" s="6">
        <f t="shared" si="13"/>
        <v>2671866.83</v>
      </c>
      <c r="T317" s="81">
        <f t="shared" si="4"/>
        <v>685.042821</v>
      </c>
      <c r="U317" s="6"/>
      <c r="V317" s="6"/>
      <c r="W317" s="6"/>
      <c r="X317" s="6"/>
      <c r="Y317" s="6"/>
    </row>
    <row r="318" ht="11.25" customHeight="1">
      <c r="A318" s="100">
        <v>27.0</v>
      </c>
      <c r="B318" s="66">
        <f t="shared" si="14"/>
        <v>313</v>
      </c>
      <c r="C318" s="607"/>
      <c r="D318" s="617">
        <f t="shared" si="15"/>
        <v>0</v>
      </c>
      <c r="E318" s="617">
        <f t="shared" si="1"/>
        <v>0</v>
      </c>
      <c r="F318" s="617">
        <f t="shared" si="7"/>
        <v>2808000</v>
      </c>
      <c r="G318" s="617">
        <f t="shared" si="8"/>
        <v>390029.1702</v>
      </c>
      <c r="H318" s="617">
        <f t="shared" si="9"/>
        <v>3198029.17</v>
      </c>
      <c r="I318" s="617">
        <f t="shared" si="10"/>
        <v>0.000157801127</v>
      </c>
      <c r="J318" s="610"/>
      <c r="K318" s="591"/>
      <c r="L318" s="6"/>
      <c r="M318" s="9">
        <v>12000.0</v>
      </c>
      <c r="N318" s="79">
        <f t="shared" si="11"/>
        <v>3835800</v>
      </c>
      <c r="O318" s="6">
        <f t="shared" si="2"/>
        <v>2681424.83</v>
      </c>
      <c r="P318" s="6">
        <f t="shared" si="3"/>
        <v>95.49233725</v>
      </c>
      <c r="Q318" s="6"/>
      <c r="R318" s="6">
        <f t="shared" si="12"/>
        <v>9558</v>
      </c>
      <c r="S318" s="6">
        <f t="shared" si="13"/>
        <v>2681424.83</v>
      </c>
      <c r="T318" s="81">
        <f t="shared" si="4"/>
        <v>687.4934069</v>
      </c>
      <c r="U318" s="6"/>
      <c r="V318" s="6"/>
      <c r="W318" s="6"/>
      <c r="X318" s="6"/>
      <c r="Y318" s="6"/>
    </row>
    <row r="319" ht="11.25" customHeight="1">
      <c r="A319" s="7"/>
      <c r="B319" s="68">
        <f t="shared" si="14"/>
        <v>314</v>
      </c>
      <c r="C319" s="607"/>
      <c r="D319" s="6">
        <f t="shared" si="15"/>
        <v>0</v>
      </c>
      <c r="E319" s="6">
        <f t="shared" si="1"/>
        <v>0</v>
      </c>
      <c r="F319" s="6">
        <f t="shared" si="7"/>
        <v>2808000</v>
      </c>
      <c r="G319" s="6">
        <f t="shared" si="8"/>
        <v>390029.1702</v>
      </c>
      <c r="H319" s="6">
        <f t="shared" si="9"/>
        <v>3198029.17</v>
      </c>
      <c r="I319" s="6">
        <f t="shared" si="10"/>
        <v>0.000157801127</v>
      </c>
      <c r="J319" s="610"/>
      <c r="K319" s="591"/>
      <c r="L319" s="6"/>
      <c r="M319" s="9">
        <v>12000.0</v>
      </c>
      <c r="N319" s="79">
        <f t="shared" si="11"/>
        <v>3847800</v>
      </c>
      <c r="O319" s="6">
        <f t="shared" si="2"/>
        <v>2690982.83</v>
      </c>
      <c r="P319" s="6">
        <f t="shared" si="3"/>
        <v>95.83272187</v>
      </c>
      <c r="Q319" s="6"/>
      <c r="R319" s="6">
        <f t="shared" si="12"/>
        <v>9558</v>
      </c>
      <c r="S319" s="6">
        <f t="shared" si="13"/>
        <v>2690982.83</v>
      </c>
      <c r="T319" s="81">
        <f t="shared" si="4"/>
        <v>689.9439928</v>
      </c>
      <c r="U319" s="6"/>
      <c r="V319" s="6"/>
      <c r="W319" s="6"/>
      <c r="X319" s="6"/>
      <c r="Y319" s="6"/>
    </row>
    <row r="320" ht="11.25" customHeight="1">
      <c r="A320" s="7"/>
      <c r="B320" s="68">
        <f t="shared" si="14"/>
        <v>315</v>
      </c>
      <c r="C320" s="607"/>
      <c r="D320" s="6">
        <f t="shared" si="15"/>
        <v>0</v>
      </c>
      <c r="E320" s="6">
        <f t="shared" si="1"/>
        <v>0</v>
      </c>
      <c r="F320" s="6">
        <f t="shared" si="7"/>
        <v>2808000</v>
      </c>
      <c r="G320" s="6">
        <f t="shared" si="8"/>
        <v>390029.1702</v>
      </c>
      <c r="H320" s="6">
        <f t="shared" si="9"/>
        <v>3198029.17</v>
      </c>
      <c r="I320" s="6">
        <f t="shared" si="10"/>
        <v>0.000157801127</v>
      </c>
      <c r="J320" s="610"/>
      <c r="K320" s="591"/>
      <c r="L320" s="6"/>
      <c r="M320" s="9">
        <v>12000.0</v>
      </c>
      <c r="N320" s="79">
        <f t="shared" si="11"/>
        <v>3859800</v>
      </c>
      <c r="O320" s="6">
        <f t="shared" si="2"/>
        <v>2700540.83</v>
      </c>
      <c r="P320" s="6">
        <f t="shared" si="3"/>
        <v>96.17310648</v>
      </c>
      <c r="Q320" s="6"/>
      <c r="R320" s="6">
        <f t="shared" si="12"/>
        <v>9558</v>
      </c>
      <c r="S320" s="6">
        <f t="shared" si="13"/>
        <v>2700540.83</v>
      </c>
      <c r="T320" s="81">
        <f t="shared" si="4"/>
        <v>692.3945788</v>
      </c>
      <c r="U320" s="6"/>
      <c r="V320" s="6"/>
      <c r="W320" s="6"/>
      <c r="X320" s="6"/>
      <c r="Y320" s="6"/>
    </row>
    <row r="321" ht="11.25" customHeight="1">
      <c r="A321" s="7"/>
      <c r="B321" s="68">
        <f t="shared" si="14"/>
        <v>316</v>
      </c>
      <c r="C321" s="607"/>
      <c r="D321" s="6">
        <f t="shared" si="15"/>
        <v>0</v>
      </c>
      <c r="E321" s="6">
        <f t="shared" si="1"/>
        <v>0</v>
      </c>
      <c r="F321" s="6">
        <f t="shared" si="7"/>
        <v>2808000</v>
      </c>
      <c r="G321" s="6">
        <f t="shared" si="8"/>
        <v>390029.1702</v>
      </c>
      <c r="H321" s="6">
        <f t="shared" si="9"/>
        <v>3198029.17</v>
      </c>
      <c r="I321" s="6">
        <f t="shared" si="10"/>
        <v>0.000157801127</v>
      </c>
      <c r="J321" s="610"/>
      <c r="K321" s="591"/>
      <c r="L321" s="6"/>
      <c r="M321" s="9">
        <v>12000.0</v>
      </c>
      <c r="N321" s="79">
        <f t="shared" si="11"/>
        <v>3871800</v>
      </c>
      <c r="O321" s="6">
        <f t="shared" si="2"/>
        <v>2710098.83</v>
      </c>
      <c r="P321" s="6">
        <f t="shared" si="3"/>
        <v>96.5134911</v>
      </c>
      <c r="Q321" s="6"/>
      <c r="R321" s="6">
        <f t="shared" si="12"/>
        <v>9558</v>
      </c>
      <c r="S321" s="6">
        <f t="shared" si="13"/>
        <v>2710098.83</v>
      </c>
      <c r="T321" s="81">
        <f t="shared" si="4"/>
        <v>694.8451647</v>
      </c>
      <c r="U321" s="6"/>
      <c r="V321" s="6"/>
      <c r="W321" s="6"/>
      <c r="X321" s="6"/>
      <c r="Y321" s="6"/>
    </row>
    <row r="322" ht="11.25" customHeight="1">
      <c r="A322" s="7"/>
      <c r="B322" s="68">
        <f t="shared" si="14"/>
        <v>317</v>
      </c>
      <c r="C322" s="607"/>
      <c r="D322" s="6">
        <f t="shared" si="15"/>
        <v>0</v>
      </c>
      <c r="E322" s="6">
        <f t="shared" si="1"/>
        <v>0</v>
      </c>
      <c r="F322" s="6">
        <f t="shared" si="7"/>
        <v>2808000</v>
      </c>
      <c r="G322" s="6">
        <f t="shared" si="8"/>
        <v>390029.1702</v>
      </c>
      <c r="H322" s="6">
        <f t="shared" si="9"/>
        <v>3198029.17</v>
      </c>
      <c r="I322" s="6">
        <f t="shared" si="10"/>
        <v>0.000157801127</v>
      </c>
      <c r="J322" s="610"/>
      <c r="K322" s="591"/>
      <c r="L322" s="6"/>
      <c r="M322" s="9">
        <v>12000.0</v>
      </c>
      <c r="N322" s="79">
        <f t="shared" si="11"/>
        <v>3883800</v>
      </c>
      <c r="O322" s="6">
        <f t="shared" si="2"/>
        <v>2719656.83</v>
      </c>
      <c r="P322" s="6">
        <f t="shared" si="3"/>
        <v>96.85387571</v>
      </c>
      <c r="Q322" s="6"/>
      <c r="R322" s="6">
        <f t="shared" si="12"/>
        <v>9558</v>
      </c>
      <c r="S322" s="6">
        <f t="shared" si="13"/>
        <v>2719656.83</v>
      </c>
      <c r="T322" s="81">
        <f t="shared" si="4"/>
        <v>697.2957507</v>
      </c>
      <c r="U322" s="6"/>
      <c r="V322" s="6"/>
      <c r="W322" s="6"/>
      <c r="X322" s="6"/>
      <c r="Y322" s="6"/>
    </row>
    <row r="323" ht="11.25" customHeight="1">
      <c r="A323" s="7"/>
      <c r="B323" s="68">
        <f t="shared" si="14"/>
        <v>318</v>
      </c>
      <c r="C323" s="607"/>
      <c r="D323" s="6">
        <f t="shared" si="15"/>
        <v>0</v>
      </c>
      <c r="E323" s="6">
        <f t="shared" si="1"/>
        <v>0</v>
      </c>
      <c r="F323" s="6">
        <f t="shared" si="7"/>
        <v>2808000</v>
      </c>
      <c r="G323" s="6">
        <f t="shared" si="8"/>
        <v>390029.1702</v>
      </c>
      <c r="H323" s="6">
        <f t="shared" si="9"/>
        <v>3198029.17</v>
      </c>
      <c r="I323" s="6">
        <f t="shared" si="10"/>
        <v>0.000157801127</v>
      </c>
      <c r="J323" s="610"/>
      <c r="K323" s="591"/>
      <c r="L323" s="6"/>
      <c r="M323" s="9">
        <v>12000.0</v>
      </c>
      <c r="N323" s="79">
        <f t="shared" si="11"/>
        <v>3895800</v>
      </c>
      <c r="O323" s="6">
        <f t="shared" si="2"/>
        <v>2729214.83</v>
      </c>
      <c r="P323" s="6">
        <f t="shared" si="3"/>
        <v>97.19426033</v>
      </c>
      <c r="Q323" s="6"/>
      <c r="R323" s="6">
        <f t="shared" si="12"/>
        <v>9558</v>
      </c>
      <c r="S323" s="6">
        <f t="shared" si="13"/>
        <v>2729214.83</v>
      </c>
      <c r="T323" s="81">
        <f t="shared" si="4"/>
        <v>699.7463366</v>
      </c>
      <c r="U323" s="6"/>
      <c r="V323" s="6"/>
      <c r="W323" s="6"/>
      <c r="X323" s="6"/>
      <c r="Y323" s="6"/>
    </row>
    <row r="324" ht="11.25" customHeight="1">
      <c r="A324" s="7"/>
      <c r="B324" s="68">
        <f t="shared" si="14"/>
        <v>319</v>
      </c>
      <c r="C324" s="607"/>
      <c r="D324" s="6">
        <f t="shared" si="15"/>
        <v>0</v>
      </c>
      <c r="E324" s="6">
        <f t="shared" si="1"/>
        <v>0</v>
      </c>
      <c r="F324" s="6">
        <f t="shared" si="7"/>
        <v>2808000</v>
      </c>
      <c r="G324" s="6">
        <f t="shared" si="8"/>
        <v>390029.1702</v>
      </c>
      <c r="H324" s="6">
        <f t="shared" si="9"/>
        <v>3198029.17</v>
      </c>
      <c r="I324" s="6">
        <f t="shared" si="10"/>
        <v>0.000157801127</v>
      </c>
      <c r="J324" s="610"/>
      <c r="K324" s="591"/>
      <c r="L324" s="6"/>
      <c r="M324" s="9">
        <v>12000.0</v>
      </c>
      <c r="N324" s="79">
        <f t="shared" si="11"/>
        <v>3907800</v>
      </c>
      <c r="O324" s="6">
        <f t="shared" si="2"/>
        <v>2738772.83</v>
      </c>
      <c r="P324" s="6">
        <f t="shared" si="3"/>
        <v>97.53464494</v>
      </c>
      <c r="Q324" s="6"/>
      <c r="R324" s="6">
        <f t="shared" si="12"/>
        <v>9558</v>
      </c>
      <c r="S324" s="6">
        <f t="shared" si="13"/>
        <v>2738772.83</v>
      </c>
      <c r="T324" s="81">
        <f t="shared" si="4"/>
        <v>702.1969225</v>
      </c>
      <c r="U324" s="6"/>
      <c r="V324" s="6"/>
      <c r="W324" s="6"/>
      <c r="X324" s="6"/>
      <c r="Y324" s="6"/>
    </row>
    <row r="325" ht="11.25" customHeight="1">
      <c r="A325" s="7"/>
      <c r="B325" s="68">
        <f t="shared" si="14"/>
        <v>320</v>
      </c>
      <c r="C325" s="607"/>
      <c r="D325" s="6">
        <f t="shared" si="15"/>
        <v>0</v>
      </c>
      <c r="E325" s="6">
        <f t="shared" si="1"/>
        <v>0</v>
      </c>
      <c r="F325" s="6">
        <f t="shared" si="7"/>
        <v>2808000</v>
      </c>
      <c r="G325" s="6">
        <f t="shared" si="8"/>
        <v>390029.1702</v>
      </c>
      <c r="H325" s="6">
        <f t="shared" si="9"/>
        <v>3198029.17</v>
      </c>
      <c r="I325" s="6">
        <f t="shared" si="10"/>
        <v>0.000157801127</v>
      </c>
      <c r="J325" s="610"/>
      <c r="K325" s="591"/>
      <c r="L325" s="6"/>
      <c r="M325" s="9">
        <v>12000.0</v>
      </c>
      <c r="N325" s="79">
        <f t="shared" si="11"/>
        <v>3919800</v>
      </c>
      <c r="O325" s="6">
        <f t="shared" si="2"/>
        <v>2748330.83</v>
      </c>
      <c r="P325" s="6">
        <f t="shared" si="3"/>
        <v>97.87502956</v>
      </c>
      <c r="Q325" s="6"/>
      <c r="R325" s="6">
        <f t="shared" si="12"/>
        <v>9558</v>
      </c>
      <c r="S325" s="6">
        <f t="shared" si="13"/>
        <v>2748330.83</v>
      </c>
      <c r="T325" s="81">
        <f t="shared" si="4"/>
        <v>704.6475085</v>
      </c>
      <c r="U325" s="6"/>
      <c r="V325" s="6"/>
      <c r="W325" s="6"/>
      <c r="X325" s="6"/>
      <c r="Y325" s="6"/>
    </row>
    <row r="326" ht="11.25" customHeight="1">
      <c r="A326" s="7"/>
      <c r="B326" s="68">
        <f t="shared" si="14"/>
        <v>321</v>
      </c>
      <c r="C326" s="607"/>
      <c r="D326" s="6">
        <f t="shared" si="15"/>
        <v>0</v>
      </c>
      <c r="E326" s="6">
        <f t="shared" si="1"/>
        <v>0</v>
      </c>
      <c r="F326" s="6">
        <f t="shared" si="7"/>
        <v>2808000</v>
      </c>
      <c r="G326" s="6">
        <f t="shared" si="8"/>
        <v>390029.1702</v>
      </c>
      <c r="H326" s="6">
        <f t="shared" si="9"/>
        <v>3198029.17</v>
      </c>
      <c r="I326" s="6">
        <f t="shared" si="10"/>
        <v>0.000157801127</v>
      </c>
      <c r="J326" s="610"/>
      <c r="K326" s="591"/>
      <c r="L326" s="6"/>
      <c r="M326" s="9">
        <v>12000.0</v>
      </c>
      <c r="N326" s="79">
        <f t="shared" si="11"/>
        <v>3931800</v>
      </c>
      <c r="O326" s="6">
        <f t="shared" si="2"/>
        <v>2757888.83</v>
      </c>
      <c r="P326" s="6">
        <f t="shared" si="3"/>
        <v>98.21541417</v>
      </c>
      <c r="Q326" s="6"/>
      <c r="R326" s="6">
        <f t="shared" si="12"/>
        <v>9558</v>
      </c>
      <c r="S326" s="6">
        <f t="shared" si="13"/>
        <v>2757888.83</v>
      </c>
      <c r="T326" s="81">
        <f t="shared" si="4"/>
        <v>707.0980944</v>
      </c>
      <c r="U326" s="6"/>
      <c r="V326" s="6"/>
      <c r="W326" s="6"/>
      <c r="X326" s="6"/>
      <c r="Y326" s="6"/>
    </row>
    <row r="327" ht="11.25" customHeight="1">
      <c r="A327" s="7"/>
      <c r="B327" s="68">
        <f t="shared" si="14"/>
        <v>322</v>
      </c>
      <c r="C327" s="607"/>
      <c r="D327" s="6">
        <f t="shared" si="15"/>
        <v>0</v>
      </c>
      <c r="E327" s="6">
        <f t="shared" si="1"/>
        <v>0</v>
      </c>
      <c r="F327" s="6">
        <f t="shared" si="7"/>
        <v>2808000</v>
      </c>
      <c r="G327" s="6">
        <f t="shared" si="8"/>
        <v>390029.1702</v>
      </c>
      <c r="H327" s="6">
        <f t="shared" si="9"/>
        <v>3198029.17</v>
      </c>
      <c r="I327" s="6">
        <f t="shared" si="10"/>
        <v>0.000157801127</v>
      </c>
      <c r="J327" s="610"/>
      <c r="K327" s="591"/>
      <c r="L327" s="6"/>
      <c r="M327" s="9">
        <v>12000.0</v>
      </c>
      <c r="N327" s="79">
        <f t="shared" si="11"/>
        <v>3943800</v>
      </c>
      <c r="O327" s="6">
        <f t="shared" si="2"/>
        <v>2767446.83</v>
      </c>
      <c r="P327" s="6">
        <f t="shared" si="3"/>
        <v>98.55579879</v>
      </c>
      <c r="Q327" s="6"/>
      <c r="R327" s="6">
        <f t="shared" si="12"/>
        <v>9558</v>
      </c>
      <c r="S327" s="6">
        <f t="shared" si="13"/>
        <v>2767446.83</v>
      </c>
      <c r="T327" s="81">
        <f t="shared" si="4"/>
        <v>709.5486804</v>
      </c>
      <c r="U327" s="6"/>
      <c r="V327" s="6"/>
      <c r="W327" s="6"/>
      <c r="X327" s="6"/>
      <c r="Y327" s="6"/>
    </row>
    <row r="328" ht="11.25" customHeight="1">
      <c r="A328" s="7"/>
      <c r="B328" s="68">
        <f t="shared" si="14"/>
        <v>323</v>
      </c>
      <c r="C328" s="607"/>
      <c r="D328" s="6">
        <f t="shared" si="15"/>
        <v>0</v>
      </c>
      <c r="E328" s="6">
        <f t="shared" si="1"/>
        <v>0</v>
      </c>
      <c r="F328" s="6">
        <f t="shared" si="7"/>
        <v>2808000</v>
      </c>
      <c r="G328" s="6">
        <f t="shared" si="8"/>
        <v>390029.1702</v>
      </c>
      <c r="H328" s="6">
        <f t="shared" si="9"/>
        <v>3198029.17</v>
      </c>
      <c r="I328" s="6">
        <f t="shared" si="10"/>
        <v>0.000157801127</v>
      </c>
      <c r="J328" s="610"/>
      <c r="K328" s="591"/>
      <c r="L328" s="6"/>
      <c r="M328" s="9">
        <v>12000.0</v>
      </c>
      <c r="N328" s="79">
        <f t="shared" si="11"/>
        <v>3955800</v>
      </c>
      <c r="O328" s="6">
        <f t="shared" si="2"/>
        <v>2777004.83</v>
      </c>
      <c r="P328" s="6">
        <f t="shared" si="3"/>
        <v>98.8961834</v>
      </c>
      <c r="Q328" s="6"/>
      <c r="R328" s="6">
        <f t="shared" si="12"/>
        <v>9558</v>
      </c>
      <c r="S328" s="6">
        <f t="shared" si="13"/>
        <v>2777004.83</v>
      </c>
      <c r="T328" s="81">
        <f t="shared" si="4"/>
        <v>711.9992663</v>
      </c>
      <c r="U328" s="6"/>
      <c r="V328" s="6"/>
      <c r="W328" s="6"/>
      <c r="X328" s="6"/>
      <c r="Y328" s="6"/>
    </row>
    <row r="329" ht="11.25" customHeight="1">
      <c r="A329" s="71"/>
      <c r="B329" s="72">
        <f t="shared" si="14"/>
        <v>324</v>
      </c>
      <c r="C329" s="607"/>
      <c r="D329" s="10">
        <f t="shared" si="15"/>
        <v>0</v>
      </c>
      <c r="E329" s="10">
        <f t="shared" si="1"/>
        <v>0</v>
      </c>
      <c r="F329" s="10">
        <f t="shared" si="7"/>
        <v>2808000</v>
      </c>
      <c r="G329" s="10">
        <f t="shared" si="8"/>
        <v>390029.1702</v>
      </c>
      <c r="H329" s="10">
        <f t="shared" si="9"/>
        <v>3198029.17</v>
      </c>
      <c r="I329" s="10">
        <f t="shared" si="10"/>
        <v>0.000157801127</v>
      </c>
      <c r="J329" s="610"/>
      <c r="K329" s="591"/>
      <c r="L329" s="6"/>
      <c r="M329" s="9">
        <v>12000.0</v>
      </c>
      <c r="N329" s="79">
        <f t="shared" si="11"/>
        <v>3967800</v>
      </c>
      <c r="O329" s="6">
        <f t="shared" si="2"/>
        <v>2786562.83</v>
      </c>
      <c r="P329" s="6">
        <f t="shared" si="3"/>
        <v>99.23656802</v>
      </c>
      <c r="Q329" s="6"/>
      <c r="R329" s="6">
        <f t="shared" si="12"/>
        <v>9558</v>
      </c>
      <c r="S329" s="6">
        <f t="shared" si="13"/>
        <v>2786562.83</v>
      </c>
      <c r="T329" s="81">
        <f t="shared" si="4"/>
        <v>714.4498522</v>
      </c>
      <c r="U329" s="6"/>
      <c r="V329" s="6"/>
      <c r="W329" s="6"/>
      <c r="X329" s="6"/>
      <c r="Y329" s="6"/>
    </row>
    <row r="330" ht="11.25" customHeight="1">
      <c r="A330" s="100">
        <v>28.0</v>
      </c>
      <c r="B330" s="66">
        <f t="shared" si="14"/>
        <v>325</v>
      </c>
      <c r="C330" s="607"/>
      <c r="D330" s="617">
        <f t="shared" si="15"/>
        <v>0</v>
      </c>
      <c r="E330" s="617">
        <f t="shared" si="1"/>
        <v>0</v>
      </c>
      <c r="F330" s="617">
        <f t="shared" si="7"/>
        <v>2808000</v>
      </c>
      <c r="G330" s="617">
        <f t="shared" si="8"/>
        <v>390029.1702</v>
      </c>
      <c r="H330" s="617">
        <f t="shared" si="9"/>
        <v>3198029.17</v>
      </c>
      <c r="I330" s="617">
        <f t="shared" si="10"/>
        <v>0.000157801127</v>
      </c>
      <c r="J330" s="610"/>
      <c r="K330" s="591"/>
      <c r="L330" s="6"/>
      <c r="M330" s="9">
        <v>12000.0</v>
      </c>
      <c r="N330" s="79">
        <f t="shared" si="11"/>
        <v>3979800</v>
      </c>
      <c r="O330" s="6">
        <f t="shared" si="2"/>
        <v>2796120.83</v>
      </c>
      <c r="P330" s="6">
        <f t="shared" si="3"/>
        <v>99.57695264</v>
      </c>
      <c r="Q330" s="6"/>
      <c r="R330" s="6">
        <f t="shared" si="12"/>
        <v>9558</v>
      </c>
      <c r="S330" s="6">
        <f t="shared" si="13"/>
        <v>2796120.83</v>
      </c>
      <c r="T330" s="81">
        <f t="shared" si="4"/>
        <v>716.9004382</v>
      </c>
      <c r="U330" s="6"/>
      <c r="V330" s="6"/>
      <c r="W330" s="6"/>
      <c r="X330" s="6"/>
      <c r="Y330" s="6"/>
    </row>
    <row r="331" ht="11.25" customHeight="1">
      <c r="A331" s="7"/>
      <c r="B331" s="68">
        <f t="shared" si="14"/>
        <v>326</v>
      </c>
      <c r="C331" s="607"/>
      <c r="D331" s="6">
        <f t="shared" si="15"/>
        <v>0</v>
      </c>
      <c r="E331" s="6">
        <f t="shared" si="1"/>
        <v>0</v>
      </c>
      <c r="F331" s="6">
        <f t="shared" si="7"/>
        <v>2808000</v>
      </c>
      <c r="G331" s="6">
        <f t="shared" si="8"/>
        <v>390029.1702</v>
      </c>
      <c r="H331" s="6">
        <f t="shared" si="9"/>
        <v>3198029.17</v>
      </c>
      <c r="I331" s="6">
        <f t="shared" si="10"/>
        <v>0.000157801127</v>
      </c>
      <c r="J331" s="610"/>
      <c r="K331" s="591"/>
      <c r="L331" s="6"/>
      <c r="M331" s="9">
        <v>12000.0</v>
      </c>
      <c r="N331" s="79">
        <f t="shared" si="11"/>
        <v>3991800</v>
      </c>
      <c r="O331" s="6">
        <f t="shared" si="2"/>
        <v>2805678.83</v>
      </c>
      <c r="P331" s="6">
        <f t="shared" si="3"/>
        <v>99.91733725</v>
      </c>
      <c r="Q331" s="6"/>
      <c r="R331" s="6">
        <f t="shared" si="12"/>
        <v>9558</v>
      </c>
      <c r="S331" s="6">
        <f t="shared" si="13"/>
        <v>2805678.83</v>
      </c>
      <c r="T331" s="81">
        <f t="shared" si="4"/>
        <v>719.3510241</v>
      </c>
      <c r="U331" s="6"/>
      <c r="V331" s="6"/>
      <c r="W331" s="6"/>
      <c r="X331" s="6"/>
      <c r="Y331" s="6"/>
    </row>
    <row r="332" ht="11.25" customHeight="1">
      <c r="A332" s="7"/>
      <c r="B332" s="68">
        <f t="shared" si="14"/>
        <v>327</v>
      </c>
      <c r="C332" s="607"/>
      <c r="D332" s="6">
        <f t="shared" si="15"/>
        <v>0</v>
      </c>
      <c r="E332" s="6">
        <f t="shared" si="1"/>
        <v>0</v>
      </c>
      <c r="F332" s="6">
        <f t="shared" si="7"/>
        <v>2808000</v>
      </c>
      <c r="G332" s="6">
        <f t="shared" si="8"/>
        <v>390029.1702</v>
      </c>
      <c r="H332" s="6">
        <f t="shared" si="9"/>
        <v>3198029.17</v>
      </c>
      <c r="I332" s="6">
        <f t="shared" si="10"/>
        <v>0.000157801127</v>
      </c>
      <c r="J332" s="610"/>
      <c r="K332" s="591"/>
      <c r="L332" s="6"/>
      <c r="M332" s="9">
        <v>12000.0</v>
      </c>
      <c r="N332" s="79">
        <f t="shared" si="11"/>
        <v>4003800</v>
      </c>
      <c r="O332" s="6">
        <f t="shared" si="2"/>
        <v>2815236.83</v>
      </c>
      <c r="P332" s="6">
        <f t="shared" si="3"/>
        <v>100.2577219</v>
      </c>
      <c r="Q332" s="6"/>
      <c r="R332" s="6">
        <f t="shared" si="12"/>
        <v>9558</v>
      </c>
      <c r="S332" s="6">
        <f t="shared" si="13"/>
        <v>2815236.83</v>
      </c>
      <c r="T332" s="81">
        <f t="shared" si="4"/>
        <v>721.80161</v>
      </c>
      <c r="U332" s="6"/>
      <c r="V332" s="6"/>
      <c r="W332" s="6"/>
      <c r="X332" s="6"/>
      <c r="Y332" s="6"/>
    </row>
    <row r="333" ht="11.25" customHeight="1">
      <c r="A333" s="7"/>
      <c r="B333" s="68">
        <f t="shared" si="14"/>
        <v>328</v>
      </c>
      <c r="C333" s="607"/>
      <c r="D333" s="6">
        <f t="shared" si="15"/>
        <v>0</v>
      </c>
      <c r="E333" s="6">
        <f t="shared" si="1"/>
        <v>0</v>
      </c>
      <c r="F333" s="6">
        <f t="shared" si="7"/>
        <v>2808000</v>
      </c>
      <c r="G333" s="6">
        <f t="shared" si="8"/>
        <v>390029.1702</v>
      </c>
      <c r="H333" s="6">
        <f t="shared" si="9"/>
        <v>3198029.17</v>
      </c>
      <c r="I333" s="6">
        <f t="shared" si="10"/>
        <v>0.000157801127</v>
      </c>
      <c r="J333" s="610"/>
      <c r="K333" s="591"/>
      <c r="L333" s="6"/>
      <c r="M333" s="9">
        <v>12000.0</v>
      </c>
      <c r="N333" s="79">
        <f t="shared" si="11"/>
        <v>4015800</v>
      </c>
      <c r="O333" s="6">
        <f t="shared" si="2"/>
        <v>2824794.83</v>
      </c>
      <c r="P333" s="6">
        <f t="shared" si="3"/>
        <v>100.5981065</v>
      </c>
      <c r="Q333" s="6"/>
      <c r="R333" s="6">
        <f t="shared" si="12"/>
        <v>9558</v>
      </c>
      <c r="S333" s="6">
        <f t="shared" si="13"/>
        <v>2824794.83</v>
      </c>
      <c r="T333" s="81">
        <f t="shared" si="4"/>
        <v>724.252196</v>
      </c>
      <c r="U333" s="6"/>
      <c r="V333" s="6"/>
      <c r="W333" s="6"/>
      <c r="X333" s="6"/>
      <c r="Y333" s="6"/>
    </row>
    <row r="334" ht="11.25" customHeight="1">
      <c r="A334" s="7"/>
      <c r="B334" s="68">
        <f t="shared" si="14"/>
        <v>329</v>
      </c>
      <c r="C334" s="607"/>
      <c r="D334" s="6">
        <f t="shared" si="15"/>
        <v>0</v>
      </c>
      <c r="E334" s="6">
        <f t="shared" si="1"/>
        <v>0</v>
      </c>
      <c r="F334" s="6">
        <f t="shared" si="7"/>
        <v>2808000</v>
      </c>
      <c r="G334" s="6">
        <f t="shared" si="8"/>
        <v>390029.1702</v>
      </c>
      <c r="H334" s="6">
        <f t="shared" si="9"/>
        <v>3198029.17</v>
      </c>
      <c r="I334" s="6">
        <f t="shared" si="10"/>
        <v>0.000157801127</v>
      </c>
      <c r="J334" s="610"/>
      <c r="K334" s="591"/>
      <c r="L334" s="6"/>
      <c r="M334" s="9">
        <v>12000.0</v>
      </c>
      <c r="N334" s="79">
        <f t="shared" si="11"/>
        <v>4027800</v>
      </c>
      <c r="O334" s="6">
        <f t="shared" si="2"/>
        <v>2834352.83</v>
      </c>
      <c r="P334" s="6">
        <f t="shared" si="3"/>
        <v>100.9384911</v>
      </c>
      <c r="Q334" s="6"/>
      <c r="R334" s="6">
        <f t="shared" si="12"/>
        <v>9558</v>
      </c>
      <c r="S334" s="6">
        <f t="shared" si="13"/>
        <v>2834352.83</v>
      </c>
      <c r="T334" s="81">
        <f t="shared" si="4"/>
        <v>726.7027819</v>
      </c>
      <c r="U334" s="6"/>
      <c r="V334" s="6"/>
      <c r="W334" s="6"/>
      <c r="X334" s="6"/>
      <c r="Y334" s="6"/>
    </row>
    <row r="335" ht="11.25" customHeight="1">
      <c r="A335" s="7"/>
      <c r="B335" s="68">
        <f t="shared" si="14"/>
        <v>330</v>
      </c>
      <c r="C335" s="607"/>
      <c r="D335" s="6">
        <f t="shared" si="15"/>
        <v>0</v>
      </c>
      <c r="E335" s="6">
        <f t="shared" si="1"/>
        <v>0</v>
      </c>
      <c r="F335" s="6">
        <f t="shared" si="7"/>
        <v>2808000</v>
      </c>
      <c r="G335" s="6">
        <f t="shared" si="8"/>
        <v>390029.1702</v>
      </c>
      <c r="H335" s="6">
        <f t="shared" si="9"/>
        <v>3198029.17</v>
      </c>
      <c r="I335" s="6">
        <f t="shared" si="10"/>
        <v>0.000157801127</v>
      </c>
      <c r="J335" s="610"/>
      <c r="K335" s="591"/>
      <c r="L335" s="6"/>
      <c r="M335" s="9">
        <v>12000.0</v>
      </c>
      <c r="N335" s="79">
        <f t="shared" si="11"/>
        <v>4039800</v>
      </c>
      <c r="O335" s="6">
        <f t="shared" si="2"/>
        <v>2843910.83</v>
      </c>
      <c r="P335" s="6">
        <f t="shared" si="3"/>
        <v>101.2788757</v>
      </c>
      <c r="Q335" s="6"/>
      <c r="R335" s="6">
        <f t="shared" si="12"/>
        <v>9558</v>
      </c>
      <c r="S335" s="6">
        <f t="shared" si="13"/>
        <v>2843910.83</v>
      </c>
      <c r="T335" s="81">
        <f t="shared" si="4"/>
        <v>729.1533679</v>
      </c>
      <c r="U335" s="6"/>
      <c r="V335" s="6"/>
      <c r="W335" s="6"/>
      <c r="X335" s="6"/>
      <c r="Y335" s="6"/>
    </row>
    <row r="336" ht="11.25" customHeight="1">
      <c r="A336" s="7"/>
      <c r="B336" s="68">
        <f t="shared" si="14"/>
        <v>331</v>
      </c>
      <c r="C336" s="607"/>
      <c r="D336" s="6">
        <f t="shared" si="15"/>
        <v>0</v>
      </c>
      <c r="E336" s="6">
        <f t="shared" si="1"/>
        <v>0</v>
      </c>
      <c r="F336" s="6">
        <f t="shared" si="7"/>
        <v>2808000</v>
      </c>
      <c r="G336" s="6">
        <f t="shared" si="8"/>
        <v>390029.1702</v>
      </c>
      <c r="H336" s="6">
        <f t="shared" si="9"/>
        <v>3198029.17</v>
      </c>
      <c r="I336" s="6">
        <f t="shared" si="10"/>
        <v>0.000157801127</v>
      </c>
      <c r="J336" s="610"/>
      <c r="K336" s="591"/>
      <c r="L336" s="6"/>
      <c r="M336" s="9">
        <v>12000.0</v>
      </c>
      <c r="N336" s="79">
        <f t="shared" si="11"/>
        <v>4051800</v>
      </c>
      <c r="O336" s="6">
        <f t="shared" si="2"/>
        <v>2853468.83</v>
      </c>
      <c r="P336" s="6">
        <f t="shared" si="3"/>
        <v>101.6192603</v>
      </c>
      <c r="Q336" s="6"/>
      <c r="R336" s="6">
        <f t="shared" si="12"/>
        <v>9558</v>
      </c>
      <c r="S336" s="6">
        <f t="shared" si="13"/>
        <v>2853468.83</v>
      </c>
      <c r="T336" s="81">
        <f t="shared" si="4"/>
        <v>731.6039538</v>
      </c>
      <c r="U336" s="6"/>
      <c r="V336" s="6"/>
      <c r="W336" s="6"/>
      <c r="X336" s="6"/>
      <c r="Y336" s="6"/>
    </row>
    <row r="337" ht="11.25" customHeight="1">
      <c r="A337" s="7"/>
      <c r="B337" s="68">
        <f t="shared" si="14"/>
        <v>332</v>
      </c>
      <c r="C337" s="607"/>
      <c r="D337" s="6">
        <f t="shared" si="15"/>
        <v>0</v>
      </c>
      <c r="E337" s="6">
        <f t="shared" si="1"/>
        <v>0</v>
      </c>
      <c r="F337" s="6">
        <f t="shared" si="7"/>
        <v>2808000</v>
      </c>
      <c r="G337" s="6">
        <f t="shared" si="8"/>
        <v>390029.1702</v>
      </c>
      <c r="H337" s="6">
        <f t="shared" si="9"/>
        <v>3198029.17</v>
      </c>
      <c r="I337" s="6">
        <f t="shared" si="10"/>
        <v>0.000157801127</v>
      </c>
      <c r="J337" s="610"/>
      <c r="K337" s="591"/>
      <c r="L337" s="6"/>
      <c r="M337" s="9">
        <v>12000.0</v>
      </c>
      <c r="N337" s="79">
        <f t="shared" si="11"/>
        <v>4063800</v>
      </c>
      <c r="O337" s="6">
        <f t="shared" si="2"/>
        <v>2863026.83</v>
      </c>
      <c r="P337" s="6">
        <f t="shared" si="3"/>
        <v>101.9596449</v>
      </c>
      <c r="Q337" s="6"/>
      <c r="R337" s="6">
        <f t="shared" si="12"/>
        <v>9558</v>
      </c>
      <c r="S337" s="6">
        <f t="shared" si="13"/>
        <v>2863026.83</v>
      </c>
      <c r="T337" s="81">
        <f t="shared" si="4"/>
        <v>734.0545397</v>
      </c>
      <c r="U337" s="6"/>
      <c r="V337" s="6"/>
      <c r="W337" s="6"/>
      <c r="X337" s="6"/>
      <c r="Y337" s="6"/>
    </row>
    <row r="338" ht="11.25" customHeight="1">
      <c r="A338" s="7"/>
      <c r="B338" s="68">
        <f t="shared" si="14"/>
        <v>333</v>
      </c>
      <c r="C338" s="607"/>
      <c r="D338" s="6">
        <f t="shared" si="15"/>
        <v>0</v>
      </c>
      <c r="E338" s="6">
        <f t="shared" si="1"/>
        <v>0</v>
      </c>
      <c r="F338" s="6">
        <f t="shared" si="7"/>
        <v>2808000</v>
      </c>
      <c r="G338" s="6">
        <f t="shared" si="8"/>
        <v>390029.1702</v>
      </c>
      <c r="H338" s="6">
        <f t="shared" si="9"/>
        <v>3198029.17</v>
      </c>
      <c r="I338" s="6">
        <f t="shared" si="10"/>
        <v>0.000157801127</v>
      </c>
      <c r="J338" s="610"/>
      <c r="K338" s="591"/>
      <c r="L338" s="6"/>
      <c r="M338" s="9">
        <v>12000.0</v>
      </c>
      <c r="N338" s="79">
        <f t="shared" si="11"/>
        <v>4075800</v>
      </c>
      <c r="O338" s="6">
        <f t="shared" si="2"/>
        <v>2872584.83</v>
      </c>
      <c r="P338" s="6">
        <f t="shared" si="3"/>
        <v>102.3000296</v>
      </c>
      <c r="Q338" s="6"/>
      <c r="R338" s="6">
        <f t="shared" si="12"/>
        <v>9558</v>
      </c>
      <c r="S338" s="6">
        <f t="shared" si="13"/>
        <v>2872584.83</v>
      </c>
      <c r="T338" s="81">
        <f t="shared" si="4"/>
        <v>736.5051257</v>
      </c>
      <c r="U338" s="6"/>
      <c r="V338" s="6"/>
      <c r="W338" s="6"/>
      <c r="X338" s="6"/>
      <c r="Y338" s="6"/>
    </row>
    <row r="339" ht="11.25" customHeight="1">
      <c r="A339" s="7"/>
      <c r="B339" s="68">
        <f t="shared" si="14"/>
        <v>334</v>
      </c>
      <c r="C339" s="607"/>
      <c r="D339" s="6">
        <f t="shared" si="15"/>
        <v>0</v>
      </c>
      <c r="E339" s="6">
        <f t="shared" si="1"/>
        <v>0</v>
      </c>
      <c r="F339" s="6">
        <f t="shared" si="7"/>
        <v>2808000</v>
      </c>
      <c r="G339" s="6">
        <f t="shared" si="8"/>
        <v>390029.1702</v>
      </c>
      <c r="H339" s="6">
        <f t="shared" si="9"/>
        <v>3198029.17</v>
      </c>
      <c r="I339" s="6">
        <f t="shared" si="10"/>
        <v>0.000157801127</v>
      </c>
      <c r="J339" s="610"/>
      <c r="K339" s="591"/>
      <c r="L339" s="6"/>
      <c r="M339" s="9">
        <v>12000.0</v>
      </c>
      <c r="N339" s="79">
        <f t="shared" si="11"/>
        <v>4087800</v>
      </c>
      <c r="O339" s="6">
        <f t="shared" si="2"/>
        <v>2882142.83</v>
      </c>
      <c r="P339" s="6">
        <f t="shared" si="3"/>
        <v>102.6404142</v>
      </c>
      <c r="Q339" s="6"/>
      <c r="R339" s="6">
        <f t="shared" si="12"/>
        <v>9558</v>
      </c>
      <c r="S339" s="6">
        <f t="shared" si="13"/>
        <v>2882142.83</v>
      </c>
      <c r="T339" s="81">
        <f t="shared" si="4"/>
        <v>738.9557116</v>
      </c>
      <c r="U339" s="6"/>
      <c r="V339" s="6"/>
      <c r="W339" s="6"/>
      <c r="X339" s="6"/>
      <c r="Y339" s="6"/>
    </row>
    <row r="340" ht="11.25" customHeight="1">
      <c r="A340" s="7"/>
      <c r="B340" s="68">
        <f t="shared" si="14"/>
        <v>335</v>
      </c>
      <c r="C340" s="607"/>
      <c r="D340" s="6">
        <f t="shared" si="15"/>
        <v>0</v>
      </c>
      <c r="E340" s="6">
        <f t="shared" si="1"/>
        <v>0</v>
      </c>
      <c r="F340" s="6">
        <f t="shared" si="7"/>
        <v>2808000</v>
      </c>
      <c r="G340" s="6">
        <f t="shared" si="8"/>
        <v>390029.1702</v>
      </c>
      <c r="H340" s="6">
        <f t="shared" si="9"/>
        <v>3198029.17</v>
      </c>
      <c r="I340" s="6">
        <f t="shared" si="10"/>
        <v>0.000157801127</v>
      </c>
      <c r="J340" s="610"/>
      <c r="K340" s="591"/>
      <c r="L340" s="6"/>
      <c r="M340" s="9">
        <v>12000.0</v>
      </c>
      <c r="N340" s="79">
        <f t="shared" si="11"/>
        <v>4099800</v>
      </c>
      <c r="O340" s="6">
        <f t="shared" si="2"/>
        <v>2891700.83</v>
      </c>
      <c r="P340" s="6">
        <f t="shared" si="3"/>
        <v>102.9807988</v>
      </c>
      <c r="Q340" s="6"/>
      <c r="R340" s="6">
        <f t="shared" si="12"/>
        <v>9558</v>
      </c>
      <c r="S340" s="6">
        <f t="shared" si="13"/>
        <v>2891700.83</v>
      </c>
      <c r="T340" s="81">
        <f t="shared" si="4"/>
        <v>741.4062976</v>
      </c>
      <c r="U340" s="6"/>
      <c r="V340" s="6"/>
      <c r="W340" s="6"/>
      <c r="X340" s="6"/>
      <c r="Y340" s="6"/>
    </row>
    <row r="341" ht="11.25" customHeight="1">
      <c r="A341" s="71"/>
      <c r="B341" s="72">
        <f t="shared" si="14"/>
        <v>336</v>
      </c>
      <c r="C341" s="607"/>
      <c r="D341" s="10">
        <f t="shared" si="15"/>
        <v>0</v>
      </c>
      <c r="E341" s="10">
        <f t="shared" si="1"/>
        <v>0</v>
      </c>
      <c r="F341" s="10">
        <f t="shared" si="7"/>
        <v>2808000</v>
      </c>
      <c r="G341" s="10">
        <f t="shared" si="8"/>
        <v>390029.1702</v>
      </c>
      <c r="H341" s="10">
        <f t="shared" si="9"/>
        <v>3198029.17</v>
      </c>
      <c r="I341" s="10">
        <f t="shared" si="10"/>
        <v>0.000157801127</v>
      </c>
      <c r="J341" s="610"/>
      <c r="K341" s="591"/>
      <c r="L341" s="6"/>
      <c r="M341" s="9">
        <v>12000.0</v>
      </c>
      <c r="N341" s="79">
        <f t="shared" si="11"/>
        <v>4111800</v>
      </c>
      <c r="O341" s="6">
        <f t="shared" si="2"/>
        <v>2901258.83</v>
      </c>
      <c r="P341" s="6">
        <f t="shared" si="3"/>
        <v>103.3211834</v>
      </c>
      <c r="Q341" s="6"/>
      <c r="R341" s="6">
        <f t="shared" si="12"/>
        <v>9558</v>
      </c>
      <c r="S341" s="6">
        <f t="shared" si="13"/>
        <v>2901258.83</v>
      </c>
      <c r="T341" s="81">
        <f t="shared" si="4"/>
        <v>743.8568835</v>
      </c>
      <c r="U341" s="6"/>
      <c r="V341" s="6"/>
      <c r="W341" s="6"/>
      <c r="X341" s="6"/>
      <c r="Y341" s="6"/>
    </row>
    <row r="342" ht="11.25" customHeight="1">
      <c r="A342" s="100">
        <v>29.0</v>
      </c>
      <c r="B342" s="66">
        <f t="shared" si="14"/>
        <v>337</v>
      </c>
      <c r="C342" s="607"/>
      <c r="D342" s="617">
        <f t="shared" si="15"/>
        <v>0</v>
      </c>
      <c r="E342" s="617">
        <f t="shared" si="1"/>
        <v>0</v>
      </c>
      <c r="F342" s="617">
        <f t="shared" si="7"/>
        <v>2808000</v>
      </c>
      <c r="G342" s="617">
        <f t="shared" si="8"/>
        <v>390029.1702</v>
      </c>
      <c r="H342" s="617">
        <f t="shared" si="9"/>
        <v>3198029.17</v>
      </c>
      <c r="I342" s="617">
        <f t="shared" si="10"/>
        <v>0.000157801127</v>
      </c>
      <c r="J342" s="610"/>
      <c r="K342" s="591"/>
      <c r="L342" s="6"/>
      <c r="M342" s="9">
        <v>12000.0</v>
      </c>
      <c r="N342" s="79">
        <f t="shared" si="11"/>
        <v>4123800</v>
      </c>
      <c r="O342" s="6">
        <f t="shared" si="2"/>
        <v>2910816.83</v>
      </c>
      <c r="P342" s="6">
        <f t="shared" si="3"/>
        <v>103.661568</v>
      </c>
      <c r="Q342" s="6"/>
      <c r="R342" s="6">
        <f t="shared" si="12"/>
        <v>9558</v>
      </c>
      <c r="S342" s="6">
        <f t="shared" si="13"/>
        <v>2910816.83</v>
      </c>
      <c r="T342" s="81">
        <f t="shared" si="4"/>
        <v>746.3074694</v>
      </c>
      <c r="U342" s="6"/>
      <c r="V342" s="6"/>
      <c r="W342" s="6"/>
      <c r="X342" s="6"/>
      <c r="Y342" s="6"/>
    </row>
    <row r="343" ht="11.25" customHeight="1">
      <c r="A343" s="7"/>
      <c r="B343" s="68">
        <f t="shared" si="14"/>
        <v>338</v>
      </c>
      <c r="C343" s="607"/>
      <c r="D343" s="6">
        <f t="shared" si="15"/>
        <v>0</v>
      </c>
      <c r="E343" s="6">
        <f t="shared" si="1"/>
        <v>0</v>
      </c>
      <c r="F343" s="6">
        <f t="shared" si="7"/>
        <v>2808000</v>
      </c>
      <c r="G343" s="6">
        <f t="shared" si="8"/>
        <v>390029.1702</v>
      </c>
      <c r="H343" s="6">
        <f t="shared" si="9"/>
        <v>3198029.17</v>
      </c>
      <c r="I343" s="6">
        <f t="shared" si="10"/>
        <v>0.000157801127</v>
      </c>
      <c r="J343" s="610"/>
      <c r="K343" s="591"/>
      <c r="L343" s="6"/>
      <c r="M343" s="9">
        <v>12000.0</v>
      </c>
      <c r="N343" s="79">
        <f t="shared" si="11"/>
        <v>4135800</v>
      </c>
      <c r="O343" s="6">
        <f t="shared" si="2"/>
        <v>2920374.83</v>
      </c>
      <c r="P343" s="6">
        <f t="shared" si="3"/>
        <v>104.0019526</v>
      </c>
      <c r="Q343" s="6"/>
      <c r="R343" s="6">
        <f t="shared" si="12"/>
        <v>9558</v>
      </c>
      <c r="S343" s="6">
        <f t="shared" si="13"/>
        <v>2920374.83</v>
      </c>
      <c r="T343" s="81">
        <f t="shared" si="4"/>
        <v>748.7580554</v>
      </c>
      <c r="U343" s="6"/>
      <c r="V343" s="6"/>
      <c r="W343" s="6"/>
      <c r="X343" s="6"/>
      <c r="Y343" s="6"/>
    </row>
    <row r="344" ht="11.25" customHeight="1">
      <c r="A344" s="7"/>
      <c r="B344" s="68">
        <f t="shared" si="14"/>
        <v>339</v>
      </c>
      <c r="C344" s="607"/>
      <c r="D344" s="6">
        <f t="shared" si="15"/>
        <v>0</v>
      </c>
      <c r="E344" s="6">
        <f t="shared" si="1"/>
        <v>0</v>
      </c>
      <c r="F344" s="6">
        <f t="shared" si="7"/>
        <v>2808000</v>
      </c>
      <c r="G344" s="6">
        <f t="shared" si="8"/>
        <v>390029.1702</v>
      </c>
      <c r="H344" s="6">
        <f t="shared" si="9"/>
        <v>3198029.17</v>
      </c>
      <c r="I344" s="6">
        <f t="shared" si="10"/>
        <v>0.000157801127</v>
      </c>
      <c r="J344" s="610"/>
      <c r="K344" s="591"/>
      <c r="L344" s="6"/>
      <c r="M344" s="9">
        <v>12000.0</v>
      </c>
      <c r="N344" s="79">
        <f t="shared" si="11"/>
        <v>4147800</v>
      </c>
      <c r="O344" s="6">
        <f t="shared" si="2"/>
        <v>2929932.83</v>
      </c>
      <c r="P344" s="6">
        <f t="shared" si="3"/>
        <v>104.3423373</v>
      </c>
      <c r="Q344" s="6"/>
      <c r="R344" s="6">
        <f t="shared" si="12"/>
        <v>9558</v>
      </c>
      <c r="S344" s="6">
        <f t="shared" si="13"/>
        <v>2929932.83</v>
      </c>
      <c r="T344" s="81">
        <f t="shared" si="4"/>
        <v>751.2086413</v>
      </c>
      <c r="U344" s="6"/>
      <c r="V344" s="6"/>
      <c r="W344" s="6"/>
      <c r="X344" s="6"/>
      <c r="Y344" s="6"/>
    </row>
    <row r="345" ht="11.25" customHeight="1">
      <c r="A345" s="7"/>
      <c r="B345" s="68">
        <f t="shared" si="14"/>
        <v>340</v>
      </c>
      <c r="C345" s="607"/>
      <c r="D345" s="6">
        <f t="shared" si="15"/>
        <v>0</v>
      </c>
      <c r="E345" s="6">
        <f t="shared" si="1"/>
        <v>0</v>
      </c>
      <c r="F345" s="6">
        <f t="shared" si="7"/>
        <v>2808000</v>
      </c>
      <c r="G345" s="6">
        <f t="shared" si="8"/>
        <v>390029.1702</v>
      </c>
      <c r="H345" s="6">
        <f t="shared" si="9"/>
        <v>3198029.17</v>
      </c>
      <c r="I345" s="6">
        <f t="shared" si="10"/>
        <v>0.000157801127</v>
      </c>
      <c r="J345" s="610"/>
      <c r="K345" s="591"/>
      <c r="L345" s="6"/>
      <c r="M345" s="9">
        <v>12000.0</v>
      </c>
      <c r="N345" s="79">
        <f t="shared" si="11"/>
        <v>4159800</v>
      </c>
      <c r="O345" s="6">
        <f t="shared" si="2"/>
        <v>2939490.83</v>
      </c>
      <c r="P345" s="6">
        <f t="shared" si="3"/>
        <v>104.6827219</v>
      </c>
      <c r="Q345" s="6"/>
      <c r="R345" s="6">
        <f t="shared" si="12"/>
        <v>9558</v>
      </c>
      <c r="S345" s="6">
        <f t="shared" si="13"/>
        <v>2939490.83</v>
      </c>
      <c r="T345" s="81">
        <f t="shared" si="4"/>
        <v>753.6592272</v>
      </c>
      <c r="U345" s="6"/>
      <c r="V345" s="6"/>
      <c r="W345" s="6"/>
      <c r="X345" s="6"/>
      <c r="Y345" s="6"/>
    </row>
    <row r="346" ht="11.25" customHeight="1">
      <c r="A346" s="7"/>
      <c r="B346" s="68">
        <f t="shared" si="14"/>
        <v>341</v>
      </c>
      <c r="C346" s="607"/>
      <c r="D346" s="6">
        <f t="shared" si="15"/>
        <v>0</v>
      </c>
      <c r="E346" s="6">
        <f t="shared" si="1"/>
        <v>0</v>
      </c>
      <c r="F346" s="6">
        <f t="shared" si="7"/>
        <v>2808000</v>
      </c>
      <c r="G346" s="6">
        <f t="shared" si="8"/>
        <v>390029.1702</v>
      </c>
      <c r="H346" s="6">
        <f t="shared" si="9"/>
        <v>3198029.17</v>
      </c>
      <c r="I346" s="6">
        <f t="shared" si="10"/>
        <v>0.000157801127</v>
      </c>
      <c r="J346" s="610"/>
      <c r="K346" s="591"/>
      <c r="L346" s="6"/>
      <c r="M346" s="9">
        <v>12000.0</v>
      </c>
      <c r="N346" s="79">
        <f t="shared" si="11"/>
        <v>4171800</v>
      </c>
      <c r="O346" s="6">
        <f t="shared" si="2"/>
        <v>2949048.83</v>
      </c>
      <c r="P346" s="6">
        <f t="shared" si="3"/>
        <v>105.0231065</v>
      </c>
      <c r="Q346" s="6"/>
      <c r="R346" s="6">
        <f t="shared" si="12"/>
        <v>9558</v>
      </c>
      <c r="S346" s="6">
        <f t="shared" si="13"/>
        <v>2949048.83</v>
      </c>
      <c r="T346" s="81">
        <f t="shared" si="4"/>
        <v>756.1098132</v>
      </c>
      <c r="U346" s="6"/>
      <c r="V346" s="6"/>
      <c r="W346" s="6"/>
      <c r="X346" s="6"/>
      <c r="Y346" s="6"/>
    </row>
    <row r="347" ht="11.25" customHeight="1">
      <c r="A347" s="7"/>
      <c r="B347" s="68">
        <f t="shared" si="14"/>
        <v>342</v>
      </c>
      <c r="C347" s="607"/>
      <c r="D347" s="6">
        <f t="shared" si="15"/>
        <v>0</v>
      </c>
      <c r="E347" s="6">
        <f t="shared" si="1"/>
        <v>0</v>
      </c>
      <c r="F347" s="6">
        <f t="shared" si="7"/>
        <v>2808000</v>
      </c>
      <c r="G347" s="6">
        <f t="shared" si="8"/>
        <v>390029.1702</v>
      </c>
      <c r="H347" s="6">
        <f t="shared" si="9"/>
        <v>3198029.17</v>
      </c>
      <c r="I347" s="6">
        <f t="shared" si="10"/>
        <v>0.000157801127</v>
      </c>
      <c r="J347" s="610"/>
      <c r="K347" s="591"/>
      <c r="L347" s="6"/>
      <c r="M347" s="9">
        <v>12000.0</v>
      </c>
      <c r="N347" s="79">
        <f t="shared" si="11"/>
        <v>4183800</v>
      </c>
      <c r="O347" s="6">
        <f t="shared" si="2"/>
        <v>2958606.83</v>
      </c>
      <c r="P347" s="6">
        <f t="shared" si="3"/>
        <v>105.3634911</v>
      </c>
      <c r="Q347" s="6"/>
      <c r="R347" s="6">
        <f t="shared" si="12"/>
        <v>9558</v>
      </c>
      <c r="S347" s="6">
        <f t="shared" si="13"/>
        <v>2958606.83</v>
      </c>
      <c r="T347" s="81">
        <f t="shared" si="4"/>
        <v>758.5603991</v>
      </c>
      <c r="U347" s="6"/>
      <c r="V347" s="6"/>
      <c r="W347" s="6"/>
      <c r="X347" s="6"/>
      <c r="Y347" s="6"/>
    </row>
    <row r="348" ht="11.25" customHeight="1">
      <c r="A348" s="7"/>
      <c r="B348" s="68">
        <f t="shared" si="14"/>
        <v>343</v>
      </c>
      <c r="C348" s="607"/>
      <c r="D348" s="6">
        <f t="shared" si="15"/>
        <v>0</v>
      </c>
      <c r="E348" s="6">
        <f t="shared" si="1"/>
        <v>0</v>
      </c>
      <c r="F348" s="6">
        <f t="shared" si="7"/>
        <v>2808000</v>
      </c>
      <c r="G348" s="6">
        <f t="shared" si="8"/>
        <v>390029.1702</v>
      </c>
      <c r="H348" s="6">
        <f t="shared" si="9"/>
        <v>3198029.17</v>
      </c>
      <c r="I348" s="6">
        <f t="shared" si="10"/>
        <v>0.000157801127</v>
      </c>
      <c r="J348" s="610"/>
      <c r="K348" s="591"/>
      <c r="L348" s="6"/>
      <c r="M348" s="9">
        <v>12000.0</v>
      </c>
      <c r="N348" s="79">
        <f t="shared" si="11"/>
        <v>4195800</v>
      </c>
      <c r="O348" s="6">
        <f t="shared" si="2"/>
        <v>2968164.83</v>
      </c>
      <c r="P348" s="6">
        <f t="shared" si="3"/>
        <v>105.7038757</v>
      </c>
      <c r="Q348" s="6"/>
      <c r="R348" s="6">
        <f t="shared" si="12"/>
        <v>9558</v>
      </c>
      <c r="S348" s="6">
        <f t="shared" si="13"/>
        <v>2968164.83</v>
      </c>
      <c r="T348" s="81">
        <f t="shared" si="4"/>
        <v>761.0109851</v>
      </c>
      <c r="U348" s="6"/>
      <c r="V348" s="6"/>
      <c r="W348" s="6"/>
      <c r="X348" s="6"/>
      <c r="Y348" s="6"/>
    </row>
    <row r="349" ht="11.25" customHeight="1">
      <c r="A349" s="7"/>
      <c r="B349" s="68">
        <f t="shared" si="14"/>
        <v>344</v>
      </c>
      <c r="C349" s="607"/>
      <c r="D349" s="6">
        <f t="shared" si="15"/>
        <v>0</v>
      </c>
      <c r="E349" s="6">
        <f t="shared" si="1"/>
        <v>0</v>
      </c>
      <c r="F349" s="6">
        <f t="shared" si="7"/>
        <v>2808000</v>
      </c>
      <c r="G349" s="6">
        <f t="shared" si="8"/>
        <v>390029.1702</v>
      </c>
      <c r="H349" s="6">
        <f t="shared" si="9"/>
        <v>3198029.17</v>
      </c>
      <c r="I349" s="6">
        <f t="shared" si="10"/>
        <v>0.000157801127</v>
      </c>
      <c r="J349" s="610"/>
      <c r="K349" s="591"/>
      <c r="L349" s="6"/>
      <c r="M349" s="9">
        <v>12000.0</v>
      </c>
      <c r="N349" s="79">
        <f t="shared" si="11"/>
        <v>4207800</v>
      </c>
      <c r="O349" s="6">
        <f t="shared" si="2"/>
        <v>2977722.83</v>
      </c>
      <c r="P349" s="6">
        <f t="shared" si="3"/>
        <v>106.0442603</v>
      </c>
      <c r="Q349" s="6"/>
      <c r="R349" s="6">
        <f t="shared" si="12"/>
        <v>9558</v>
      </c>
      <c r="S349" s="6">
        <f t="shared" si="13"/>
        <v>2977722.83</v>
      </c>
      <c r="T349" s="81">
        <f t="shared" si="4"/>
        <v>763.461571</v>
      </c>
      <c r="U349" s="6"/>
      <c r="V349" s="6"/>
      <c r="W349" s="6"/>
      <c r="X349" s="6"/>
      <c r="Y349" s="6"/>
    </row>
    <row r="350" ht="11.25" customHeight="1">
      <c r="A350" s="7"/>
      <c r="B350" s="68">
        <f t="shared" si="14"/>
        <v>345</v>
      </c>
      <c r="C350" s="607"/>
      <c r="D350" s="6">
        <f t="shared" si="15"/>
        <v>0</v>
      </c>
      <c r="E350" s="6">
        <f t="shared" si="1"/>
        <v>0</v>
      </c>
      <c r="F350" s="6">
        <f t="shared" si="7"/>
        <v>2808000</v>
      </c>
      <c r="G350" s="6">
        <f t="shared" si="8"/>
        <v>390029.1702</v>
      </c>
      <c r="H350" s="6">
        <f t="shared" si="9"/>
        <v>3198029.17</v>
      </c>
      <c r="I350" s="6">
        <f t="shared" si="10"/>
        <v>0.000157801127</v>
      </c>
      <c r="J350" s="610"/>
      <c r="K350" s="591"/>
      <c r="L350" s="6"/>
      <c r="M350" s="9">
        <v>12000.0</v>
      </c>
      <c r="N350" s="79">
        <f t="shared" si="11"/>
        <v>4219800</v>
      </c>
      <c r="O350" s="6">
        <f t="shared" si="2"/>
        <v>2987280.83</v>
      </c>
      <c r="P350" s="6">
        <f t="shared" si="3"/>
        <v>106.3846449</v>
      </c>
      <c r="Q350" s="6"/>
      <c r="R350" s="6">
        <f t="shared" si="12"/>
        <v>9558</v>
      </c>
      <c r="S350" s="6">
        <f t="shared" si="13"/>
        <v>2987280.83</v>
      </c>
      <c r="T350" s="81">
        <f t="shared" si="4"/>
        <v>765.9121569</v>
      </c>
      <c r="U350" s="6"/>
      <c r="V350" s="6"/>
      <c r="W350" s="6"/>
      <c r="X350" s="6"/>
      <c r="Y350" s="6"/>
    </row>
    <row r="351" ht="11.25" customHeight="1">
      <c r="A351" s="7"/>
      <c r="B351" s="68">
        <f t="shared" si="14"/>
        <v>346</v>
      </c>
      <c r="C351" s="607"/>
      <c r="D351" s="6">
        <f t="shared" si="15"/>
        <v>0</v>
      </c>
      <c r="E351" s="6">
        <f t="shared" si="1"/>
        <v>0</v>
      </c>
      <c r="F351" s="6">
        <f t="shared" si="7"/>
        <v>2808000</v>
      </c>
      <c r="G351" s="6">
        <f t="shared" si="8"/>
        <v>390029.1702</v>
      </c>
      <c r="H351" s="6">
        <f t="shared" si="9"/>
        <v>3198029.17</v>
      </c>
      <c r="I351" s="6">
        <f t="shared" si="10"/>
        <v>0.000157801127</v>
      </c>
      <c r="J351" s="610"/>
      <c r="K351" s="591"/>
      <c r="L351" s="6"/>
      <c r="M351" s="9">
        <v>12000.0</v>
      </c>
      <c r="N351" s="79">
        <f t="shared" si="11"/>
        <v>4231800</v>
      </c>
      <c r="O351" s="6">
        <f t="shared" si="2"/>
        <v>2996838.83</v>
      </c>
      <c r="P351" s="6">
        <f t="shared" si="3"/>
        <v>106.7250296</v>
      </c>
      <c r="Q351" s="6"/>
      <c r="R351" s="6">
        <f t="shared" si="12"/>
        <v>9558</v>
      </c>
      <c r="S351" s="6">
        <f t="shared" si="13"/>
        <v>2996838.83</v>
      </c>
      <c r="T351" s="81">
        <f t="shared" si="4"/>
        <v>768.3627429</v>
      </c>
      <c r="U351" s="6"/>
      <c r="V351" s="6"/>
      <c r="W351" s="6"/>
      <c r="X351" s="6"/>
      <c r="Y351" s="6"/>
    </row>
    <row r="352" ht="11.25" customHeight="1">
      <c r="A352" s="7"/>
      <c r="B352" s="68">
        <f t="shared" si="14"/>
        <v>347</v>
      </c>
      <c r="C352" s="607"/>
      <c r="D352" s="6">
        <f t="shared" si="15"/>
        <v>0</v>
      </c>
      <c r="E352" s="6">
        <f t="shared" si="1"/>
        <v>0</v>
      </c>
      <c r="F352" s="6">
        <f t="shared" si="7"/>
        <v>2808000</v>
      </c>
      <c r="G352" s="6">
        <f t="shared" si="8"/>
        <v>390029.1702</v>
      </c>
      <c r="H352" s="6">
        <f t="shared" si="9"/>
        <v>3198029.17</v>
      </c>
      <c r="I352" s="6">
        <f t="shared" si="10"/>
        <v>0.000157801127</v>
      </c>
      <c r="J352" s="610"/>
      <c r="K352" s="591"/>
      <c r="L352" s="6"/>
      <c r="M352" s="9">
        <v>12000.0</v>
      </c>
      <c r="N352" s="79">
        <f t="shared" si="11"/>
        <v>4243800</v>
      </c>
      <c r="O352" s="6">
        <f t="shared" si="2"/>
        <v>3006396.83</v>
      </c>
      <c r="P352" s="6">
        <f t="shared" si="3"/>
        <v>107.0654142</v>
      </c>
      <c r="Q352" s="6"/>
      <c r="R352" s="6">
        <f t="shared" si="12"/>
        <v>9558</v>
      </c>
      <c r="S352" s="6">
        <f t="shared" si="13"/>
        <v>3006396.83</v>
      </c>
      <c r="T352" s="81">
        <f t="shared" si="4"/>
        <v>770.8133288</v>
      </c>
      <c r="U352" s="6"/>
      <c r="V352" s="6"/>
      <c r="W352" s="6"/>
      <c r="X352" s="6"/>
      <c r="Y352" s="6"/>
    </row>
    <row r="353" ht="11.25" customHeight="1">
      <c r="A353" s="71"/>
      <c r="B353" s="72">
        <f t="shared" si="14"/>
        <v>348</v>
      </c>
      <c r="C353" s="607"/>
      <c r="D353" s="10">
        <f t="shared" si="15"/>
        <v>0</v>
      </c>
      <c r="E353" s="10">
        <f t="shared" si="1"/>
        <v>0</v>
      </c>
      <c r="F353" s="10">
        <f t="shared" si="7"/>
        <v>2808000</v>
      </c>
      <c r="G353" s="10">
        <f t="shared" si="8"/>
        <v>390029.1702</v>
      </c>
      <c r="H353" s="10">
        <f t="shared" si="9"/>
        <v>3198029.17</v>
      </c>
      <c r="I353" s="10">
        <f t="shared" si="10"/>
        <v>0.000157801127</v>
      </c>
      <c r="J353" s="610"/>
      <c r="K353" s="591"/>
      <c r="L353" s="6"/>
      <c r="M353" s="9">
        <v>12000.0</v>
      </c>
      <c r="N353" s="79">
        <f t="shared" si="11"/>
        <v>4255800</v>
      </c>
      <c r="O353" s="6">
        <f t="shared" si="2"/>
        <v>3015954.83</v>
      </c>
      <c r="P353" s="6">
        <f t="shared" si="3"/>
        <v>107.4057988</v>
      </c>
      <c r="Q353" s="6"/>
      <c r="R353" s="6">
        <f t="shared" si="12"/>
        <v>9558</v>
      </c>
      <c r="S353" s="6">
        <f t="shared" si="13"/>
        <v>3015954.83</v>
      </c>
      <c r="T353" s="81">
        <f t="shared" si="4"/>
        <v>773.2639148</v>
      </c>
      <c r="U353" s="6"/>
      <c r="V353" s="6"/>
      <c r="W353" s="6"/>
      <c r="X353" s="6"/>
      <c r="Y353" s="6"/>
    </row>
    <row r="354" ht="11.25" customHeight="1">
      <c r="A354" s="7">
        <v>30.0</v>
      </c>
      <c r="B354" s="68">
        <f t="shared" si="14"/>
        <v>349</v>
      </c>
      <c r="C354" s="607"/>
      <c r="D354" s="6">
        <f t="shared" si="15"/>
        <v>0</v>
      </c>
      <c r="E354" s="6">
        <f t="shared" si="1"/>
        <v>0</v>
      </c>
      <c r="F354" s="6">
        <f t="shared" si="7"/>
        <v>2808000</v>
      </c>
      <c r="G354" s="6">
        <f t="shared" si="8"/>
        <v>390029.1702</v>
      </c>
      <c r="H354" s="6">
        <f t="shared" si="9"/>
        <v>3198029.17</v>
      </c>
      <c r="I354" s="6">
        <f t="shared" si="10"/>
        <v>0.000157801127</v>
      </c>
      <c r="J354" s="610"/>
      <c r="K354" s="591"/>
      <c r="L354" s="6"/>
      <c r="M354" s="9">
        <v>12000.0</v>
      </c>
      <c r="N354" s="79">
        <f t="shared" si="11"/>
        <v>4267800</v>
      </c>
      <c r="O354" s="6">
        <f t="shared" si="2"/>
        <v>3025512.83</v>
      </c>
      <c r="P354" s="6">
        <f t="shared" si="3"/>
        <v>107.7461834</v>
      </c>
      <c r="Q354" s="6"/>
      <c r="R354" s="6">
        <f t="shared" si="12"/>
        <v>9558</v>
      </c>
      <c r="S354" s="6">
        <f t="shared" si="13"/>
        <v>3025512.83</v>
      </c>
      <c r="T354" s="81">
        <f t="shared" si="4"/>
        <v>775.7145007</v>
      </c>
      <c r="U354" s="6"/>
      <c r="V354" s="6"/>
      <c r="W354" s="6"/>
      <c r="X354" s="6"/>
      <c r="Y354" s="6"/>
    </row>
    <row r="355" ht="11.25" customHeight="1">
      <c r="A355" s="7"/>
      <c r="B355" s="68">
        <f t="shared" si="14"/>
        <v>350</v>
      </c>
      <c r="C355" s="607"/>
      <c r="D355" s="6">
        <f t="shared" si="15"/>
        <v>0</v>
      </c>
      <c r="E355" s="6">
        <f t="shared" si="1"/>
        <v>0</v>
      </c>
      <c r="F355" s="6">
        <f t="shared" si="7"/>
        <v>2808000</v>
      </c>
      <c r="G355" s="6">
        <f t="shared" si="8"/>
        <v>390029.1702</v>
      </c>
      <c r="H355" s="6">
        <f t="shared" si="9"/>
        <v>3198029.17</v>
      </c>
      <c r="I355" s="6">
        <f t="shared" si="10"/>
        <v>0.000157801127</v>
      </c>
      <c r="J355" s="610"/>
      <c r="K355" s="591"/>
      <c r="L355" s="6"/>
      <c r="M355" s="9">
        <v>12000.0</v>
      </c>
      <c r="N355" s="79">
        <f t="shared" si="11"/>
        <v>4279800</v>
      </c>
      <c r="O355" s="6">
        <f t="shared" si="2"/>
        <v>3035070.83</v>
      </c>
      <c r="P355" s="6">
        <f t="shared" si="3"/>
        <v>108.086568</v>
      </c>
      <c r="Q355" s="6"/>
      <c r="R355" s="6">
        <f t="shared" si="12"/>
        <v>9558</v>
      </c>
      <c r="S355" s="6">
        <f t="shared" si="13"/>
        <v>3035070.83</v>
      </c>
      <c r="T355" s="81">
        <f t="shared" si="4"/>
        <v>778.1650866</v>
      </c>
      <c r="U355" s="6"/>
      <c r="V355" s="6"/>
      <c r="W355" s="6"/>
      <c r="X355" s="6"/>
      <c r="Y355" s="6"/>
    </row>
    <row r="356" ht="11.25" customHeight="1">
      <c r="A356" s="7"/>
      <c r="B356" s="68">
        <f t="shared" si="14"/>
        <v>351</v>
      </c>
      <c r="C356" s="607"/>
      <c r="D356" s="6">
        <f t="shared" si="15"/>
        <v>0</v>
      </c>
      <c r="E356" s="6">
        <f t="shared" si="1"/>
        <v>0</v>
      </c>
      <c r="F356" s="6">
        <f t="shared" si="7"/>
        <v>2808000</v>
      </c>
      <c r="G356" s="6">
        <f t="shared" si="8"/>
        <v>390029.1702</v>
      </c>
      <c r="H356" s="6">
        <f t="shared" si="9"/>
        <v>3198029.17</v>
      </c>
      <c r="I356" s="6">
        <f t="shared" si="10"/>
        <v>0.000157801127</v>
      </c>
      <c r="J356" s="610"/>
      <c r="K356" s="591"/>
      <c r="L356" s="6"/>
      <c r="M356" s="9">
        <v>12000.0</v>
      </c>
      <c r="N356" s="79">
        <f t="shared" si="11"/>
        <v>4291800</v>
      </c>
      <c r="O356" s="6">
        <f t="shared" si="2"/>
        <v>3044628.83</v>
      </c>
      <c r="P356" s="6">
        <f t="shared" si="3"/>
        <v>108.4269526</v>
      </c>
      <c r="Q356" s="6"/>
      <c r="R356" s="6">
        <f t="shared" si="12"/>
        <v>9558</v>
      </c>
      <c r="S356" s="6">
        <f t="shared" si="13"/>
        <v>3044628.83</v>
      </c>
      <c r="T356" s="81">
        <f t="shared" si="4"/>
        <v>780.6156726</v>
      </c>
      <c r="U356" s="6"/>
      <c r="V356" s="6"/>
      <c r="W356" s="6"/>
      <c r="X356" s="6"/>
      <c r="Y356" s="6"/>
    </row>
    <row r="357" ht="11.25" customHeight="1">
      <c r="A357" s="7"/>
      <c r="B357" s="68">
        <f t="shared" si="14"/>
        <v>352</v>
      </c>
      <c r="C357" s="607"/>
      <c r="D357" s="6">
        <f t="shared" si="15"/>
        <v>0</v>
      </c>
      <c r="E357" s="6">
        <f t="shared" si="1"/>
        <v>0</v>
      </c>
      <c r="F357" s="6">
        <f t="shared" si="7"/>
        <v>2808000</v>
      </c>
      <c r="G357" s="6">
        <f t="shared" si="8"/>
        <v>390029.1702</v>
      </c>
      <c r="H357" s="6">
        <f t="shared" si="9"/>
        <v>3198029.17</v>
      </c>
      <c r="I357" s="6">
        <f t="shared" si="10"/>
        <v>0.000157801127</v>
      </c>
      <c r="J357" s="610"/>
      <c r="K357" s="591"/>
      <c r="L357" s="6"/>
      <c r="M357" s="9">
        <v>12000.0</v>
      </c>
      <c r="N357" s="79">
        <f t="shared" si="11"/>
        <v>4303800</v>
      </c>
      <c r="O357" s="6">
        <f t="shared" si="2"/>
        <v>3054186.83</v>
      </c>
      <c r="P357" s="6">
        <f t="shared" si="3"/>
        <v>108.7673373</v>
      </c>
      <c r="Q357" s="6"/>
      <c r="R357" s="6">
        <f t="shared" si="12"/>
        <v>9558</v>
      </c>
      <c r="S357" s="6">
        <f t="shared" si="13"/>
        <v>3054186.83</v>
      </c>
      <c r="T357" s="81">
        <f t="shared" si="4"/>
        <v>783.0662585</v>
      </c>
      <c r="U357" s="6"/>
      <c r="V357" s="6"/>
      <c r="W357" s="6"/>
      <c r="X357" s="6"/>
      <c r="Y357" s="6"/>
    </row>
    <row r="358" ht="11.25" customHeight="1">
      <c r="A358" s="7"/>
      <c r="B358" s="68">
        <f t="shared" si="14"/>
        <v>353</v>
      </c>
      <c r="C358" s="607"/>
      <c r="D358" s="6">
        <f t="shared" si="15"/>
        <v>0</v>
      </c>
      <c r="E358" s="6">
        <f t="shared" si="1"/>
        <v>0</v>
      </c>
      <c r="F358" s="6">
        <f t="shared" si="7"/>
        <v>2808000</v>
      </c>
      <c r="G358" s="6">
        <f t="shared" si="8"/>
        <v>390029.1702</v>
      </c>
      <c r="H358" s="6">
        <f t="shared" si="9"/>
        <v>3198029.17</v>
      </c>
      <c r="I358" s="6">
        <f t="shared" si="10"/>
        <v>0.000157801127</v>
      </c>
      <c r="J358" s="610"/>
      <c r="K358" s="591"/>
      <c r="L358" s="6"/>
      <c r="M358" s="9">
        <v>12000.0</v>
      </c>
      <c r="N358" s="79">
        <f t="shared" si="11"/>
        <v>4315800</v>
      </c>
      <c r="O358" s="6">
        <f t="shared" si="2"/>
        <v>3063744.83</v>
      </c>
      <c r="P358" s="6">
        <f t="shared" si="3"/>
        <v>109.1077219</v>
      </c>
      <c r="Q358" s="6"/>
      <c r="R358" s="6">
        <f t="shared" si="12"/>
        <v>9558</v>
      </c>
      <c r="S358" s="6">
        <f t="shared" si="13"/>
        <v>3063744.83</v>
      </c>
      <c r="T358" s="81">
        <f t="shared" si="4"/>
        <v>785.5168444</v>
      </c>
      <c r="U358" s="6"/>
      <c r="V358" s="6"/>
      <c r="W358" s="6"/>
      <c r="X358" s="6"/>
      <c r="Y358" s="6"/>
    </row>
    <row r="359" ht="11.25" customHeight="1">
      <c r="A359" s="7"/>
      <c r="B359" s="68">
        <f t="shared" si="14"/>
        <v>354</v>
      </c>
      <c r="C359" s="607"/>
      <c r="D359" s="6">
        <f t="shared" si="15"/>
        <v>0</v>
      </c>
      <c r="E359" s="6">
        <f t="shared" si="1"/>
        <v>0</v>
      </c>
      <c r="F359" s="6">
        <f t="shared" si="7"/>
        <v>2808000</v>
      </c>
      <c r="G359" s="6">
        <f t="shared" si="8"/>
        <v>390029.1702</v>
      </c>
      <c r="H359" s="6">
        <f t="shared" si="9"/>
        <v>3198029.17</v>
      </c>
      <c r="I359" s="6">
        <f t="shared" si="10"/>
        <v>0.000157801127</v>
      </c>
      <c r="J359" s="610"/>
      <c r="K359" s="591"/>
      <c r="L359" s="6"/>
      <c r="M359" s="9">
        <v>12000.0</v>
      </c>
      <c r="N359" s="79">
        <f t="shared" si="11"/>
        <v>4327800</v>
      </c>
      <c r="O359" s="6">
        <f t="shared" si="2"/>
        <v>3073302.83</v>
      </c>
      <c r="P359" s="6">
        <f t="shared" si="3"/>
        <v>109.4481065</v>
      </c>
      <c r="Q359" s="6"/>
      <c r="R359" s="6">
        <f t="shared" si="12"/>
        <v>9558</v>
      </c>
      <c r="S359" s="6">
        <f t="shared" si="13"/>
        <v>3073302.83</v>
      </c>
      <c r="T359" s="81">
        <f t="shared" si="4"/>
        <v>787.9674304</v>
      </c>
      <c r="U359" s="6"/>
      <c r="V359" s="6"/>
      <c r="W359" s="6"/>
      <c r="X359" s="6"/>
      <c r="Y359" s="6"/>
    </row>
    <row r="360" ht="11.25" customHeight="1">
      <c r="A360" s="7"/>
      <c r="B360" s="68">
        <f t="shared" si="14"/>
        <v>355</v>
      </c>
      <c r="C360" s="607"/>
      <c r="D360" s="6">
        <f t="shared" si="15"/>
        <v>0</v>
      </c>
      <c r="E360" s="6">
        <f t="shared" si="1"/>
        <v>0</v>
      </c>
      <c r="F360" s="6">
        <f t="shared" si="7"/>
        <v>2808000</v>
      </c>
      <c r="G360" s="6">
        <f t="shared" si="8"/>
        <v>390029.1702</v>
      </c>
      <c r="H360" s="6">
        <f t="shared" si="9"/>
        <v>3198029.17</v>
      </c>
      <c r="I360" s="6">
        <f t="shared" si="10"/>
        <v>0.000157801127</v>
      </c>
      <c r="J360" s="610"/>
      <c r="K360" s="591"/>
      <c r="L360" s="6"/>
      <c r="M360" s="9">
        <v>12000.0</v>
      </c>
      <c r="N360" s="79">
        <f t="shared" si="11"/>
        <v>4339800</v>
      </c>
      <c r="O360" s="6">
        <f t="shared" si="2"/>
        <v>3082860.83</v>
      </c>
      <c r="P360" s="6">
        <f t="shared" si="3"/>
        <v>109.7884911</v>
      </c>
      <c r="Q360" s="6"/>
      <c r="R360" s="6">
        <f t="shared" si="12"/>
        <v>9558</v>
      </c>
      <c r="S360" s="6">
        <f t="shared" si="13"/>
        <v>3082860.83</v>
      </c>
      <c r="T360" s="81">
        <f t="shared" si="4"/>
        <v>790.4180163</v>
      </c>
      <c r="U360" s="6"/>
      <c r="V360" s="6"/>
      <c r="W360" s="6"/>
      <c r="X360" s="6"/>
      <c r="Y360" s="6"/>
    </row>
    <row r="361" ht="11.25" customHeight="1">
      <c r="A361" s="7"/>
      <c r="B361" s="68">
        <f t="shared" si="14"/>
        <v>356</v>
      </c>
      <c r="C361" s="607"/>
      <c r="D361" s="6">
        <f t="shared" si="15"/>
        <v>0</v>
      </c>
      <c r="E361" s="6">
        <f t="shared" si="1"/>
        <v>0</v>
      </c>
      <c r="F361" s="6">
        <f t="shared" si="7"/>
        <v>2808000</v>
      </c>
      <c r="G361" s="6">
        <f t="shared" si="8"/>
        <v>390029.1702</v>
      </c>
      <c r="H361" s="6">
        <f t="shared" si="9"/>
        <v>3198029.17</v>
      </c>
      <c r="I361" s="6">
        <f t="shared" si="10"/>
        <v>0.000157801127</v>
      </c>
      <c r="J361" s="610"/>
      <c r="K361" s="591"/>
      <c r="L361" s="6"/>
      <c r="M361" s="9">
        <v>12000.0</v>
      </c>
      <c r="N361" s="79">
        <f t="shared" si="11"/>
        <v>4351800</v>
      </c>
      <c r="O361" s="6">
        <f t="shared" si="2"/>
        <v>3092418.83</v>
      </c>
      <c r="P361" s="6">
        <f t="shared" si="3"/>
        <v>110.1288757</v>
      </c>
      <c r="Q361" s="6"/>
      <c r="R361" s="6">
        <f t="shared" si="12"/>
        <v>9558</v>
      </c>
      <c r="S361" s="6">
        <f t="shared" si="13"/>
        <v>3092418.83</v>
      </c>
      <c r="T361" s="81">
        <f t="shared" si="4"/>
        <v>792.8686023</v>
      </c>
      <c r="U361" s="6"/>
      <c r="V361" s="6"/>
      <c r="W361" s="6"/>
      <c r="X361" s="6"/>
      <c r="Y361" s="6"/>
    </row>
    <row r="362" ht="11.25" customHeight="1">
      <c r="A362" s="7"/>
      <c r="B362" s="68">
        <f t="shared" si="14"/>
        <v>357</v>
      </c>
      <c r="C362" s="607"/>
      <c r="D362" s="6">
        <f t="shared" si="15"/>
        <v>0</v>
      </c>
      <c r="E362" s="6">
        <f t="shared" si="1"/>
        <v>0</v>
      </c>
      <c r="F362" s="6">
        <f t="shared" si="7"/>
        <v>2808000</v>
      </c>
      <c r="G362" s="6">
        <f t="shared" si="8"/>
        <v>390029.1702</v>
      </c>
      <c r="H362" s="6">
        <f t="shared" si="9"/>
        <v>3198029.17</v>
      </c>
      <c r="I362" s="6">
        <f t="shared" si="10"/>
        <v>0.000157801127</v>
      </c>
      <c r="J362" s="610"/>
      <c r="K362" s="591"/>
      <c r="L362" s="6"/>
      <c r="M362" s="9">
        <v>12000.0</v>
      </c>
      <c r="N362" s="79">
        <f t="shared" si="11"/>
        <v>4363800</v>
      </c>
      <c r="O362" s="6">
        <f t="shared" si="2"/>
        <v>3101976.83</v>
      </c>
      <c r="P362" s="6">
        <f t="shared" si="3"/>
        <v>110.4692603</v>
      </c>
      <c r="Q362" s="6"/>
      <c r="R362" s="6">
        <f t="shared" si="12"/>
        <v>9558</v>
      </c>
      <c r="S362" s="6">
        <f t="shared" si="13"/>
        <v>3101976.83</v>
      </c>
      <c r="T362" s="81">
        <f t="shared" si="4"/>
        <v>795.3191882</v>
      </c>
      <c r="U362" s="6"/>
      <c r="V362" s="6"/>
      <c r="W362" s="6"/>
      <c r="X362" s="6"/>
      <c r="Y362" s="6"/>
    </row>
    <row r="363" ht="11.25" customHeight="1">
      <c r="A363" s="7"/>
      <c r="B363" s="68">
        <f t="shared" si="14"/>
        <v>358</v>
      </c>
      <c r="C363" s="607"/>
      <c r="D363" s="6">
        <f t="shared" si="15"/>
        <v>0</v>
      </c>
      <c r="E363" s="6">
        <f t="shared" si="1"/>
        <v>0</v>
      </c>
      <c r="F363" s="6">
        <f t="shared" si="7"/>
        <v>2808000</v>
      </c>
      <c r="G363" s="6">
        <f t="shared" si="8"/>
        <v>390029.1702</v>
      </c>
      <c r="H363" s="6">
        <f t="shared" si="9"/>
        <v>3198029.17</v>
      </c>
      <c r="I363" s="6">
        <f t="shared" si="10"/>
        <v>0.000157801127</v>
      </c>
      <c r="J363" s="610"/>
      <c r="K363" s="591"/>
      <c r="L363" s="6"/>
      <c r="M363" s="9">
        <v>12000.0</v>
      </c>
      <c r="N363" s="79">
        <f t="shared" si="11"/>
        <v>4375800</v>
      </c>
      <c r="O363" s="6">
        <f t="shared" si="2"/>
        <v>3111534.83</v>
      </c>
      <c r="P363" s="6">
        <f t="shared" si="3"/>
        <v>110.8096449</v>
      </c>
      <c r="Q363" s="6"/>
      <c r="R363" s="6">
        <f t="shared" si="12"/>
        <v>9558</v>
      </c>
      <c r="S363" s="6">
        <f t="shared" si="13"/>
        <v>3111534.83</v>
      </c>
      <c r="T363" s="81">
        <f t="shared" si="4"/>
        <v>797.7697741</v>
      </c>
      <c r="U363" s="6"/>
      <c r="V363" s="6"/>
      <c r="W363" s="6"/>
      <c r="X363" s="6"/>
      <c r="Y363" s="6"/>
    </row>
    <row r="364" ht="11.25" customHeight="1">
      <c r="A364" s="7"/>
      <c r="B364" s="68">
        <f t="shared" si="14"/>
        <v>359</v>
      </c>
      <c r="C364" s="607"/>
      <c r="D364" s="6">
        <f t="shared" si="15"/>
        <v>0</v>
      </c>
      <c r="E364" s="6">
        <f t="shared" si="1"/>
        <v>0</v>
      </c>
      <c r="F364" s="6">
        <f t="shared" si="7"/>
        <v>2808000</v>
      </c>
      <c r="G364" s="6">
        <f t="shared" si="8"/>
        <v>390029.1702</v>
      </c>
      <c r="H364" s="6">
        <f t="shared" si="9"/>
        <v>3198029.17</v>
      </c>
      <c r="I364" s="6">
        <f t="shared" si="10"/>
        <v>0.000157801127</v>
      </c>
      <c r="J364" s="610"/>
      <c r="K364" s="591"/>
      <c r="L364" s="6"/>
      <c r="M364" s="9">
        <v>12000.0</v>
      </c>
      <c r="N364" s="79">
        <f t="shared" si="11"/>
        <v>4387800</v>
      </c>
      <c r="O364" s="6">
        <f t="shared" si="2"/>
        <v>3121092.83</v>
      </c>
      <c r="P364" s="6">
        <f t="shared" si="3"/>
        <v>111.1500296</v>
      </c>
      <c r="Q364" s="6"/>
      <c r="R364" s="6">
        <f t="shared" si="12"/>
        <v>9558</v>
      </c>
      <c r="S364" s="6">
        <f t="shared" si="13"/>
        <v>3121092.83</v>
      </c>
      <c r="T364" s="81">
        <f t="shared" si="4"/>
        <v>800.2203601</v>
      </c>
      <c r="U364" s="6"/>
      <c r="V364" s="6"/>
      <c r="W364" s="6"/>
      <c r="X364" s="6"/>
      <c r="Y364" s="6"/>
    </row>
    <row r="365" ht="12.0" customHeight="1">
      <c r="A365" s="7"/>
      <c r="B365" s="106">
        <f t="shared" si="14"/>
        <v>360</v>
      </c>
      <c r="C365" s="607"/>
      <c r="D365" s="113">
        <f t="shared" si="15"/>
        <v>0</v>
      </c>
      <c r="E365" s="113">
        <f t="shared" si="1"/>
        <v>0</v>
      </c>
      <c r="F365" s="113">
        <f t="shared" si="7"/>
        <v>2808000</v>
      </c>
      <c r="G365" s="113">
        <f t="shared" si="8"/>
        <v>390029.1702</v>
      </c>
      <c r="H365" s="113">
        <f t="shared" si="9"/>
        <v>3198029.17</v>
      </c>
      <c r="I365" s="113">
        <f t="shared" si="10"/>
        <v>0.000157801127</v>
      </c>
      <c r="J365" s="610"/>
      <c r="K365" s="591"/>
      <c r="L365" s="6"/>
      <c r="M365" s="9">
        <v>12000.0</v>
      </c>
      <c r="N365" s="79">
        <f t="shared" si="11"/>
        <v>4399800</v>
      </c>
      <c r="O365" s="6">
        <f t="shared" si="2"/>
        <v>3130650.83</v>
      </c>
      <c r="P365" s="6">
        <f t="shared" si="3"/>
        <v>111.4904142</v>
      </c>
      <c r="Q365" s="6"/>
      <c r="R365" s="6">
        <f t="shared" si="12"/>
        <v>9558</v>
      </c>
      <c r="S365" s="6">
        <f t="shared" si="13"/>
        <v>3130650.83</v>
      </c>
      <c r="T365" s="81">
        <f t="shared" si="4"/>
        <v>802.670946</v>
      </c>
      <c r="U365" s="6"/>
      <c r="V365" s="6"/>
      <c r="W365" s="6"/>
      <c r="X365" s="6"/>
      <c r="Y365" s="6"/>
    </row>
    <row r="366" ht="11.25" customHeight="1">
      <c r="A366" s="7"/>
      <c r="B366" s="5"/>
      <c r="C366" s="6"/>
      <c r="D366" s="6"/>
      <c r="E366" s="6"/>
      <c r="F366" s="6"/>
      <c r="G366" s="6"/>
      <c r="H366" s="6"/>
      <c r="I366" s="6"/>
      <c r="J366" s="11"/>
      <c r="K366" s="591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ht="11.25" customHeight="1">
      <c r="A367" s="7"/>
      <c r="B367" s="5"/>
      <c r="C367" s="6"/>
      <c r="D367" s="6"/>
      <c r="E367" s="6"/>
      <c r="F367" s="6"/>
      <c r="G367" s="6"/>
      <c r="H367" s="6"/>
      <c r="I367" s="6"/>
      <c r="J367" s="11"/>
      <c r="K367" s="591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ht="11.25" customHeight="1">
      <c r="A368" s="7"/>
      <c r="B368" s="5"/>
      <c r="C368" s="6"/>
      <c r="D368" s="6"/>
      <c r="E368" s="6"/>
      <c r="F368" s="6"/>
      <c r="G368" s="6"/>
      <c r="H368" s="6"/>
      <c r="I368" s="6"/>
      <c r="J368" s="11"/>
      <c r="K368" s="591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ht="11.25" customHeight="1">
      <c r="A369" s="7"/>
      <c r="B369" s="5"/>
      <c r="C369" s="6"/>
      <c r="D369" s="6"/>
      <c r="E369" s="6"/>
      <c r="F369" s="6"/>
      <c r="G369" s="6"/>
      <c r="H369" s="6"/>
      <c r="I369" s="6"/>
      <c r="J369" s="11"/>
      <c r="K369" s="591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ht="11.25" customHeight="1">
      <c r="A370" s="7"/>
      <c r="B370" s="5"/>
      <c r="C370" s="6"/>
      <c r="D370" s="6"/>
      <c r="E370" s="6"/>
      <c r="F370" s="6"/>
      <c r="G370" s="6"/>
      <c r="H370" s="6"/>
      <c r="I370" s="6"/>
      <c r="J370" s="11"/>
      <c r="K370" s="591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ht="11.25" customHeight="1">
      <c r="A371" s="7"/>
      <c r="B371" s="5"/>
      <c r="C371" s="6"/>
      <c r="D371" s="6"/>
      <c r="E371" s="6"/>
      <c r="F371" s="6"/>
      <c r="G371" s="6"/>
      <c r="H371" s="6"/>
      <c r="I371" s="6"/>
      <c r="J371" s="11"/>
      <c r="K371" s="591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ht="11.25" customHeight="1">
      <c r="A372" s="7"/>
      <c r="B372" s="5"/>
      <c r="C372" s="6"/>
      <c r="D372" s="6"/>
      <c r="E372" s="6"/>
      <c r="F372" s="6"/>
      <c r="G372" s="6"/>
      <c r="H372" s="6"/>
      <c r="I372" s="6"/>
      <c r="J372" s="11"/>
      <c r="K372" s="591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ht="11.25" customHeight="1">
      <c r="A373" s="7"/>
      <c r="B373" s="5"/>
      <c r="C373" s="6"/>
      <c r="D373" s="6"/>
      <c r="E373" s="6"/>
      <c r="F373" s="6"/>
      <c r="G373" s="6"/>
      <c r="H373" s="6"/>
      <c r="I373" s="6"/>
      <c r="J373" s="11"/>
      <c r="K373" s="591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ht="11.25" customHeight="1">
      <c r="A374" s="7"/>
      <c r="B374" s="5"/>
      <c r="C374" s="6"/>
      <c r="D374" s="6"/>
      <c r="E374" s="6"/>
      <c r="F374" s="6"/>
      <c r="G374" s="6"/>
      <c r="H374" s="6"/>
      <c r="I374" s="6"/>
      <c r="J374" s="11"/>
      <c r="K374" s="591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11.25" customHeight="1">
      <c r="A375" s="7"/>
      <c r="B375" s="5"/>
      <c r="C375" s="6"/>
      <c r="D375" s="6"/>
      <c r="E375" s="6"/>
      <c r="F375" s="6"/>
      <c r="G375" s="6"/>
      <c r="H375" s="6"/>
      <c r="I375" s="6"/>
      <c r="J375" s="11"/>
      <c r="K375" s="591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11.25" customHeight="1">
      <c r="A376" s="7"/>
      <c r="B376" s="5"/>
      <c r="C376" s="6"/>
      <c r="D376" s="6"/>
      <c r="E376" s="6"/>
      <c r="F376" s="6"/>
      <c r="G376" s="6"/>
      <c r="H376" s="6"/>
      <c r="I376" s="6"/>
      <c r="J376" s="11"/>
      <c r="K376" s="591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11.25" customHeight="1">
      <c r="A377" s="7"/>
      <c r="B377" s="5"/>
      <c r="C377" s="6"/>
      <c r="D377" s="6"/>
      <c r="E377" s="6"/>
      <c r="F377" s="6"/>
      <c r="G377" s="6"/>
      <c r="H377" s="6"/>
      <c r="I377" s="6"/>
      <c r="J377" s="11"/>
      <c r="K377" s="591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11.25" customHeight="1">
      <c r="A378" s="7"/>
      <c r="B378" s="5"/>
      <c r="C378" s="6"/>
      <c r="D378" s="6"/>
      <c r="E378" s="6"/>
      <c r="F378" s="6"/>
      <c r="G378" s="6"/>
      <c r="H378" s="6"/>
      <c r="I378" s="6"/>
      <c r="J378" s="11"/>
      <c r="K378" s="591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11.25" customHeight="1">
      <c r="A379" s="7"/>
      <c r="B379" s="5"/>
      <c r="C379" s="6"/>
      <c r="D379" s="6"/>
      <c r="E379" s="6"/>
      <c r="F379" s="6"/>
      <c r="G379" s="6"/>
      <c r="H379" s="6"/>
      <c r="I379" s="6"/>
      <c r="J379" s="11"/>
      <c r="K379" s="591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11.25" customHeight="1">
      <c r="A380" s="7"/>
      <c r="B380" s="5"/>
      <c r="C380" s="6"/>
      <c r="D380" s="6"/>
      <c r="E380" s="6"/>
      <c r="F380" s="6"/>
      <c r="G380" s="6"/>
      <c r="H380" s="6"/>
      <c r="I380" s="6"/>
      <c r="J380" s="11"/>
      <c r="K380" s="591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ht="11.25" customHeight="1">
      <c r="A381" s="7"/>
      <c r="B381" s="5"/>
      <c r="C381" s="6"/>
      <c r="D381" s="6"/>
      <c r="E381" s="6"/>
      <c r="F381" s="6"/>
      <c r="G381" s="6"/>
      <c r="H381" s="6"/>
      <c r="I381" s="6"/>
      <c r="J381" s="11"/>
      <c r="K381" s="591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ht="11.25" customHeight="1">
      <c r="A382" s="7"/>
      <c r="B382" s="5"/>
      <c r="C382" s="6"/>
      <c r="D382" s="6"/>
      <c r="E382" s="6"/>
      <c r="F382" s="6"/>
      <c r="G382" s="6"/>
      <c r="H382" s="6"/>
      <c r="I382" s="6"/>
      <c r="J382" s="11"/>
      <c r="K382" s="591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11.25" customHeight="1">
      <c r="A383" s="7"/>
      <c r="B383" s="5"/>
      <c r="C383" s="6"/>
      <c r="D383" s="6"/>
      <c r="E383" s="6"/>
      <c r="F383" s="6"/>
      <c r="G383" s="6"/>
      <c r="H383" s="6"/>
      <c r="I383" s="6"/>
      <c r="J383" s="11"/>
      <c r="K383" s="591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11.25" customHeight="1">
      <c r="A384" s="7"/>
      <c r="B384" s="5"/>
      <c r="C384" s="6"/>
      <c r="D384" s="6"/>
      <c r="E384" s="6"/>
      <c r="F384" s="6"/>
      <c r="G384" s="6"/>
      <c r="H384" s="6"/>
      <c r="I384" s="6"/>
      <c r="J384" s="11"/>
      <c r="K384" s="591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11.25" customHeight="1">
      <c r="A385" s="7"/>
      <c r="B385" s="5"/>
      <c r="C385" s="6"/>
      <c r="D385" s="6"/>
      <c r="E385" s="6"/>
      <c r="F385" s="6"/>
      <c r="G385" s="6"/>
      <c r="H385" s="6"/>
      <c r="I385" s="6"/>
      <c r="J385" s="11"/>
      <c r="K385" s="591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11.25" customHeight="1">
      <c r="A386" s="7"/>
      <c r="B386" s="5"/>
      <c r="C386" s="6"/>
      <c r="D386" s="6"/>
      <c r="E386" s="6"/>
      <c r="F386" s="6"/>
      <c r="G386" s="6"/>
      <c r="H386" s="6"/>
      <c r="I386" s="6"/>
      <c r="J386" s="11"/>
      <c r="K386" s="591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11.25" customHeight="1">
      <c r="A387" s="7"/>
      <c r="B387" s="5"/>
      <c r="C387" s="6"/>
      <c r="D387" s="6"/>
      <c r="E387" s="6"/>
      <c r="F387" s="6"/>
      <c r="G387" s="6"/>
      <c r="H387" s="6"/>
      <c r="I387" s="6"/>
      <c r="J387" s="11"/>
      <c r="K387" s="591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11.25" customHeight="1">
      <c r="A388" s="7"/>
      <c r="B388" s="5"/>
      <c r="C388" s="6"/>
      <c r="D388" s="6"/>
      <c r="E388" s="6"/>
      <c r="F388" s="6"/>
      <c r="G388" s="6"/>
      <c r="H388" s="6"/>
      <c r="I388" s="6"/>
      <c r="J388" s="11"/>
      <c r="K388" s="591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11.25" customHeight="1">
      <c r="A389" s="7"/>
      <c r="B389" s="5"/>
      <c r="C389" s="6"/>
      <c r="D389" s="6"/>
      <c r="E389" s="6"/>
      <c r="F389" s="6"/>
      <c r="G389" s="6"/>
      <c r="H389" s="6"/>
      <c r="I389" s="6"/>
      <c r="J389" s="11"/>
      <c r="K389" s="591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11.25" customHeight="1">
      <c r="A390" s="7"/>
      <c r="B390" s="5"/>
      <c r="C390" s="6"/>
      <c r="D390" s="6"/>
      <c r="E390" s="6"/>
      <c r="F390" s="6"/>
      <c r="G390" s="6"/>
      <c r="H390" s="6"/>
      <c r="I390" s="6"/>
      <c r="J390" s="11"/>
      <c r="K390" s="591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11.25" customHeight="1">
      <c r="A391" s="7"/>
      <c r="B391" s="5"/>
      <c r="C391" s="6"/>
      <c r="D391" s="6"/>
      <c r="E391" s="6"/>
      <c r="F391" s="6"/>
      <c r="G391" s="6"/>
      <c r="H391" s="6"/>
      <c r="I391" s="6"/>
      <c r="J391" s="11"/>
      <c r="K391" s="591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11.25" customHeight="1">
      <c r="A392" s="7"/>
      <c r="B392" s="5"/>
      <c r="C392" s="6"/>
      <c r="D392" s="6"/>
      <c r="E392" s="6"/>
      <c r="F392" s="6"/>
      <c r="G392" s="6"/>
      <c r="H392" s="6"/>
      <c r="I392" s="6"/>
      <c r="J392" s="11"/>
      <c r="K392" s="591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11.25" customHeight="1">
      <c r="A393" s="7"/>
      <c r="B393" s="5"/>
      <c r="C393" s="6"/>
      <c r="D393" s="6"/>
      <c r="E393" s="6"/>
      <c r="F393" s="6"/>
      <c r="G393" s="6"/>
      <c r="H393" s="6"/>
      <c r="I393" s="6"/>
      <c r="J393" s="11"/>
      <c r="K393" s="591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11.25" customHeight="1">
      <c r="A394" s="7"/>
      <c r="B394" s="5"/>
      <c r="C394" s="6"/>
      <c r="D394" s="6"/>
      <c r="E394" s="6"/>
      <c r="F394" s="6"/>
      <c r="G394" s="6"/>
      <c r="H394" s="6"/>
      <c r="I394" s="6"/>
      <c r="J394" s="11"/>
      <c r="K394" s="591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11.25" customHeight="1">
      <c r="A395" s="7"/>
      <c r="B395" s="5"/>
      <c r="C395" s="6"/>
      <c r="D395" s="6"/>
      <c r="E395" s="6"/>
      <c r="F395" s="6"/>
      <c r="G395" s="6"/>
      <c r="H395" s="6"/>
      <c r="I395" s="6"/>
      <c r="J395" s="11"/>
      <c r="K395" s="591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11.25" customHeight="1">
      <c r="A396" s="7"/>
      <c r="B396" s="5"/>
      <c r="C396" s="6"/>
      <c r="D396" s="6"/>
      <c r="E396" s="6"/>
      <c r="F396" s="6"/>
      <c r="G396" s="6"/>
      <c r="H396" s="6"/>
      <c r="I396" s="6"/>
      <c r="J396" s="11"/>
      <c r="K396" s="591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11.25" customHeight="1">
      <c r="A397" s="7"/>
      <c r="B397" s="5"/>
      <c r="C397" s="6"/>
      <c r="D397" s="6"/>
      <c r="E397" s="6"/>
      <c r="F397" s="6"/>
      <c r="G397" s="6"/>
      <c r="H397" s="6"/>
      <c r="I397" s="6"/>
      <c r="J397" s="11"/>
      <c r="K397" s="591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11.25" customHeight="1">
      <c r="A398" s="7"/>
      <c r="B398" s="5"/>
      <c r="C398" s="6"/>
      <c r="D398" s="6"/>
      <c r="E398" s="6"/>
      <c r="F398" s="6"/>
      <c r="G398" s="6"/>
      <c r="H398" s="6"/>
      <c r="I398" s="6"/>
      <c r="J398" s="11"/>
      <c r="K398" s="591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11.25" customHeight="1">
      <c r="A399" s="7"/>
      <c r="B399" s="5"/>
      <c r="C399" s="6"/>
      <c r="D399" s="6"/>
      <c r="E399" s="6"/>
      <c r="F399" s="6"/>
      <c r="G399" s="6"/>
      <c r="H399" s="6"/>
      <c r="I399" s="6"/>
      <c r="J399" s="11"/>
      <c r="K399" s="591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11.25" customHeight="1">
      <c r="A400" s="7"/>
      <c r="B400" s="5"/>
      <c r="C400" s="6"/>
      <c r="D400" s="6"/>
      <c r="E400" s="6"/>
      <c r="F400" s="6"/>
      <c r="G400" s="6"/>
      <c r="H400" s="6"/>
      <c r="I400" s="6"/>
      <c r="J400" s="11"/>
      <c r="K400" s="591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11.25" customHeight="1">
      <c r="A401" s="7"/>
      <c r="B401" s="5"/>
      <c r="C401" s="6"/>
      <c r="D401" s="6"/>
      <c r="E401" s="6"/>
      <c r="F401" s="6"/>
      <c r="G401" s="6"/>
      <c r="H401" s="6"/>
      <c r="I401" s="6"/>
      <c r="J401" s="11"/>
      <c r="K401" s="591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11.25" customHeight="1">
      <c r="A402" s="7"/>
      <c r="B402" s="5"/>
      <c r="C402" s="6"/>
      <c r="D402" s="6"/>
      <c r="E402" s="6"/>
      <c r="F402" s="6"/>
      <c r="G402" s="6"/>
      <c r="H402" s="6"/>
      <c r="I402" s="6"/>
      <c r="J402" s="11"/>
      <c r="K402" s="591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11.25" customHeight="1">
      <c r="A403" s="7"/>
      <c r="B403" s="5"/>
      <c r="C403" s="6"/>
      <c r="D403" s="6"/>
      <c r="E403" s="6"/>
      <c r="F403" s="6"/>
      <c r="G403" s="6"/>
      <c r="H403" s="6"/>
      <c r="I403" s="6"/>
      <c r="J403" s="11"/>
      <c r="K403" s="591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11.25" customHeight="1">
      <c r="A404" s="7"/>
      <c r="B404" s="5"/>
      <c r="C404" s="6"/>
      <c r="D404" s="6"/>
      <c r="E404" s="6"/>
      <c r="F404" s="6"/>
      <c r="G404" s="6"/>
      <c r="H404" s="6"/>
      <c r="I404" s="6"/>
      <c r="J404" s="11"/>
      <c r="K404" s="591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11.25" customHeight="1">
      <c r="A405" s="7"/>
      <c r="B405" s="5"/>
      <c r="C405" s="6"/>
      <c r="D405" s="6"/>
      <c r="E405" s="6"/>
      <c r="F405" s="6"/>
      <c r="G405" s="6"/>
      <c r="H405" s="6"/>
      <c r="I405" s="6"/>
      <c r="J405" s="11"/>
      <c r="K405" s="591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11.25" customHeight="1">
      <c r="A406" s="7"/>
      <c r="B406" s="5"/>
      <c r="C406" s="6"/>
      <c r="D406" s="6"/>
      <c r="E406" s="6"/>
      <c r="F406" s="6"/>
      <c r="G406" s="6"/>
      <c r="H406" s="6"/>
      <c r="I406" s="6"/>
      <c r="J406" s="11"/>
      <c r="K406" s="591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11.25" customHeight="1">
      <c r="A407" s="7"/>
      <c r="B407" s="5"/>
      <c r="C407" s="6"/>
      <c r="D407" s="6"/>
      <c r="E407" s="6"/>
      <c r="F407" s="6"/>
      <c r="G407" s="6"/>
      <c r="H407" s="6"/>
      <c r="I407" s="6"/>
      <c r="J407" s="11"/>
      <c r="K407" s="591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11.25" customHeight="1">
      <c r="A408" s="7"/>
      <c r="B408" s="5"/>
      <c r="C408" s="6"/>
      <c r="D408" s="6"/>
      <c r="E408" s="6"/>
      <c r="F408" s="6"/>
      <c r="G408" s="6"/>
      <c r="H408" s="6"/>
      <c r="I408" s="6"/>
      <c r="J408" s="11"/>
      <c r="K408" s="591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11.25" customHeight="1">
      <c r="A409" s="7"/>
      <c r="B409" s="5"/>
      <c r="C409" s="6"/>
      <c r="D409" s="6"/>
      <c r="E409" s="6"/>
      <c r="F409" s="6"/>
      <c r="G409" s="6"/>
      <c r="H409" s="6"/>
      <c r="I409" s="6"/>
      <c r="J409" s="11"/>
      <c r="K409" s="591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11.25" customHeight="1">
      <c r="A410" s="7"/>
      <c r="B410" s="5"/>
      <c r="C410" s="6"/>
      <c r="D410" s="6"/>
      <c r="E410" s="6"/>
      <c r="F410" s="6"/>
      <c r="G410" s="6"/>
      <c r="H410" s="6"/>
      <c r="I410" s="6"/>
      <c r="J410" s="11"/>
      <c r="K410" s="591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11.25" customHeight="1">
      <c r="A411" s="7"/>
      <c r="B411" s="5"/>
      <c r="C411" s="6"/>
      <c r="D411" s="6"/>
      <c r="E411" s="6"/>
      <c r="F411" s="6"/>
      <c r="G411" s="6"/>
      <c r="H411" s="6"/>
      <c r="I411" s="6"/>
      <c r="J411" s="11"/>
      <c r="K411" s="591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11.25" customHeight="1">
      <c r="A412" s="7"/>
      <c r="B412" s="5"/>
      <c r="C412" s="6"/>
      <c r="D412" s="6"/>
      <c r="E412" s="6"/>
      <c r="F412" s="6"/>
      <c r="G412" s="6"/>
      <c r="H412" s="6"/>
      <c r="I412" s="6"/>
      <c r="J412" s="11"/>
      <c r="K412" s="591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11.25" customHeight="1">
      <c r="A413" s="7"/>
      <c r="B413" s="5"/>
      <c r="C413" s="6"/>
      <c r="D413" s="6"/>
      <c r="E413" s="6"/>
      <c r="F413" s="6"/>
      <c r="G413" s="6"/>
      <c r="H413" s="6"/>
      <c r="I413" s="6"/>
      <c r="J413" s="11"/>
      <c r="K413" s="591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11.25" customHeight="1">
      <c r="A414" s="7"/>
      <c r="B414" s="5"/>
      <c r="C414" s="6"/>
      <c r="D414" s="6"/>
      <c r="E414" s="6"/>
      <c r="F414" s="6"/>
      <c r="G414" s="6"/>
      <c r="H414" s="6"/>
      <c r="I414" s="6"/>
      <c r="J414" s="11"/>
      <c r="K414" s="591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11.25" customHeight="1">
      <c r="A415" s="7"/>
      <c r="B415" s="5"/>
      <c r="C415" s="6"/>
      <c r="D415" s="6"/>
      <c r="E415" s="6"/>
      <c r="F415" s="6"/>
      <c r="G415" s="6"/>
      <c r="H415" s="6"/>
      <c r="I415" s="6"/>
      <c r="J415" s="11"/>
      <c r="K415" s="591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11.25" customHeight="1">
      <c r="A416" s="7"/>
      <c r="B416" s="5"/>
      <c r="C416" s="6"/>
      <c r="D416" s="6"/>
      <c r="E416" s="6"/>
      <c r="F416" s="6"/>
      <c r="G416" s="6"/>
      <c r="H416" s="6"/>
      <c r="I416" s="6"/>
      <c r="J416" s="11"/>
      <c r="K416" s="591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11.25" customHeight="1">
      <c r="A417" s="7"/>
      <c r="B417" s="5"/>
      <c r="C417" s="6"/>
      <c r="D417" s="6"/>
      <c r="E417" s="6"/>
      <c r="F417" s="6"/>
      <c r="G417" s="6"/>
      <c r="H417" s="6"/>
      <c r="I417" s="6"/>
      <c r="J417" s="11"/>
      <c r="K417" s="591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11.25" customHeight="1">
      <c r="A418" s="7"/>
      <c r="B418" s="5"/>
      <c r="C418" s="6"/>
      <c r="D418" s="6"/>
      <c r="E418" s="6"/>
      <c r="F418" s="6"/>
      <c r="G418" s="6"/>
      <c r="H418" s="6"/>
      <c r="I418" s="6"/>
      <c r="J418" s="11"/>
      <c r="K418" s="591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11.25" customHeight="1">
      <c r="A419" s="7"/>
      <c r="B419" s="5"/>
      <c r="C419" s="6"/>
      <c r="D419" s="6"/>
      <c r="E419" s="6"/>
      <c r="F419" s="6"/>
      <c r="G419" s="6"/>
      <c r="H419" s="6"/>
      <c r="I419" s="6"/>
      <c r="J419" s="11"/>
      <c r="K419" s="591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11.25" customHeight="1">
      <c r="A420" s="7"/>
      <c r="B420" s="5"/>
      <c r="C420" s="6"/>
      <c r="D420" s="6"/>
      <c r="E420" s="6"/>
      <c r="F420" s="6"/>
      <c r="G420" s="6"/>
      <c r="H420" s="6"/>
      <c r="I420" s="6"/>
      <c r="J420" s="11"/>
      <c r="K420" s="591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11.25" customHeight="1">
      <c r="A421" s="7"/>
      <c r="B421" s="5"/>
      <c r="C421" s="6"/>
      <c r="D421" s="6"/>
      <c r="E421" s="6"/>
      <c r="F421" s="6"/>
      <c r="G421" s="6"/>
      <c r="H421" s="6"/>
      <c r="I421" s="6"/>
      <c r="J421" s="11"/>
      <c r="K421" s="591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11.25" customHeight="1">
      <c r="A422" s="7"/>
      <c r="B422" s="5"/>
      <c r="C422" s="6"/>
      <c r="D422" s="6"/>
      <c r="E422" s="6"/>
      <c r="F422" s="6"/>
      <c r="G422" s="6"/>
      <c r="H422" s="6"/>
      <c r="I422" s="6"/>
      <c r="J422" s="11"/>
      <c r="K422" s="591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11.25" customHeight="1">
      <c r="A423" s="7"/>
      <c r="B423" s="5"/>
      <c r="C423" s="6"/>
      <c r="D423" s="6"/>
      <c r="E423" s="6"/>
      <c r="F423" s="6"/>
      <c r="G423" s="6"/>
      <c r="H423" s="6"/>
      <c r="I423" s="6"/>
      <c r="J423" s="11"/>
      <c r="K423" s="591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11.25" customHeight="1">
      <c r="A424" s="7"/>
      <c r="B424" s="5"/>
      <c r="C424" s="6"/>
      <c r="D424" s="6"/>
      <c r="E424" s="6"/>
      <c r="F424" s="6"/>
      <c r="G424" s="6"/>
      <c r="H424" s="6"/>
      <c r="I424" s="6"/>
      <c r="J424" s="11"/>
      <c r="K424" s="591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11.25" customHeight="1">
      <c r="A425" s="7"/>
      <c r="B425" s="5"/>
      <c r="C425" s="6"/>
      <c r="D425" s="6"/>
      <c r="E425" s="6"/>
      <c r="F425" s="6"/>
      <c r="G425" s="6"/>
      <c r="H425" s="6"/>
      <c r="I425" s="6"/>
      <c r="J425" s="11"/>
      <c r="K425" s="591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11.25" customHeight="1">
      <c r="A426" s="7"/>
      <c r="B426" s="5"/>
      <c r="C426" s="6"/>
      <c r="D426" s="6"/>
      <c r="E426" s="6"/>
      <c r="F426" s="6"/>
      <c r="G426" s="6"/>
      <c r="H426" s="6"/>
      <c r="I426" s="6"/>
      <c r="J426" s="11"/>
      <c r="K426" s="591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11.25" customHeight="1">
      <c r="A427" s="7"/>
      <c r="B427" s="5"/>
      <c r="C427" s="6"/>
      <c r="D427" s="6"/>
      <c r="E427" s="6"/>
      <c r="F427" s="6"/>
      <c r="G427" s="6"/>
      <c r="H427" s="6"/>
      <c r="I427" s="6"/>
      <c r="J427" s="11"/>
      <c r="K427" s="591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11.25" customHeight="1">
      <c r="A428" s="7"/>
      <c r="B428" s="5"/>
      <c r="C428" s="6"/>
      <c r="D428" s="6"/>
      <c r="E428" s="6"/>
      <c r="F428" s="6"/>
      <c r="G428" s="6"/>
      <c r="H428" s="6"/>
      <c r="I428" s="6"/>
      <c r="J428" s="11"/>
      <c r="K428" s="591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11.25" customHeight="1">
      <c r="A429" s="7"/>
      <c r="B429" s="5"/>
      <c r="C429" s="6"/>
      <c r="D429" s="6"/>
      <c r="E429" s="6"/>
      <c r="F429" s="6"/>
      <c r="G429" s="6"/>
      <c r="H429" s="6"/>
      <c r="I429" s="6"/>
      <c r="J429" s="11"/>
      <c r="K429" s="591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11.25" customHeight="1">
      <c r="A430" s="7"/>
      <c r="B430" s="5"/>
      <c r="C430" s="6"/>
      <c r="D430" s="6"/>
      <c r="E430" s="6"/>
      <c r="F430" s="6"/>
      <c r="G430" s="6"/>
      <c r="H430" s="6"/>
      <c r="I430" s="6"/>
      <c r="J430" s="11"/>
      <c r="K430" s="591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11.25" customHeight="1">
      <c r="A431" s="7"/>
      <c r="B431" s="5"/>
      <c r="C431" s="6"/>
      <c r="D431" s="6"/>
      <c r="E431" s="6"/>
      <c r="F431" s="6"/>
      <c r="G431" s="6"/>
      <c r="H431" s="6"/>
      <c r="I431" s="6"/>
      <c r="J431" s="11"/>
      <c r="K431" s="591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11.25" customHeight="1">
      <c r="A432" s="7"/>
      <c r="B432" s="5"/>
      <c r="C432" s="6"/>
      <c r="D432" s="6"/>
      <c r="E432" s="6"/>
      <c r="F432" s="6"/>
      <c r="G432" s="6"/>
      <c r="H432" s="6"/>
      <c r="I432" s="6"/>
      <c r="J432" s="11"/>
      <c r="K432" s="591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11.25" customHeight="1">
      <c r="A433" s="7"/>
      <c r="B433" s="5"/>
      <c r="C433" s="6"/>
      <c r="D433" s="6"/>
      <c r="E433" s="6"/>
      <c r="F433" s="6"/>
      <c r="G433" s="6"/>
      <c r="H433" s="6"/>
      <c r="I433" s="6"/>
      <c r="J433" s="11"/>
      <c r="K433" s="591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11.25" customHeight="1">
      <c r="A434" s="7"/>
      <c r="B434" s="5"/>
      <c r="C434" s="6"/>
      <c r="D434" s="6"/>
      <c r="E434" s="6"/>
      <c r="F434" s="6"/>
      <c r="G434" s="6"/>
      <c r="H434" s="6"/>
      <c r="I434" s="6"/>
      <c r="J434" s="11"/>
      <c r="K434" s="591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11.25" customHeight="1">
      <c r="A435" s="7"/>
      <c r="B435" s="5"/>
      <c r="C435" s="6"/>
      <c r="D435" s="6"/>
      <c r="E435" s="6"/>
      <c r="F435" s="6"/>
      <c r="G435" s="6"/>
      <c r="H435" s="6"/>
      <c r="I435" s="6"/>
      <c r="J435" s="11"/>
      <c r="K435" s="591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11.25" customHeight="1">
      <c r="A436" s="7"/>
      <c r="B436" s="5"/>
      <c r="C436" s="6"/>
      <c r="D436" s="6"/>
      <c r="E436" s="6"/>
      <c r="F436" s="6"/>
      <c r="G436" s="6"/>
      <c r="H436" s="6"/>
      <c r="I436" s="6"/>
      <c r="J436" s="11"/>
      <c r="K436" s="591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11.25" customHeight="1">
      <c r="A437" s="7"/>
      <c r="B437" s="5"/>
      <c r="C437" s="6"/>
      <c r="D437" s="6"/>
      <c r="E437" s="6"/>
      <c r="F437" s="6"/>
      <c r="G437" s="6"/>
      <c r="H437" s="6"/>
      <c r="I437" s="6"/>
      <c r="J437" s="11"/>
      <c r="K437" s="591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11.25" customHeight="1">
      <c r="A438" s="7"/>
      <c r="B438" s="5"/>
      <c r="C438" s="6"/>
      <c r="D438" s="6"/>
      <c r="E438" s="6"/>
      <c r="F438" s="6"/>
      <c r="G438" s="6"/>
      <c r="H438" s="6"/>
      <c r="I438" s="6"/>
      <c r="J438" s="11"/>
      <c r="K438" s="591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11.25" customHeight="1">
      <c r="A439" s="7"/>
      <c r="B439" s="5"/>
      <c r="C439" s="6"/>
      <c r="D439" s="6"/>
      <c r="E439" s="6"/>
      <c r="F439" s="6"/>
      <c r="G439" s="6"/>
      <c r="H439" s="6"/>
      <c r="I439" s="6"/>
      <c r="J439" s="11"/>
      <c r="K439" s="591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11.25" customHeight="1">
      <c r="A440" s="7"/>
      <c r="B440" s="5"/>
      <c r="C440" s="6"/>
      <c r="D440" s="6"/>
      <c r="E440" s="6"/>
      <c r="F440" s="6"/>
      <c r="G440" s="6"/>
      <c r="H440" s="6"/>
      <c r="I440" s="6"/>
      <c r="J440" s="11"/>
      <c r="K440" s="591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11.25" customHeight="1">
      <c r="A441" s="7"/>
      <c r="B441" s="5"/>
      <c r="C441" s="6"/>
      <c r="D441" s="6"/>
      <c r="E441" s="6"/>
      <c r="F441" s="6"/>
      <c r="G441" s="6"/>
      <c r="H441" s="6"/>
      <c r="I441" s="6"/>
      <c r="J441" s="11"/>
      <c r="K441" s="591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11.25" customHeight="1">
      <c r="A442" s="7"/>
      <c r="B442" s="5"/>
      <c r="C442" s="6"/>
      <c r="D442" s="6"/>
      <c r="E442" s="6"/>
      <c r="F442" s="6"/>
      <c r="G442" s="6"/>
      <c r="H442" s="6"/>
      <c r="I442" s="6"/>
      <c r="J442" s="11"/>
      <c r="K442" s="591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11.25" customHeight="1">
      <c r="A443" s="7"/>
      <c r="B443" s="5"/>
      <c r="C443" s="6"/>
      <c r="D443" s="6"/>
      <c r="E443" s="6"/>
      <c r="F443" s="6"/>
      <c r="G443" s="6"/>
      <c r="H443" s="6"/>
      <c r="I443" s="6"/>
      <c r="J443" s="11"/>
      <c r="K443" s="591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11.25" customHeight="1">
      <c r="A444" s="7"/>
      <c r="B444" s="5"/>
      <c r="C444" s="6"/>
      <c r="D444" s="6"/>
      <c r="E444" s="6"/>
      <c r="F444" s="6"/>
      <c r="G444" s="6"/>
      <c r="H444" s="6"/>
      <c r="I444" s="6"/>
      <c r="J444" s="11"/>
      <c r="K444" s="591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11.25" customHeight="1">
      <c r="A445" s="7"/>
      <c r="B445" s="5"/>
      <c r="C445" s="6"/>
      <c r="D445" s="6"/>
      <c r="E445" s="6"/>
      <c r="F445" s="6"/>
      <c r="G445" s="6"/>
      <c r="H445" s="6"/>
      <c r="I445" s="6"/>
      <c r="J445" s="11"/>
      <c r="K445" s="591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11.25" customHeight="1">
      <c r="A446" s="7"/>
      <c r="B446" s="5"/>
      <c r="C446" s="6"/>
      <c r="D446" s="6"/>
      <c r="E446" s="6"/>
      <c r="F446" s="6"/>
      <c r="G446" s="6"/>
      <c r="H446" s="6"/>
      <c r="I446" s="6"/>
      <c r="J446" s="11"/>
      <c r="K446" s="591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11.25" customHeight="1">
      <c r="A447" s="7"/>
      <c r="B447" s="5"/>
      <c r="C447" s="6"/>
      <c r="D447" s="6"/>
      <c r="E447" s="6"/>
      <c r="F447" s="6"/>
      <c r="G447" s="6"/>
      <c r="H447" s="6"/>
      <c r="I447" s="6"/>
      <c r="J447" s="11"/>
      <c r="K447" s="591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11.25" customHeight="1">
      <c r="A448" s="7"/>
      <c r="B448" s="5"/>
      <c r="C448" s="6"/>
      <c r="D448" s="6"/>
      <c r="E448" s="6"/>
      <c r="F448" s="6"/>
      <c r="G448" s="6"/>
      <c r="H448" s="6"/>
      <c r="I448" s="6"/>
      <c r="J448" s="11"/>
      <c r="K448" s="591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11.25" customHeight="1">
      <c r="A449" s="7"/>
      <c r="B449" s="5"/>
      <c r="C449" s="6"/>
      <c r="D449" s="6"/>
      <c r="E449" s="6"/>
      <c r="F449" s="6"/>
      <c r="G449" s="6"/>
      <c r="H449" s="6"/>
      <c r="I449" s="6"/>
      <c r="J449" s="11"/>
      <c r="K449" s="591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11.25" customHeight="1">
      <c r="A450" s="7"/>
      <c r="B450" s="5"/>
      <c r="C450" s="6"/>
      <c r="D450" s="6"/>
      <c r="E450" s="6"/>
      <c r="F450" s="6"/>
      <c r="G450" s="6"/>
      <c r="H450" s="6"/>
      <c r="I450" s="6"/>
      <c r="J450" s="11"/>
      <c r="K450" s="591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11.25" customHeight="1">
      <c r="A451" s="7"/>
      <c r="B451" s="5"/>
      <c r="C451" s="6"/>
      <c r="D451" s="6"/>
      <c r="E451" s="6"/>
      <c r="F451" s="6"/>
      <c r="G451" s="6"/>
      <c r="H451" s="6"/>
      <c r="I451" s="6"/>
      <c r="J451" s="11"/>
      <c r="K451" s="591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11.25" customHeight="1">
      <c r="A452" s="7"/>
      <c r="B452" s="5"/>
      <c r="C452" s="6"/>
      <c r="D452" s="6"/>
      <c r="E452" s="6"/>
      <c r="F452" s="6"/>
      <c r="G452" s="6"/>
      <c r="H452" s="6"/>
      <c r="I452" s="6"/>
      <c r="J452" s="11"/>
      <c r="K452" s="591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11.25" customHeight="1">
      <c r="A453" s="7"/>
      <c r="B453" s="5"/>
      <c r="C453" s="6"/>
      <c r="D453" s="6"/>
      <c r="E453" s="6"/>
      <c r="F453" s="6"/>
      <c r="G453" s="6"/>
      <c r="H453" s="6"/>
      <c r="I453" s="6"/>
      <c r="J453" s="11"/>
      <c r="K453" s="591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11.25" customHeight="1">
      <c r="A454" s="7"/>
      <c r="B454" s="5"/>
      <c r="C454" s="6"/>
      <c r="D454" s="6"/>
      <c r="E454" s="6"/>
      <c r="F454" s="6"/>
      <c r="G454" s="6"/>
      <c r="H454" s="6"/>
      <c r="I454" s="6"/>
      <c r="J454" s="11"/>
      <c r="K454" s="591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11.25" customHeight="1">
      <c r="A455" s="7"/>
      <c r="B455" s="5"/>
      <c r="C455" s="6"/>
      <c r="D455" s="6"/>
      <c r="E455" s="6"/>
      <c r="F455" s="6"/>
      <c r="G455" s="6"/>
      <c r="H455" s="6"/>
      <c r="I455" s="6"/>
      <c r="J455" s="11"/>
      <c r="K455" s="591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11.25" customHeight="1">
      <c r="A456" s="7"/>
      <c r="B456" s="5"/>
      <c r="C456" s="6"/>
      <c r="D456" s="6"/>
      <c r="E456" s="6"/>
      <c r="F456" s="6"/>
      <c r="G456" s="6"/>
      <c r="H456" s="6"/>
      <c r="I456" s="6"/>
      <c r="J456" s="11"/>
      <c r="K456" s="591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11.25" customHeight="1">
      <c r="A457" s="7"/>
      <c r="B457" s="5"/>
      <c r="C457" s="6"/>
      <c r="D457" s="6"/>
      <c r="E457" s="6"/>
      <c r="F457" s="6"/>
      <c r="G457" s="6"/>
      <c r="H457" s="6"/>
      <c r="I457" s="6"/>
      <c r="J457" s="11"/>
      <c r="K457" s="591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11.25" customHeight="1">
      <c r="A458" s="7"/>
      <c r="B458" s="5"/>
      <c r="C458" s="6"/>
      <c r="D458" s="6"/>
      <c r="E458" s="6"/>
      <c r="F458" s="6"/>
      <c r="G458" s="6"/>
      <c r="H458" s="6"/>
      <c r="I458" s="6"/>
      <c r="J458" s="11"/>
      <c r="K458" s="591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11.25" customHeight="1">
      <c r="A459" s="7"/>
      <c r="B459" s="5"/>
      <c r="C459" s="6"/>
      <c r="D459" s="6"/>
      <c r="E459" s="6"/>
      <c r="F459" s="6"/>
      <c r="G459" s="6"/>
      <c r="H459" s="6"/>
      <c r="I459" s="6"/>
      <c r="J459" s="11"/>
      <c r="K459" s="591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11.25" customHeight="1">
      <c r="A460" s="7"/>
      <c r="B460" s="5"/>
      <c r="C460" s="6"/>
      <c r="D460" s="6"/>
      <c r="E460" s="6"/>
      <c r="F460" s="6"/>
      <c r="G460" s="6"/>
      <c r="H460" s="6"/>
      <c r="I460" s="6"/>
      <c r="J460" s="11"/>
      <c r="K460" s="591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11.25" customHeight="1">
      <c r="A461" s="7"/>
      <c r="B461" s="5"/>
      <c r="C461" s="6"/>
      <c r="D461" s="6"/>
      <c r="E461" s="6"/>
      <c r="F461" s="6"/>
      <c r="G461" s="6"/>
      <c r="H461" s="6"/>
      <c r="I461" s="6"/>
      <c r="J461" s="11"/>
      <c r="K461" s="591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11.25" customHeight="1">
      <c r="A462" s="7"/>
      <c r="B462" s="5"/>
      <c r="C462" s="6"/>
      <c r="D462" s="6"/>
      <c r="E462" s="6"/>
      <c r="F462" s="6"/>
      <c r="G462" s="6"/>
      <c r="H462" s="6"/>
      <c r="I462" s="6"/>
      <c r="J462" s="11"/>
      <c r="K462" s="591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11.25" customHeight="1">
      <c r="A463" s="7"/>
      <c r="B463" s="5"/>
      <c r="C463" s="6"/>
      <c r="D463" s="6"/>
      <c r="E463" s="6"/>
      <c r="F463" s="6"/>
      <c r="G463" s="6"/>
      <c r="H463" s="6"/>
      <c r="I463" s="6"/>
      <c r="J463" s="11"/>
      <c r="K463" s="591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11.25" customHeight="1">
      <c r="A464" s="7"/>
      <c r="B464" s="5"/>
      <c r="C464" s="6"/>
      <c r="D464" s="6"/>
      <c r="E464" s="6"/>
      <c r="F464" s="6"/>
      <c r="G464" s="6"/>
      <c r="H464" s="6"/>
      <c r="I464" s="6"/>
      <c r="J464" s="11"/>
      <c r="K464" s="591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11.25" customHeight="1">
      <c r="A465" s="7"/>
      <c r="B465" s="5"/>
      <c r="C465" s="6"/>
      <c r="D465" s="6"/>
      <c r="E465" s="6"/>
      <c r="F465" s="6"/>
      <c r="G465" s="6"/>
      <c r="H465" s="6"/>
      <c r="I465" s="6"/>
      <c r="J465" s="11"/>
      <c r="K465" s="591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11.25" customHeight="1">
      <c r="A466" s="7"/>
      <c r="B466" s="5"/>
      <c r="C466" s="6"/>
      <c r="D466" s="6"/>
      <c r="E466" s="6"/>
      <c r="F466" s="6"/>
      <c r="G466" s="6"/>
      <c r="H466" s="6"/>
      <c r="I466" s="6"/>
      <c r="J466" s="11"/>
      <c r="K466" s="591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11.25" customHeight="1">
      <c r="A467" s="7"/>
      <c r="B467" s="5"/>
      <c r="C467" s="6"/>
      <c r="D467" s="6"/>
      <c r="E467" s="6"/>
      <c r="F467" s="6"/>
      <c r="G467" s="6"/>
      <c r="H467" s="6"/>
      <c r="I467" s="6"/>
      <c r="J467" s="11"/>
      <c r="K467" s="591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11.25" customHeight="1">
      <c r="A468" s="7"/>
      <c r="B468" s="5"/>
      <c r="C468" s="6"/>
      <c r="D468" s="6"/>
      <c r="E468" s="6"/>
      <c r="F468" s="6"/>
      <c r="G468" s="6"/>
      <c r="H468" s="6"/>
      <c r="I468" s="6"/>
      <c r="J468" s="11"/>
      <c r="K468" s="591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11.25" customHeight="1">
      <c r="A469" s="7"/>
      <c r="B469" s="5"/>
      <c r="C469" s="6"/>
      <c r="D469" s="6"/>
      <c r="E469" s="6"/>
      <c r="F469" s="6"/>
      <c r="G469" s="6"/>
      <c r="H469" s="6"/>
      <c r="I469" s="6"/>
      <c r="J469" s="11"/>
      <c r="K469" s="591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11.25" customHeight="1">
      <c r="A470" s="7"/>
      <c r="B470" s="5"/>
      <c r="C470" s="6"/>
      <c r="D470" s="6"/>
      <c r="E470" s="6"/>
      <c r="F470" s="6"/>
      <c r="G470" s="6"/>
      <c r="H470" s="6"/>
      <c r="I470" s="6"/>
      <c r="J470" s="11"/>
      <c r="K470" s="591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11.25" customHeight="1">
      <c r="A471" s="7"/>
      <c r="B471" s="5"/>
      <c r="C471" s="6"/>
      <c r="D471" s="6"/>
      <c r="E471" s="6"/>
      <c r="F471" s="6"/>
      <c r="G471" s="6"/>
      <c r="H471" s="6"/>
      <c r="I471" s="6"/>
      <c r="J471" s="11"/>
      <c r="K471" s="591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11.25" customHeight="1">
      <c r="A472" s="7"/>
      <c r="B472" s="5"/>
      <c r="C472" s="6"/>
      <c r="D472" s="6"/>
      <c r="E472" s="6"/>
      <c r="F472" s="6"/>
      <c r="G472" s="6"/>
      <c r="H472" s="6"/>
      <c r="I472" s="6"/>
      <c r="J472" s="11"/>
      <c r="K472" s="591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11.25" customHeight="1">
      <c r="A473" s="7"/>
      <c r="B473" s="5"/>
      <c r="C473" s="6"/>
      <c r="D473" s="6"/>
      <c r="E473" s="6"/>
      <c r="F473" s="6"/>
      <c r="G473" s="6"/>
      <c r="H473" s="6"/>
      <c r="I473" s="6"/>
      <c r="J473" s="11"/>
      <c r="K473" s="591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11.25" customHeight="1">
      <c r="A474" s="7"/>
      <c r="B474" s="5"/>
      <c r="C474" s="6"/>
      <c r="D474" s="6"/>
      <c r="E474" s="6"/>
      <c r="F474" s="6"/>
      <c r="G474" s="6"/>
      <c r="H474" s="6"/>
      <c r="I474" s="6"/>
      <c r="J474" s="11"/>
      <c r="K474" s="591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11.25" customHeight="1">
      <c r="A475" s="7"/>
      <c r="B475" s="5"/>
      <c r="C475" s="6"/>
      <c r="D475" s="6"/>
      <c r="E475" s="6"/>
      <c r="F475" s="6"/>
      <c r="G475" s="6"/>
      <c r="H475" s="6"/>
      <c r="I475" s="6"/>
      <c r="J475" s="11"/>
      <c r="K475" s="591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11.25" customHeight="1">
      <c r="A476" s="7"/>
      <c r="B476" s="5"/>
      <c r="C476" s="6"/>
      <c r="D476" s="6"/>
      <c r="E476" s="6"/>
      <c r="F476" s="6"/>
      <c r="G476" s="6"/>
      <c r="H476" s="6"/>
      <c r="I476" s="6"/>
      <c r="J476" s="11"/>
      <c r="K476" s="591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11.25" customHeight="1">
      <c r="A477" s="7"/>
      <c r="B477" s="5"/>
      <c r="C477" s="6"/>
      <c r="D477" s="6"/>
      <c r="E477" s="6"/>
      <c r="F477" s="6"/>
      <c r="G477" s="6"/>
      <c r="H477" s="6"/>
      <c r="I477" s="6"/>
      <c r="J477" s="11"/>
      <c r="K477" s="591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11.25" customHeight="1">
      <c r="A478" s="7"/>
      <c r="B478" s="5"/>
      <c r="C478" s="6"/>
      <c r="D478" s="6"/>
      <c r="E478" s="6"/>
      <c r="F478" s="6"/>
      <c r="G478" s="6"/>
      <c r="H478" s="6"/>
      <c r="I478" s="6"/>
      <c r="J478" s="11"/>
      <c r="K478" s="591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11.25" customHeight="1">
      <c r="A479" s="7"/>
      <c r="B479" s="5"/>
      <c r="C479" s="6"/>
      <c r="D479" s="6"/>
      <c r="E479" s="6"/>
      <c r="F479" s="6"/>
      <c r="G479" s="6"/>
      <c r="H479" s="6"/>
      <c r="I479" s="6"/>
      <c r="J479" s="11"/>
      <c r="K479" s="591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11.25" customHeight="1">
      <c r="A480" s="7"/>
      <c r="B480" s="5"/>
      <c r="C480" s="6"/>
      <c r="D480" s="6"/>
      <c r="E480" s="6"/>
      <c r="F480" s="6"/>
      <c r="G480" s="6"/>
      <c r="H480" s="6"/>
      <c r="I480" s="6"/>
      <c r="J480" s="11"/>
      <c r="K480" s="591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11.25" customHeight="1">
      <c r="A481" s="7"/>
      <c r="B481" s="5"/>
      <c r="C481" s="6"/>
      <c r="D481" s="6"/>
      <c r="E481" s="6"/>
      <c r="F481" s="6"/>
      <c r="G481" s="6"/>
      <c r="H481" s="6"/>
      <c r="I481" s="6"/>
      <c r="J481" s="11"/>
      <c r="K481" s="591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11.25" customHeight="1">
      <c r="A482" s="7"/>
      <c r="B482" s="5"/>
      <c r="C482" s="6"/>
      <c r="D482" s="6"/>
      <c r="E482" s="6"/>
      <c r="F482" s="6"/>
      <c r="G482" s="6"/>
      <c r="H482" s="6"/>
      <c r="I482" s="6"/>
      <c r="J482" s="11"/>
      <c r="K482" s="591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11.25" customHeight="1">
      <c r="A483" s="7"/>
      <c r="B483" s="5"/>
      <c r="C483" s="6"/>
      <c r="D483" s="6"/>
      <c r="E483" s="6"/>
      <c r="F483" s="6"/>
      <c r="G483" s="6"/>
      <c r="H483" s="6"/>
      <c r="I483" s="6"/>
      <c r="J483" s="11"/>
      <c r="K483" s="591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11.25" customHeight="1">
      <c r="A484" s="7"/>
      <c r="B484" s="5"/>
      <c r="C484" s="6"/>
      <c r="D484" s="6"/>
      <c r="E484" s="6"/>
      <c r="F484" s="6"/>
      <c r="G484" s="6"/>
      <c r="H484" s="6"/>
      <c r="I484" s="6"/>
      <c r="J484" s="11"/>
      <c r="K484" s="591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11.25" customHeight="1">
      <c r="A485" s="7"/>
      <c r="B485" s="5"/>
      <c r="C485" s="6"/>
      <c r="D485" s="6"/>
      <c r="E485" s="6"/>
      <c r="F485" s="6"/>
      <c r="G485" s="6"/>
      <c r="H485" s="6"/>
      <c r="I485" s="6"/>
      <c r="J485" s="11"/>
      <c r="K485" s="591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11.25" customHeight="1">
      <c r="A486" s="7"/>
      <c r="B486" s="5"/>
      <c r="C486" s="6"/>
      <c r="D486" s="6"/>
      <c r="E486" s="6"/>
      <c r="F486" s="6"/>
      <c r="G486" s="6"/>
      <c r="H486" s="6"/>
      <c r="I486" s="6"/>
      <c r="J486" s="11"/>
      <c r="K486" s="591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11.25" customHeight="1">
      <c r="A487" s="7"/>
      <c r="B487" s="5"/>
      <c r="C487" s="6"/>
      <c r="D487" s="6"/>
      <c r="E487" s="6"/>
      <c r="F487" s="6"/>
      <c r="G487" s="6"/>
      <c r="H487" s="6"/>
      <c r="I487" s="6"/>
      <c r="J487" s="11"/>
      <c r="K487" s="591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11.25" customHeight="1">
      <c r="A488" s="7"/>
      <c r="B488" s="5"/>
      <c r="C488" s="6"/>
      <c r="D488" s="6"/>
      <c r="E488" s="6"/>
      <c r="F488" s="6"/>
      <c r="G488" s="6"/>
      <c r="H488" s="6"/>
      <c r="I488" s="6"/>
      <c r="J488" s="11"/>
      <c r="K488" s="591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11.25" customHeight="1">
      <c r="A489" s="7"/>
      <c r="B489" s="5"/>
      <c r="C489" s="6"/>
      <c r="D489" s="6"/>
      <c r="E489" s="6"/>
      <c r="F489" s="6"/>
      <c r="G489" s="6"/>
      <c r="H489" s="6"/>
      <c r="I489" s="6"/>
      <c r="J489" s="11"/>
      <c r="K489" s="591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11.25" customHeight="1">
      <c r="A490" s="7"/>
      <c r="B490" s="5"/>
      <c r="C490" s="6"/>
      <c r="D490" s="6"/>
      <c r="E490" s="6"/>
      <c r="F490" s="6"/>
      <c r="G490" s="6"/>
      <c r="H490" s="6"/>
      <c r="I490" s="6"/>
      <c r="J490" s="11"/>
      <c r="K490" s="591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11.25" customHeight="1">
      <c r="A491" s="7"/>
      <c r="B491" s="5"/>
      <c r="C491" s="6"/>
      <c r="D491" s="6"/>
      <c r="E491" s="6"/>
      <c r="F491" s="6"/>
      <c r="G491" s="6"/>
      <c r="H491" s="6"/>
      <c r="I491" s="6"/>
      <c r="J491" s="11"/>
      <c r="K491" s="591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11.25" customHeight="1">
      <c r="A492" s="7"/>
      <c r="B492" s="5"/>
      <c r="C492" s="6"/>
      <c r="D492" s="6"/>
      <c r="E492" s="6"/>
      <c r="F492" s="6"/>
      <c r="G492" s="6"/>
      <c r="H492" s="6"/>
      <c r="I492" s="6"/>
      <c r="J492" s="11"/>
      <c r="K492" s="591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11.25" customHeight="1">
      <c r="A493" s="7"/>
      <c r="B493" s="5"/>
      <c r="C493" s="6"/>
      <c r="D493" s="6"/>
      <c r="E493" s="6"/>
      <c r="F493" s="6"/>
      <c r="G493" s="6"/>
      <c r="H493" s="6"/>
      <c r="I493" s="6"/>
      <c r="J493" s="11"/>
      <c r="K493" s="591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11.25" customHeight="1">
      <c r="A494" s="7"/>
      <c r="B494" s="5"/>
      <c r="C494" s="6"/>
      <c r="D494" s="6"/>
      <c r="E494" s="6"/>
      <c r="F494" s="6"/>
      <c r="G494" s="6"/>
      <c r="H494" s="6"/>
      <c r="I494" s="6"/>
      <c r="J494" s="11"/>
      <c r="K494" s="591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11.25" customHeight="1">
      <c r="A495" s="7"/>
      <c r="B495" s="5"/>
      <c r="C495" s="6"/>
      <c r="D495" s="6"/>
      <c r="E495" s="6"/>
      <c r="F495" s="6"/>
      <c r="G495" s="6"/>
      <c r="H495" s="6"/>
      <c r="I495" s="6"/>
      <c r="J495" s="11"/>
      <c r="K495" s="591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11.25" customHeight="1">
      <c r="A496" s="7"/>
      <c r="B496" s="5"/>
      <c r="C496" s="6"/>
      <c r="D496" s="6"/>
      <c r="E496" s="6"/>
      <c r="F496" s="6"/>
      <c r="G496" s="6"/>
      <c r="H496" s="6"/>
      <c r="I496" s="6"/>
      <c r="J496" s="11"/>
      <c r="K496" s="591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11.25" customHeight="1">
      <c r="A497" s="7"/>
      <c r="B497" s="5"/>
      <c r="C497" s="6"/>
      <c r="D497" s="6"/>
      <c r="E497" s="6"/>
      <c r="F497" s="6"/>
      <c r="G497" s="6"/>
      <c r="H497" s="6"/>
      <c r="I497" s="6"/>
      <c r="J497" s="11"/>
      <c r="K497" s="591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11.25" customHeight="1">
      <c r="A498" s="7"/>
      <c r="B498" s="5"/>
      <c r="C498" s="6"/>
      <c r="D498" s="6"/>
      <c r="E498" s="6"/>
      <c r="F498" s="6"/>
      <c r="G498" s="6"/>
      <c r="H498" s="6"/>
      <c r="I498" s="6"/>
      <c r="J498" s="11"/>
      <c r="K498" s="591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11.25" customHeight="1">
      <c r="A499" s="7"/>
      <c r="B499" s="5"/>
      <c r="C499" s="6"/>
      <c r="D499" s="6"/>
      <c r="E499" s="6"/>
      <c r="F499" s="6"/>
      <c r="G499" s="6"/>
      <c r="H499" s="6"/>
      <c r="I499" s="6"/>
      <c r="J499" s="11"/>
      <c r="K499" s="591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11.25" customHeight="1">
      <c r="A500" s="7"/>
      <c r="B500" s="5"/>
      <c r="C500" s="6"/>
      <c r="D500" s="6"/>
      <c r="E500" s="6"/>
      <c r="F500" s="6"/>
      <c r="G500" s="6"/>
      <c r="H500" s="6"/>
      <c r="I500" s="6"/>
      <c r="J500" s="11"/>
      <c r="K500" s="591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11.25" customHeight="1">
      <c r="A501" s="7"/>
      <c r="B501" s="5"/>
      <c r="C501" s="6"/>
      <c r="D501" s="6"/>
      <c r="E501" s="6"/>
      <c r="F501" s="6"/>
      <c r="G501" s="6"/>
      <c r="H501" s="6"/>
      <c r="I501" s="6"/>
      <c r="J501" s="11"/>
      <c r="K501" s="591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11.25" customHeight="1">
      <c r="A502" s="7"/>
      <c r="B502" s="5"/>
      <c r="C502" s="6"/>
      <c r="D502" s="6"/>
      <c r="E502" s="6"/>
      <c r="F502" s="6"/>
      <c r="G502" s="6"/>
      <c r="H502" s="6"/>
      <c r="I502" s="6"/>
      <c r="J502" s="11"/>
      <c r="K502" s="591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ht="11.25" customHeight="1">
      <c r="A503" s="7"/>
      <c r="B503" s="5"/>
      <c r="C503" s="6"/>
      <c r="D503" s="6"/>
      <c r="E503" s="6"/>
      <c r="F503" s="6"/>
      <c r="G503" s="6"/>
      <c r="H503" s="6"/>
      <c r="I503" s="6"/>
      <c r="J503" s="11"/>
      <c r="K503" s="591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ht="11.25" customHeight="1">
      <c r="A504" s="7"/>
      <c r="B504" s="5"/>
      <c r="C504" s="6"/>
      <c r="D504" s="6"/>
      <c r="E504" s="6"/>
      <c r="F504" s="6"/>
      <c r="G504" s="6"/>
      <c r="H504" s="6"/>
      <c r="I504" s="6"/>
      <c r="J504" s="11"/>
      <c r="K504" s="591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ht="11.25" customHeight="1">
      <c r="A505" s="7"/>
      <c r="B505" s="5"/>
      <c r="C505" s="6"/>
      <c r="D505" s="6"/>
      <c r="E505" s="6"/>
      <c r="F505" s="6"/>
      <c r="G505" s="6"/>
      <c r="H505" s="6"/>
      <c r="I505" s="6"/>
      <c r="J505" s="11"/>
      <c r="K505" s="591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ht="11.25" customHeight="1">
      <c r="A506" s="7"/>
      <c r="B506" s="5"/>
      <c r="C506" s="6"/>
      <c r="D506" s="6"/>
      <c r="E506" s="6"/>
      <c r="F506" s="6"/>
      <c r="G506" s="6"/>
      <c r="H506" s="6"/>
      <c r="I506" s="6"/>
      <c r="J506" s="11"/>
      <c r="K506" s="591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ht="11.25" customHeight="1">
      <c r="A507" s="7"/>
      <c r="B507" s="5"/>
      <c r="C507" s="6"/>
      <c r="D507" s="6"/>
      <c r="E507" s="6"/>
      <c r="F507" s="6"/>
      <c r="G507" s="6"/>
      <c r="H507" s="6"/>
      <c r="I507" s="6"/>
      <c r="J507" s="11"/>
      <c r="K507" s="591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ht="11.25" customHeight="1">
      <c r="A508" s="7"/>
      <c r="B508" s="5"/>
      <c r="C508" s="6"/>
      <c r="D508" s="6"/>
      <c r="E508" s="6"/>
      <c r="F508" s="6"/>
      <c r="G508" s="6"/>
      <c r="H508" s="6"/>
      <c r="I508" s="6"/>
      <c r="J508" s="11"/>
      <c r="K508" s="591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ht="11.25" customHeight="1">
      <c r="A509" s="7"/>
      <c r="B509" s="5"/>
      <c r="C509" s="6"/>
      <c r="D509" s="6"/>
      <c r="E509" s="6"/>
      <c r="F509" s="6"/>
      <c r="G509" s="6"/>
      <c r="H509" s="6"/>
      <c r="I509" s="6"/>
      <c r="J509" s="11"/>
      <c r="K509" s="591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ht="11.25" customHeight="1">
      <c r="A510" s="7"/>
      <c r="B510" s="5"/>
      <c r="C510" s="6"/>
      <c r="D510" s="6"/>
      <c r="E510" s="6"/>
      <c r="F510" s="6"/>
      <c r="G510" s="6"/>
      <c r="H510" s="6"/>
      <c r="I510" s="6"/>
      <c r="J510" s="11"/>
      <c r="K510" s="591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ht="11.25" customHeight="1">
      <c r="A511" s="7"/>
      <c r="B511" s="5"/>
      <c r="C511" s="6"/>
      <c r="D511" s="6"/>
      <c r="E511" s="6"/>
      <c r="F511" s="6"/>
      <c r="G511" s="6"/>
      <c r="H511" s="6"/>
      <c r="I511" s="6"/>
      <c r="J511" s="11"/>
      <c r="K511" s="591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ht="11.25" customHeight="1">
      <c r="A512" s="7"/>
      <c r="B512" s="5"/>
      <c r="C512" s="6"/>
      <c r="D512" s="6"/>
      <c r="E512" s="6"/>
      <c r="F512" s="6"/>
      <c r="G512" s="6"/>
      <c r="H512" s="6"/>
      <c r="I512" s="6"/>
      <c r="J512" s="11"/>
      <c r="K512" s="591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ht="11.25" customHeight="1">
      <c r="A513" s="7"/>
      <c r="B513" s="5"/>
      <c r="C513" s="6"/>
      <c r="D513" s="6"/>
      <c r="E513" s="6"/>
      <c r="F513" s="6"/>
      <c r="G513" s="6"/>
      <c r="H513" s="6"/>
      <c r="I513" s="6"/>
      <c r="J513" s="11"/>
      <c r="K513" s="591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ht="11.25" customHeight="1">
      <c r="A514" s="7"/>
      <c r="B514" s="5"/>
      <c r="C514" s="6"/>
      <c r="D514" s="6"/>
      <c r="E514" s="6"/>
      <c r="F514" s="6"/>
      <c r="G514" s="6"/>
      <c r="H514" s="6"/>
      <c r="I514" s="6"/>
      <c r="J514" s="11"/>
      <c r="K514" s="591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ht="11.25" customHeight="1">
      <c r="A515" s="7"/>
      <c r="B515" s="5"/>
      <c r="C515" s="6"/>
      <c r="D515" s="6"/>
      <c r="E515" s="6"/>
      <c r="F515" s="6"/>
      <c r="G515" s="6"/>
      <c r="H515" s="6"/>
      <c r="I515" s="6"/>
      <c r="J515" s="11"/>
      <c r="K515" s="591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ht="11.25" customHeight="1">
      <c r="A516" s="7"/>
      <c r="B516" s="5"/>
      <c r="C516" s="6"/>
      <c r="D516" s="6"/>
      <c r="E516" s="6"/>
      <c r="F516" s="6"/>
      <c r="G516" s="6"/>
      <c r="H516" s="6"/>
      <c r="I516" s="6"/>
      <c r="J516" s="11"/>
      <c r="K516" s="591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ht="11.25" customHeight="1">
      <c r="A517" s="7"/>
      <c r="B517" s="5"/>
      <c r="C517" s="6"/>
      <c r="D517" s="6"/>
      <c r="E517" s="6"/>
      <c r="F517" s="6"/>
      <c r="G517" s="6"/>
      <c r="H517" s="6"/>
      <c r="I517" s="6"/>
      <c r="J517" s="11"/>
      <c r="K517" s="591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ht="11.25" customHeight="1">
      <c r="A518" s="7"/>
      <c r="B518" s="5"/>
      <c r="C518" s="6"/>
      <c r="D518" s="6"/>
      <c r="E518" s="6"/>
      <c r="F518" s="6"/>
      <c r="G518" s="6"/>
      <c r="H518" s="6"/>
      <c r="I518" s="6"/>
      <c r="J518" s="11"/>
      <c r="K518" s="591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ht="11.25" customHeight="1">
      <c r="A519" s="7"/>
      <c r="B519" s="5"/>
      <c r="C519" s="6"/>
      <c r="D519" s="6"/>
      <c r="E519" s="6"/>
      <c r="F519" s="6"/>
      <c r="G519" s="6"/>
      <c r="H519" s="6"/>
      <c r="I519" s="6"/>
      <c r="J519" s="11"/>
      <c r="K519" s="591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ht="11.25" customHeight="1">
      <c r="A520" s="7"/>
      <c r="B520" s="5"/>
      <c r="C520" s="6"/>
      <c r="D520" s="6"/>
      <c r="E520" s="6"/>
      <c r="F520" s="6"/>
      <c r="G520" s="6"/>
      <c r="H520" s="6"/>
      <c r="I520" s="6"/>
      <c r="J520" s="11"/>
      <c r="K520" s="591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ht="11.25" customHeight="1">
      <c r="A521" s="7"/>
      <c r="B521" s="5"/>
      <c r="C521" s="6"/>
      <c r="D521" s="6"/>
      <c r="E521" s="6"/>
      <c r="F521" s="6"/>
      <c r="G521" s="6"/>
      <c r="H521" s="6"/>
      <c r="I521" s="6"/>
      <c r="J521" s="11"/>
      <c r="K521" s="591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ht="11.25" customHeight="1">
      <c r="A522" s="7"/>
      <c r="B522" s="5"/>
      <c r="C522" s="6"/>
      <c r="D522" s="6"/>
      <c r="E522" s="6"/>
      <c r="F522" s="6"/>
      <c r="G522" s="6"/>
      <c r="H522" s="6"/>
      <c r="I522" s="6"/>
      <c r="J522" s="11"/>
      <c r="K522" s="591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ht="11.25" customHeight="1">
      <c r="A523" s="7"/>
      <c r="B523" s="5"/>
      <c r="C523" s="6"/>
      <c r="D523" s="6"/>
      <c r="E523" s="6"/>
      <c r="F523" s="6"/>
      <c r="G523" s="6"/>
      <c r="H523" s="6"/>
      <c r="I523" s="6"/>
      <c r="J523" s="11"/>
      <c r="K523" s="591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ht="11.25" customHeight="1">
      <c r="A524" s="7"/>
      <c r="B524" s="5"/>
      <c r="C524" s="6"/>
      <c r="D524" s="6"/>
      <c r="E524" s="6"/>
      <c r="F524" s="6"/>
      <c r="G524" s="6"/>
      <c r="H524" s="6"/>
      <c r="I524" s="6"/>
      <c r="J524" s="11"/>
      <c r="K524" s="591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ht="11.25" customHeight="1">
      <c r="A525" s="7"/>
      <c r="B525" s="5"/>
      <c r="C525" s="6"/>
      <c r="D525" s="6"/>
      <c r="E525" s="6"/>
      <c r="F525" s="6"/>
      <c r="G525" s="6"/>
      <c r="H525" s="6"/>
      <c r="I525" s="6"/>
      <c r="J525" s="11"/>
      <c r="K525" s="591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ht="11.25" customHeight="1">
      <c r="A526" s="7"/>
      <c r="B526" s="5"/>
      <c r="C526" s="6"/>
      <c r="D526" s="6"/>
      <c r="E526" s="6"/>
      <c r="F526" s="6"/>
      <c r="G526" s="6"/>
      <c r="H526" s="6"/>
      <c r="I526" s="6"/>
      <c r="J526" s="11"/>
      <c r="K526" s="591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ht="11.25" customHeight="1">
      <c r="A527" s="7"/>
      <c r="B527" s="5"/>
      <c r="C527" s="6"/>
      <c r="D527" s="6"/>
      <c r="E527" s="6"/>
      <c r="F527" s="6"/>
      <c r="G527" s="6"/>
      <c r="H527" s="6"/>
      <c r="I527" s="6"/>
      <c r="J527" s="11"/>
      <c r="K527" s="591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ht="11.25" customHeight="1">
      <c r="A528" s="7"/>
      <c r="B528" s="5"/>
      <c r="C528" s="6"/>
      <c r="D528" s="6"/>
      <c r="E528" s="6"/>
      <c r="F528" s="6"/>
      <c r="G528" s="6"/>
      <c r="H528" s="6"/>
      <c r="I528" s="6"/>
      <c r="J528" s="11"/>
      <c r="K528" s="591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ht="11.25" customHeight="1">
      <c r="A529" s="7"/>
      <c r="B529" s="5"/>
      <c r="C529" s="6"/>
      <c r="D529" s="6"/>
      <c r="E529" s="6"/>
      <c r="F529" s="6"/>
      <c r="G529" s="6"/>
      <c r="H529" s="6"/>
      <c r="I529" s="6"/>
      <c r="J529" s="11"/>
      <c r="K529" s="591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ht="11.25" customHeight="1">
      <c r="A530" s="7"/>
      <c r="B530" s="5"/>
      <c r="C530" s="6"/>
      <c r="D530" s="6"/>
      <c r="E530" s="6"/>
      <c r="F530" s="6"/>
      <c r="G530" s="6"/>
      <c r="H530" s="6"/>
      <c r="I530" s="6"/>
      <c r="J530" s="11"/>
      <c r="K530" s="591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11.25" customHeight="1">
      <c r="A531" s="7"/>
      <c r="B531" s="5"/>
      <c r="C531" s="6"/>
      <c r="D531" s="6"/>
      <c r="E531" s="6"/>
      <c r="F531" s="6"/>
      <c r="G531" s="6"/>
      <c r="H531" s="6"/>
      <c r="I531" s="6"/>
      <c r="J531" s="11"/>
      <c r="K531" s="591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ht="11.25" customHeight="1">
      <c r="A532" s="7"/>
      <c r="B532" s="5"/>
      <c r="C532" s="6"/>
      <c r="D532" s="6"/>
      <c r="E532" s="6"/>
      <c r="F532" s="6"/>
      <c r="G532" s="6"/>
      <c r="H532" s="6"/>
      <c r="I532" s="6"/>
      <c r="J532" s="11"/>
      <c r="K532" s="591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ht="11.25" customHeight="1">
      <c r="A533" s="7"/>
      <c r="B533" s="5"/>
      <c r="C533" s="6"/>
      <c r="D533" s="6"/>
      <c r="E533" s="6"/>
      <c r="F533" s="6"/>
      <c r="G533" s="6"/>
      <c r="H533" s="6"/>
      <c r="I533" s="6"/>
      <c r="J533" s="11"/>
      <c r="K533" s="591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ht="11.25" customHeight="1">
      <c r="A534" s="7"/>
      <c r="B534" s="5"/>
      <c r="C534" s="6"/>
      <c r="D534" s="6"/>
      <c r="E534" s="6"/>
      <c r="F534" s="6"/>
      <c r="G534" s="6"/>
      <c r="H534" s="6"/>
      <c r="I534" s="6"/>
      <c r="J534" s="11"/>
      <c r="K534" s="591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ht="11.25" customHeight="1">
      <c r="A535" s="7"/>
      <c r="B535" s="5"/>
      <c r="C535" s="6"/>
      <c r="D535" s="6"/>
      <c r="E535" s="6"/>
      <c r="F535" s="6"/>
      <c r="G535" s="6"/>
      <c r="H535" s="6"/>
      <c r="I535" s="6"/>
      <c r="J535" s="11"/>
      <c r="K535" s="591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ht="11.25" customHeight="1">
      <c r="A536" s="7"/>
      <c r="B536" s="5"/>
      <c r="C536" s="6"/>
      <c r="D536" s="6"/>
      <c r="E536" s="6"/>
      <c r="F536" s="6"/>
      <c r="G536" s="6"/>
      <c r="H536" s="6"/>
      <c r="I536" s="6"/>
      <c r="J536" s="11"/>
      <c r="K536" s="591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ht="11.25" customHeight="1">
      <c r="A537" s="7"/>
      <c r="B537" s="5"/>
      <c r="C537" s="6"/>
      <c r="D537" s="6"/>
      <c r="E537" s="6"/>
      <c r="F537" s="6"/>
      <c r="G537" s="6"/>
      <c r="H537" s="6"/>
      <c r="I537" s="6"/>
      <c r="J537" s="11"/>
      <c r="K537" s="591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ht="11.25" customHeight="1">
      <c r="A538" s="7"/>
      <c r="B538" s="5"/>
      <c r="C538" s="6"/>
      <c r="D538" s="6"/>
      <c r="E538" s="6"/>
      <c r="F538" s="6"/>
      <c r="G538" s="6"/>
      <c r="H538" s="6"/>
      <c r="I538" s="6"/>
      <c r="J538" s="11"/>
      <c r="K538" s="591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ht="11.25" customHeight="1">
      <c r="A539" s="7"/>
      <c r="B539" s="5"/>
      <c r="C539" s="6"/>
      <c r="D539" s="6"/>
      <c r="E539" s="6"/>
      <c r="F539" s="6"/>
      <c r="G539" s="6"/>
      <c r="H539" s="6"/>
      <c r="I539" s="6"/>
      <c r="J539" s="11"/>
      <c r="K539" s="591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ht="11.25" customHeight="1">
      <c r="A540" s="7"/>
      <c r="B540" s="5"/>
      <c r="C540" s="6"/>
      <c r="D540" s="6"/>
      <c r="E540" s="6"/>
      <c r="F540" s="6"/>
      <c r="G540" s="6"/>
      <c r="H540" s="6"/>
      <c r="I540" s="6"/>
      <c r="J540" s="11"/>
      <c r="K540" s="591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ht="11.25" customHeight="1">
      <c r="A541" s="7"/>
      <c r="B541" s="5"/>
      <c r="C541" s="6"/>
      <c r="D541" s="6"/>
      <c r="E541" s="6"/>
      <c r="F541" s="6"/>
      <c r="G541" s="6"/>
      <c r="H541" s="6"/>
      <c r="I541" s="6"/>
      <c r="J541" s="11"/>
      <c r="K541" s="591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ht="11.25" customHeight="1">
      <c r="A542" s="7"/>
      <c r="B542" s="5"/>
      <c r="C542" s="6"/>
      <c r="D542" s="6"/>
      <c r="E542" s="6"/>
      <c r="F542" s="6"/>
      <c r="G542" s="6"/>
      <c r="H542" s="6"/>
      <c r="I542" s="6"/>
      <c r="J542" s="11"/>
      <c r="K542" s="591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ht="11.25" customHeight="1">
      <c r="A543" s="7"/>
      <c r="B543" s="5"/>
      <c r="C543" s="6"/>
      <c r="D543" s="6"/>
      <c r="E543" s="6"/>
      <c r="F543" s="6"/>
      <c r="G543" s="6"/>
      <c r="H543" s="6"/>
      <c r="I543" s="6"/>
      <c r="J543" s="11"/>
      <c r="K543" s="591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ht="11.25" customHeight="1">
      <c r="A544" s="7"/>
      <c r="B544" s="5"/>
      <c r="C544" s="6"/>
      <c r="D544" s="6"/>
      <c r="E544" s="6"/>
      <c r="F544" s="6"/>
      <c r="G544" s="6"/>
      <c r="H544" s="6"/>
      <c r="I544" s="6"/>
      <c r="J544" s="11"/>
      <c r="K544" s="591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ht="11.25" customHeight="1">
      <c r="A545" s="7"/>
      <c r="B545" s="5"/>
      <c r="C545" s="6"/>
      <c r="D545" s="6"/>
      <c r="E545" s="6"/>
      <c r="F545" s="6"/>
      <c r="G545" s="6"/>
      <c r="H545" s="6"/>
      <c r="I545" s="6"/>
      <c r="J545" s="11"/>
      <c r="K545" s="591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ht="11.25" customHeight="1">
      <c r="A546" s="7"/>
      <c r="B546" s="5"/>
      <c r="C546" s="6"/>
      <c r="D546" s="6"/>
      <c r="E546" s="6"/>
      <c r="F546" s="6"/>
      <c r="G546" s="6"/>
      <c r="H546" s="6"/>
      <c r="I546" s="6"/>
      <c r="J546" s="11"/>
      <c r="K546" s="591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ht="11.25" customHeight="1">
      <c r="A547" s="7"/>
      <c r="B547" s="5"/>
      <c r="C547" s="6"/>
      <c r="D547" s="6"/>
      <c r="E547" s="6"/>
      <c r="F547" s="6"/>
      <c r="G547" s="6"/>
      <c r="H547" s="6"/>
      <c r="I547" s="6"/>
      <c r="J547" s="11"/>
      <c r="K547" s="591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ht="11.25" customHeight="1">
      <c r="A548" s="7"/>
      <c r="B548" s="5"/>
      <c r="C548" s="6"/>
      <c r="D548" s="6"/>
      <c r="E548" s="6"/>
      <c r="F548" s="6"/>
      <c r="G548" s="6"/>
      <c r="H548" s="6"/>
      <c r="I548" s="6"/>
      <c r="J548" s="11"/>
      <c r="K548" s="591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ht="11.25" customHeight="1">
      <c r="A549" s="7"/>
      <c r="B549" s="5"/>
      <c r="C549" s="6"/>
      <c r="D549" s="6"/>
      <c r="E549" s="6"/>
      <c r="F549" s="6"/>
      <c r="G549" s="6"/>
      <c r="H549" s="6"/>
      <c r="I549" s="6"/>
      <c r="J549" s="11"/>
      <c r="K549" s="591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ht="11.25" customHeight="1">
      <c r="A550" s="7"/>
      <c r="B550" s="5"/>
      <c r="C550" s="6"/>
      <c r="D550" s="6"/>
      <c r="E550" s="6"/>
      <c r="F550" s="6"/>
      <c r="G550" s="6"/>
      <c r="H550" s="6"/>
      <c r="I550" s="6"/>
      <c r="J550" s="11"/>
      <c r="K550" s="591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ht="11.25" customHeight="1">
      <c r="A551" s="7"/>
      <c r="B551" s="5"/>
      <c r="C551" s="6"/>
      <c r="D551" s="6"/>
      <c r="E551" s="6"/>
      <c r="F551" s="6"/>
      <c r="G551" s="6"/>
      <c r="H551" s="6"/>
      <c r="I551" s="6"/>
      <c r="J551" s="11"/>
      <c r="K551" s="591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ht="11.25" customHeight="1">
      <c r="A552" s="7"/>
      <c r="B552" s="5"/>
      <c r="C552" s="6"/>
      <c r="D552" s="6"/>
      <c r="E552" s="6"/>
      <c r="F552" s="6"/>
      <c r="G552" s="6"/>
      <c r="H552" s="6"/>
      <c r="I552" s="6"/>
      <c r="J552" s="11"/>
      <c r="K552" s="591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ht="11.25" customHeight="1">
      <c r="A553" s="7"/>
      <c r="B553" s="5"/>
      <c r="C553" s="6"/>
      <c r="D553" s="6"/>
      <c r="E553" s="6"/>
      <c r="F553" s="6"/>
      <c r="G553" s="6"/>
      <c r="H553" s="6"/>
      <c r="I553" s="6"/>
      <c r="J553" s="11"/>
      <c r="K553" s="591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ht="11.25" customHeight="1">
      <c r="A554" s="7"/>
      <c r="B554" s="5"/>
      <c r="C554" s="6"/>
      <c r="D554" s="6"/>
      <c r="E554" s="6"/>
      <c r="F554" s="6"/>
      <c r="G554" s="6"/>
      <c r="H554" s="6"/>
      <c r="I554" s="6"/>
      <c r="J554" s="11"/>
      <c r="K554" s="591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ht="11.25" customHeight="1">
      <c r="A555" s="7"/>
      <c r="B555" s="5"/>
      <c r="C555" s="6"/>
      <c r="D555" s="6"/>
      <c r="E555" s="6"/>
      <c r="F555" s="6"/>
      <c r="G555" s="6"/>
      <c r="H555" s="6"/>
      <c r="I555" s="6"/>
      <c r="J555" s="11"/>
      <c r="K555" s="591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ht="11.25" customHeight="1">
      <c r="A556" s="7"/>
      <c r="B556" s="5"/>
      <c r="C556" s="6"/>
      <c r="D556" s="6"/>
      <c r="E556" s="6"/>
      <c r="F556" s="6"/>
      <c r="G556" s="6"/>
      <c r="H556" s="6"/>
      <c r="I556" s="6"/>
      <c r="J556" s="11"/>
      <c r="K556" s="591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ht="11.25" customHeight="1">
      <c r="A557" s="7"/>
      <c r="B557" s="5"/>
      <c r="C557" s="6"/>
      <c r="D557" s="6"/>
      <c r="E557" s="6"/>
      <c r="F557" s="6"/>
      <c r="G557" s="6"/>
      <c r="H557" s="6"/>
      <c r="I557" s="6"/>
      <c r="J557" s="11"/>
      <c r="K557" s="591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ht="11.25" customHeight="1">
      <c r="A558" s="7"/>
      <c r="B558" s="5"/>
      <c r="C558" s="6"/>
      <c r="D558" s="6"/>
      <c r="E558" s="6"/>
      <c r="F558" s="6"/>
      <c r="G558" s="6"/>
      <c r="H558" s="6"/>
      <c r="I558" s="6"/>
      <c r="J558" s="11"/>
      <c r="K558" s="591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ht="11.25" customHeight="1">
      <c r="A559" s="7"/>
      <c r="B559" s="5"/>
      <c r="C559" s="6"/>
      <c r="D559" s="6"/>
      <c r="E559" s="6"/>
      <c r="F559" s="6"/>
      <c r="G559" s="6"/>
      <c r="H559" s="6"/>
      <c r="I559" s="6"/>
      <c r="J559" s="11"/>
      <c r="K559" s="591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ht="11.25" customHeight="1">
      <c r="A560" s="7"/>
      <c r="B560" s="5"/>
      <c r="C560" s="6"/>
      <c r="D560" s="6"/>
      <c r="E560" s="6"/>
      <c r="F560" s="6"/>
      <c r="G560" s="6"/>
      <c r="H560" s="6"/>
      <c r="I560" s="6"/>
      <c r="J560" s="11"/>
      <c r="K560" s="591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ht="11.25" customHeight="1">
      <c r="A561" s="7"/>
      <c r="B561" s="5"/>
      <c r="C561" s="6"/>
      <c r="D561" s="6"/>
      <c r="E561" s="6"/>
      <c r="F561" s="6"/>
      <c r="G561" s="6"/>
      <c r="H561" s="6"/>
      <c r="I561" s="6"/>
      <c r="J561" s="11"/>
      <c r="K561" s="591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ht="11.25" customHeight="1">
      <c r="A562" s="7"/>
      <c r="B562" s="5"/>
      <c r="C562" s="6"/>
      <c r="D562" s="6"/>
      <c r="E562" s="6"/>
      <c r="F562" s="6"/>
      <c r="G562" s="6"/>
      <c r="H562" s="6"/>
      <c r="I562" s="6"/>
      <c r="J562" s="11"/>
      <c r="K562" s="591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ht="11.25" customHeight="1">
      <c r="A563" s="7"/>
      <c r="B563" s="5"/>
      <c r="C563" s="6"/>
      <c r="D563" s="6"/>
      <c r="E563" s="6"/>
      <c r="F563" s="6"/>
      <c r="G563" s="6"/>
      <c r="H563" s="6"/>
      <c r="I563" s="6"/>
      <c r="J563" s="11"/>
      <c r="K563" s="591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ht="11.25" customHeight="1">
      <c r="A564" s="7"/>
      <c r="B564" s="5"/>
      <c r="C564" s="6"/>
      <c r="D564" s="6"/>
      <c r="E564" s="6"/>
      <c r="F564" s="6"/>
      <c r="G564" s="6"/>
      <c r="H564" s="6"/>
      <c r="I564" s="6"/>
      <c r="J564" s="11"/>
      <c r="K564" s="591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ht="11.25" customHeight="1">
      <c r="A565" s="7"/>
      <c r="B565" s="5"/>
      <c r="C565" s="6"/>
      <c r="D565" s="6"/>
      <c r="E565" s="6"/>
      <c r="F565" s="6"/>
      <c r="G565" s="6"/>
      <c r="H565" s="6"/>
      <c r="I565" s="6"/>
      <c r="J565" s="11"/>
      <c r="K565" s="591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ht="11.25" customHeight="1">
      <c r="A566" s="7"/>
      <c r="B566" s="5"/>
      <c r="C566" s="6"/>
      <c r="D566" s="6"/>
      <c r="E566" s="6"/>
      <c r="F566" s="6"/>
      <c r="G566" s="6"/>
      <c r="H566" s="6"/>
      <c r="I566" s="6"/>
      <c r="J566" s="11"/>
      <c r="K566" s="591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ht="11.25" customHeight="1">
      <c r="A567" s="7"/>
      <c r="B567" s="5"/>
      <c r="C567" s="6"/>
      <c r="D567" s="6"/>
      <c r="E567" s="6"/>
      <c r="F567" s="6"/>
      <c r="G567" s="6"/>
      <c r="H567" s="6"/>
      <c r="I567" s="6"/>
      <c r="J567" s="11"/>
      <c r="K567" s="591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ht="11.25" customHeight="1">
      <c r="A568" s="7"/>
      <c r="B568" s="5"/>
      <c r="C568" s="6"/>
      <c r="D568" s="6"/>
      <c r="E568" s="6"/>
      <c r="F568" s="6"/>
      <c r="G568" s="6"/>
      <c r="H568" s="6"/>
      <c r="I568" s="6"/>
      <c r="J568" s="11"/>
      <c r="K568" s="591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ht="11.25" customHeight="1">
      <c r="A569" s="7"/>
      <c r="B569" s="5"/>
      <c r="C569" s="6"/>
      <c r="D569" s="6"/>
      <c r="E569" s="6"/>
      <c r="F569" s="6"/>
      <c r="G569" s="6"/>
      <c r="H569" s="6"/>
      <c r="I569" s="6"/>
      <c r="J569" s="11"/>
      <c r="K569" s="591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ht="11.25" customHeight="1">
      <c r="A570" s="7"/>
      <c r="B570" s="5"/>
      <c r="C570" s="6"/>
      <c r="D570" s="6"/>
      <c r="E570" s="6"/>
      <c r="F570" s="6"/>
      <c r="G570" s="6"/>
      <c r="H570" s="6"/>
      <c r="I570" s="6"/>
      <c r="J570" s="11"/>
      <c r="K570" s="591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ht="11.25" customHeight="1">
      <c r="A571" s="7"/>
      <c r="B571" s="5"/>
      <c r="C571" s="6"/>
      <c r="D571" s="6"/>
      <c r="E571" s="6"/>
      <c r="F571" s="6"/>
      <c r="G571" s="6"/>
      <c r="H571" s="6"/>
      <c r="I571" s="6"/>
      <c r="J571" s="11"/>
      <c r="K571" s="591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ht="11.25" customHeight="1">
      <c r="A572" s="7"/>
      <c r="B572" s="5"/>
      <c r="C572" s="6"/>
      <c r="D572" s="6"/>
      <c r="E572" s="6"/>
      <c r="F572" s="6"/>
      <c r="G572" s="6"/>
      <c r="H572" s="6"/>
      <c r="I572" s="6"/>
      <c r="J572" s="11"/>
      <c r="K572" s="591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ht="11.25" customHeight="1">
      <c r="A573" s="7"/>
      <c r="B573" s="5"/>
      <c r="C573" s="6"/>
      <c r="D573" s="6"/>
      <c r="E573" s="6"/>
      <c r="F573" s="6"/>
      <c r="G573" s="6"/>
      <c r="H573" s="6"/>
      <c r="I573" s="6"/>
      <c r="J573" s="11"/>
      <c r="K573" s="591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ht="11.25" customHeight="1">
      <c r="A574" s="7"/>
      <c r="B574" s="5"/>
      <c r="C574" s="6"/>
      <c r="D574" s="6"/>
      <c r="E574" s="6"/>
      <c r="F574" s="6"/>
      <c r="G574" s="6"/>
      <c r="H574" s="6"/>
      <c r="I574" s="6"/>
      <c r="J574" s="11"/>
      <c r="K574" s="591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ht="11.25" customHeight="1">
      <c r="A575" s="7"/>
      <c r="B575" s="5"/>
      <c r="C575" s="6"/>
      <c r="D575" s="6"/>
      <c r="E575" s="6"/>
      <c r="F575" s="6"/>
      <c r="G575" s="6"/>
      <c r="H575" s="6"/>
      <c r="I575" s="6"/>
      <c r="J575" s="11"/>
      <c r="K575" s="591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ht="11.25" customHeight="1">
      <c r="A576" s="7"/>
      <c r="B576" s="5"/>
      <c r="C576" s="6"/>
      <c r="D576" s="6"/>
      <c r="E576" s="6"/>
      <c r="F576" s="6"/>
      <c r="G576" s="6"/>
      <c r="H576" s="6"/>
      <c r="I576" s="6"/>
      <c r="J576" s="11"/>
      <c r="K576" s="591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ht="11.25" customHeight="1">
      <c r="A577" s="7"/>
      <c r="B577" s="5"/>
      <c r="C577" s="6"/>
      <c r="D577" s="6"/>
      <c r="E577" s="6"/>
      <c r="F577" s="6"/>
      <c r="G577" s="6"/>
      <c r="H577" s="6"/>
      <c r="I577" s="6"/>
      <c r="J577" s="11"/>
      <c r="K577" s="591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ht="11.25" customHeight="1">
      <c r="A578" s="7"/>
      <c r="B578" s="5"/>
      <c r="C578" s="6"/>
      <c r="D578" s="6"/>
      <c r="E578" s="6"/>
      <c r="F578" s="6"/>
      <c r="G578" s="6"/>
      <c r="H578" s="6"/>
      <c r="I578" s="6"/>
      <c r="J578" s="11"/>
      <c r="K578" s="591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ht="11.25" customHeight="1">
      <c r="A579" s="7"/>
      <c r="B579" s="5"/>
      <c r="C579" s="6"/>
      <c r="D579" s="6"/>
      <c r="E579" s="6"/>
      <c r="F579" s="6"/>
      <c r="G579" s="6"/>
      <c r="H579" s="6"/>
      <c r="I579" s="6"/>
      <c r="J579" s="11"/>
      <c r="K579" s="591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ht="11.25" customHeight="1">
      <c r="A580" s="7"/>
      <c r="B580" s="5"/>
      <c r="C580" s="6"/>
      <c r="D580" s="6"/>
      <c r="E580" s="6"/>
      <c r="F580" s="6"/>
      <c r="G580" s="6"/>
      <c r="H580" s="6"/>
      <c r="I580" s="6"/>
      <c r="J580" s="11"/>
      <c r="K580" s="591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ht="11.25" customHeight="1">
      <c r="A581" s="7"/>
      <c r="B581" s="5"/>
      <c r="C581" s="6"/>
      <c r="D581" s="6"/>
      <c r="E581" s="6"/>
      <c r="F581" s="6"/>
      <c r="G581" s="6"/>
      <c r="H581" s="6"/>
      <c r="I581" s="6"/>
      <c r="J581" s="11"/>
      <c r="K581" s="591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ht="11.25" customHeight="1">
      <c r="A582" s="7"/>
      <c r="B582" s="5"/>
      <c r="C582" s="6"/>
      <c r="D582" s="6"/>
      <c r="E582" s="6"/>
      <c r="F582" s="6"/>
      <c r="G582" s="6"/>
      <c r="H582" s="6"/>
      <c r="I582" s="6"/>
      <c r="J582" s="11"/>
      <c r="K582" s="591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ht="11.25" customHeight="1">
      <c r="A583" s="7"/>
      <c r="B583" s="5"/>
      <c r="C583" s="6"/>
      <c r="D583" s="6"/>
      <c r="E583" s="6"/>
      <c r="F583" s="6"/>
      <c r="G583" s="6"/>
      <c r="H583" s="6"/>
      <c r="I583" s="6"/>
      <c r="J583" s="11"/>
      <c r="K583" s="591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ht="11.25" customHeight="1">
      <c r="A584" s="7"/>
      <c r="B584" s="5"/>
      <c r="C584" s="6"/>
      <c r="D584" s="6"/>
      <c r="E584" s="6"/>
      <c r="F584" s="6"/>
      <c r="G584" s="6"/>
      <c r="H584" s="6"/>
      <c r="I584" s="6"/>
      <c r="J584" s="11"/>
      <c r="K584" s="591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ht="11.25" customHeight="1">
      <c r="A585" s="7"/>
      <c r="B585" s="5"/>
      <c r="C585" s="6"/>
      <c r="D585" s="6"/>
      <c r="E585" s="6"/>
      <c r="F585" s="6"/>
      <c r="G585" s="6"/>
      <c r="H585" s="6"/>
      <c r="I585" s="6"/>
      <c r="J585" s="11"/>
      <c r="K585" s="591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ht="11.25" customHeight="1">
      <c r="A586" s="7"/>
      <c r="B586" s="5"/>
      <c r="C586" s="6"/>
      <c r="D586" s="6"/>
      <c r="E586" s="6"/>
      <c r="F586" s="6"/>
      <c r="G586" s="6"/>
      <c r="H586" s="6"/>
      <c r="I586" s="6"/>
      <c r="J586" s="11"/>
      <c r="K586" s="591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ht="11.25" customHeight="1">
      <c r="A587" s="7"/>
      <c r="B587" s="5"/>
      <c r="C587" s="6"/>
      <c r="D587" s="6"/>
      <c r="E587" s="6"/>
      <c r="F587" s="6"/>
      <c r="G587" s="6"/>
      <c r="H587" s="6"/>
      <c r="I587" s="6"/>
      <c r="J587" s="11"/>
      <c r="K587" s="591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ht="11.25" customHeight="1">
      <c r="A588" s="7"/>
      <c r="B588" s="5"/>
      <c r="C588" s="6"/>
      <c r="D588" s="6"/>
      <c r="E588" s="6"/>
      <c r="F588" s="6"/>
      <c r="G588" s="6"/>
      <c r="H588" s="6"/>
      <c r="I588" s="6"/>
      <c r="J588" s="11"/>
      <c r="K588" s="591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ht="11.25" customHeight="1">
      <c r="A589" s="7"/>
      <c r="B589" s="5"/>
      <c r="C589" s="6"/>
      <c r="D589" s="6"/>
      <c r="E589" s="6"/>
      <c r="F589" s="6"/>
      <c r="G589" s="6"/>
      <c r="H589" s="6"/>
      <c r="I589" s="6"/>
      <c r="J589" s="11"/>
      <c r="K589" s="591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ht="11.25" customHeight="1">
      <c r="A590" s="7"/>
      <c r="B590" s="5"/>
      <c r="C590" s="6"/>
      <c r="D590" s="6"/>
      <c r="E590" s="6"/>
      <c r="F590" s="6"/>
      <c r="G590" s="6"/>
      <c r="H590" s="6"/>
      <c r="I590" s="6"/>
      <c r="J590" s="11"/>
      <c r="K590" s="591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ht="11.25" customHeight="1">
      <c r="A591" s="7"/>
      <c r="B591" s="5"/>
      <c r="C591" s="6"/>
      <c r="D591" s="6"/>
      <c r="E591" s="6"/>
      <c r="F591" s="6"/>
      <c r="G591" s="6"/>
      <c r="H591" s="6"/>
      <c r="I591" s="6"/>
      <c r="J591" s="11"/>
      <c r="K591" s="591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ht="11.25" customHeight="1">
      <c r="A592" s="7"/>
      <c r="B592" s="5"/>
      <c r="C592" s="6"/>
      <c r="D592" s="6"/>
      <c r="E592" s="6"/>
      <c r="F592" s="6"/>
      <c r="G592" s="6"/>
      <c r="H592" s="6"/>
      <c r="I592" s="6"/>
      <c r="J592" s="11"/>
      <c r="K592" s="591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ht="11.25" customHeight="1">
      <c r="A593" s="7"/>
      <c r="B593" s="5"/>
      <c r="C593" s="6"/>
      <c r="D593" s="6"/>
      <c r="E593" s="6"/>
      <c r="F593" s="6"/>
      <c r="G593" s="6"/>
      <c r="H593" s="6"/>
      <c r="I593" s="6"/>
      <c r="J593" s="11"/>
      <c r="K593" s="591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ht="11.25" customHeight="1">
      <c r="A594" s="7"/>
      <c r="B594" s="5"/>
      <c r="C594" s="6"/>
      <c r="D594" s="6"/>
      <c r="E594" s="6"/>
      <c r="F594" s="6"/>
      <c r="G594" s="6"/>
      <c r="H594" s="6"/>
      <c r="I594" s="6"/>
      <c r="J594" s="11"/>
      <c r="K594" s="591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ht="11.25" customHeight="1">
      <c r="A595" s="7"/>
      <c r="B595" s="5"/>
      <c r="C595" s="6"/>
      <c r="D595" s="6"/>
      <c r="E595" s="6"/>
      <c r="F595" s="6"/>
      <c r="G595" s="6"/>
      <c r="H595" s="6"/>
      <c r="I595" s="6"/>
      <c r="J595" s="11"/>
      <c r="K595" s="591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ht="11.25" customHeight="1">
      <c r="A596" s="7"/>
      <c r="B596" s="5"/>
      <c r="C596" s="6"/>
      <c r="D596" s="6"/>
      <c r="E596" s="6"/>
      <c r="F596" s="6"/>
      <c r="G596" s="6"/>
      <c r="H596" s="6"/>
      <c r="I596" s="6"/>
      <c r="J596" s="11"/>
      <c r="K596" s="591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ht="11.25" customHeight="1">
      <c r="A597" s="7"/>
      <c r="B597" s="5"/>
      <c r="C597" s="6"/>
      <c r="D597" s="6"/>
      <c r="E597" s="6"/>
      <c r="F597" s="6"/>
      <c r="G597" s="6"/>
      <c r="H597" s="6"/>
      <c r="I597" s="6"/>
      <c r="J597" s="11"/>
      <c r="K597" s="591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ht="11.25" customHeight="1">
      <c r="A598" s="7"/>
      <c r="B598" s="5"/>
      <c r="C598" s="6"/>
      <c r="D598" s="6"/>
      <c r="E598" s="6"/>
      <c r="F598" s="6"/>
      <c r="G598" s="6"/>
      <c r="H598" s="6"/>
      <c r="I598" s="6"/>
      <c r="J598" s="11"/>
      <c r="K598" s="591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ht="11.25" customHeight="1">
      <c r="A599" s="7"/>
      <c r="B599" s="5"/>
      <c r="C599" s="6"/>
      <c r="D599" s="6"/>
      <c r="E599" s="6"/>
      <c r="F599" s="6"/>
      <c r="G599" s="6"/>
      <c r="H599" s="6"/>
      <c r="I599" s="6"/>
      <c r="J599" s="11"/>
      <c r="K599" s="591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ht="11.25" customHeight="1">
      <c r="A600" s="7"/>
      <c r="B600" s="5"/>
      <c r="C600" s="6"/>
      <c r="D600" s="6"/>
      <c r="E600" s="6"/>
      <c r="F600" s="6"/>
      <c r="G600" s="6"/>
      <c r="H600" s="6"/>
      <c r="I600" s="6"/>
      <c r="J600" s="11"/>
      <c r="K600" s="591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ht="11.25" customHeight="1">
      <c r="A601" s="7"/>
      <c r="B601" s="5"/>
      <c r="C601" s="6"/>
      <c r="D601" s="6"/>
      <c r="E601" s="6"/>
      <c r="F601" s="6"/>
      <c r="G601" s="6"/>
      <c r="H601" s="6"/>
      <c r="I601" s="6"/>
      <c r="J601" s="11"/>
      <c r="K601" s="591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ht="11.25" customHeight="1">
      <c r="A602" s="7"/>
      <c r="B602" s="5"/>
      <c r="C602" s="6"/>
      <c r="D602" s="6"/>
      <c r="E602" s="6"/>
      <c r="F602" s="6"/>
      <c r="G602" s="6"/>
      <c r="H602" s="6"/>
      <c r="I602" s="6"/>
      <c r="J602" s="11"/>
      <c r="K602" s="591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ht="11.25" customHeight="1">
      <c r="A603" s="7"/>
      <c r="B603" s="5"/>
      <c r="C603" s="6"/>
      <c r="D603" s="6"/>
      <c r="E603" s="6"/>
      <c r="F603" s="6"/>
      <c r="G603" s="6"/>
      <c r="H603" s="6"/>
      <c r="I603" s="6"/>
      <c r="J603" s="11"/>
      <c r="K603" s="591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ht="11.25" customHeight="1">
      <c r="A604" s="7"/>
      <c r="B604" s="5"/>
      <c r="C604" s="6"/>
      <c r="D604" s="6"/>
      <c r="E604" s="6"/>
      <c r="F604" s="6"/>
      <c r="G604" s="6"/>
      <c r="H604" s="6"/>
      <c r="I604" s="6"/>
      <c r="J604" s="11"/>
      <c r="K604" s="591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ht="11.25" customHeight="1">
      <c r="A605" s="7"/>
      <c r="B605" s="5"/>
      <c r="C605" s="6"/>
      <c r="D605" s="6"/>
      <c r="E605" s="6"/>
      <c r="F605" s="6"/>
      <c r="G605" s="6"/>
      <c r="H605" s="6"/>
      <c r="I605" s="6"/>
      <c r="J605" s="11"/>
      <c r="K605" s="591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ht="11.25" customHeight="1">
      <c r="A606" s="7"/>
      <c r="B606" s="5"/>
      <c r="C606" s="6"/>
      <c r="D606" s="6"/>
      <c r="E606" s="6"/>
      <c r="F606" s="6"/>
      <c r="G606" s="6"/>
      <c r="H606" s="6"/>
      <c r="I606" s="6"/>
      <c r="J606" s="11"/>
      <c r="K606" s="591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ht="11.25" customHeight="1">
      <c r="A607" s="7"/>
      <c r="B607" s="5"/>
      <c r="C607" s="6"/>
      <c r="D607" s="6"/>
      <c r="E607" s="6"/>
      <c r="F607" s="6"/>
      <c r="G607" s="6"/>
      <c r="H607" s="6"/>
      <c r="I607" s="6"/>
      <c r="J607" s="11"/>
      <c r="K607" s="591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ht="11.25" customHeight="1">
      <c r="A608" s="7"/>
      <c r="B608" s="5"/>
      <c r="C608" s="6"/>
      <c r="D608" s="6"/>
      <c r="E608" s="6"/>
      <c r="F608" s="6"/>
      <c r="G608" s="6"/>
      <c r="H608" s="6"/>
      <c r="I608" s="6"/>
      <c r="J608" s="11"/>
      <c r="K608" s="591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ht="11.25" customHeight="1">
      <c r="A609" s="7"/>
      <c r="B609" s="5"/>
      <c r="C609" s="6"/>
      <c r="D609" s="6"/>
      <c r="E609" s="6"/>
      <c r="F609" s="6"/>
      <c r="G609" s="6"/>
      <c r="H609" s="6"/>
      <c r="I609" s="6"/>
      <c r="J609" s="11"/>
      <c r="K609" s="591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ht="11.25" customHeight="1">
      <c r="A610" s="7"/>
      <c r="B610" s="5"/>
      <c r="C610" s="6"/>
      <c r="D610" s="6"/>
      <c r="E610" s="6"/>
      <c r="F610" s="6"/>
      <c r="G610" s="6"/>
      <c r="H610" s="6"/>
      <c r="I610" s="6"/>
      <c r="J610" s="11"/>
      <c r="K610" s="591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ht="11.25" customHeight="1">
      <c r="A611" s="7"/>
      <c r="B611" s="5"/>
      <c r="C611" s="6"/>
      <c r="D611" s="6"/>
      <c r="E611" s="6"/>
      <c r="F611" s="6"/>
      <c r="G611" s="6"/>
      <c r="H611" s="6"/>
      <c r="I611" s="6"/>
      <c r="J611" s="11"/>
      <c r="K611" s="591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ht="11.25" customHeight="1">
      <c r="A612" s="7"/>
      <c r="B612" s="5"/>
      <c r="C612" s="6"/>
      <c r="D612" s="6"/>
      <c r="E612" s="6"/>
      <c r="F612" s="6"/>
      <c r="G612" s="6"/>
      <c r="H612" s="6"/>
      <c r="I612" s="6"/>
      <c r="J612" s="11"/>
      <c r="K612" s="591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ht="11.25" customHeight="1">
      <c r="A613" s="7"/>
      <c r="B613" s="5"/>
      <c r="C613" s="6"/>
      <c r="D613" s="6"/>
      <c r="E613" s="6"/>
      <c r="F613" s="6"/>
      <c r="G613" s="6"/>
      <c r="H613" s="6"/>
      <c r="I613" s="6"/>
      <c r="J613" s="11"/>
      <c r="K613" s="591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ht="11.25" customHeight="1">
      <c r="A614" s="7"/>
      <c r="B614" s="5"/>
      <c r="C614" s="6"/>
      <c r="D614" s="6"/>
      <c r="E614" s="6"/>
      <c r="F614" s="6"/>
      <c r="G614" s="6"/>
      <c r="H614" s="6"/>
      <c r="I614" s="6"/>
      <c r="J614" s="11"/>
      <c r="K614" s="591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ht="11.25" customHeight="1">
      <c r="A615" s="7"/>
      <c r="B615" s="5"/>
      <c r="C615" s="6"/>
      <c r="D615" s="6"/>
      <c r="E615" s="6"/>
      <c r="F615" s="6"/>
      <c r="G615" s="6"/>
      <c r="H615" s="6"/>
      <c r="I615" s="6"/>
      <c r="J615" s="11"/>
      <c r="K615" s="591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ht="11.25" customHeight="1">
      <c r="A616" s="7"/>
      <c r="B616" s="5"/>
      <c r="C616" s="6"/>
      <c r="D616" s="6"/>
      <c r="E616" s="6"/>
      <c r="F616" s="6"/>
      <c r="G616" s="6"/>
      <c r="H616" s="6"/>
      <c r="I616" s="6"/>
      <c r="J616" s="11"/>
      <c r="K616" s="591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ht="11.25" customHeight="1">
      <c r="A617" s="7"/>
      <c r="B617" s="5"/>
      <c r="C617" s="6"/>
      <c r="D617" s="6"/>
      <c r="E617" s="6"/>
      <c r="F617" s="6"/>
      <c r="G617" s="6"/>
      <c r="H617" s="6"/>
      <c r="I617" s="6"/>
      <c r="J617" s="11"/>
      <c r="K617" s="591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ht="11.25" customHeight="1">
      <c r="A618" s="7"/>
      <c r="B618" s="5"/>
      <c r="C618" s="6"/>
      <c r="D618" s="6"/>
      <c r="E618" s="6"/>
      <c r="F618" s="6"/>
      <c r="G618" s="6"/>
      <c r="H618" s="6"/>
      <c r="I618" s="6"/>
      <c r="J618" s="11"/>
      <c r="K618" s="591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ht="11.25" customHeight="1">
      <c r="A619" s="7"/>
      <c r="B619" s="5"/>
      <c r="C619" s="6"/>
      <c r="D619" s="6"/>
      <c r="E619" s="6"/>
      <c r="F619" s="6"/>
      <c r="G619" s="6"/>
      <c r="H619" s="6"/>
      <c r="I619" s="6"/>
      <c r="J619" s="11"/>
      <c r="K619" s="591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ht="11.25" customHeight="1">
      <c r="A620" s="7"/>
      <c r="B620" s="5"/>
      <c r="C620" s="6"/>
      <c r="D620" s="6"/>
      <c r="E620" s="6"/>
      <c r="F620" s="6"/>
      <c r="G620" s="6"/>
      <c r="H620" s="6"/>
      <c r="I620" s="6"/>
      <c r="J620" s="11"/>
      <c r="K620" s="591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ht="11.25" customHeight="1">
      <c r="A621" s="7"/>
      <c r="B621" s="5"/>
      <c r="C621" s="6"/>
      <c r="D621" s="6"/>
      <c r="E621" s="6"/>
      <c r="F621" s="6"/>
      <c r="G621" s="6"/>
      <c r="H621" s="6"/>
      <c r="I621" s="6"/>
      <c r="J621" s="11"/>
      <c r="K621" s="591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ht="11.25" customHeight="1">
      <c r="A622" s="7"/>
      <c r="B622" s="5"/>
      <c r="C622" s="6"/>
      <c r="D622" s="6"/>
      <c r="E622" s="6"/>
      <c r="F622" s="6"/>
      <c r="G622" s="6"/>
      <c r="H622" s="6"/>
      <c r="I622" s="6"/>
      <c r="J622" s="11"/>
      <c r="K622" s="591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ht="11.25" customHeight="1">
      <c r="A623" s="7"/>
      <c r="B623" s="5"/>
      <c r="C623" s="6"/>
      <c r="D623" s="6"/>
      <c r="E623" s="6"/>
      <c r="F623" s="6"/>
      <c r="G623" s="6"/>
      <c r="H623" s="6"/>
      <c r="I623" s="6"/>
      <c r="J623" s="11"/>
      <c r="K623" s="591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ht="11.25" customHeight="1">
      <c r="A624" s="7"/>
      <c r="B624" s="5"/>
      <c r="C624" s="6"/>
      <c r="D624" s="6"/>
      <c r="E624" s="6"/>
      <c r="F624" s="6"/>
      <c r="G624" s="6"/>
      <c r="H624" s="6"/>
      <c r="I624" s="6"/>
      <c r="J624" s="11"/>
      <c r="K624" s="591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ht="11.25" customHeight="1">
      <c r="A625" s="7"/>
      <c r="B625" s="5"/>
      <c r="C625" s="6"/>
      <c r="D625" s="6"/>
      <c r="E625" s="6"/>
      <c r="F625" s="6"/>
      <c r="G625" s="6"/>
      <c r="H625" s="6"/>
      <c r="I625" s="6"/>
      <c r="J625" s="11"/>
      <c r="K625" s="591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ht="11.25" customHeight="1">
      <c r="A626" s="7"/>
      <c r="B626" s="5"/>
      <c r="C626" s="6"/>
      <c r="D626" s="6"/>
      <c r="E626" s="6"/>
      <c r="F626" s="6"/>
      <c r="G626" s="6"/>
      <c r="H626" s="6"/>
      <c r="I626" s="6"/>
      <c r="J626" s="11"/>
      <c r="K626" s="591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ht="11.25" customHeight="1">
      <c r="A627" s="7"/>
      <c r="B627" s="5"/>
      <c r="C627" s="6"/>
      <c r="D627" s="6"/>
      <c r="E627" s="6"/>
      <c r="F627" s="6"/>
      <c r="G627" s="6"/>
      <c r="H627" s="6"/>
      <c r="I627" s="6"/>
      <c r="J627" s="11"/>
      <c r="K627" s="591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ht="11.25" customHeight="1">
      <c r="A628" s="7"/>
      <c r="B628" s="5"/>
      <c r="C628" s="6"/>
      <c r="D628" s="6"/>
      <c r="E628" s="6"/>
      <c r="F628" s="6"/>
      <c r="G628" s="6"/>
      <c r="H628" s="6"/>
      <c r="I628" s="6"/>
      <c r="J628" s="11"/>
      <c r="K628" s="591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ht="11.25" customHeight="1">
      <c r="A629" s="7"/>
      <c r="B629" s="5"/>
      <c r="C629" s="6"/>
      <c r="D629" s="6"/>
      <c r="E629" s="6"/>
      <c r="F629" s="6"/>
      <c r="G629" s="6"/>
      <c r="H629" s="6"/>
      <c r="I629" s="6"/>
      <c r="J629" s="11"/>
      <c r="K629" s="591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ht="11.25" customHeight="1">
      <c r="A630" s="7"/>
      <c r="B630" s="5"/>
      <c r="C630" s="6"/>
      <c r="D630" s="6"/>
      <c r="E630" s="6"/>
      <c r="F630" s="6"/>
      <c r="G630" s="6"/>
      <c r="H630" s="6"/>
      <c r="I630" s="6"/>
      <c r="J630" s="11"/>
      <c r="K630" s="591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ht="11.25" customHeight="1">
      <c r="A631" s="7"/>
      <c r="B631" s="5"/>
      <c r="C631" s="6"/>
      <c r="D631" s="6"/>
      <c r="E631" s="6"/>
      <c r="F631" s="6"/>
      <c r="G631" s="6"/>
      <c r="H631" s="6"/>
      <c r="I631" s="6"/>
      <c r="J631" s="11"/>
      <c r="K631" s="591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ht="11.25" customHeight="1">
      <c r="A632" s="7"/>
      <c r="B632" s="5"/>
      <c r="C632" s="6"/>
      <c r="D632" s="6"/>
      <c r="E632" s="6"/>
      <c r="F632" s="6"/>
      <c r="G632" s="6"/>
      <c r="H632" s="6"/>
      <c r="I632" s="6"/>
      <c r="J632" s="11"/>
      <c r="K632" s="591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ht="11.25" customHeight="1">
      <c r="A633" s="7"/>
      <c r="B633" s="5"/>
      <c r="C633" s="6"/>
      <c r="D633" s="6"/>
      <c r="E633" s="6"/>
      <c r="F633" s="6"/>
      <c r="G633" s="6"/>
      <c r="H633" s="6"/>
      <c r="I633" s="6"/>
      <c r="J633" s="11"/>
      <c r="K633" s="591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ht="11.25" customHeight="1">
      <c r="A634" s="7"/>
      <c r="B634" s="5"/>
      <c r="C634" s="6"/>
      <c r="D634" s="6"/>
      <c r="E634" s="6"/>
      <c r="F634" s="6"/>
      <c r="G634" s="6"/>
      <c r="H634" s="6"/>
      <c r="I634" s="6"/>
      <c r="J634" s="11"/>
      <c r="K634" s="591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ht="11.25" customHeight="1">
      <c r="A635" s="7"/>
      <c r="B635" s="5"/>
      <c r="C635" s="6"/>
      <c r="D635" s="6"/>
      <c r="E635" s="6"/>
      <c r="F635" s="6"/>
      <c r="G635" s="6"/>
      <c r="H635" s="6"/>
      <c r="I635" s="6"/>
      <c r="J635" s="11"/>
      <c r="K635" s="591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ht="11.25" customHeight="1">
      <c r="A636" s="7"/>
      <c r="B636" s="5"/>
      <c r="C636" s="6"/>
      <c r="D636" s="6"/>
      <c r="E636" s="6"/>
      <c r="F636" s="6"/>
      <c r="G636" s="6"/>
      <c r="H636" s="6"/>
      <c r="I636" s="6"/>
      <c r="J636" s="11"/>
      <c r="K636" s="591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ht="11.25" customHeight="1">
      <c r="A637" s="7"/>
      <c r="B637" s="5"/>
      <c r="C637" s="6"/>
      <c r="D637" s="6"/>
      <c r="E637" s="6"/>
      <c r="F637" s="6"/>
      <c r="G637" s="6"/>
      <c r="H637" s="6"/>
      <c r="I637" s="6"/>
      <c r="J637" s="11"/>
      <c r="K637" s="591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ht="11.25" customHeight="1">
      <c r="A638" s="7"/>
      <c r="B638" s="5"/>
      <c r="C638" s="6"/>
      <c r="D638" s="6"/>
      <c r="E638" s="6"/>
      <c r="F638" s="6"/>
      <c r="G638" s="6"/>
      <c r="H638" s="6"/>
      <c r="I638" s="6"/>
      <c r="J638" s="11"/>
      <c r="K638" s="591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ht="11.25" customHeight="1">
      <c r="A639" s="7"/>
      <c r="B639" s="5"/>
      <c r="C639" s="6"/>
      <c r="D639" s="6"/>
      <c r="E639" s="6"/>
      <c r="F639" s="6"/>
      <c r="G639" s="6"/>
      <c r="H639" s="6"/>
      <c r="I639" s="6"/>
      <c r="J639" s="11"/>
      <c r="K639" s="591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ht="11.25" customHeight="1">
      <c r="A640" s="7"/>
      <c r="B640" s="5"/>
      <c r="C640" s="6"/>
      <c r="D640" s="6"/>
      <c r="E640" s="6"/>
      <c r="F640" s="6"/>
      <c r="G640" s="6"/>
      <c r="H640" s="6"/>
      <c r="I640" s="6"/>
      <c r="J640" s="11"/>
      <c r="K640" s="591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ht="11.25" customHeight="1">
      <c r="A641" s="7"/>
      <c r="B641" s="5"/>
      <c r="C641" s="6"/>
      <c r="D641" s="6"/>
      <c r="E641" s="6"/>
      <c r="F641" s="6"/>
      <c r="G641" s="6"/>
      <c r="H641" s="6"/>
      <c r="I641" s="6"/>
      <c r="J641" s="11"/>
      <c r="K641" s="591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ht="11.25" customHeight="1">
      <c r="A642" s="7"/>
      <c r="B642" s="5"/>
      <c r="C642" s="6"/>
      <c r="D642" s="6"/>
      <c r="E642" s="6"/>
      <c r="F642" s="6"/>
      <c r="G642" s="6"/>
      <c r="H642" s="6"/>
      <c r="I642" s="6"/>
      <c r="J642" s="11"/>
      <c r="K642" s="591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ht="11.25" customHeight="1">
      <c r="A643" s="7"/>
      <c r="B643" s="5"/>
      <c r="C643" s="6"/>
      <c r="D643" s="6"/>
      <c r="E643" s="6"/>
      <c r="F643" s="6"/>
      <c r="G643" s="6"/>
      <c r="H643" s="6"/>
      <c r="I643" s="6"/>
      <c r="J643" s="11"/>
      <c r="K643" s="591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ht="11.25" customHeight="1">
      <c r="A644" s="7"/>
      <c r="B644" s="5"/>
      <c r="C644" s="6"/>
      <c r="D644" s="6"/>
      <c r="E644" s="6"/>
      <c r="F644" s="6"/>
      <c r="G644" s="6"/>
      <c r="H644" s="6"/>
      <c r="I644" s="6"/>
      <c r="J644" s="11"/>
      <c r="K644" s="591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ht="11.25" customHeight="1">
      <c r="A645" s="7"/>
      <c r="B645" s="5"/>
      <c r="C645" s="6"/>
      <c r="D645" s="6"/>
      <c r="E645" s="6"/>
      <c r="F645" s="6"/>
      <c r="G645" s="6"/>
      <c r="H645" s="6"/>
      <c r="I645" s="6"/>
      <c r="J645" s="11"/>
      <c r="K645" s="591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ht="11.25" customHeight="1">
      <c r="A646" s="7"/>
      <c r="B646" s="5"/>
      <c r="C646" s="6"/>
      <c r="D646" s="6"/>
      <c r="E646" s="6"/>
      <c r="F646" s="6"/>
      <c r="G646" s="6"/>
      <c r="H646" s="6"/>
      <c r="I646" s="6"/>
      <c r="J646" s="11"/>
      <c r="K646" s="591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ht="11.25" customHeight="1">
      <c r="A647" s="7"/>
      <c r="B647" s="5"/>
      <c r="C647" s="6"/>
      <c r="D647" s="6"/>
      <c r="E647" s="6"/>
      <c r="F647" s="6"/>
      <c r="G647" s="6"/>
      <c r="H647" s="6"/>
      <c r="I647" s="6"/>
      <c r="J647" s="11"/>
      <c r="K647" s="591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ht="11.25" customHeight="1">
      <c r="A648" s="7"/>
      <c r="B648" s="5"/>
      <c r="C648" s="6"/>
      <c r="D648" s="6"/>
      <c r="E648" s="6"/>
      <c r="F648" s="6"/>
      <c r="G648" s="6"/>
      <c r="H648" s="6"/>
      <c r="I648" s="6"/>
      <c r="J648" s="11"/>
      <c r="K648" s="591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ht="11.25" customHeight="1">
      <c r="A649" s="7"/>
      <c r="B649" s="5"/>
      <c r="C649" s="6"/>
      <c r="D649" s="6"/>
      <c r="E649" s="6"/>
      <c r="F649" s="6"/>
      <c r="G649" s="6"/>
      <c r="H649" s="6"/>
      <c r="I649" s="6"/>
      <c r="J649" s="11"/>
      <c r="K649" s="591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ht="11.25" customHeight="1">
      <c r="A650" s="7"/>
      <c r="B650" s="5"/>
      <c r="C650" s="6"/>
      <c r="D650" s="6"/>
      <c r="E650" s="6"/>
      <c r="F650" s="6"/>
      <c r="G650" s="6"/>
      <c r="H650" s="6"/>
      <c r="I650" s="6"/>
      <c r="J650" s="11"/>
      <c r="K650" s="591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ht="11.25" customHeight="1">
      <c r="A651" s="7"/>
      <c r="B651" s="5"/>
      <c r="C651" s="6"/>
      <c r="D651" s="6"/>
      <c r="E651" s="6"/>
      <c r="F651" s="6"/>
      <c r="G651" s="6"/>
      <c r="H651" s="6"/>
      <c r="I651" s="6"/>
      <c r="J651" s="11"/>
      <c r="K651" s="591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ht="11.25" customHeight="1">
      <c r="A652" s="7"/>
      <c r="B652" s="5"/>
      <c r="C652" s="6"/>
      <c r="D652" s="6"/>
      <c r="E652" s="6"/>
      <c r="F652" s="6"/>
      <c r="G652" s="6"/>
      <c r="H652" s="6"/>
      <c r="I652" s="6"/>
      <c r="J652" s="11"/>
      <c r="K652" s="591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ht="11.25" customHeight="1">
      <c r="A653" s="7"/>
      <c r="B653" s="5"/>
      <c r="C653" s="6"/>
      <c r="D653" s="6"/>
      <c r="E653" s="6"/>
      <c r="F653" s="6"/>
      <c r="G653" s="6"/>
      <c r="H653" s="6"/>
      <c r="I653" s="6"/>
      <c r="J653" s="11"/>
      <c r="K653" s="591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ht="11.25" customHeight="1">
      <c r="A654" s="7"/>
      <c r="B654" s="5"/>
      <c r="C654" s="6"/>
      <c r="D654" s="6"/>
      <c r="E654" s="6"/>
      <c r="F654" s="6"/>
      <c r="G654" s="6"/>
      <c r="H654" s="6"/>
      <c r="I654" s="6"/>
      <c r="J654" s="11"/>
      <c r="K654" s="591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ht="11.25" customHeight="1">
      <c r="A655" s="7"/>
      <c r="B655" s="5"/>
      <c r="C655" s="6"/>
      <c r="D655" s="6"/>
      <c r="E655" s="6"/>
      <c r="F655" s="6"/>
      <c r="G655" s="6"/>
      <c r="H655" s="6"/>
      <c r="I655" s="6"/>
      <c r="J655" s="11"/>
      <c r="K655" s="591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ht="11.25" customHeight="1">
      <c r="A656" s="7"/>
      <c r="B656" s="5"/>
      <c r="C656" s="6"/>
      <c r="D656" s="6"/>
      <c r="E656" s="6"/>
      <c r="F656" s="6"/>
      <c r="G656" s="6"/>
      <c r="H656" s="6"/>
      <c r="I656" s="6"/>
      <c r="J656" s="11"/>
      <c r="K656" s="591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ht="11.25" customHeight="1">
      <c r="A657" s="7"/>
      <c r="B657" s="5"/>
      <c r="C657" s="6"/>
      <c r="D657" s="6"/>
      <c r="E657" s="6"/>
      <c r="F657" s="6"/>
      <c r="G657" s="6"/>
      <c r="H657" s="6"/>
      <c r="I657" s="6"/>
      <c r="J657" s="11"/>
      <c r="K657" s="591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ht="11.25" customHeight="1">
      <c r="A658" s="7"/>
      <c r="B658" s="5"/>
      <c r="C658" s="6"/>
      <c r="D658" s="6"/>
      <c r="E658" s="6"/>
      <c r="F658" s="6"/>
      <c r="G658" s="6"/>
      <c r="H658" s="6"/>
      <c r="I658" s="6"/>
      <c r="J658" s="11"/>
      <c r="K658" s="591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ht="11.25" customHeight="1">
      <c r="A659" s="7"/>
      <c r="B659" s="5"/>
      <c r="C659" s="6"/>
      <c r="D659" s="6"/>
      <c r="E659" s="6"/>
      <c r="F659" s="6"/>
      <c r="G659" s="6"/>
      <c r="H659" s="6"/>
      <c r="I659" s="6"/>
      <c r="J659" s="11"/>
      <c r="K659" s="591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ht="11.25" customHeight="1">
      <c r="A660" s="7"/>
      <c r="B660" s="5"/>
      <c r="C660" s="6"/>
      <c r="D660" s="6"/>
      <c r="E660" s="6"/>
      <c r="F660" s="6"/>
      <c r="G660" s="6"/>
      <c r="H660" s="6"/>
      <c r="I660" s="6"/>
      <c r="J660" s="11"/>
      <c r="K660" s="591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ht="11.25" customHeight="1">
      <c r="A661" s="7"/>
      <c r="B661" s="5"/>
      <c r="C661" s="6"/>
      <c r="D661" s="6"/>
      <c r="E661" s="6"/>
      <c r="F661" s="6"/>
      <c r="G661" s="6"/>
      <c r="H661" s="6"/>
      <c r="I661" s="6"/>
      <c r="J661" s="11"/>
      <c r="K661" s="591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ht="11.25" customHeight="1">
      <c r="A662" s="7"/>
      <c r="B662" s="5"/>
      <c r="C662" s="6"/>
      <c r="D662" s="6"/>
      <c r="E662" s="6"/>
      <c r="F662" s="6"/>
      <c r="G662" s="6"/>
      <c r="H662" s="6"/>
      <c r="I662" s="6"/>
      <c r="J662" s="11"/>
      <c r="K662" s="591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ht="11.25" customHeight="1">
      <c r="A663" s="7"/>
      <c r="B663" s="5"/>
      <c r="C663" s="6"/>
      <c r="D663" s="6"/>
      <c r="E663" s="6"/>
      <c r="F663" s="6"/>
      <c r="G663" s="6"/>
      <c r="H663" s="6"/>
      <c r="I663" s="6"/>
      <c r="J663" s="11"/>
      <c r="K663" s="591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ht="11.25" customHeight="1">
      <c r="A664" s="7"/>
      <c r="B664" s="5"/>
      <c r="C664" s="6"/>
      <c r="D664" s="6"/>
      <c r="E664" s="6"/>
      <c r="F664" s="6"/>
      <c r="G664" s="6"/>
      <c r="H664" s="6"/>
      <c r="I664" s="6"/>
      <c r="J664" s="11"/>
      <c r="K664" s="591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ht="11.25" customHeight="1">
      <c r="A665" s="7"/>
      <c r="B665" s="5"/>
      <c r="C665" s="6"/>
      <c r="D665" s="6"/>
      <c r="E665" s="6"/>
      <c r="F665" s="6"/>
      <c r="G665" s="6"/>
      <c r="H665" s="6"/>
      <c r="I665" s="6"/>
      <c r="J665" s="11"/>
      <c r="K665" s="591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ht="11.25" customHeight="1">
      <c r="A666" s="7"/>
      <c r="B666" s="5"/>
      <c r="C666" s="6"/>
      <c r="D666" s="6"/>
      <c r="E666" s="6"/>
      <c r="F666" s="6"/>
      <c r="G666" s="6"/>
      <c r="H666" s="6"/>
      <c r="I666" s="6"/>
      <c r="J666" s="11"/>
      <c r="K666" s="591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ht="11.25" customHeight="1">
      <c r="A667" s="7"/>
      <c r="B667" s="5"/>
      <c r="C667" s="6"/>
      <c r="D667" s="6"/>
      <c r="E667" s="6"/>
      <c r="F667" s="6"/>
      <c r="G667" s="6"/>
      <c r="H667" s="6"/>
      <c r="I667" s="6"/>
      <c r="J667" s="11"/>
      <c r="K667" s="591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ht="11.25" customHeight="1">
      <c r="A668" s="7"/>
      <c r="B668" s="5"/>
      <c r="C668" s="6"/>
      <c r="D668" s="6"/>
      <c r="E668" s="6"/>
      <c r="F668" s="6"/>
      <c r="G668" s="6"/>
      <c r="H668" s="6"/>
      <c r="I668" s="6"/>
      <c r="J668" s="11"/>
      <c r="K668" s="591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ht="11.25" customHeight="1">
      <c r="A669" s="7"/>
      <c r="B669" s="5"/>
      <c r="C669" s="6"/>
      <c r="D669" s="6"/>
      <c r="E669" s="6"/>
      <c r="F669" s="6"/>
      <c r="G669" s="6"/>
      <c r="H669" s="6"/>
      <c r="I669" s="6"/>
      <c r="J669" s="11"/>
      <c r="K669" s="591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ht="11.25" customHeight="1">
      <c r="A670" s="7"/>
      <c r="B670" s="5"/>
      <c r="C670" s="6"/>
      <c r="D670" s="6"/>
      <c r="E670" s="6"/>
      <c r="F670" s="6"/>
      <c r="G670" s="6"/>
      <c r="H670" s="6"/>
      <c r="I670" s="6"/>
      <c r="J670" s="11"/>
      <c r="K670" s="591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ht="11.25" customHeight="1">
      <c r="A671" s="7"/>
      <c r="B671" s="5"/>
      <c r="C671" s="6"/>
      <c r="D671" s="6"/>
      <c r="E671" s="6"/>
      <c r="F671" s="6"/>
      <c r="G671" s="6"/>
      <c r="H671" s="6"/>
      <c r="I671" s="6"/>
      <c r="J671" s="11"/>
      <c r="K671" s="591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ht="11.25" customHeight="1">
      <c r="A672" s="7"/>
      <c r="B672" s="5"/>
      <c r="C672" s="6"/>
      <c r="D672" s="6"/>
      <c r="E672" s="6"/>
      <c r="F672" s="6"/>
      <c r="G672" s="6"/>
      <c r="H672" s="6"/>
      <c r="I672" s="6"/>
      <c r="J672" s="11"/>
      <c r="K672" s="591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ht="11.25" customHeight="1">
      <c r="A673" s="7"/>
      <c r="B673" s="5"/>
      <c r="C673" s="6"/>
      <c r="D673" s="6"/>
      <c r="E673" s="6"/>
      <c r="F673" s="6"/>
      <c r="G673" s="6"/>
      <c r="H673" s="6"/>
      <c r="I673" s="6"/>
      <c r="J673" s="11"/>
      <c r="K673" s="591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ht="11.25" customHeight="1">
      <c r="A674" s="7"/>
      <c r="B674" s="5"/>
      <c r="C674" s="6"/>
      <c r="D674" s="6"/>
      <c r="E674" s="6"/>
      <c r="F674" s="6"/>
      <c r="G674" s="6"/>
      <c r="H674" s="6"/>
      <c r="I674" s="6"/>
      <c r="J674" s="11"/>
      <c r="K674" s="591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ht="11.25" customHeight="1">
      <c r="A675" s="7"/>
      <c r="B675" s="5"/>
      <c r="C675" s="6"/>
      <c r="D675" s="6"/>
      <c r="E675" s="6"/>
      <c r="F675" s="6"/>
      <c r="G675" s="6"/>
      <c r="H675" s="6"/>
      <c r="I675" s="6"/>
      <c r="J675" s="11"/>
      <c r="K675" s="591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ht="11.25" customHeight="1">
      <c r="A676" s="7"/>
      <c r="B676" s="5"/>
      <c r="C676" s="6"/>
      <c r="D676" s="6"/>
      <c r="E676" s="6"/>
      <c r="F676" s="6"/>
      <c r="G676" s="6"/>
      <c r="H676" s="6"/>
      <c r="I676" s="6"/>
      <c r="J676" s="11"/>
      <c r="K676" s="591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ht="11.25" customHeight="1">
      <c r="A677" s="7"/>
      <c r="B677" s="5"/>
      <c r="C677" s="6"/>
      <c r="D677" s="6"/>
      <c r="E677" s="6"/>
      <c r="F677" s="6"/>
      <c r="G677" s="6"/>
      <c r="H677" s="6"/>
      <c r="I677" s="6"/>
      <c r="J677" s="11"/>
      <c r="K677" s="591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ht="11.25" customHeight="1">
      <c r="A678" s="7"/>
      <c r="B678" s="5"/>
      <c r="C678" s="6"/>
      <c r="D678" s="6"/>
      <c r="E678" s="6"/>
      <c r="F678" s="6"/>
      <c r="G678" s="6"/>
      <c r="H678" s="6"/>
      <c r="I678" s="6"/>
      <c r="J678" s="11"/>
      <c r="K678" s="591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ht="11.25" customHeight="1">
      <c r="A679" s="7"/>
      <c r="B679" s="5"/>
      <c r="C679" s="6"/>
      <c r="D679" s="6"/>
      <c r="E679" s="6"/>
      <c r="F679" s="6"/>
      <c r="G679" s="6"/>
      <c r="H679" s="6"/>
      <c r="I679" s="6"/>
      <c r="J679" s="11"/>
      <c r="K679" s="591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ht="11.25" customHeight="1">
      <c r="A680" s="7"/>
      <c r="B680" s="5"/>
      <c r="C680" s="6"/>
      <c r="D680" s="6"/>
      <c r="E680" s="6"/>
      <c r="F680" s="6"/>
      <c r="G680" s="6"/>
      <c r="H680" s="6"/>
      <c r="I680" s="6"/>
      <c r="J680" s="11"/>
      <c r="K680" s="591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ht="11.25" customHeight="1">
      <c r="A681" s="7"/>
      <c r="B681" s="5"/>
      <c r="C681" s="6"/>
      <c r="D681" s="6"/>
      <c r="E681" s="6"/>
      <c r="F681" s="6"/>
      <c r="G681" s="6"/>
      <c r="H681" s="6"/>
      <c r="I681" s="6"/>
      <c r="J681" s="11"/>
      <c r="K681" s="591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ht="11.25" customHeight="1">
      <c r="A682" s="7"/>
      <c r="B682" s="5"/>
      <c r="C682" s="6"/>
      <c r="D682" s="6"/>
      <c r="E682" s="6"/>
      <c r="F682" s="6"/>
      <c r="G682" s="6"/>
      <c r="H682" s="6"/>
      <c r="I682" s="6"/>
      <c r="J682" s="11"/>
      <c r="K682" s="591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ht="11.25" customHeight="1">
      <c r="A683" s="7"/>
      <c r="B683" s="5"/>
      <c r="C683" s="6"/>
      <c r="D683" s="6"/>
      <c r="E683" s="6"/>
      <c r="F683" s="6"/>
      <c r="G683" s="6"/>
      <c r="H683" s="6"/>
      <c r="I683" s="6"/>
      <c r="J683" s="11"/>
      <c r="K683" s="591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ht="11.25" customHeight="1">
      <c r="A684" s="7"/>
      <c r="B684" s="5"/>
      <c r="C684" s="6"/>
      <c r="D684" s="6"/>
      <c r="E684" s="6"/>
      <c r="F684" s="6"/>
      <c r="G684" s="6"/>
      <c r="H684" s="6"/>
      <c r="I684" s="6"/>
      <c r="J684" s="11"/>
      <c r="K684" s="591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ht="11.25" customHeight="1">
      <c r="A685" s="7"/>
      <c r="B685" s="5"/>
      <c r="C685" s="6"/>
      <c r="D685" s="6"/>
      <c r="E685" s="6"/>
      <c r="F685" s="6"/>
      <c r="G685" s="6"/>
      <c r="H685" s="6"/>
      <c r="I685" s="6"/>
      <c r="J685" s="11"/>
      <c r="K685" s="591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ht="11.25" customHeight="1">
      <c r="A686" s="7"/>
      <c r="B686" s="5"/>
      <c r="C686" s="6"/>
      <c r="D686" s="6"/>
      <c r="E686" s="6"/>
      <c r="F686" s="6"/>
      <c r="G686" s="6"/>
      <c r="H686" s="6"/>
      <c r="I686" s="6"/>
      <c r="J686" s="11"/>
      <c r="K686" s="591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ht="11.25" customHeight="1">
      <c r="A687" s="7"/>
      <c r="B687" s="5"/>
      <c r="C687" s="6"/>
      <c r="D687" s="6"/>
      <c r="E687" s="6"/>
      <c r="F687" s="6"/>
      <c r="G687" s="6"/>
      <c r="H687" s="6"/>
      <c r="I687" s="6"/>
      <c r="J687" s="11"/>
      <c r="K687" s="591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ht="11.25" customHeight="1">
      <c r="A688" s="7"/>
      <c r="B688" s="5"/>
      <c r="C688" s="6"/>
      <c r="D688" s="6"/>
      <c r="E688" s="6"/>
      <c r="F688" s="6"/>
      <c r="G688" s="6"/>
      <c r="H688" s="6"/>
      <c r="I688" s="6"/>
      <c r="J688" s="11"/>
      <c r="K688" s="591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ht="11.25" customHeight="1">
      <c r="A689" s="7"/>
      <c r="B689" s="5"/>
      <c r="C689" s="6"/>
      <c r="D689" s="6"/>
      <c r="E689" s="6"/>
      <c r="F689" s="6"/>
      <c r="G689" s="6"/>
      <c r="H689" s="6"/>
      <c r="I689" s="6"/>
      <c r="J689" s="11"/>
      <c r="K689" s="591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ht="11.25" customHeight="1">
      <c r="A690" s="7"/>
      <c r="B690" s="5"/>
      <c r="C690" s="6"/>
      <c r="D690" s="6"/>
      <c r="E690" s="6"/>
      <c r="F690" s="6"/>
      <c r="G690" s="6"/>
      <c r="H690" s="6"/>
      <c r="I690" s="6"/>
      <c r="J690" s="11"/>
      <c r="K690" s="591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ht="11.25" customHeight="1">
      <c r="A691" s="7"/>
      <c r="B691" s="5"/>
      <c r="C691" s="6"/>
      <c r="D691" s="6"/>
      <c r="E691" s="6"/>
      <c r="F691" s="6"/>
      <c r="G691" s="6"/>
      <c r="H691" s="6"/>
      <c r="I691" s="6"/>
      <c r="J691" s="11"/>
      <c r="K691" s="591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ht="11.25" customHeight="1">
      <c r="A692" s="7"/>
      <c r="B692" s="5"/>
      <c r="C692" s="6"/>
      <c r="D692" s="6"/>
      <c r="E692" s="6"/>
      <c r="F692" s="6"/>
      <c r="G692" s="6"/>
      <c r="H692" s="6"/>
      <c r="I692" s="6"/>
      <c r="J692" s="11"/>
      <c r="K692" s="591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ht="11.25" customHeight="1">
      <c r="A693" s="7"/>
      <c r="B693" s="5"/>
      <c r="C693" s="6"/>
      <c r="D693" s="6"/>
      <c r="E693" s="6"/>
      <c r="F693" s="6"/>
      <c r="G693" s="6"/>
      <c r="H693" s="6"/>
      <c r="I693" s="6"/>
      <c r="J693" s="11"/>
      <c r="K693" s="591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ht="11.25" customHeight="1">
      <c r="A694" s="7"/>
      <c r="B694" s="5"/>
      <c r="C694" s="6"/>
      <c r="D694" s="6"/>
      <c r="E694" s="6"/>
      <c r="F694" s="6"/>
      <c r="G694" s="6"/>
      <c r="H694" s="6"/>
      <c r="I694" s="6"/>
      <c r="J694" s="11"/>
      <c r="K694" s="591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ht="11.25" customHeight="1">
      <c r="A695" s="7"/>
      <c r="B695" s="5"/>
      <c r="C695" s="6"/>
      <c r="D695" s="6"/>
      <c r="E695" s="6"/>
      <c r="F695" s="6"/>
      <c r="G695" s="6"/>
      <c r="H695" s="6"/>
      <c r="I695" s="6"/>
      <c r="J695" s="11"/>
      <c r="K695" s="591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ht="11.25" customHeight="1">
      <c r="A696" s="7"/>
      <c r="B696" s="5"/>
      <c r="C696" s="6"/>
      <c r="D696" s="6"/>
      <c r="E696" s="6"/>
      <c r="F696" s="6"/>
      <c r="G696" s="6"/>
      <c r="H696" s="6"/>
      <c r="I696" s="6"/>
      <c r="J696" s="11"/>
      <c r="K696" s="591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ht="11.25" customHeight="1">
      <c r="A697" s="7"/>
      <c r="B697" s="5"/>
      <c r="C697" s="6"/>
      <c r="D697" s="6"/>
      <c r="E697" s="6"/>
      <c r="F697" s="6"/>
      <c r="G697" s="6"/>
      <c r="H697" s="6"/>
      <c r="I697" s="6"/>
      <c r="J697" s="11"/>
      <c r="K697" s="591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ht="11.25" customHeight="1">
      <c r="A698" s="7"/>
      <c r="B698" s="5"/>
      <c r="C698" s="6"/>
      <c r="D698" s="6"/>
      <c r="E698" s="6"/>
      <c r="F698" s="6"/>
      <c r="G698" s="6"/>
      <c r="H698" s="6"/>
      <c r="I698" s="6"/>
      <c r="J698" s="11"/>
      <c r="K698" s="591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ht="11.25" customHeight="1">
      <c r="A699" s="7"/>
      <c r="B699" s="5"/>
      <c r="C699" s="6"/>
      <c r="D699" s="6"/>
      <c r="E699" s="6"/>
      <c r="F699" s="6"/>
      <c r="G699" s="6"/>
      <c r="H699" s="6"/>
      <c r="I699" s="6"/>
      <c r="J699" s="11"/>
      <c r="K699" s="591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ht="11.25" customHeight="1">
      <c r="A700" s="7"/>
      <c r="B700" s="5"/>
      <c r="C700" s="6"/>
      <c r="D700" s="6"/>
      <c r="E700" s="6"/>
      <c r="F700" s="6"/>
      <c r="G700" s="6"/>
      <c r="H700" s="6"/>
      <c r="I700" s="6"/>
      <c r="J700" s="11"/>
      <c r="K700" s="591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ht="11.25" customHeight="1">
      <c r="A701" s="7"/>
      <c r="B701" s="5"/>
      <c r="C701" s="6"/>
      <c r="D701" s="6"/>
      <c r="E701" s="6"/>
      <c r="F701" s="6"/>
      <c r="G701" s="6"/>
      <c r="H701" s="6"/>
      <c r="I701" s="6"/>
      <c r="J701" s="11"/>
      <c r="K701" s="591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ht="11.25" customHeight="1">
      <c r="A702" s="7"/>
      <c r="B702" s="5"/>
      <c r="C702" s="6"/>
      <c r="D702" s="6"/>
      <c r="E702" s="6"/>
      <c r="F702" s="6"/>
      <c r="G702" s="6"/>
      <c r="H702" s="6"/>
      <c r="I702" s="6"/>
      <c r="J702" s="11"/>
      <c r="K702" s="591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ht="11.25" customHeight="1">
      <c r="A703" s="7"/>
      <c r="B703" s="5"/>
      <c r="C703" s="6"/>
      <c r="D703" s="6"/>
      <c r="E703" s="6"/>
      <c r="F703" s="6"/>
      <c r="G703" s="6"/>
      <c r="H703" s="6"/>
      <c r="I703" s="6"/>
      <c r="J703" s="11"/>
      <c r="K703" s="591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ht="11.25" customHeight="1">
      <c r="A704" s="7"/>
      <c r="B704" s="5"/>
      <c r="C704" s="6"/>
      <c r="D704" s="6"/>
      <c r="E704" s="6"/>
      <c r="F704" s="6"/>
      <c r="G704" s="6"/>
      <c r="H704" s="6"/>
      <c r="I704" s="6"/>
      <c r="J704" s="11"/>
      <c r="K704" s="591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ht="11.25" customHeight="1">
      <c r="A705" s="7"/>
      <c r="B705" s="5"/>
      <c r="C705" s="6"/>
      <c r="D705" s="6"/>
      <c r="E705" s="6"/>
      <c r="F705" s="6"/>
      <c r="G705" s="6"/>
      <c r="H705" s="6"/>
      <c r="I705" s="6"/>
      <c r="J705" s="11"/>
      <c r="K705" s="591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ht="11.25" customHeight="1">
      <c r="A706" s="7"/>
      <c r="B706" s="5"/>
      <c r="C706" s="6"/>
      <c r="D706" s="6"/>
      <c r="E706" s="6"/>
      <c r="F706" s="6"/>
      <c r="G706" s="6"/>
      <c r="H706" s="6"/>
      <c r="I706" s="6"/>
      <c r="J706" s="11"/>
      <c r="K706" s="591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ht="11.25" customHeight="1">
      <c r="A707" s="7"/>
      <c r="B707" s="5"/>
      <c r="C707" s="6"/>
      <c r="D707" s="6"/>
      <c r="E707" s="6"/>
      <c r="F707" s="6"/>
      <c r="G707" s="6"/>
      <c r="H707" s="6"/>
      <c r="I707" s="6"/>
      <c r="J707" s="11"/>
      <c r="K707" s="591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ht="11.25" customHeight="1">
      <c r="A708" s="7"/>
      <c r="B708" s="5"/>
      <c r="C708" s="6"/>
      <c r="D708" s="6"/>
      <c r="E708" s="6"/>
      <c r="F708" s="6"/>
      <c r="G708" s="6"/>
      <c r="H708" s="6"/>
      <c r="I708" s="6"/>
      <c r="J708" s="11"/>
      <c r="K708" s="591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ht="11.25" customHeight="1">
      <c r="A709" s="7"/>
      <c r="B709" s="5"/>
      <c r="C709" s="6"/>
      <c r="D709" s="6"/>
      <c r="E709" s="6"/>
      <c r="F709" s="6"/>
      <c r="G709" s="6"/>
      <c r="H709" s="6"/>
      <c r="I709" s="6"/>
      <c r="J709" s="11"/>
      <c r="K709" s="591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ht="11.25" customHeight="1">
      <c r="A710" s="7"/>
      <c r="B710" s="5"/>
      <c r="C710" s="6"/>
      <c r="D710" s="6"/>
      <c r="E710" s="6"/>
      <c r="F710" s="6"/>
      <c r="G710" s="6"/>
      <c r="H710" s="6"/>
      <c r="I710" s="6"/>
      <c r="J710" s="11"/>
      <c r="K710" s="591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ht="11.25" customHeight="1">
      <c r="A711" s="7"/>
      <c r="B711" s="5"/>
      <c r="C711" s="6"/>
      <c r="D711" s="6"/>
      <c r="E711" s="6"/>
      <c r="F711" s="6"/>
      <c r="G711" s="6"/>
      <c r="H711" s="6"/>
      <c r="I711" s="6"/>
      <c r="J711" s="11"/>
      <c r="K711" s="591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ht="11.25" customHeight="1">
      <c r="A712" s="7"/>
      <c r="B712" s="5"/>
      <c r="C712" s="6"/>
      <c r="D712" s="6"/>
      <c r="E712" s="6"/>
      <c r="F712" s="6"/>
      <c r="G712" s="6"/>
      <c r="H712" s="6"/>
      <c r="I712" s="6"/>
      <c r="J712" s="11"/>
      <c r="K712" s="591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ht="11.25" customHeight="1">
      <c r="A713" s="7"/>
      <c r="B713" s="5"/>
      <c r="C713" s="6"/>
      <c r="D713" s="6"/>
      <c r="E713" s="6"/>
      <c r="F713" s="6"/>
      <c r="G713" s="6"/>
      <c r="H713" s="6"/>
      <c r="I713" s="6"/>
      <c r="J713" s="11"/>
      <c r="K713" s="591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ht="11.25" customHeight="1">
      <c r="A714" s="7"/>
      <c r="B714" s="5"/>
      <c r="C714" s="6"/>
      <c r="D714" s="6"/>
      <c r="E714" s="6"/>
      <c r="F714" s="6"/>
      <c r="G714" s="6"/>
      <c r="H714" s="6"/>
      <c r="I714" s="6"/>
      <c r="J714" s="11"/>
      <c r="K714" s="591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ht="11.25" customHeight="1">
      <c r="A715" s="7"/>
      <c r="B715" s="5"/>
      <c r="C715" s="6"/>
      <c r="D715" s="6"/>
      <c r="E715" s="6"/>
      <c r="F715" s="6"/>
      <c r="G715" s="6"/>
      <c r="H715" s="6"/>
      <c r="I715" s="6"/>
      <c r="J715" s="11"/>
      <c r="K715" s="591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ht="11.25" customHeight="1">
      <c r="A716" s="7"/>
      <c r="B716" s="5"/>
      <c r="C716" s="6"/>
      <c r="D716" s="6"/>
      <c r="E716" s="6"/>
      <c r="F716" s="6"/>
      <c r="G716" s="6"/>
      <c r="H716" s="6"/>
      <c r="I716" s="6"/>
      <c r="J716" s="11"/>
      <c r="K716" s="591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ht="11.25" customHeight="1">
      <c r="A717" s="7"/>
      <c r="B717" s="5"/>
      <c r="C717" s="6"/>
      <c r="D717" s="6"/>
      <c r="E717" s="6"/>
      <c r="F717" s="6"/>
      <c r="G717" s="6"/>
      <c r="H717" s="6"/>
      <c r="I717" s="6"/>
      <c r="J717" s="11"/>
      <c r="K717" s="591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ht="11.25" customHeight="1">
      <c r="A718" s="7"/>
      <c r="B718" s="5"/>
      <c r="C718" s="6"/>
      <c r="D718" s="6"/>
      <c r="E718" s="6"/>
      <c r="F718" s="6"/>
      <c r="G718" s="6"/>
      <c r="H718" s="6"/>
      <c r="I718" s="6"/>
      <c r="J718" s="11"/>
      <c r="K718" s="591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ht="11.25" customHeight="1">
      <c r="A719" s="7"/>
      <c r="B719" s="5"/>
      <c r="C719" s="6"/>
      <c r="D719" s="6"/>
      <c r="E719" s="6"/>
      <c r="F719" s="6"/>
      <c r="G719" s="6"/>
      <c r="H719" s="6"/>
      <c r="I719" s="6"/>
      <c r="J719" s="11"/>
      <c r="K719" s="591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ht="11.25" customHeight="1">
      <c r="A720" s="7"/>
      <c r="B720" s="5"/>
      <c r="C720" s="6"/>
      <c r="D720" s="6"/>
      <c r="E720" s="6"/>
      <c r="F720" s="6"/>
      <c r="G720" s="6"/>
      <c r="H720" s="6"/>
      <c r="I720" s="6"/>
      <c r="J720" s="11"/>
      <c r="K720" s="591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ht="11.25" customHeight="1">
      <c r="A721" s="7"/>
      <c r="B721" s="5"/>
      <c r="C721" s="6"/>
      <c r="D721" s="6"/>
      <c r="E721" s="6"/>
      <c r="F721" s="6"/>
      <c r="G721" s="6"/>
      <c r="H721" s="6"/>
      <c r="I721" s="6"/>
      <c r="J721" s="11"/>
      <c r="K721" s="591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ht="11.25" customHeight="1">
      <c r="A722" s="7"/>
      <c r="B722" s="5"/>
      <c r="C722" s="6"/>
      <c r="D722" s="6"/>
      <c r="E722" s="6"/>
      <c r="F722" s="6"/>
      <c r="G722" s="6"/>
      <c r="H722" s="6"/>
      <c r="I722" s="6"/>
      <c r="J722" s="11"/>
      <c r="K722" s="591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ht="11.25" customHeight="1">
      <c r="A723" s="7"/>
      <c r="B723" s="5"/>
      <c r="C723" s="6"/>
      <c r="D723" s="6"/>
      <c r="E723" s="6"/>
      <c r="F723" s="6"/>
      <c r="G723" s="6"/>
      <c r="H723" s="6"/>
      <c r="I723" s="6"/>
      <c r="J723" s="11"/>
      <c r="K723" s="591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ht="11.25" customHeight="1">
      <c r="A724" s="7"/>
      <c r="B724" s="5"/>
      <c r="C724" s="6"/>
      <c r="D724" s="6"/>
      <c r="E724" s="6"/>
      <c r="F724" s="6"/>
      <c r="G724" s="6"/>
      <c r="H724" s="6"/>
      <c r="I724" s="6"/>
      <c r="J724" s="11"/>
      <c r="K724" s="591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ht="11.25" customHeight="1">
      <c r="A725" s="7"/>
      <c r="B725" s="5"/>
      <c r="C725" s="6"/>
      <c r="D725" s="6"/>
      <c r="E725" s="6"/>
      <c r="F725" s="6"/>
      <c r="G725" s="6"/>
      <c r="H725" s="6"/>
      <c r="I725" s="6"/>
      <c r="J725" s="11"/>
      <c r="K725" s="591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ht="11.25" customHeight="1">
      <c r="A726" s="7"/>
      <c r="B726" s="5"/>
      <c r="C726" s="6"/>
      <c r="D726" s="6"/>
      <c r="E726" s="6"/>
      <c r="F726" s="6"/>
      <c r="G726" s="6"/>
      <c r="H726" s="6"/>
      <c r="I726" s="6"/>
      <c r="J726" s="11"/>
      <c r="K726" s="591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ht="11.25" customHeight="1">
      <c r="A727" s="7"/>
      <c r="B727" s="5"/>
      <c r="C727" s="6"/>
      <c r="D727" s="6"/>
      <c r="E727" s="6"/>
      <c r="F727" s="6"/>
      <c r="G727" s="6"/>
      <c r="H727" s="6"/>
      <c r="I727" s="6"/>
      <c r="J727" s="11"/>
      <c r="K727" s="591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ht="11.25" customHeight="1">
      <c r="A728" s="7"/>
      <c r="B728" s="5"/>
      <c r="C728" s="6"/>
      <c r="D728" s="6"/>
      <c r="E728" s="6"/>
      <c r="F728" s="6"/>
      <c r="G728" s="6"/>
      <c r="H728" s="6"/>
      <c r="I728" s="6"/>
      <c r="J728" s="11"/>
      <c r="K728" s="591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ht="11.25" customHeight="1">
      <c r="A729" s="7"/>
      <c r="B729" s="5"/>
      <c r="C729" s="6"/>
      <c r="D729" s="6"/>
      <c r="E729" s="6"/>
      <c r="F729" s="6"/>
      <c r="G729" s="6"/>
      <c r="H729" s="6"/>
      <c r="I729" s="6"/>
      <c r="J729" s="11"/>
      <c r="K729" s="591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ht="11.25" customHeight="1">
      <c r="A730" s="7"/>
      <c r="B730" s="5"/>
      <c r="C730" s="6"/>
      <c r="D730" s="6"/>
      <c r="E730" s="6"/>
      <c r="F730" s="6"/>
      <c r="G730" s="6"/>
      <c r="H730" s="6"/>
      <c r="I730" s="6"/>
      <c r="J730" s="11"/>
      <c r="K730" s="591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ht="11.25" customHeight="1">
      <c r="A731" s="7"/>
      <c r="B731" s="5"/>
      <c r="C731" s="6"/>
      <c r="D731" s="6"/>
      <c r="E731" s="6"/>
      <c r="F731" s="6"/>
      <c r="G731" s="6"/>
      <c r="H731" s="6"/>
      <c r="I731" s="6"/>
      <c r="J731" s="11"/>
      <c r="K731" s="591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ht="11.25" customHeight="1">
      <c r="A732" s="7"/>
      <c r="B732" s="5"/>
      <c r="C732" s="6"/>
      <c r="D732" s="6"/>
      <c r="E732" s="6"/>
      <c r="F732" s="6"/>
      <c r="G732" s="6"/>
      <c r="H732" s="6"/>
      <c r="I732" s="6"/>
      <c r="J732" s="11"/>
      <c r="K732" s="591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ht="11.25" customHeight="1">
      <c r="A733" s="7"/>
      <c r="B733" s="5"/>
      <c r="C733" s="6"/>
      <c r="D733" s="6"/>
      <c r="E733" s="6"/>
      <c r="F733" s="6"/>
      <c r="G733" s="6"/>
      <c r="H733" s="6"/>
      <c r="I733" s="6"/>
      <c r="J733" s="11"/>
      <c r="K733" s="591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ht="11.25" customHeight="1">
      <c r="A734" s="7"/>
      <c r="B734" s="5"/>
      <c r="C734" s="6"/>
      <c r="D734" s="6"/>
      <c r="E734" s="6"/>
      <c r="F734" s="6"/>
      <c r="G734" s="6"/>
      <c r="H734" s="6"/>
      <c r="I734" s="6"/>
      <c r="J734" s="11"/>
      <c r="K734" s="591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ht="11.25" customHeight="1">
      <c r="A735" s="7"/>
      <c r="B735" s="5"/>
      <c r="C735" s="6"/>
      <c r="D735" s="6"/>
      <c r="E735" s="6"/>
      <c r="F735" s="6"/>
      <c r="G735" s="6"/>
      <c r="H735" s="6"/>
      <c r="I735" s="6"/>
      <c r="J735" s="11"/>
      <c r="K735" s="591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ht="11.25" customHeight="1">
      <c r="A736" s="7"/>
      <c r="B736" s="5"/>
      <c r="C736" s="6"/>
      <c r="D736" s="6"/>
      <c r="E736" s="6"/>
      <c r="F736" s="6"/>
      <c r="G736" s="6"/>
      <c r="H736" s="6"/>
      <c r="I736" s="6"/>
      <c r="J736" s="11"/>
      <c r="K736" s="591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ht="11.25" customHeight="1">
      <c r="A737" s="7"/>
      <c r="B737" s="5"/>
      <c r="C737" s="6"/>
      <c r="D737" s="6"/>
      <c r="E737" s="6"/>
      <c r="F737" s="6"/>
      <c r="G737" s="6"/>
      <c r="H737" s="6"/>
      <c r="I737" s="6"/>
      <c r="J737" s="11"/>
      <c r="K737" s="591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ht="11.25" customHeight="1">
      <c r="A738" s="7"/>
      <c r="B738" s="5"/>
      <c r="C738" s="6"/>
      <c r="D738" s="6"/>
      <c r="E738" s="6"/>
      <c r="F738" s="6"/>
      <c r="G738" s="6"/>
      <c r="H738" s="6"/>
      <c r="I738" s="6"/>
      <c r="J738" s="11"/>
      <c r="K738" s="591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ht="11.25" customHeight="1">
      <c r="A739" s="7"/>
      <c r="B739" s="5"/>
      <c r="C739" s="6"/>
      <c r="D739" s="6"/>
      <c r="E739" s="6"/>
      <c r="F739" s="6"/>
      <c r="G739" s="6"/>
      <c r="H739" s="6"/>
      <c r="I739" s="6"/>
      <c r="J739" s="11"/>
      <c r="K739" s="591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ht="11.25" customHeight="1">
      <c r="A740" s="7"/>
      <c r="B740" s="5"/>
      <c r="C740" s="6"/>
      <c r="D740" s="6"/>
      <c r="E740" s="6"/>
      <c r="F740" s="6"/>
      <c r="G740" s="6"/>
      <c r="H740" s="6"/>
      <c r="I740" s="6"/>
      <c r="J740" s="11"/>
      <c r="K740" s="591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ht="11.25" customHeight="1">
      <c r="A741" s="7"/>
      <c r="B741" s="5"/>
      <c r="C741" s="6"/>
      <c r="D741" s="6"/>
      <c r="E741" s="6"/>
      <c r="F741" s="6"/>
      <c r="G741" s="6"/>
      <c r="H741" s="6"/>
      <c r="I741" s="6"/>
      <c r="J741" s="11"/>
      <c r="K741" s="591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ht="11.25" customHeight="1">
      <c r="A742" s="7"/>
      <c r="B742" s="5"/>
      <c r="C742" s="6"/>
      <c r="D742" s="6"/>
      <c r="E742" s="6"/>
      <c r="F742" s="6"/>
      <c r="G742" s="6"/>
      <c r="H742" s="6"/>
      <c r="I742" s="6"/>
      <c r="J742" s="11"/>
      <c r="K742" s="591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ht="11.25" customHeight="1">
      <c r="A743" s="7"/>
      <c r="B743" s="5"/>
      <c r="C743" s="6"/>
      <c r="D743" s="6"/>
      <c r="E743" s="6"/>
      <c r="F743" s="6"/>
      <c r="G743" s="6"/>
      <c r="H743" s="6"/>
      <c r="I743" s="6"/>
      <c r="J743" s="11"/>
      <c r="K743" s="591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ht="11.25" customHeight="1">
      <c r="A744" s="7"/>
      <c r="B744" s="5"/>
      <c r="C744" s="6"/>
      <c r="D744" s="6"/>
      <c r="E744" s="6"/>
      <c r="F744" s="6"/>
      <c r="G744" s="6"/>
      <c r="H744" s="6"/>
      <c r="I744" s="6"/>
      <c r="J744" s="11"/>
      <c r="K744" s="591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ht="11.25" customHeight="1">
      <c r="A745" s="7"/>
      <c r="B745" s="5"/>
      <c r="C745" s="6"/>
      <c r="D745" s="6"/>
      <c r="E745" s="6"/>
      <c r="F745" s="6"/>
      <c r="G745" s="6"/>
      <c r="H745" s="6"/>
      <c r="I745" s="6"/>
      <c r="J745" s="11"/>
      <c r="K745" s="591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ht="11.25" customHeight="1">
      <c r="A746" s="7"/>
      <c r="B746" s="5"/>
      <c r="C746" s="6"/>
      <c r="D746" s="6"/>
      <c r="E746" s="6"/>
      <c r="F746" s="6"/>
      <c r="G746" s="6"/>
      <c r="H746" s="6"/>
      <c r="I746" s="6"/>
      <c r="J746" s="11"/>
      <c r="K746" s="591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ht="11.25" customHeight="1">
      <c r="A747" s="7"/>
      <c r="B747" s="5"/>
      <c r="C747" s="6"/>
      <c r="D747" s="6"/>
      <c r="E747" s="6"/>
      <c r="F747" s="6"/>
      <c r="G747" s="6"/>
      <c r="H747" s="6"/>
      <c r="I747" s="6"/>
      <c r="J747" s="11"/>
      <c r="K747" s="591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ht="11.25" customHeight="1">
      <c r="A748" s="7"/>
      <c r="B748" s="5"/>
      <c r="C748" s="6"/>
      <c r="D748" s="6"/>
      <c r="E748" s="6"/>
      <c r="F748" s="6"/>
      <c r="G748" s="6"/>
      <c r="H748" s="6"/>
      <c r="I748" s="6"/>
      <c r="J748" s="11"/>
      <c r="K748" s="591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ht="11.25" customHeight="1">
      <c r="A749" s="7"/>
      <c r="B749" s="5"/>
      <c r="C749" s="6"/>
      <c r="D749" s="6"/>
      <c r="E749" s="6"/>
      <c r="F749" s="6"/>
      <c r="G749" s="6"/>
      <c r="H749" s="6"/>
      <c r="I749" s="6"/>
      <c r="J749" s="11"/>
      <c r="K749" s="591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ht="11.25" customHeight="1">
      <c r="A750" s="7"/>
      <c r="B750" s="5"/>
      <c r="C750" s="6"/>
      <c r="D750" s="6"/>
      <c r="E750" s="6"/>
      <c r="F750" s="6"/>
      <c r="G750" s="6"/>
      <c r="H750" s="6"/>
      <c r="I750" s="6"/>
      <c r="J750" s="11"/>
      <c r="K750" s="591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ht="11.25" customHeight="1">
      <c r="A751" s="7"/>
      <c r="B751" s="5"/>
      <c r="C751" s="6"/>
      <c r="D751" s="6"/>
      <c r="E751" s="6"/>
      <c r="F751" s="6"/>
      <c r="G751" s="6"/>
      <c r="H751" s="6"/>
      <c r="I751" s="6"/>
      <c r="J751" s="11"/>
      <c r="K751" s="591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ht="11.25" customHeight="1">
      <c r="A752" s="7"/>
      <c r="B752" s="5"/>
      <c r="C752" s="6"/>
      <c r="D752" s="6"/>
      <c r="E752" s="6"/>
      <c r="F752" s="6"/>
      <c r="G752" s="6"/>
      <c r="H752" s="6"/>
      <c r="I752" s="6"/>
      <c r="J752" s="11"/>
      <c r="K752" s="591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ht="11.25" customHeight="1">
      <c r="A753" s="7"/>
      <c r="B753" s="5"/>
      <c r="C753" s="6"/>
      <c r="D753" s="6"/>
      <c r="E753" s="6"/>
      <c r="F753" s="6"/>
      <c r="G753" s="6"/>
      <c r="H753" s="6"/>
      <c r="I753" s="6"/>
      <c r="J753" s="11"/>
      <c r="K753" s="591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ht="11.25" customHeight="1">
      <c r="A754" s="7"/>
      <c r="B754" s="5"/>
      <c r="C754" s="6"/>
      <c r="D754" s="6"/>
      <c r="E754" s="6"/>
      <c r="F754" s="6"/>
      <c r="G754" s="6"/>
      <c r="H754" s="6"/>
      <c r="I754" s="6"/>
      <c r="J754" s="11"/>
      <c r="K754" s="591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ht="11.25" customHeight="1">
      <c r="A755" s="7"/>
      <c r="B755" s="5"/>
      <c r="C755" s="6"/>
      <c r="D755" s="6"/>
      <c r="E755" s="6"/>
      <c r="F755" s="6"/>
      <c r="G755" s="6"/>
      <c r="H755" s="6"/>
      <c r="I755" s="6"/>
      <c r="J755" s="11"/>
      <c r="K755" s="591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ht="11.25" customHeight="1">
      <c r="A756" s="7"/>
      <c r="B756" s="5"/>
      <c r="C756" s="6"/>
      <c r="D756" s="6"/>
      <c r="E756" s="6"/>
      <c r="F756" s="6"/>
      <c r="G756" s="6"/>
      <c r="H756" s="6"/>
      <c r="I756" s="6"/>
      <c r="J756" s="11"/>
      <c r="K756" s="591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ht="11.25" customHeight="1">
      <c r="A757" s="7"/>
      <c r="B757" s="5"/>
      <c r="C757" s="6"/>
      <c r="D757" s="6"/>
      <c r="E757" s="6"/>
      <c r="F757" s="6"/>
      <c r="G757" s="6"/>
      <c r="H757" s="6"/>
      <c r="I757" s="6"/>
      <c r="J757" s="11"/>
      <c r="K757" s="591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ht="11.25" customHeight="1">
      <c r="A758" s="7"/>
      <c r="B758" s="5"/>
      <c r="C758" s="6"/>
      <c r="D758" s="6"/>
      <c r="E758" s="6"/>
      <c r="F758" s="6"/>
      <c r="G758" s="6"/>
      <c r="H758" s="6"/>
      <c r="I758" s="6"/>
      <c r="J758" s="11"/>
      <c r="K758" s="591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ht="11.25" customHeight="1">
      <c r="A759" s="7"/>
      <c r="B759" s="5"/>
      <c r="C759" s="6"/>
      <c r="D759" s="6"/>
      <c r="E759" s="6"/>
      <c r="F759" s="6"/>
      <c r="G759" s="6"/>
      <c r="H759" s="6"/>
      <c r="I759" s="6"/>
      <c r="J759" s="11"/>
      <c r="K759" s="591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ht="11.25" customHeight="1">
      <c r="A760" s="7"/>
      <c r="B760" s="5"/>
      <c r="C760" s="6"/>
      <c r="D760" s="6"/>
      <c r="E760" s="6"/>
      <c r="F760" s="6"/>
      <c r="G760" s="6"/>
      <c r="H760" s="6"/>
      <c r="I760" s="6"/>
      <c r="J760" s="11"/>
      <c r="K760" s="591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ht="11.25" customHeight="1">
      <c r="A761" s="7"/>
      <c r="B761" s="5"/>
      <c r="C761" s="6"/>
      <c r="D761" s="6"/>
      <c r="E761" s="6"/>
      <c r="F761" s="6"/>
      <c r="G761" s="6"/>
      <c r="H761" s="6"/>
      <c r="I761" s="6"/>
      <c r="J761" s="11"/>
      <c r="K761" s="591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ht="11.25" customHeight="1">
      <c r="A762" s="7"/>
      <c r="B762" s="5"/>
      <c r="C762" s="6"/>
      <c r="D762" s="6"/>
      <c r="E762" s="6"/>
      <c r="F762" s="6"/>
      <c r="G762" s="6"/>
      <c r="H762" s="6"/>
      <c r="I762" s="6"/>
      <c r="J762" s="11"/>
      <c r="K762" s="591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ht="11.25" customHeight="1">
      <c r="A763" s="7"/>
      <c r="B763" s="5"/>
      <c r="C763" s="6"/>
      <c r="D763" s="6"/>
      <c r="E763" s="6"/>
      <c r="F763" s="6"/>
      <c r="G763" s="6"/>
      <c r="H763" s="6"/>
      <c r="I763" s="6"/>
      <c r="J763" s="11"/>
      <c r="K763" s="591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ht="11.25" customHeight="1">
      <c r="A764" s="7"/>
      <c r="B764" s="5"/>
      <c r="C764" s="6"/>
      <c r="D764" s="6"/>
      <c r="E764" s="6"/>
      <c r="F764" s="6"/>
      <c r="G764" s="6"/>
      <c r="H764" s="6"/>
      <c r="I764" s="6"/>
      <c r="J764" s="11"/>
      <c r="K764" s="591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ht="11.25" customHeight="1">
      <c r="A765" s="7"/>
      <c r="B765" s="5"/>
      <c r="C765" s="6"/>
      <c r="D765" s="6"/>
      <c r="E765" s="6"/>
      <c r="F765" s="6"/>
      <c r="G765" s="6"/>
      <c r="H765" s="6"/>
      <c r="I765" s="6"/>
      <c r="J765" s="11"/>
      <c r="K765" s="591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ht="11.25" customHeight="1">
      <c r="A766" s="7"/>
      <c r="B766" s="5"/>
      <c r="C766" s="6"/>
      <c r="D766" s="6"/>
      <c r="E766" s="6"/>
      <c r="F766" s="6"/>
      <c r="G766" s="6"/>
      <c r="H766" s="6"/>
      <c r="I766" s="6"/>
      <c r="J766" s="11"/>
      <c r="K766" s="591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ht="11.25" customHeight="1">
      <c r="A767" s="7"/>
      <c r="B767" s="5"/>
      <c r="C767" s="6"/>
      <c r="D767" s="6"/>
      <c r="E767" s="6"/>
      <c r="F767" s="6"/>
      <c r="G767" s="6"/>
      <c r="H767" s="6"/>
      <c r="I767" s="6"/>
      <c r="J767" s="11"/>
      <c r="K767" s="591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ht="11.25" customHeight="1">
      <c r="A768" s="7"/>
      <c r="B768" s="5"/>
      <c r="C768" s="6"/>
      <c r="D768" s="6"/>
      <c r="E768" s="6"/>
      <c r="F768" s="6"/>
      <c r="G768" s="6"/>
      <c r="H768" s="6"/>
      <c r="I768" s="6"/>
      <c r="J768" s="11"/>
      <c r="K768" s="591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ht="11.25" customHeight="1">
      <c r="A769" s="7"/>
      <c r="B769" s="5"/>
      <c r="C769" s="6"/>
      <c r="D769" s="6"/>
      <c r="E769" s="6"/>
      <c r="F769" s="6"/>
      <c r="G769" s="6"/>
      <c r="H769" s="6"/>
      <c r="I769" s="6"/>
      <c r="J769" s="11"/>
      <c r="K769" s="591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ht="11.25" customHeight="1">
      <c r="A770" s="7"/>
      <c r="B770" s="5"/>
      <c r="C770" s="6"/>
      <c r="D770" s="6"/>
      <c r="E770" s="6"/>
      <c r="F770" s="6"/>
      <c r="G770" s="6"/>
      <c r="H770" s="6"/>
      <c r="I770" s="6"/>
      <c r="J770" s="11"/>
      <c r="K770" s="591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ht="11.25" customHeight="1">
      <c r="A771" s="7"/>
      <c r="B771" s="5"/>
      <c r="C771" s="6"/>
      <c r="D771" s="6"/>
      <c r="E771" s="6"/>
      <c r="F771" s="6"/>
      <c r="G771" s="6"/>
      <c r="H771" s="6"/>
      <c r="I771" s="6"/>
      <c r="J771" s="11"/>
      <c r="K771" s="591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ht="11.25" customHeight="1">
      <c r="A772" s="7"/>
      <c r="B772" s="5"/>
      <c r="C772" s="6"/>
      <c r="D772" s="6"/>
      <c r="E772" s="6"/>
      <c r="F772" s="6"/>
      <c r="G772" s="6"/>
      <c r="H772" s="6"/>
      <c r="I772" s="6"/>
      <c r="J772" s="11"/>
      <c r="K772" s="591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ht="11.25" customHeight="1">
      <c r="A773" s="7"/>
      <c r="B773" s="5"/>
      <c r="C773" s="6"/>
      <c r="D773" s="6"/>
      <c r="E773" s="6"/>
      <c r="F773" s="6"/>
      <c r="G773" s="6"/>
      <c r="H773" s="6"/>
      <c r="I773" s="6"/>
      <c r="J773" s="11"/>
      <c r="K773" s="591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ht="11.25" customHeight="1">
      <c r="A774" s="7"/>
      <c r="B774" s="5"/>
      <c r="C774" s="6"/>
      <c r="D774" s="6"/>
      <c r="E774" s="6"/>
      <c r="F774" s="6"/>
      <c r="G774" s="6"/>
      <c r="H774" s="6"/>
      <c r="I774" s="6"/>
      <c r="J774" s="11"/>
      <c r="K774" s="591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ht="11.25" customHeight="1">
      <c r="A775" s="7"/>
      <c r="B775" s="5"/>
      <c r="C775" s="6"/>
      <c r="D775" s="6"/>
      <c r="E775" s="6"/>
      <c r="F775" s="6"/>
      <c r="G775" s="6"/>
      <c r="H775" s="6"/>
      <c r="I775" s="6"/>
      <c r="J775" s="11"/>
      <c r="K775" s="591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ht="11.25" customHeight="1">
      <c r="A776" s="7"/>
      <c r="B776" s="5"/>
      <c r="C776" s="6"/>
      <c r="D776" s="6"/>
      <c r="E776" s="6"/>
      <c r="F776" s="6"/>
      <c r="G776" s="6"/>
      <c r="H776" s="6"/>
      <c r="I776" s="6"/>
      <c r="J776" s="11"/>
      <c r="K776" s="591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ht="11.25" customHeight="1">
      <c r="A777" s="7"/>
      <c r="B777" s="5"/>
      <c r="C777" s="6"/>
      <c r="D777" s="6"/>
      <c r="E777" s="6"/>
      <c r="F777" s="6"/>
      <c r="G777" s="6"/>
      <c r="H777" s="6"/>
      <c r="I777" s="6"/>
      <c r="J777" s="11"/>
      <c r="K777" s="591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ht="11.25" customHeight="1">
      <c r="A778" s="7"/>
      <c r="B778" s="5"/>
      <c r="C778" s="6"/>
      <c r="D778" s="6"/>
      <c r="E778" s="6"/>
      <c r="F778" s="6"/>
      <c r="G778" s="6"/>
      <c r="H778" s="6"/>
      <c r="I778" s="6"/>
      <c r="J778" s="11"/>
      <c r="K778" s="591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ht="11.25" customHeight="1">
      <c r="A779" s="7"/>
      <c r="B779" s="5"/>
      <c r="C779" s="6"/>
      <c r="D779" s="6"/>
      <c r="E779" s="6"/>
      <c r="F779" s="6"/>
      <c r="G779" s="6"/>
      <c r="H779" s="6"/>
      <c r="I779" s="6"/>
      <c r="J779" s="11"/>
      <c r="K779" s="591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ht="11.25" customHeight="1">
      <c r="A780" s="7"/>
      <c r="B780" s="5"/>
      <c r="C780" s="6"/>
      <c r="D780" s="6"/>
      <c r="E780" s="6"/>
      <c r="F780" s="6"/>
      <c r="G780" s="6"/>
      <c r="H780" s="6"/>
      <c r="I780" s="6"/>
      <c r="J780" s="11"/>
      <c r="K780" s="591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ht="11.25" customHeight="1">
      <c r="A781" s="7"/>
      <c r="B781" s="5"/>
      <c r="C781" s="6"/>
      <c r="D781" s="6"/>
      <c r="E781" s="6"/>
      <c r="F781" s="6"/>
      <c r="G781" s="6"/>
      <c r="H781" s="6"/>
      <c r="I781" s="6"/>
      <c r="J781" s="11"/>
      <c r="K781" s="591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ht="11.25" customHeight="1">
      <c r="A782" s="7"/>
      <c r="B782" s="5"/>
      <c r="C782" s="6"/>
      <c r="D782" s="6"/>
      <c r="E782" s="6"/>
      <c r="F782" s="6"/>
      <c r="G782" s="6"/>
      <c r="H782" s="6"/>
      <c r="I782" s="6"/>
      <c r="J782" s="11"/>
      <c r="K782" s="591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ht="11.25" customHeight="1">
      <c r="A783" s="7"/>
      <c r="B783" s="5"/>
      <c r="C783" s="6"/>
      <c r="D783" s="6"/>
      <c r="E783" s="6"/>
      <c r="F783" s="6"/>
      <c r="G783" s="6"/>
      <c r="H783" s="6"/>
      <c r="I783" s="6"/>
      <c r="J783" s="11"/>
      <c r="K783" s="591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ht="11.25" customHeight="1">
      <c r="A784" s="7"/>
      <c r="B784" s="5"/>
      <c r="C784" s="6"/>
      <c r="D784" s="6"/>
      <c r="E784" s="6"/>
      <c r="F784" s="6"/>
      <c r="G784" s="6"/>
      <c r="H784" s="6"/>
      <c r="I784" s="6"/>
      <c r="J784" s="11"/>
      <c r="K784" s="591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ht="11.25" customHeight="1">
      <c r="A785" s="7"/>
      <c r="B785" s="5"/>
      <c r="C785" s="6"/>
      <c r="D785" s="6"/>
      <c r="E785" s="6"/>
      <c r="F785" s="6"/>
      <c r="G785" s="6"/>
      <c r="H785" s="6"/>
      <c r="I785" s="6"/>
      <c r="J785" s="11"/>
      <c r="K785" s="591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ht="11.25" customHeight="1">
      <c r="A786" s="7"/>
      <c r="B786" s="5"/>
      <c r="C786" s="6"/>
      <c r="D786" s="6"/>
      <c r="E786" s="6"/>
      <c r="F786" s="6"/>
      <c r="G786" s="6"/>
      <c r="H786" s="6"/>
      <c r="I786" s="6"/>
      <c r="J786" s="11"/>
      <c r="K786" s="591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ht="11.25" customHeight="1">
      <c r="A787" s="7"/>
      <c r="B787" s="5"/>
      <c r="C787" s="6"/>
      <c r="D787" s="6"/>
      <c r="E787" s="6"/>
      <c r="F787" s="6"/>
      <c r="G787" s="6"/>
      <c r="H787" s="6"/>
      <c r="I787" s="6"/>
      <c r="J787" s="11"/>
      <c r="K787" s="591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ht="11.25" customHeight="1">
      <c r="A788" s="7"/>
      <c r="B788" s="5"/>
      <c r="C788" s="6"/>
      <c r="D788" s="6"/>
      <c r="E788" s="6"/>
      <c r="F788" s="6"/>
      <c r="G788" s="6"/>
      <c r="H788" s="6"/>
      <c r="I788" s="6"/>
      <c r="J788" s="11"/>
      <c r="K788" s="591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ht="11.25" customHeight="1">
      <c r="A789" s="7"/>
      <c r="B789" s="5"/>
      <c r="C789" s="6"/>
      <c r="D789" s="6"/>
      <c r="E789" s="6"/>
      <c r="F789" s="6"/>
      <c r="G789" s="6"/>
      <c r="H789" s="6"/>
      <c r="I789" s="6"/>
      <c r="J789" s="11"/>
      <c r="K789" s="591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ht="11.25" customHeight="1">
      <c r="A790" s="7"/>
      <c r="B790" s="5"/>
      <c r="C790" s="6"/>
      <c r="D790" s="6"/>
      <c r="E790" s="6"/>
      <c r="F790" s="6"/>
      <c r="G790" s="6"/>
      <c r="H790" s="6"/>
      <c r="I790" s="6"/>
      <c r="J790" s="11"/>
      <c r="K790" s="591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ht="11.25" customHeight="1">
      <c r="A791" s="7"/>
      <c r="B791" s="5"/>
      <c r="C791" s="6"/>
      <c r="D791" s="6"/>
      <c r="E791" s="6"/>
      <c r="F791" s="6"/>
      <c r="G791" s="6"/>
      <c r="H791" s="6"/>
      <c r="I791" s="6"/>
      <c r="J791" s="11"/>
      <c r="K791" s="591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ht="11.25" customHeight="1">
      <c r="A792" s="7"/>
      <c r="B792" s="5"/>
      <c r="C792" s="6"/>
      <c r="D792" s="6"/>
      <c r="E792" s="6"/>
      <c r="F792" s="6"/>
      <c r="G792" s="6"/>
      <c r="H792" s="6"/>
      <c r="I792" s="6"/>
      <c r="J792" s="11"/>
      <c r="K792" s="591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ht="11.25" customHeight="1">
      <c r="A793" s="7"/>
      <c r="B793" s="5"/>
      <c r="C793" s="6"/>
      <c r="D793" s="6"/>
      <c r="E793" s="6"/>
      <c r="F793" s="6"/>
      <c r="G793" s="6"/>
      <c r="H793" s="6"/>
      <c r="I793" s="6"/>
      <c r="J793" s="11"/>
      <c r="K793" s="591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ht="11.25" customHeight="1">
      <c r="A794" s="7"/>
      <c r="B794" s="5"/>
      <c r="C794" s="6"/>
      <c r="D794" s="6"/>
      <c r="E794" s="6"/>
      <c r="F794" s="6"/>
      <c r="G794" s="6"/>
      <c r="H794" s="6"/>
      <c r="I794" s="6"/>
      <c r="J794" s="11"/>
      <c r="K794" s="591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ht="11.25" customHeight="1">
      <c r="A795" s="7"/>
      <c r="B795" s="5"/>
      <c r="C795" s="6"/>
      <c r="D795" s="6"/>
      <c r="E795" s="6"/>
      <c r="F795" s="6"/>
      <c r="G795" s="6"/>
      <c r="H795" s="6"/>
      <c r="I795" s="6"/>
      <c r="J795" s="11"/>
      <c r="K795" s="591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ht="11.25" customHeight="1">
      <c r="A796" s="7"/>
      <c r="B796" s="5"/>
      <c r="C796" s="6"/>
      <c r="D796" s="6"/>
      <c r="E796" s="6"/>
      <c r="F796" s="6"/>
      <c r="G796" s="6"/>
      <c r="H796" s="6"/>
      <c r="I796" s="6"/>
      <c r="J796" s="11"/>
      <c r="K796" s="591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ht="11.25" customHeight="1">
      <c r="A797" s="7"/>
      <c r="B797" s="5"/>
      <c r="C797" s="6"/>
      <c r="D797" s="6"/>
      <c r="E797" s="6"/>
      <c r="F797" s="6"/>
      <c r="G797" s="6"/>
      <c r="H797" s="6"/>
      <c r="I797" s="6"/>
      <c r="J797" s="11"/>
      <c r="K797" s="591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ht="11.25" customHeight="1">
      <c r="A798" s="7"/>
      <c r="B798" s="5"/>
      <c r="C798" s="6"/>
      <c r="D798" s="6"/>
      <c r="E798" s="6"/>
      <c r="F798" s="6"/>
      <c r="G798" s="6"/>
      <c r="H798" s="6"/>
      <c r="I798" s="6"/>
      <c r="J798" s="11"/>
      <c r="K798" s="591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ht="11.25" customHeight="1">
      <c r="A799" s="7"/>
      <c r="B799" s="5"/>
      <c r="C799" s="6"/>
      <c r="D799" s="6"/>
      <c r="E799" s="6"/>
      <c r="F799" s="6"/>
      <c r="G799" s="6"/>
      <c r="H799" s="6"/>
      <c r="I799" s="6"/>
      <c r="J799" s="11"/>
      <c r="K799" s="591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ht="11.25" customHeight="1">
      <c r="A800" s="7"/>
      <c r="B800" s="5"/>
      <c r="C800" s="6"/>
      <c r="D800" s="6"/>
      <c r="E800" s="6"/>
      <c r="F800" s="6"/>
      <c r="G800" s="6"/>
      <c r="H800" s="6"/>
      <c r="I800" s="6"/>
      <c r="J800" s="11"/>
      <c r="K800" s="591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ht="11.25" customHeight="1">
      <c r="A801" s="7"/>
      <c r="B801" s="5"/>
      <c r="C801" s="6"/>
      <c r="D801" s="6"/>
      <c r="E801" s="6"/>
      <c r="F801" s="6"/>
      <c r="G801" s="6"/>
      <c r="H801" s="6"/>
      <c r="I801" s="6"/>
      <c r="J801" s="11"/>
      <c r="K801" s="591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ht="11.25" customHeight="1">
      <c r="A802" s="7"/>
      <c r="B802" s="5"/>
      <c r="C802" s="6"/>
      <c r="D802" s="6"/>
      <c r="E802" s="6"/>
      <c r="F802" s="6"/>
      <c r="G802" s="6"/>
      <c r="H802" s="6"/>
      <c r="I802" s="6"/>
      <c r="J802" s="11"/>
      <c r="K802" s="591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ht="11.25" customHeight="1">
      <c r="A803" s="7"/>
      <c r="B803" s="5"/>
      <c r="C803" s="6"/>
      <c r="D803" s="6"/>
      <c r="E803" s="6"/>
      <c r="F803" s="6"/>
      <c r="G803" s="6"/>
      <c r="H803" s="6"/>
      <c r="I803" s="6"/>
      <c r="J803" s="11"/>
      <c r="K803" s="591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ht="11.25" customHeight="1">
      <c r="A804" s="7"/>
      <c r="B804" s="5"/>
      <c r="C804" s="6"/>
      <c r="D804" s="6"/>
      <c r="E804" s="6"/>
      <c r="F804" s="6"/>
      <c r="G804" s="6"/>
      <c r="H804" s="6"/>
      <c r="I804" s="6"/>
      <c r="J804" s="11"/>
      <c r="K804" s="591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ht="11.25" customHeight="1">
      <c r="A805" s="7"/>
      <c r="B805" s="5"/>
      <c r="C805" s="6"/>
      <c r="D805" s="6"/>
      <c r="E805" s="6"/>
      <c r="F805" s="6"/>
      <c r="G805" s="6"/>
      <c r="H805" s="6"/>
      <c r="I805" s="6"/>
      <c r="J805" s="11"/>
      <c r="K805" s="591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ht="11.25" customHeight="1">
      <c r="A806" s="7"/>
      <c r="B806" s="5"/>
      <c r="C806" s="6"/>
      <c r="D806" s="6"/>
      <c r="E806" s="6"/>
      <c r="F806" s="6"/>
      <c r="G806" s="6"/>
      <c r="H806" s="6"/>
      <c r="I806" s="6"/>
      <c r="J806" s="11"/>
      <c r="K806" s="591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ht="11.25" customHeight="1">
      <c r="A807" s="7"/>
      <c r="B807" s="5"/>
      <c r="C807" s="6"/>
      <c r="D807" s="6"/>
      <c r="E807" s="6"/>
      <c r="F807" s="6"/>
      <c r="G807" s="6"/>
      <c r="H807" s="6"/>
      <c r="I807" s="6"/>
      <c r="J807" s="11"/>
      <c r="K807" s="591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ht="11.25" customHeight="1">
      <c r="A808" s="7"/>
      <c r="B808" s="5"/>
      <c r="C808" s="6"/>
      <c r="D808" s="6"/>
      <c r="E808" s="6"/>
      <c r="F808" s="6"/>
      <c r="G808" s="6"/>
      <c r="H808" s="6"/>
      <c r="I808" s="6"/>
      <c r="J808" s="11"/>
      <c r="K808" s="591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ht="11.25" customHeight="1">
      <c r="A809" s="7"/>
      <c r="B809" s="5"/>
      <c r="C809" s="6"/>
      <c r="D809" s="6"/>
      <c r="E809" s="6"/>
      <c r="F809" s="6"/>
      <c r="G809" s="6"/>
      <c r="H809" s="6"/>
      <c r="I809" s="6"/>
      <c r="J809" s="11"/>
      <c r="K809" s="591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ht="11.25" customHeight="1">
      <c r="A810" s="7"/>
      <c r="B810" s="5"/>
      <c r="C810" s="6"/>
      <c r="D810" s="6"/>
      <c r="E810" s="6"/>
      <c r="F810" s="6"/>
      <c r="G810" s="6"/>
      <c r="H810" s="6"/>
      <c r="I810" s="6"/>
      <c r="J810" s="11"/>
      <c r="K810" s="591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ht="11.25" customHeight="1">
      <c r="A811" s="7"/>
      <c r="B811" s="5"/>
      <c r="C811" s="6"/>
      <c r="D811" s="6"/>
      <c r="E811" s="6"/>
      <c r="F811" s="6"/>
      <c r="G811" s="6"/>
      <c r="H811" s="6"/>
      <c r="I811" s="6"/>
      <c r="J811" s="11"/>
      <c r="K811" s="591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ht="11.25" customHeight="1">
      <c r="A812" s="7"/>
      <c r="B812" s="5"/>
      <c r="C812" s="6"/>
      <c r="D812" s="6"/>
      <c r="E812" s="6"/>
      <c r="F812" s="6"/>
      <c r="G812" s="6"/>
      <c r="H812" s="6"/>
      <c r="I812" s="6"/>
      <c r="J812" s="11"/>
      <c r="K812" s="591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ht="11.25" customHeight="1">
      <c r="A813" s="7"/>
      <c r="B813" s="5"/>
      <c r="C813" s="6"/>
      <c r="D813" s="6"/>
      <c r="E813" s="6"/>
      <c r="F813" s="6"/>
      <c r="G813" s="6"/>
      <c r="H813" s="6"/>
      <c r="I813" s="6"/>
      <c r="J813" s="11"/>
      <c r="K813" s="591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ht="11.25" customHeight="1">
      <c r="A814" s="7"/>
      <c r="B814" s="5"/>
      <c r="C814" s="6"/>
      <c r="D814" s="6"/>
      <c r="E814" s="6"/>
      <c r="F814" s="6"/>
      <c r="G814" s="6"/>
      <c r="H814" s="6"/>
      <c r="I814" s="6"/>
      <c r="J814" s="11"/>
      <c r="K814" s="591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ht="11.25" customHeight="1">
      <c r="A815" s="7"/>
      <c r="B815" s="5"/>
      <c r="C815" s="6"/>
      <c r="D815" s="6"/>
      <c r="E815" s="6"/>
      <c r="F815" s="6"/>
      <c r="G815" s="6"/>
      <c r="H815" s="6"/>
      <c r="I815" s="6"/>
      <c r="J815" s="11"/>
      <c r="K815" s="591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ht="11.25" customHeight="1">
      <c r="A816" s="7"/>
      <c r="B816" s="5"/>
      <c r="C816" s="6"/>
      <c r="D816" s="6"/>
      <c r="E816" s="6"/>
      <c r="F816" s="6"/>
      <c r="G816" s="6"/>
      <c r="H816" s="6"/>
      <c r="I816" s="6"/>
      <c r="J816" s="11"/>
      <c r="K816" s="591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ht="11.25" customHeight="1">
      <c r="A817" s="7"/>
      <c r="B817" s="5"/>
      <c r="C817" s="6"/>
      <c r="D817" s="6"/>
      <c r="E817" s="6"/>
      <c r="F817" s="6"/>
      <c r="G817" s="6"/>
      <c r="H817" s="6"/>
      <c r="I817" s="6"/>
      <c r="J817" s="11"/>
      <c r="K817" s="591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ht="11.25" customHeight="1">
      <c r="A818" s="7"/>
      <c r="B818" s="5"/>
      <c r="C818" s="6"/>
      <c r="D818" s="6"/>
      <c r="E818" s="6"/>
      <c r="F818" s="6"/>
      <c r="G818" s="6"/>
      <c r="H818" s="6"/>
      <c r="I818" s="6"/>
      <c r="J818" s="11"/>
      <c r="K818" s="591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ht="11.25" customHeight="1">
      <c r="A819" s="7"/>
      <c r="B819" s="5"/>
      <c r="C819" s="6"/>
      <c r="D819" s="6"/>
      <c r="E819" s="6"/>
      <c r="F819" s="6"/>
      <c r="G819" s="6"/>
      <c r="H819" s="6"/>
      <c r="I819" s="6"/>
      <c r="J819" s="11"/>
      <c r="K819" s="591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ht="11.25" customHeight="1">
      <c r="A820" s="7"/>
      <c r="B820" s="5"/>
      <c r="C820" s="6"/>
      <c r="D820" s="6"/>
      <c r="E820" s="6"/>
      <c r="F820" s="6"/>
      <c r="G820" s="6"/>
      <c r="H820" s="6"/>
      <c r="I820" s="6"/>
      <c r="J820" s="11"/>
      <c r="K820" s="591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ht="11.25" customHeight="1">
      <c r="A821" s="7"/>
      <c r="B821" s="5"/>
      <c r="C821" s="6"/>
      <c r="D821" s="6"/>
      <c r="E821" s="6"/>
      <c r="F821" s="6"/>
      <c r="G821" s="6"/>
      <c r="H821" s="6"/>
      <c r="I821" s="6"/>
      <c r="J821" s="11"/>
      <c r="K821" s="591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ht="11.25" customHeight="1">
      <c r="A822" s="7"/>
      <c r="B822" s="5"/>
      <c r="C822" s="6"/>
      <c r="D822" s="6"/>
      <c r="E822" s="6"/>
      <c r="F822" s="6"/>
      <c r="G822" s="6"/>
      <c r="H822" s="6"/>
      <c r="I822" s="6"/>
      <c r="J822" s="11"/>
      <c r="K822" s="591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ht="11.25" customHeight="1">
      <c r="A823" s="7"/>
      <c r="B823" s="5"/>
      <c r="C823" s="6"/>
      <c r="D823" s="6"/>
      <c r="E823" s="6"/>
      <c r="F823" s="6"/>
      <c r="G823" s="6"/>
      <c r="H823" s="6"/>
      <c r="I823" s="6"/>
      <c r="J823" s="11"/>
      <c r="K823" s="591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ht="11.25" customHeight="1">
      <c r="A824" s="7"/>
      <c r="B824" s="5"/>
      <c r="C824" s="6"/>
      <c r="D824" s="6"/>
      <c r="E824" s="6"/>
      <c r="F824" s="6"/>
      <c r="G824" s="6"/>
      <c r="H824" s="6"/>
      <c r="I824" s="6"/>
      <c r="J824" s="11"/>
      <c r="K824" s="591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ht="11.25" customHeight="1">
      <c r="A825" s="7"/>
      <c r="B825" s="5"/>
      <c r="C825" s="6"/>
      <c r="D825" s="6"/>
      <c r="E825" s="6"/>
      <c r="F825" s="6"/>
      <c r="G825" s="6"/>
      <c r="H825" s="6"/>
      <c r="I825" s="6"/>
      <c r="J825" s="11"/>
      <c r="K825" s="591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ht="11.25" customHeight="1">
      <c r="A826" s="7"/>
      <c r="B826" s="5"/>
      <c r="C826" s="6"/>
      <c r="D826" s="6"/>
      <c r="E826" s="6"/>
      <c r="F826" s="6"/>
      <c r="G826" s="6"/>
      <c r="H826" s="6"/>
      <c r="I826" s="6"/>
      <c r="J826" s="11"/>
      <c r="K826" s="591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ht="11.25" customHeight="1">
      <c r="A827" s="7"/>
      <c r="B827" s="5"/>
      <c r="C827" s="6"/>
      <c r="D827" s="6"/>
      <c r="E827" s="6"/>
      <c r="F827" s="6"/>
      <c r="G827" s="6"/>
      <c r="H827" s="6"/>
      <c r="I827" s="6"/>
      <c r="J827" s="11"/>
      <c r="K827" s="591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ht="11.25" customHeight="1">
      <c r="A828" s="7"/>
      <c r="B828" s="5"/>
      <c r="C828" s="6"/>
      <c r="D828" s="6"/>
      <c r="E828" s="6"/>
      <c r="F828" s="6"/>
      <c r="G828" s="6"/>
      <c r="H828" s="6"/>
      <c r="I828" s="6"/>
      <c r="J828" s="11"/>
      <c r="K828" s="591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ht="11.25" customHeight="1">
      <c r="A829" s="7"/>
      <c r="B829" s="5"/>
      <c r="C829" s="6"/>
      <c r="D829" s="6"/>
      <c r="E829" s="6"/>
      <c r="F829" s="6"/>
      <c r="G829" s="6"/>
      <c r="H829" s="6"/>
      <c r="I829" s="6"/>
      <c r="J829" s="11"/>
      <c r="K829" s="591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ht="11.25" customHeight="1">
      <c r="A830" s="7"/>
      <c r="B830" s="5"/>
      <c r="C830" s="6"/>
      <c r="D830" s="6"/>
      <c r="E830" s="6"/>
      <c r="F830" s="6"/>
      <c r="G830" s="6"/>
      <c r="H830" s="6"/>
      <c r="I830" s="6"/>
      <c r="J830" s="11"/>
      <c r="K830" s="591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ht="11.25" customHeight="1">
      <c r="A831" s="7"/>
      <c r="B831" s="5"/>
      <c r="C831" s="6"/>
      <c r="D831" s="6"/>
      <c r="E831" s="6"/>
      <c r="F831" s="6"/>
      <c r="G831" s="6"/>
      <c r="H831" s="6"/>
      <c r="I831" s="6"/>
      <c r="J831" s="11"/>
      <c r="K831" s="591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ht="11.25" customHeight="1">
      <c r="A832" s="7"/>
      <c r="B832" s="5"/>
      <c r="C832" s="6"/>
      <c r="D832" s="6"/>
      <c r="E832" s="6"/>
      <c r="F832" s="6"/>
      <c r="G832" s="6"/>
      <c r="H832" s="6"/>
      <c r="I832" s="6"/>
      <c r="J832" s="11"/>
      <c r="K832" s="591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ht="11.25" customHeight="1">
      <c r="A833" s="7"/>
      <c r="B833" s="5"/>
      <c r="C833" s="6"/>
      <c r="D833" s="6"/>
      <c r="E833" s="6"/>
      <c r="F833" s="6"/>
      <c r="G833" s="6"/>
      <c r="H833" s="6"/>
      <c r="I833" s="6"/>
      <c r="J833" s="11"/>
      <c r="K833" s="591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ht="11.25" customHeight="1">
      <c r="A834" s="7"/>
      <c r="B834" s="5"/>
      <c r="C834" s="6"/>
      <c r="D834" s="6"/>
      <c r="E834" s="6"/>
      <c r="F834" s="6"/>
      <c r="G834" s="6"/>
      <c r="H834" s="6"/>
      <c r="I834" s="6"/>
      <c r="J834" s="11"/>
      <c r="K834" s="591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ht="11.25" customHeight="1">
      <c r="A835" s="7"/>
      <c r="B835" s="5"/>
      <c r="C835" s="6"/>
      <c r="D835" s="6"/>
      <c r="E835" s="6"/>
      <c r="F835" s="6"/>
      <c r="G835" s="6"/>
      <c r="H835" s="6"/>
      <c r="I835" s="6"/>
      <c r="J835" s="11"/>
      <c r="K835" s="591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ht="11.25" customHeight="1">
      <c r="A836" s="7"/>
      <c r="B836" s="5"/>
      <c r="C836" s="6"/>
      <c r="D836" s="6"/>
      <c r="E836" s="6"/>
      <c r="F836" s="6"/>
      <c r="G836" s="6"/>
      <c r="H836" s="6"/>
      <c r="I836" s="6"/>
      <c r="J836" s="11"/>
      <c r="K836" s="591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ht="11.25" customHeight="1">
      <c r="A837" s="7"/>
      <c r="B837" s="5"/>
      <c r="C837" s="6"/>
      <c r="D837" s="6"/>
      <c r="E837" s="6"/>
      <c r="F837" s="6"/>
      <c r="G837" s="6"/>
      <c r="H837" s="6"/>
      <c r="I837" s="6"/>
      <c r="J837" s="11"/>
      <c r="K837" s="591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ht="11.25" customHeight="1">
      <c r="A838" s="7"/>
      <c r="B838" s="5"/>
      <c r="C838" s="6"/>
      <c r="D838" s="6"/>
      <c r="E838" s="6"/>
      <c r="F838" s="6"/>
      <c r="G838" s="6"/>
      <c r="H838" s="6"/>
      <c r="I838" s="6"/>
      <c r="J838" s="11"/>
      <c r="K838" s="591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ht="11.25" customHeight="1">
      <c r="A839" s="7"/>
      <c r="B839" s="5"/>
      <c r="C839" s="6"/>
      <c r="D839" s="6"/>
      <c r="E839" s="6"/>
      <c r="F839" s="6"/>
      <c r="G839" s="6"/>
      <c r="H839" s="6"/>
      <c r="I839" s="6"/>
      <c r="J839" s="11"/>
      <c r="K839" s="591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ht="11.25" customHeight="1">
      <c r="A840" s="7"/>
      <c r="B840" s="5"/>
      <c r="C840" s="6"/>
      <c r="D840" s="6"/>
      <c r="E840" s="6"/>
      <c r="F840" s="6"/>
      <c r="G840" s="6"/>
      <c r="H840" s="6"/>
      <c r="I840" s="6"/>
      <c r="J840" s="11"/>
      <c r="K840" s="591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ht="11.25" customHeight="1">
      <c r="A841" s="7"/>
      <c r="B841" s="5"/>
      <c r="C841" s="6"/>
      <c r="D841" s="6"/>
      <c r="E841" s="6"/>
      <c r="F841" s="6"/>
      <c r="G841" s="6"/>
      <c r="H841" s="6"/>
      <c r="I841" s="6"/>
      <c r="J841" s="11"/>
      <c r="K841" s="591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ht="11.25" customHeight="1">
      <c r="A842" s="7"/>
      <c r="B842" s="5"/>
      <c r="C842" s="6"/>
      <c r="D842" s="6"/>
      <c r="E842" s="6"/>
      <c r="F842" s="6"/>
      <c r="G842" s="6"/>
      <c r="H842" s="6"/>
      <c r="I842" s="6"/>
      <c r="J842" s="11"/>
      <c r="K842" s="591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ht="11.25" customHeight="1">
      <c r="A843" s="7"/>
      <c r="B843" s="5"/>
      <c r="C843" s="6"/>
      <c r="D843" s="6"/>
      <c r="E843" s="6"/>
      <c r="F843" s="6"/>
      <c r="G843" s="6"/>
      <c r="H843" s="6"/>
      <c r="I843" s="6"/>
      <c r="J843" s="11"/>
      <c r="K843" s="591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ht="11.25" customHeight="1">
      <c r="A844" s="7"/>
      <c r="B844" s="5"/>
      <c r="C844" s="6"/>
      <c r="D844" s="6"/>
      <c r="E844" s="6"/>
      <c r="F844" s="6"/>
      <c r="G844" s="6"/>
      <c r="H844" s="6"/>
      <c r="I844" s="6"/>
      <c r="J844" s="11"/>
      <c r="K844" s="591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ht="11.25" customHeight="1">
      <c r="A845" s="7"/>
      <c r="B845" s="5"/>
      <c r="C845" s="6"/>
      <c r="D845" s="6"/>
      <c r="E845" s="6"/>
      <c r="F845" s="6"/>
      <c r="G845" s="6"/>
      <c r="H845" s="6"/>
      <c r="I845" s="6"/>
      <c r="J845" s="11"/>
      <c r="K845" s="591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ht="11.25" customHeight="1">
      <c r="A846" s="7"/>
      <c r="B846" s="5"/>
      <c r="C846" s="6"/>
      <c r="D846" s="6"/>
      <c r="E846" s="6"/>
      <c r="F846" s="6"/>
      <c r="G846" s="6"/>
      <c r="H846" s="6"/>
      <c r="I846" s="6"/>
      <c r="J846" s="11"/>
      <c r="K846" s="591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ht="11.25" customHeight="1">
      <c r="A847" s="7"/>
      <c r="B847" s="5"/>
      <c r="C847" s="6"/>
      <c r="D847" s="6"/>
      <c r="E847" s="6"/>
      <c r="F847" s="6"/>
      <c r="G847" s="6"/>
      <c r="H847" s="6"/>
      <c r="I847" s="6"/>
      <c r="J847" s="11"/>
      <c r="K847" s="591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ht="11.25" customHeight="1">
      <c r="A848" s="7"/>
      <c r="B848" s="5"/>
      <c r="C848" s="6"/>
      <c r="D848" s="6"/>
      <c r="E848" s="6"/>
      <c r="F848" s="6"/>
      <c r="G848" s="6"/>
      <c r="H848" s="6"/>
      <c r="I848" s="6"/>
      <c r="J848" s="11"/>
      <c r="K848" s="591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ht="11.25" customHeight="1">
      <c r="A849" s="7"/>
      <c r="B849" s="5"/>
      <c r="C849" s="6"/>
      <c r="D849" s="6"/>
      <c r="E849" s="6"/>
      <c r="F849" s="6"/>
      <c r="G849" s="6"/>
      <c r="H849" s="6"/>
      <c r="I849" s="6"/>
      <c r="J849" s="11"/>
      <c r="K849" s="591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ht="11.25" customHeight="1">
      <c r="A850" s="7"/>
      <c r="B850" s="5"/>
      <c r="C850" s="6"/>
      <c r="D850" s="6"/>
      <c r="E850" s="6"/>
      <c r="F850" s="6"/>
      <c r="G850" s="6"/>
      <c r="H850" s="6"/>
      <c r="I850" s="6"/>
      <c r="J850" s="11"/>
      <c r="K850" s="591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ht="11.25" customHeight="1">
      <c r="A851" s="7"/>
      <c r="B851" s="5"/>
      <c r="C851" s="6"/>
      <c r="D851" s="6"/>
      <c r="E851" s="6"/>
      <c r="F851" s="6"/>
      <c r="G851" s="6"/>
      <c r="H851" s="6"/>
      <c r="I851" s="6"/>
      <c r="J851" s="11"/>
      <c r="K851" s="591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ht="11.25" customHeight="1">
      <c r="A852" s="7"/>
      <c r="B852" s="5"/>
      <c r="C852" s="6"/>
      <c r="D852" s="6"/>
      <c r="E852" s="6"/>
      <c r="F852" s="6"/>
      <c r="G852" s="6"/>
      <c r="H852" s="6"/>
      <c r="I852" s="6"/>
      <c r="J852" s="11"/>
      <c r="K852" s="591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ht="11.25" customHeight="1">
      <c r="A853" s="7"/>
      <c r="B853" s="5"/>
      <c r="C853" s="6"/>
      <c r="D853" s="6"/>
      <c r="E853" s="6"/>
      <c r="F853" s="6"/>
      <c r="G853" s="6"/>
      <c r="H853" s="6"/>
      <c r="I853" s="6"/>
      <c r="J853" s="11"/>
      <c r="K853" s="591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ht="11.25" customHeight="1">
      <c r="A854" s="7"/>
      <c r="B854" s="5"/>
      <c r="C854" s="6"/>
      <c r="D854" s="6"/>
      <c r="E854" s="6"/>
      <c r="F854" s="6"/>
      <c r="G854" s="6"/>
      <c r="H854" s="6"/>
      <c r="I854" s="6"/>
      <c r="J854" s="11"/>
      <c r="K854" s="591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ht="11.25" customHeight="1">
      <c r="A855" s="7"/>
      <c r="B855" s="5"/>
      <c r="C855" s="6"/>
      <c r="D855" s="6"/>
      <c r="E855" s="6"/>
      <c r="F855" s="6"/>
      <c r="G855" s="6"/>
      <c r="H855" s="6"/>
      <c r="I855" s="6"/>
      <c r="J855" s="11"/>
      <c r="K855" s="591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ht="11.25" customHeight="1">
      <c r="A856" s="7"/>
      <c r="B856" s="5"/>
      <c r="C856" s="6"/>
      <c r="D856" s="6"/>
      <c r="E856" s="6"/>
      <c r="F856" s="6"/>
      <c r="G856" s="6"/>
      <c r="H856" s="6"/>
      <c r="I856" s="6"/>
      <c r="J856" s="11"/>
      <c r="K856" s="591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ht="11.25" customHeight="1">
      <c r="A857" s="7"/>
      <c r="B857" s="5"/>
      <c r="C857" s="6"/>
      <c r="D857" s="6"/>
      <c r="E857" s="6"/>
      <c r="F857" s="6"/>
      <c r="G857" s="6"/>
      <c r="H857" s="6"/>
      <c r="I857" s="6"/>
      <c r="J857" s="11"/>
      <c r="K857" s="591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ht="11.25" customHeight="1">
      <c r="A858" s="7"/>
      <c r="B858" s="5"/>
      <c r="C858" s="6"/>
      <c r="D858" s="6"/>
      <c r="E858" s="6"/>
      <c r="F858" s="6"/>
      <c r="G858" s="6"/>
      <c r="H858" s="6"/>
      <c r="I858" s="6"/>
      <c r="J858" s="11"/>
      <c r="K858" s="591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ht="11.25" customHeight="1">
      <c r="A859" s="7"/>
      <c r="B859" s="5"/>
      <c r="C859" s="6"/>
      <c r="D859" s="6"/>
      <c r="E859" s="6"/>
      <c r="F859" s="6"/>
      <c r="G859" s="6"/>
      <c r="H859" s="6"/>
      <c r="I859" s="6"/>
      <c r="J859" s="11"/>
      <c r="K859" s="591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ht="11.25" customHeight="1">
      <c r="A860" s="7"/>
      <c r="B860" s="5"/>
      <c r="C860" s="6"/>
      <c r="D860" s="6"/>
      <c r="E860" s="6"/>
      <c r="F860" s="6"/>
      <c r="G860" s="6"/>
      <c r="H860" s="6"/>
      <c r="I860" s="6"/>
      <c r="J860" s="11"/>
      <c r="K860" s="591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ht="11.25" customHeight="1">
      <c r="A861" s="7"/>
      <c r="B861" s="5"/>
      <c r="C861" s="6"/>
      <c r="D861" s="6"/>
      <c r="E861" s="6"/>
      <c r="F861" s="6"/>
      <c r="G861" s="6"/>
      <c r="H861" s="6"/>
      <c r="I861" s="6"/>
      <c r="J861" s="11"/>
      <c r="K861" s="591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ht="11.25" customHeight="1">
      <c r="A862" s="7"/>
      <c r="B862" s="5"/>
      <c r="C862" s="6"/>
      <c r="D862" s="6"/>
      <c r="E862" s="6"/>
      <c r="F862" s="6"/>
      <c r="G862" s="6"/>
      <c r="H862" s="6"/>
      <c r="I862" s="6"/>
      <c r="J862" s="11"/>
      <c r="K862" s="591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ht="11.25" customHeight="1">
      <c r="A863" s="7"/>
      <c r="B863" s="5"/>
      <c r="C863" s="6"/>
      <c r="D863" s="6"/>
      <c r="E863" s="6"/>
      <c r="F863" s="6"/>
      <c r="G863" s="6"/>
      <c r="H863" s="6"/>
      <c r="I863" s="6"/>
      <c r="J863" s="11"/>
      <c r="K863" s="591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ht="11.25" customHeight="1">
      <c r="A864" s="7"/>
      <c r="B864" s="5"/>
      <c r="C864" s="6"/>
      <c r="D864" s="6"/>
      <c r="E864" s="6"/>
      <c r="F864" s="6"/>
      <c r="G864" s="6"/>
      <c r="H864" s="6"/>
      <c r="I864" s="6"/>
      <c r="J864" s="11"/>
      <c r="K864" s="591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ht="11.25" customHeight="1">
      <c r="A865" s="7"/>
      <c r="B865" s="5"/>
      <c r="C865" s="6"/>
      <c r="D865" s="6"/>
      <c r="E865" s="6"/>
      <c r="F865" s="6"/>
      <c r="G865" s="6"/>
      <c r="H865" s="6"/>
      <c r="I865" s="6"/>
      <c r="J865" s="11"/>
      <c r="K865" s="591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ht="11.25" customHeight="1">
      <c r="A866" s="7"/>
      <c r="B866" s="5"/>
      <c r="C866" s="6"/>
      <c r="D866" s="6"/>
      <c r="E866" s="6"/>
      <c r="F866" s="6"/>
      <c r="G866" s="6"/>
      <c r="H866" s="6"/>
      <c r="I866" s="6"/>
      <c r="J866" s="11"/>
      <c r="K866" s="591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ht="11.25" customHeight="1">
      <c r="A867" s="7"/>
      <c r="B867" s="5"/>
      <c r="C867" s="6"/>
      <c r="D867" s="6"/>
      <c r="E867" s="6"/>
      <c r="F867" s="6"/>
      <c r="G867" s="6"/>
      <c r="H867" s="6"/>
      <c r="I867" s="6"/>
      <c r="J867" s="11"/>
      <c r="K867" s="591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ht="11.25" customHeight="1">
      <c r="A868" s="7"/>
      <c r="B868" s="5"/>
      <c r="C868" s="6"/>
      <c r="D868" s="6"/>
      <c r="E868" s="6"/>
      <c r="F868" s="6"/>
      <c r="G868" s="6"/>
      <c r="H868" s="6"/>
      <c r="I868" s="6"/>
      <c r="J868" s="11"/>
      <c r="K868" s="591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ht="11.25" customHeight="1">
      <c r="A869" s="7"/>
      <c r="B869" s="5"/>
      <c r="C869" s="6"/>
      <c r="D869" s="6"/>
      <c r="E869" s="6"/>
      <c r="F869" s="6"/>
      <c r="G869" s="6"/>
      <c r="H869" s="6"/>
      <c r="I869" s="6"/>
      <c r="J869" s="11"/>
      <c r="K869" s="591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ht="11.25" customHeight="1">
      <c r="A870" s="7"/>
      <c r="B870" s="5"/>
      <c r="C870" s="6"/>
      <c r="D870" s="6"/>
      <c r="E870" s="6"/>
      <c r="F870" s="6"/>
      <c r="G870" s="6"/>
      <c r="H870" s="6"/>
      <c r="I870" s="6"/>
      <c r="J870" s="11"/>
      <c r="K870" s="591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ht="11.25" customHeight="1">
      <c r="A871" s="7"/>
      <c r="B871" s="5"/>
      <c r="C871" s="6"/>
      <c r="D871" s="6"/>
      <c r="E871" s="6"/>
      <c r="F871" s="6"/>
      <c r="G871" s="6"/>
      <c r="H871" s="6"/>
      <c r="I871" s="6"/>
      <c r="J871" s="11"/>
      <c r="K871" s="591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ht="11.25" customHeight="1">
      <c r="A872" s="7"/>
      <c r="B872" s="5"/>
      <c r="C872" s="6"/>
      <c r="D872" s="6"/>
      <c r="E872" s="6"/>
      <c r="F872" s="6"/>
      <c r="G872" s="6"/>
      <c r="H872" s="6"/>
      <c r="I872" s="6"/>
      <c r="J872" s="11"/>
      <c r="K872" s="591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ht="11.25" customHeight="1">
      <c r="A873" s="7"/>
      <c r="B873" s="5"/>
      <c r="C873" s="6"/>
      <c r="D873" s="6"/>
      <c r="E873" s="6"/>
      <c r="F873" s="6"/>
      <c r="G873" s="6"/>
      <c r="H873" s="6"/>
      <c r="I873" s="6"/>
      <c r="J873" s="11"/>
      <c r="K873" s="591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ht="11.25" customHeight="1">
      <c r="A874" s="7"/>
      <c r="B874" s="5"/>
      <c r="C874" s="6"/>
      <c r="D874" s="6"/>
      <c r="E874" s="6"/>
      <c r="F874" s="6"/>
      <c r="G874" s="6"/>
      <c r="H874" s="6"/>
      <c r="I874" s="6"/>
      <c r="J874" s="11"/>
      <c r="K874" s="591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ht="11.25" customHeight="1">
      <c r="A875" s="7"/>
      <c r="B875" s="5"/>
      <c r="C875" s="6"/>
      <c r="D875" s="6"/>
      <c r="E875" s="6"/>
      <c r="F875" s="6"/>
      <c r="G875" s="6"/>
      <c r="H875" s="6"/>
      <c r="I875" s="6"/>
      <c r="J875" s="11"/>
      <c r="K875" s="591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ht="11.25" customHeight="1">
      <c r="A876" s="7"/>
      <c r="B876" s="5"/>
      <c r="C876" s="6"/>
      <c r="D876" s="6"/>
      <c r="E876" s="6"/>
      <c r="F876" s="6"/>
      <c r="G876" s="6"/>
      <c r="H876" s="6"/>
      <c r="I876" s="6"/>
      <c r="J876" s="11"/>
      <c r="K876" s="591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ht="11.25" customHeight="1">
      <c r="A877" s="7"/>
      <c r="B877" s="5"/>
      <c r="C877" s="6"/>
      <c r="D877" s="6"/>
      <c r="E877" s="6"/>
      <c r="F877" s="6"/>
      <c r="G877" s="6"/>
      <c r="H877" s="6"/>
      <c r="I877" s="6"/>
      <c r="J877" s="11"/>
      <c r="K877" s="591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ht="11.25" customHeight="1">
      <c r="A878" s="7"/>
      <c r="B878" s="5"/>
      <c r="C878" s="6"/>
      <c r="D878" s="6"/>
      <c r="E878" s="6"/>
      <c r="F878" s="6"/>
      <c r="G878" s="6"/>
      <c r="H878" s="6"/>
      <c r="I878" s="6"/>
      <c r="J878" s="11"/>
      <c r="K878" s="591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ht="11.25" customHeight="1">
      <c r="A879" s="7"/>
      <c r="B879" s="5"/>
      <c r="C879" s="6"/>
      <c r="D879" s="6"/>
      <c r="E879" s="6"/>
      <c r="F879" s="6"/>
      <c r="G879" s="6"/>
      <c r="H879" s="6"/>
      <c r="I879" s="6"/>
      <c r="J879" s="11"/>
      <c r="K879" s="591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ht="11.25" customHeight="1">
      <c r="A880" s="7"/>
      <c r="B880" s="5"/>
      <c r="C880" s="6"/>
      <c r="D880" s="6"/>
      <c r="E880" s="6"/>
      <c r="F880" s="6"/>
      <c r="G880" s="6"/>
      <c r="H880" s="6"/>
      <c r="I880" s="6"/>
      <c r="J880" s="11"/>
      <c r="K880" s="591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ht="11.25" customHeight="1">
      <c r="A881" s="7"/>
      <c r="B881" s="5"/>
      <c r="C881" s="6"/>
      <c r="D881" s="6"/>
      <c r="E881" s="6"/>
      <c r="F881" s="6"/>
      <c r="G881" s="6"/>
      <c r="H881" s="6"/>
      <c r="I881" s="6"/>
      <c r="J881" s="11"/>
      <c r="K881" s="591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ht="11.25" customHeight="1">
      <c r="A882" s="7"/>
      <c r="B882" s="5"/>
      <c r="C882" s="6"/>
      <c r="D882" s="6"/>
      <c r="E882" s="6"/>
      <c r="F882" s="6"/>
      <c r="G882" s="6"/>
      <c r="H882" s="6"/>
      <c r="I882" s="6"/>
      <c r="J882" s="11"/>
      <c r="K882" s="591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ht="11.25" customHeight="1">
      <c r="A883" s="7"/>
      <c r="B883" s="5"/>
      <c r="C883" s="6"/>
      <c r="D883" s="6"/>
      <c r="E883" s="6"/>
      <c r="F883" s="6"/>
      <c r="G883" s="6"/>
      <c r="H883" s="6"/>
      <c r="I883" s="6"/>
      <c r="J883" s="11"/>
      <c r="K883" s="591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ht="11.25" customHeight="1">
      <c r="A884" s="7"/>
      <c r="B884" s="5"/>
      <c r="C884" s="6"/>
      <c r="D884" s="6"/>
      <c r="E884" s="6"/>
      <c r="F884" s="6"/>
      <c r="G884" s="6"/>
      <c r="H884" s="6"/>
      <c r="I884" s="6"/>
      <c r="J884" s="11"/>
      <c r="K884" s="591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ht="11.25" customHeight="1">
      <c r="A885" s="7"/>
      <c r="B885" s="5"/>
      <c r="C885" s="6"/>
      <c r="D885" s="6"/>
      <c r="E885" s="6"/>
      <c r="F885" s="6"/>
      <c r="G885" s="6"/>
      <c r="H885" s="6"/>
      <c r="I885" s="6"/>
      <c r="J885" s="11"/>
      <c r="K885" s="591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ht="11.25" customHeight="1">
      <c r="A886" s="7"/>
      <c r="B886" s="5"/>
      <c r="C886" s="6"/>
      <c r="D886" s="6"/>
      <c r="E886" s="6"/>
      <c r="F886" s="6"/>
      <c r="G886" s="6"/>
      <c r="H886" s="6"/>
      <c r="I886" s="6"/>
      <c r="J886" s="11"/>
      <c r="K886" s="591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ht="11.25" customHeight="1">
      <c r="A887" s="7"/>
      <c r="B887" s="5"/>
      <c r="C887" s="6"/>
      <c r="D887" s="6"/>
      <c r="E887" s="6"/>
      <c r="F887" s="6"/>
      <c r="G887" s="6"/>
      <c r="H887" s="6"/>
      <c r="I887" s="6"/>
      <c r="J887" s="11"/>
      <c r="K887" s="591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ht="11.25" customHeight="1">
      <c r="A888" s="7"/>
      <c r="B888" s="5"/>
      <c r="C888" s="6"/>
      <c r="D888" s="6"/>
      <c r="E888" s="6"/>
      <c r="F888" s="6"/>
      <c r="G888" s="6"/>
      <c r="H888" s="6"/>
      <c r="I888" s="6"/>
      <c r="J888" s="11"/>
      <c r="K888" s="591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ht="11.25" customHeight="1">
      <c r="A889" s="7"/>
      <c r="B889" s="5"/>
      <c r="C889" s="6"/>
      <c r="D889" s="6"/>
      <c r="E889" s="6"/>
      <c r="F889" s="6"/>
      <c r="G889" s="6"/>
      <c r="H889" s="6"/>
      <c r="I889" s="6"/>
      <c r="J889" s="11"/>
      <c r="K889" s="591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ht="11.25" customHeight="1">
      <c r="A890" s="7"/>
      <c r="B890" s="5"/>
      <c r="C890" s="6"/>
      <c r="D890" s="6"/>
      <c r="E890" s="6"/>
      <c r="F890" s="6"/>
      <c r="G890" s="6"/>
      <c r="H890" s="6"/>
      <c r="I890" s="6"/>
      <c r="J890" s="11"/>
      <c r="K890" s="591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ht="11.25" customHeight="1">
      <c r="A891" s="7"/>
      <c r="B891" s="5"/>
      <c r="C891" s="6"/>
      <c r="D891" s="6"/>
      <c r="E891" s="6"/>
      <c r="F891" s="6"/>
      <c r="G891" s="6"/>
      <c r="H891" s="6"/>
      <c r="I891" s="6"/>
      <c r="J891" s="11"/>
      <c r="K891" s="591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ht="11.25" customHeight="1">
      <c r="A892" s="7"/>
      <c r="B892" s="5"/>
      <c r="C892" s="6"/>
      <c r="D892" s="6"/>
      <c r="E892" s="6"/>
      <c r="F892" s="6"/>
      <c r="G892" s="6"/>
      <c r="H892" s="6"/>
      <c r="I892" s="6"/>
      <c r="J892" s="11"/>
      <c r="K892" s="591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ht="11.25" customHeight="1">
      <c r="A893" s="7"/>
      <c r="B893" s="5"/>
      <c r="C893" s="6"/>
      <c r="D893" s="6"/>
      <c r="E893" s="6"/>
      <c r="F893" s="6"/>
      <c r="G893" s="6"/>
      <c r="H893" s="6"/>
      <c r="I893" s="6"/>
      <c r="J893" s="11"/>
      <c r="K893" s="591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ht="11.25" customHeight="1">
      <c r="A894" s="7"/>
      <c r="B894" s="5"/>
      <c r="C894" s="6"/>
      <c r="D894" s="6"/>
      <c r="E894" s="6"/>
      <c r="F894" s="6"/>
      <c r="G894" s="6"/>
      <c r="H894" s="6"/>
      <c r="I894" s="6"/>
      <c r="J894" s="11"/>
      <c r="K894" s="591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ht="11.25" customHeight="1">
      <c r="A895" s="7"/>
      <c r="B895" s="5"/>
      <c r="C895" s="6"/>
      <c r="D895" s="6"/>
      <c r="E895" s="6"/>
      <c r="F895" s="6"/>
      <c r="G895" s="6"/>
      <c r="H895" s="6"/>
      <c r="I895" s="6"/>
      <c r="J895" s="11"/>
      <c r="K895" s="591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ht="11.25" customHeight="1">
      <c r="A896" s="7"/>
      <c r="B896" s="5"/>
      <c r="C896" s="6"/>
      <c r="D896" s="6"/>
      <c r="E896" s="6"/>
      <c r="F896" s="6"/>
      <c r="G896" s="6"/>
      <c r="H896" s="6"/>
      <c r="I896" s="6"/>
      <c r="J896" s="11"/>
      <c r="K896" s="591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ht="11.25" customHeight="1">
      <c r="A897" s="7"/>
      <c r="B897" s="5"/>
      <c r="C897" s="6"/>
      <c r="D897" s="6"/>
      <c r="E897" s="6"/>
      <c r="F897" s="6"/>
      <c r="G897" s="6"/>
      <c r="H897" s="6"/>
      <c r="I897" s="6"/>
      <c r="J897" s="11"/>
      <c r="K897" s="591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ht="11.25" customHeight="1">
      <c r="A898" s="7"/>
      <c r="B898" s="5"/>
      <c r="C898" s="6"/>
      <c r="D898" s="6"/>
      <c r="E898" s="6"/>
      <c r="F898" s="6"/>
      <c r="G898" s="6"/>
      <c r="H898" s="6"/>
      <c r="I898" s="6"/>
      <c r="J898" s="11"/>
      <c r="K898" s="591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ht="11.25" customHeight="1">
      <c r="A899" s="7"/>
      <c r="B899" s="5"/>
      <c r="C899" s="6"/>
      <c r="D899" s="6"/>
      <c r="E899" s="6"/>
      <c r="F899" s="6"/>
      <c r="G899" s="6"/>
      <c r="H899" s="6"/>
      <c r="I899" s="6"/>
      <c r="J899" s="11"/>
      <c r="K899" s="591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ht="11.25" customHeight="1">
      <c r="A900" s="7"/>
      <c r="B900" s="5"/>
      <c r="C900" s="6"/>
      <c r="D900" s="6"/>
      <c r="E900" s="6"/>
      <c r="F900" s="6"/>
      <c r="G900" s="6"/>
      <c r="H900" s="6"/>
      <c r="I900" s="6"/>
      <c r="J900" s="11"/>
      <c r="K900" s="591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ht="11.25" customHeight="1">
      <c r="A901" s="7"/>
      <c r="B901" s="5"/>
      <c r="C901" s="6"/>
      <c r="D901" s="6"/>
      <c r="E901" s="6"/>
      <c r="F901" s="6"/>
      <c r="G901" s="6"/>
      <c r="H901" s="6"/>
      <c r="I901" s="6"/>
      <c r="J901" s="11"/>
      <c r="K901" s="591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ht="11.25" customHeight="1">
      <c r="A902" s="7"/>
      <c r="B902" s="5"/>
      <c r="C902" s="6"/>
      <c r="D902" s="6"/>
      <c r="E902" s="6"/>
      <c r="F902" s="6"/>
      <c r="G902" s="6"/>
      <c r="H902" s="6"/>
      <c r="I902" s="6"/>
      <c r="J902" s="11"/>
      <c r="K902" s="591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ht="11.25" customHeight="1">
      <c r="A903" s="7"/>
      <c r="B903" s="5"/>
      <c r="C903" s="6"/>
      <c r="D903" s="6"/>
      <c r="E903" s="6"/>
      <c r="F903" s="6"/>
      <c r="G903" s="6"/>
      <c r="H903" s="6"/>
      <c r="I903" s="6"/>
      <c r="J903" s="11"/>
      <c r="K903" s="591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ht="11.25" customHeight="1">
      <c r="A904" s="7"/>
      <c r="B904" s="5"/>
      <c r="C904" s="6"/>
      <c r="D904" s="6"/>
      <c r="E904" s="6"/>
      <c r="F904" s="6"/>
      <c r="G904" s="6"/>
      <c r="H904" s="6"/>
      <c r="I904" s="6"/>
      <c r="J904" s="11"/>
      <c r="K904" s="591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ht="11.25" customHeight="1">
      <c r="A905" s="7"/>
      <c r="B905" s="5"/>
      <c r="C905" s="6"/>
      <c r="D905" s="6"/>
      <c r="E905" s="6"/>
      <c r="F905" s="6"/>
      <c r="G905" s="6"/>
      <c r="H905" s="6"/>
      <c r="I905" s="6"/>
      <c r="J905" s="11"/>
      <c r="K905" s="591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ht="11.25" customHeight="1">
      <c r="A906" s="7"/>
      <c r="B906" s="5"/>
      <c r="C906" s="6"/>
      <c r="D906" s="6"/>
      <c r="E906" s="6"/>
      <c r="F906" s="6"/>
      <c r="G906" s="6"/>
      <c r="H906" s="6"/>
      <c r="I906" s="6"/>
      <c r="J906" s="11"/>
      <c r="K906" s="591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ht="11.25" customHeight="1">
      <c r="A907" s="7"/>
      <c r="B907" s="5"/>
      <c r="C907" s="6"/>
      <c r="D907" s="6"/>
      <c r="E907" s="6"/>
      <c r="F907" s="6"/>
      <c r="G907" s="6"/>
      <c r="H907" s="6"/>
      <c r="I907" s="6"/>
      <c r="J907" s="11"/>
      <c r="K907" s="591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ht="11.25" customHeight="1">
      <c r="A908" s="7"/>
      <c r="B908" s="5"/>
      <c r="C908" s="6"/>
      <c r="D908" s="6"/>
      <c r="E908" s="6"/>
      <c r="F908" s="6"/>
      <c r="G908" s="6"/>
      <c r="H908" s="6"/>
      <c r="I908" s="6"/>
      <c r="J908" s="11"/>
      <c r="K908" s="591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ht="11.25" customHeight="1">
      <c r="A909" s="7"/>
      <c r="B909" s="5"/>
      <c r="C909" s="6"/>
      <c r="D909" s="6"/>
      <c r="E909" s="6"/>
      <c r="F909" s="6"/>
      <c r="G909" s="6"/>
      <c r="H909" s="6"/>
      <c r="I909" s="6"/>
      <c r="J909" s="11"/>
      <c r="K909" s="591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ht="11.25" customHeight="1">
      <c r="A910" s="7"/>
      <c r="B910" s="5"/>
      <c r="C910" s="6"/>
      <c r="D910" s="6"/>
      <c r="E910" s="6"/>
      <c r="F910" s="6"/>
      <c r="G910" s="6"/>
      <c r="H910" s="6"/>
      <c r="I910" s="6"/>
      <c r="J910" s="11"/>
      <c r="K910" s="591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ht="11.25" customHeight="1">
      <c r="A911" s="7"/>
      <c r="B911" s="5"/>
      <c r="C911" s="6"/>
      <c r="D911" s="6"/>
      <c r="E911" s="6"/>
      <c r="F911" s="6"/>
      <c r="G911" s="6"/>
      <c r="H911" s="6"/>
      <c r="I911" s="6"/>
      <c r="J911" s="11"/>
      <c r="K911" s="591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ht="11.25" customHeight="1">
      <c r="A912" s="7"/>
      <c r="B912" s="5"/>
      <c r="C912" s="6"/>
      <c r="D912" s="6"/>
      <c r="E912" s="6"/>
      <c r="F912" s="6"/>
      <c r="G912" s="6"/>
      <c r="H912" s="6"/>
      <c r="I912" s="6"/>
      <c r="J912" s="11"/>
      <c r="K912" s="591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ht="11.25" customHeight="1">
      <c r="A913" s="7"/>
      <c r="B913" s="5"/>
      <c r="C913" s="6"/>
      <c r="D913" s="6"/>
      <c r="E913" s="6"/>
      <c r="F913" s="6"/>
      <c r="G913" s="6"/>
      <c r="H913" s="6"/>
      <c r="I913" s="6"/>
      <c r="J913" s="11"/>
      <c r="K913" s="591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ht="11.25" customHeight="1">
      <c r="A914" s="7"/>
      <c r="B914" s="5"/>
      <c r="C914" s="6"/>
      <c r="D914" s="6"/>
      <c r="E914" s="6"/>
      <c r="F914" s="6"/>
      <c r="G914" s="6"/>
      <c r="H914" s="6"/>
      <c r="I914" s="6"/>
      <c r="J914" s="11"/>
      <c r="K914" s="591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ht="11.25" customHeight="1">
      <c r="A915" s="7"/>
      <c r="B915" s="5"/>
      <c r="C915" s="6"/>
      <c r="D915" s="6"/>
      <c r="E915" s="6"/>
      <c r="F915" s="6"/>
      <c r="G915" s="6"/>
      <c r="H915" s="6"/>
      <c r="I915" s="6"/>
      <c r="J915" s="11"/>
      <c r="K915" s="591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ht="11.25" customHeight="1">
      <c r="A916" s="7"/>
      <c r="B916" s="5"/>
      <c r="C916" s="6"/>
      <c r="D916" s="6"/>
      <c r="E916" s="6"/>
      <c r="F916" s="6"/>
      <c r="G916" s="6"/>
      <c r="H916" s="6"/>
      <c r="I916" s="6"/>
      <c r="J916" s="11"/>
      <c r="K916" s="591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ht="11.25" customHeight="1">
      <c r="A917" s="7"/>
      <c r="B917" s="5"/>
      <c r="C917" s="6"/>
      <c r="D917" s="6"/>
      <c r="E917" s="6"/>
      <c r="F917" s="6"/>
      <c r="G917" s="6"/>
      <c r="H917" s="6"/>
      <c r="I917" s="6"/>
      <c r="J917" s="11"/>
      <c r="K917" s="591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ht="11.25" customHeight="1">
      <c r="A918" s="7"/>
      <c r="B918" s="5"/>
      <c r="C918" s="6"/>
      <c r="D918" s="6"/>
      <c r="E918" s="6"/>
      <c r="F918" s="6"/>
      <c r="G918" s="6"/>
      <c r="H918" s="6"/>
      <c r="I918" s="6"/>
      <c r="J918" s="11"/>
      <c r="K918" s="591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ht="11.25" customHeight="1">
      <c r="A919" s="7"/>
      <c r="B919" s="5"/>
      <c r="C919" s="6"/>
      <c r="D919" s="6"/>
      <c r="E919" s="6"/>
      <c r="F919" s="6"/>
      <c r="G919" s="6"/>
      <c r="H919" s="6"/>
      <c r="I919" s="6"/>
      <c r="J919" s="11"/>
      <c r="K919" s="591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ht="11.25" customHeight="1">
      <c r="A920" s="7"/>
      <c r="B920" s="5"/>
      <c r="C920" s="6"/>
      <c r="D920" s="6"/>
      <c r="E920" s="6"/>
      <c r="F920" s="6"/>
      <c r="G920" s="6"/>
      <c r="H920" s="6"/>
      <c r="I920" s="6"/>
      <c r="J920" s="11"/>
      <c r="K920" s="591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ht="11.25" customHeight="1">
      <c r="A921" s="7"/>
      <c r="B921" s="5"/>
      <c r="C921" s="6"/>
      <c r="D921" s="6"/>
      <c r="E921" s="6"/>
      <c r="F921" s="6"/>
      <c r="G921" s="6"/>
      <c r="H921" s="6"/>
      <c r="I921" s="6"/>
      <c r="J921" s="11"/>
      <c r="K921" s="591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ht="11.25" customHeight="1">
      <c r="A922" s="7"/>
      <c r="B922" s="5"/>
      <c r="C922" s="6"/>
      <c r="D922" s="6"/>
      <c r="E922" s="6"/>
      <c r="F922" s="6"/>
      <c r="G922" s="6"/>
      <c r="H922" s="6"/>
      <c r="I922" s="6"/>
      <c r="J922" s="11"/>
      <c r="K922" s="591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ht="11.25" customHeight="1">
      <c r="A923" s="7"/>
      <c r="B923" s="5"/>
      <c r="C923" s="6"/>
      <c r="D923" s="6"/>
      <c r="E923" s="6"/>
      <c r="F923" s="6"/>
      <c r="G923" s="6"/>
      <c r="H923" s="6"/>
      <c r="I923" s="6"/>
      <c r="J923" s="11"/>
      <c r="K923" s="591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ht="11.25" customHeight="1">
      <c r="A924" s="7"/>
      <c r="B924" s="5"/>
      <c r="C924" s="6"/>
      <c r="D924" s="6"/>
      <c r="E924" s="6"/>
      <c r="F924" s="6"/>
      <c r="G924" s="6"/>
      <c r="H924" s="6"/>
      <c r="I924" s="6"/>
      <c r="J924" s="11"/>
      <c r="K924" s="591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ht="11.25" customHeight="1">
      <c r="A925" s="7"/>
      <c r="B925" s="5"/>
      <c r="C925" s="6"/>
      <c r="D925" s="6"/>
      <c r="E925" s="6"/>
      <c r="F925" s="6"/>
      <c r="G925" s="6"/>
      <c r="H925" s="6"/>
      <c r="I925" s="6"/>
      <c r="J925" s="11"/>
      <c r="K925" s="591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ht="11.25" customHeight="1">
      <c r="A926" s="7"/>
      <c r="B926" s="5"/>
      <c r="C926" s="6"/>
      <c r="D926" s="6"/>
      <c r="E926" s="6"/>
      <c r="F926" s="6"/>
      <c r="G926" s="6"/>
      <c r="H926" s="6"/>
      <c r="I926" s="6"/>
      <c r="J926" s="11"/>
      <c r="K926" s="591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ht="11.25" customHeight="1">
      <c r="A927" s="7"/>
      <c r="B927" s="5"/>
      <c r="C927" s="6"/>
      <c r="D927" s="6"/>
      <c r="E927" s="6"/>
      <c r="F927" s="6"/>
      <c r="G927" s="6"/>
      <c r="H927" s="6"/>
      <c r="I927" s="6"/>
      <c r="J927" s="11"/>
      <c r="K927" s="591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ht="11.25" customHeight="1">
      <c r="A928" s="7"/>
      <c r="B928" s="5"/>
      <c r="C928" s="6"/>
      <c r="D928" s="6"/>
      <c r="E928" s="6"/>
      <c r="F928" s="6"/>
      <c r="G928" s="6"/>
      <c r="H928" s="6"/>
      <c r="I928" s="6"/>
      <c r="J928" s="11"/>
      <c r="K928" s="591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ht="11.25" customHeight="1">
      <c r="A929" s="7"/>
      <c r="B929" s="5"/>
      <c r="C929" s="6"/>
      <c r="D929" s="6"/>
      <c r="E929" s="6"/>
      <c r="F929" s="6"/>
      <c r="G929" s="6"/>
      <c r="H929" s="6"/>
      <c r="I929" s="6"/>
      <c r="J929" s="11"/>
      <c r="K929" s="591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ht="11.25" customHeight="1">
      <c r="A930" s="7"/>
      <c r="B930" s="5"/>
      <c r="C930" s="6"/>
      <c r="D930" s="6"/>
      <c r="E930" s="6"/>
      <c r="F930" s="6"/>
      <c r="G930" s="6"/>
      <c r="H930" s="6"/>
      <c r="I930" s="6"/>
      <c r="J930" s="11"/>
      <c r="K930" s="591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ht="11.25" customHeight="1">
      <c r="A931" s="7"/>
      <c r="B931" s="5"/>
      <c r="C931" s="6"/>
      <c r="D931" s="6"/>
      <c r="E931" s="6"/>
      <c r="F931" s="6"/>
      <c r="G931" s="6"/>
      <c r="H931" s="6"/>
      <c r="I931" s="6"/>
      <c r="J931" s="11"/>
      <c r="K931" s="591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ht="11.25" customHeight="1">
      <c r="A932" s="7"/>
      <c r="B932" s="5"/>
      <c r="C932" s="6"/>
      <c r="D932" s="6"/>
      <c r="E932" s="6"/>
      <c r="F932" s="6"/>
      <c r="G932" s="6"/>
      <c r="H932" s="6"/>
      <c r="I932" s="6"/>
      <c r="J932" s="11"/>
      <c r="K932" s="591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ht="11.25" customHeight="1">
      <c r="A933" s="7"/>
      <c r="B933" s="5"/>
      <c r="C933" s="6"/>
      <c r="D933" s="6"/>
      <c r="E933" s="6"/>
      <c r="F933" s="6"/>
      <c r="G933" s="6"/>
      <c r="H933" s="6"/>
      <c r="I933" s="6"/>
      <c r="J933" s="11"/>
      <c r="K933" s="591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ht="11.25" customHeight="1">
      <c r="A934" s="7"/>
      <c r="B934" s="5"/>
      <c r="C934" s="6"/>
      <c r="D934" s="6"/>
      <c r="E934" s="6"/>
      <c r="F934" s="6"/>
      <c r="G934" s="6"/>
      <c r="H934" s="6"/>
      <c r="I934" s="6"/>
      <c r="J934" s="11"/>
      <c r="K934" s="591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ht="11.25" customHeight="1">
      <c r="A935" s="7"/>
      <c r="B935" s="5"/>
      <c r="C935" s="6"/>
      <c r="D935" s="6"/>
      <c r="E935" s="6"/>
      <c r="F935" s="6"/>
      <c r="G935" s="6"/>
      <c r="H935" s="6"/>
      <c r="I935" s="6"/>
      <c r="J935" s="11"/>
      <c r="K935" s="591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ht="11.25" customHeight="1">
      <c r="A936" s="7"/>
      <c r="B936" s="5"/>
      <c r="C936" s="6"/>
      <c r="D936" s="6"/>
      <c r="E936" s="6"/>
      <c r="F936" s="6"/>
      <c r="G936" s="6"/>
      <c r="H936" s="6"/>
      <c r="I936" s="6"/>
      <c r="J936" s="11"/>
      <c r="K936" s="591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ht="11.25" customHeight="1">
      <c r="A937" s="7"/>
      <c r="B937" s="5"/>
      <c r="C937" s="6"/>
      <c r="D937" s="6"/>
      <c r="E937" s="6"/>
      <c r="F937" s="6"/>
      <c r="G937" s="6"/>
      <c r="H937" s="6"/>
      <c r="I937" s="6"/>
      <c r="J937" s="11"/>
      <c r="K937" s="591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ht="11.25" customHeight="1">
      <c r="A938" s="7"/>
      <c r="B938" s="5"/>
      <c r="C938" s="6"/>
      <c r="D938" s="6"/>
      <c r="E938" s="6"/>
      <c r="F938" s="6"/>
      <c r="G938" s="6"/>
      <c r="H938" s="6"/>
      <c r="I938" s="6"/>
      <c r="J938" s="11"/>
      <c r="K938" s="591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ht="11.25" customHeight="1">
      <c r="A939" s="7"/>
      <c r="B939" s="5"/>
      <c r="C939" s="6"/>
      <c r="D939" s="6"/>
      <c r="E939" s="6"/>
      <c r="F939" s="6"/>
      <c r="G939" s="6"/>
      <c r="H939" s="6"/>
      <c r="I939" s="6"/>
      <c r="J939" s="11"/>
      <c r="K939" s="591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ht="11.25" customHeight="1">
      <c r="A940" s="7"/>
      <c r="B940" s="5"/>
      <c r="C940" s="6"/>
      <c r="D940" s="6"/>
      <c r="E940" s="6"/>
      <c r="F940" s="6"/>
      <c r="G940" s="6"/>
      <c r="H940" s="6"/>
      <c r="I940" s="6"/>
      <c r="J940" s="11"/>
      <c r="K940" s="591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ht="11.25" customHeight="1">
      <c r="A941" s="7"/>
      <c r="B941" s="5"/>
      <c r="C941" s="6"/>
      <c r="D941" s="6"/>
      <c r="E941" s="6"/>
      <c r="F941" s="6"/>
      <c r="G941" s="6"/>
      <c r="H941" s="6"/>
      <c r="I941" s="6"/>
      <c r="J941" s="11"/>
      <c r="K941" s="591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ht="11.25" customHeight="1">
      <c r="A942" s="7"/>
      <c r="B942" s="5"/>
      <c r="C942" s="6"/>
      <c r="D942" s="6"/>
      <c r="E942" s="6"/>
      <c r="F942" s="6"/>
      <c r="G942" s="6"/>
      <c r="H942" s="6"/>
      <c r="I942" s="6"/>
      <c r="J942" s="11"/>
      <c r="K942" s="591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ht="11.25" customHeight="1">
      <c r="A943" s="7"/>
      <c r="B943" s="5"/>
      <c r="C943" s="6"/>
      <c r="D943" s="6"/>
      <c r="E943" s="6"/>
      <c r="F943" s="6"/>
      <c r="G943" s="6"/>
      <c r="H943" s="6"/>
      <c r="I943" s="6"/>
      <c r="J943" s="11"/>
      <c r="K943" s="591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ht="11.25" customHeight="1">
      <c r="A944" s="7"/>
      <c r="B944" s="5"/>
      <c r="C944" s="6"/>
      <c r="D944" s="6"/>
      <c r="E944" s="6"/>
      <c r="F944" s="6"/>
      <c r="G944" s="6"/>
      <c r="H944" s="6"/>
      <c r="I944" s="6"/>
      <c r="J944" s="11"/>
      <c r="K944" s="591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ht="11.25" customHeight="1">
      <c r="A945" s="7"/>
      <c r="B945" s="5"/>
      <c r="C945" s="6"/>
      <c r="D945" s="6"/>
      <c r="E945" s="6"/>
      <c r="F945" s="6"/>
      <c r="G945" s="6"/>
      <c r="H945" s="6"/>
      <c r="I945" s="6"/>
      <c r="J945" s="11"/>
      <c r="K945" s="591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ht="11.25" customHeight="1">
      <c r="A946" s="7"/>
      <c r="B946" s="5"/>
      <c r="C946" s="6"/>
      <c r="D946" s="6"/>
      <c r="E946" s="6"/>
      <c r="F946" s="6"/>
      <c r="G946" s="6"/>
      <c r="H946" s="6"/>
      <c r="I946" s="6"/>
      <c r="J946" s="11"/>
      <c r="K946" s="591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ht="11.25" customHeight="1">
      <c r="A947" s="7"/>
      <c r="B947" s="5"/>
      <c r="C947" s="6"/>
      <c r="D947" s="6"/>
      <c r="E947" s="6"/>
      <c r="F947" s="6"/>
      <c r="G947" s="6"/>
      <c r="H947" s="6"/>
      <c r="I947" s="6"/>
      <c r="J947" s="11"/>
      <c r="K947" s="591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ht="11.25" customHeight="1">
      <c r="A948" s="7"/>
      <c r="B948" s="5"/>
      <c r="C948" s="6"/>
      <c r="D948" s="6"/>
      <c r="E948" s="6"/>
      <c r="F948" s="6"/>
      <c r="G948" s="6"/>
      <c r="H948" s="6"/>
      <c r="I948" s="6"/>
      <c r="J948" s="11"/>
      <c r="K948" s="591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ht="11.25" customHeight="1">
      <c r="A949" s="7"/>
      <c r="B949" s="5"/>
      <c r="C949" s="6"/>
      <c r="D949" s="6"/>
      <c r="E949" s="6"/>
      <c r="F949" s="6"/>
      <c r="G949" s="6"/>
      <c r="H949" s="6"/>
      <c r="I949" s="6"/>
      <c r="J949" s="11"/>
      <c r="K949" s="591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ht="11.25" customHeight="1">
      <c r="A950" s="7"/>
      <c r="B950" s="5"/>
      <c r="C950" s="6"/>
      <c r="D950" s="6"/>
      <c r="E950" s="6"/>
      <c r="F950" s="6"/>
      <c r="G950" s="6"/>
      <c r="H950" s="6"/>
      <c r="I950" s="6"/>
      <c r="J950" s="11"/>
      <c r="K950" s="591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ht="11.25" customHeight="1">
      <c r="A951" s="7"/>
      <c r="B951" s="5"/>
      <c r="C951" s="6"/>
      <c r="D951" s="6"/>
      <c r="E951" s="6"/>
      <c r="F951" s="6"/>
      <c r="G951" s="6"/>
      <c r="H951" s="6"/>
      <c r="I951" s="6"/>
      <c r="J951" s="11"/>
      <c r="K951" s="591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ht="11.25" customHeight="1">
      <c r="A952" s="7"/>
      <c r="B952" s="5"/>
      <c r="C952" s="6"/>
      <c r="D952" s="6"/>
      <c r="E952" s="6"/>
      <c r="F952" s="6"/>
      <c r="G952" s="6"/>
      <c r="H952" s="6"/>
      <c r="I952" s="6"/>
      <c r="J952" s="11"/>
      <c r="K952" s="591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ht="11.25" customHeight="1">
      <c r="A953" s="7"/>
      <c r="B953" s="5"/>
      <c r="C953" s="6"/>
      <c r="D953" s="6"/>
      <c r="E953" s="6"/>
      <c r="F953" s="6"/>
      <c r="G953" s="6"/>
      <c r="H953" s="6"/>
      <c r="I953" s="6"/>
      <c r="J953" s="11"/>
      <c r="K953" s="591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ht="11.25" customHeight="1">
      <c r="A954" s="7"/>
      <c r="B954" s="5"/>
      <c r="C954" s="6"/>
      <c r="D954" s="6"/>
      <c r="E954" s="6"/>
      <c r="F954" s="6"/>
      <c r="G954" s="6"/>
      <c r="H954" s="6"/>
      <c r="I954" s="6"/>
      <c r="J954" s="11"/>
      <c r="K954" s="591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ht="11.25" customHeight="1">
      <c r="A955" s="7"/>
      <c r="B955" s="5"/>
      <c r="C955" s="6"/>
      <c r="D955" s="6"/>
      <c r="E955" s="6"/>
      <c r="F955" s="6"/>
      <c r="G955" s="6"/>
      <c r="H955" s="6"/>
      <c r="I955" s="6"/>
      <c r="J955" s="11"/>
      <c r="K955" s="591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ht="11.25" customHeight="1">
      <c r="A956" s="7"/>
      <c r="B956" s="5"/>
      <c r="C956" s="6"/>
      <c r="D956" s="6"/>
      <c r="E956" s="6"/>
      <c r="F956" s="6"/>
      <c r="G956" s="6"/>
      <c r="H956" s="6"/>
      <c r="I956" s="6"/>
      <c r="J956" s="11"/>
      <c r="K956" s="591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ht="11.25" customHeight="1">
      <c r="A957" s="7"/>
      <c r="B957" s="5"/>
      <c r="C957" s="6"/>
      <c r="D957" s="6"/>
      <c r="E957" s="6"/>
      <c r="F957" s="6"/>
      <c r="G957" s="6"/>
      <c r="H957" s="6"/>
      <c r="I957" s="6"/>
      <c r="J957" s="11"/>
      <c r="K957" s="591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ht="11.25" customHeight="1">
      <c r="A958" s="7"/>
      <c r="B958" s="5"/>
      <c r="C958" s="6"/>
      <c r="D958" s="6"/>
      <c r="E958" s="6"/>
      <c r="F958" s="6"/>
      <c r="G958" s="6"/>
      <c r="H958" s="6"/>
      <c r="I958" s="6"/>
      <c r="J958" s="11"/>
      <c r="K958" s="591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ht="11.25" customHeight="1">
      <c r="A959" s="7"/>
      <c r="B959" s="5"/>
      <c r="C959" s="6"/>
      <c r="D959" s="6"/>
      <c r="E959" s="6"/>
      <c r="F959" s="6"/>
      <c r="G959" s="6"/>
      <c r="H959" s="6"/>
      <c r="I959" s="6"/>
      <c r="J959" s="11"/>
      <c r="K959" s="591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ht="11.25" customHeight="1">
      <c r="A960" s="7"/>
      <c r="B960" s="5"/>
      <c r="C960" s="6"/>
      <c r="D960" s="6"/>
      <c r="E960" s="6"/>
      <c r="F960" s="6"/>
      <c r="G960" s="6"/>
      <c r="H960" s="6"/>
      <c r="I960" s="6"/>
      <c r="J960" s="11"/>
      <c r="K960" s="591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ht="11.25" customHeight="1">
      <c r="A961" s="7"/>
      <c r="B961" s="5"/>
      <c r="C961" s="6"/>
      <c r="D961" s="6"/>
      <c r="E961" s="6"/>
      <c r="F961" s="6"/>
      <c r="G961" s="6"/>
      <c r="H961" s="6"/>
      <c r="I961" s="6"/>
      <c r="J961" s="11"/>
      <c r="K961" s="591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ht="11.25" customHeight="1">
      <c r="A962" s="7"/>
      <c r="B962" s="5"/>
      <c r="C962" s="6"/>
      <c r="D962" s="6"/>
      <c r="E962" s="6"/>
      <c r="F962" s="6"/>
      <c r="G962" s="6"/>
      <c r="H962" s="6"/>
      <c r="I962" s="6"/>
      <c r="J962" s="11"/>
      <c r="K962" s="591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ht="11.25" customHeight="1">
      <c r="A963" s="7"/>
      <c r="B963" s="5"/>
      <c r="C963" s="6"/>
      <c r="D963" s="6"/>
      <c r="E963" s="6"/>
      <c r="F963" s="6"/>
      <c r="G963" s="6"/>
      <c r="H963" s="6"/>
      <c r="I963" s="6"/>
      <c r="J963" s="11"/>
      <c r="K963" s="591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ht="11.25" customHeight="1">
      <c r="A964" s="7"/>
      <c r="B964" s="5"/>
      <c r="C964" s="6"/>
      <c r="D964" s="6"/>
      <c r="E964" s="6"/>
      <c r="F964" s="6"/>
      <c r="G964" s="6"/>
      <c r="H964" s="6"/>
      <c r="I964" s="6"/>
      <c r="J964" s="11"/>
      <c r="K964" s="591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ht="11.25" customHeight="1">
      <c r="A965" s="7"/>
      <c r="B965" s="5"/>
      <c r="C965" s="6"/>
      <c r="D965" s="6"/>
      <c r="E965" s="6"/>
      <c r="F965" s="6"/>
      <c r="G965" s="6"/>
      <c r="H965" s="6"/>
      <c r="I965" s="6"/>
      <c r="J965" s="11"/>
      <c r="K965" s="591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ht="11.25" customHeight="1">
      <c r="A966" s="7"/>
      <c r="B966" s="5"/>
      <c r="C966" s="6"/>
      <c r="D966" s="6"/>
      <c r="E966" s="6"/>
      <c r="F966" s="6"/>
      <c r="G966" s="6"/>
      <c r="H966" s="6"/>
      <c r="I966" s="6"/>
      <c r="J966" s="11"/>
      <c r="K966" s="591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ht="11.25" customHeight="1">
      <c r="A967" s="7"/>
      <c r="B967" s="5"/>
      <c r="C967" s="6"/>
      <c r="D967" s="6"/>
      <c r="E967" s="6"/>
      <c r="F967" s="6"/>
      <c r="G967" s="6"/>
      <c r="H967" s="6"/>
      <c r="I967" s="6"/>
      <c r="J967" s="11"/>
      <c r="K967" s="591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ht="11.25" customHeight="1">
      <c r="A968" s="7"/>
      <c r="B968" s="5"/>
      <c r="C968" s="6"/>
      <c r="D968" s="6"/>
      <c r="E968" s="6"/>
      <c r="F968" s="6"/>
      <c r="G968" s="6"/>
      <c r="H968" s="6"/>
      <c r="I968" s="6"/>
      <c r="J968" s="11"/>
      <c r="K968" s="591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ht="11.25" customHeight="1">
      <c r="A969" s="7"/>
      <c r="B969" s="5"/>
      <c r="C969" s="6"/>
      <c r="D969" s="6"/>
      <c r="E969" s="6"/>
      <c r="F969" s="6"/>
      <c r="G969" s="6"/>
      <c r="H969" s="6"/>
      <c r="I969" s="6"/>
      <c r="J969" s="11"/>
      <c r="K969" s="591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ht="11.25" customHeight="1">
      <c r="A970" s="7"/>
      <c r="B970" s="5"/>
      <c r="C970" s="6"/>
      <c r="D970" s="6"/>
      <c r="E970" s="6"/>
      <c r="F970" s="6"/>
      <c r="G970" s="6"/>
      <c r="H970" s="6"/>
      <c r="I970" s="6"/>
      <c r="J970" s="11"/>
      <c r="K970" s="591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ht="11.25" customHeight="1">
      <c r="A971" s="7"/>
      <c r="B971" s="5"/>
      <c r="C971" s="6"/>
      <c r="D971" s="6"/>
      <c r="E971" s="6"/>
      <c r="F971" s="6"/>
      <c r="G971" s="6"/>
      <c r="H971" s="6"/>
      <c r="I971" s="6"/>
      <c r="J971" s="11"/>
      <c r="K971" s="591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ht="11.25" customHeight="1">
      <c r="A972" s="7"/>
      <c r="B972" s="5"/>
      <c r="C972" s="6"/>
      <c r="D972" s="6"/>
      <c r="E972" s="6"/>
      <c r="F972" s="6"/>
      <c r="G972" s="6"/>
      <c r="H972" s="6"/>
      <c r="I972" s="6"/>
      <c r="J972" s="11"/>
      <c r="K972" s="591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ht="11.25" customHeight="1">
      <c r="A973" s="7"/>
      <c r="B973" s="5"/>
      <c r="C973" s="6"/>
      <c r="D973" s="6"/>
      <c r="E973" s="6"/>
      <c r="F973" s="6"/>
      <c r="G973" s="6"/>
      <c r="H973" s="6"/>
      <c r="I973" s="6"/>
      <c r="J973" s="11"/>
      <c r="K973" s="591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ht="11.25" customHeight="1">
      <c r="A974" s="7"/>
      <c r="B974" s="5"/>
      <c r="C974" s="6"/>
      <c r="D974" s="6"/>
      <c r="E974" s="6"/>
      <c r="F974" s="6"/>
      <c r="G974" s="6"/>
      <c r="H974" s="6"/>
      <c r="I974" s="6"/>
      <c r="J974" s="11"/>
      <c r="K974" s="591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ht="11.25" customHeight="1">
      <c r="A975" s="7"/>
      <c r="B975" s="5"/>
      <c r="C975" s="6"/>
      <c r="D975" s="6"/>
      <c r="E975" s="6"/>
      <c r="F975" s="6"/>
      <c r="G975" s="6"/>
      <c r="H975" s="6"/>
      <c r="I975" s="6"/>
      <c r="J975" s="11"/>
      <c r="K975" s="591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ht="11.25" customHeight="1">
      <c r="A976" s="7"/>
      <c r="B976" s="5"/>
      <c r="C976" s="6"/>
      <c r="D976" s="6"/>
      <c r="E976" s="6"/>
      <c r="F976" s="6"/>
      <c r="G976" s="6"/>
      <c r="H976" s="6"/>
      <c r="I976" s="6"/>
      <c r="J976" s="11"/>
      <c r="K976" s="591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ht="11.25" customHeight="1">
      <c r="A977" s="7"/>
      <c r="B977" s="5"/>
      <c r="C977" s="6"/>
      <c r="D977" s="6"/>
      <c r="E977" s="6"/>
      <c r="F977" s="6"/>
      <c r="G977" s="6"/>
      <c r="H977" s="6"/>
      <c r="I977" s="6"/>
      <c r="J977" s="11"/>
      <c r="K977" s="591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ht="11.25" customHeight="1">
      <c r="A978" s="7"/>
      <c r="B978" s="5"/>
      <c r="C978" s="6"/>
      <c r="D978" s="6"/>
      <c r="E978" s="6"/>
      <c r="F978" s="6"/>
      <c r="G978" s="6"/>
      <c r="H978" s="6"/>
      <c r="I978" s="6"/>
      <c r="J978" s="11"/>
      <c r="K978" s="591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ht="11.25" customHeight="1">
      <c r="A979" s="7"/>
      <c r="B979" s="5"/>
      <c r="C979" s="6"/>
      <c r="D979" s="6"/>
      <c r="E979" s="6"/>
      <c r="F979" s="6"/>
      <c r="G979" s="6"/>
      <c r="H979" s="6"/>
      <c r="I979" s="6"/>
      <c r="J979" s="11"/>
      <c r="K979" s="591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ht="11.25" customHeight="1">
      <c r="A980" s="7"/>
      <c r="B980" s="5"/>
      <c r="C980" s="6"/>
      <c r="D980" s="6"/>
      <c r="E980" s="6"/>
      <c r="F980" s="6"/>
      <c r="G980" s="6"/>
      <c r="H980" s="6"/>
      <c r="I980" s="6"/>
      <c r="J980" s="11"/>
      <c r="K980" s="591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ht="11.25" customHeight="1">
      <c r="A981" s="7"/>
      <c r="B981" s="5"/>
      <c r="C981" s="6"/>
      <c r="D981" s="6"/>
      <c r="E981" s="6"/>
      <c r="F981" s="6"/>
      <c r="G981" s="6"/>
      <c r="H981" s="6"/>
      <c r="I981" s="6"/>
      <c r="J981" s="11"/>
      <c r="K981" s="591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ht="11.25" customHeight="1">
      <c r="A982" s="7"/>
      <c r="B982" s="5"/>
      <c r="C982" s="6"/>
      <c r="D982" s="6"/>
      <c r="E982" s="6"/>
      <c r="F982" s="6"/>
      <c r="G982" s="6"/>
      <c r="H982" s="6"/>
      <c r="I982" s="6"/>
      <c r="J982" s="11"/>
      <c r="K982" s="591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ht="11.25" customHeight="1">
      <c r="A983" s="7"/>
      <c r="B983" s="5"/>
      <c r="C983" s="6"/>
      <c r="D983" s="6"/>
      <c r="E983" s="6"/>
      <c r="F983" s="6"/>
      <c r="G983" s="6"/>
      <c r="H983" s="6"/>
      <c r="I983" s="6"/>
      <c r="J983" s="11"/>
      <c r="K983" s="591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ht="11.25" customHeight="1">
      <c r="A984" s="7"/>
      <c r="B984" s="5"/>
      <c r="C984" s="6"/>
      <c r="D984" s="6"/>
      <c r="E984" s="6"/>
      <c r="F984" s="6"/>
      <c r="G984" s="6"/>
      <c r="H984" s="6"/>
      <c r="I984" s="6"/>
      <c r="J984" s="11"/>
      <c r="K984" s="591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ht="11.25" customHeight="1">
      <c r="A985" s="7"/>
      <c r="B985" s="5"/>
      <c r="C985" s="6"/>
      <c r="D985" s="6"/>
      <c r="E985" s="6"/>
      <c r="F985" s="6"/>
      <c r="G985" s="6"/>
      <c r="H985" s="6"/>
      <c r="I985" s="6"/>
      <c r="J985" s="11"/>
      <c r="K985" s="591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ht="11.25" customHeight="1">
      <c r="A986" s="7"/>
      <c r="B986" s="5"/>
      <c r="C986" s="6"/>
      <c r="D986" s="6"/>
      <c r="E986" s="6"/>
      <c r="F986" s="6"/>
      <c r="G986" s="6"/>
      <c r="H986" s="6"/>
      <c r="I986" s="6"/>
      <c r="J986" s="11"/>
      <c r="K986" s="591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ht="11.25" customHeight="1">
      <c r="A987" s="7"/>
      <c r="B987" s="5"/>
      <c r="C987" s="6"/>
      <c r="D987" s="6"/>
      <c r="E987" s="6"/>
      <c r="F987" s="6"/>
      <c r="G987" s="6"/>
      <c r="H987" s="6"/>
      <c r="I987" s="6"/>
      <c r="J987" s="11"/>
      <c r="K987" s="591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ht="11.25" customHeight="1">
      <c r="A988" s="7"/>
      <c r="B988" s="5"/>
      <c r="C988" s="6"/>
      <c r="D988" s="6"/>
      <c r="E988" s="6"/>
      <c r="F988" s="6"/>
      <c r="G988" s="6"/>
      <c r="H988" s="6"/>
      <c r="I988" s="6"/>
      <c r="J988" s="11"/>
      <c r="K988" s="591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ht="11.25" customHeight="1">
      <c r="A989" s="7"/>
      <c r="B989" s="5"/>
      <c r="C989" s="6"/>
      <c r="D989" s="6"/>
      <c r="E989" s="6"/>
      <c r="F989" s="6"/>
      <c r="G989" s="6"/>
      <c r="H989" s="6"/>
      <c r="I989" s="6"/>
      <c r="J989" s="11"/>
      <c r="K989" s="591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ht="11.25" customHeight="1">
      <c r="A990" s="7"/>
      <c r="B990" s="5"/>
      <c r="C990" s="6"/>
      <c r="D990" s="6"/>
      <c r="E990" s="6"/>
      <c r="F990" s="6"/>
      <c r="G990" s="6"/>
      <c r="H990" s="6"/>
      <c r="I990" s="6"/>
      <c r="J990" s="11"/>
      <c r="K990" s="591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ht="11.25" customHeight="1">
      <c r="A991" s="7"/>
      <c r="B991" s="5"/>
      <c r="C991" s="6"/>
      <c r="D991" s="6"/>
      <c r="E991" s="6"/>
      <c r="F991" s="6"/>
      <c r="G991" s="6"/>
      <c r="H991" s="6"/>
      <c r="I991" s="6"/>
      <c r="J991" s="11"/>
      <c r="K991" s="591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ht="11.25" customHeight="1">
      <c r="A992" s="7"/>
      <c r="B992" s="5"/>
      <c r="C992" s="6"/>
      <c r="D992" s="6"/>
      <c r="E992" s="6"/>
      <c r="F992" s="6"/>
      <c r="G992" s="6"/>
      <c r="H992" s="6"/>
      <c r="I992" s="6"/>
      <c r="J992" s="11"/>
      <c r="K992" s="591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ht="11.25" customHeight="1">
      <c r="A993" s="7"/>
      <c r="B993" s="5"/>
      <c r="C993" s="6"/>
      <c r="D993" s="6"/>
      <c r="E993" s="6"/>
      <c r="F993" s="6"/>
      <c r="G993" s="6"/>
      <c r="H993" s="6"/>
      <c r="I993" s="6"/>
      <c r="J993" s="11"/>
      <c r="K993" s="591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ht="11.25" customHeight="1">
      <c r="A994" s="7"/>
      <c r="B994" s="5"/>
      <c r="C994" s="6"/>
      <c r="D994" s="6"/>
      <c r="E994" s="6"/>
      <c r="F994" s="6"/>
      <c r="G994" s="6"/>
      <c r="H994" s="6"/>
      <c r="I994" s="6"/>
      <c r="J994" s="11"/>
      <c r="K994" s="591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 ht="11.25" customHeight="1">
      <c r="A995" s="7"/>
      <c r="B995" s="5"/>
      <c r="C995" s="6"/>
      <c r="D995" s="6"/>
      <c r="E995" s="6"/>
      <c r="F995" s="6"/>
      <c r="G995" s="6"/>
      <c r="H995" s="6"/>
      <c r="I995" s="6"/>
      <c r="J995" s="11"/>
      <c r="K995" s="591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 ht="11.25" customHeight="1">
      <c r="A996" s="7"/>
      <c r="B996" s="5"/>
      <c r="C996" s="6"/>
      <c r="D996" s="6"/>
      <c r="E996" s="6"/>
      <c r="F996" s="6"/>
      <c r="G996" s="6"/>
      <c r="H996" s="6"/>
      <c r="I996" s="6"/>
      <c r="J996" s="11"/>
      <c r="K996" s="591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 ht="11.25" customHeight="1">
      <c r="A997" s="7"/>
      <c r="B997" s="5"/>
      <c r="C997" s="6"/>
      <c r="D997" s="6"/>
      <c r="E997" s="6"/>
      <c r="F997" s="6"/>
      <c r="G997" s="6"/>
      <c r="H997" s="6"/>
      <c r="I997" s="6"/>
      <c r="J997" s="11"/>
      <c r="K997" s="591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 ht="11.25" customHeight="1">
      <c r="A998" s="7"/>
      <c r="B998" s="5"/>
      <c r="C998" s="6"/>
      <c r="D998" s="6"/>
      <c r="E998" s="6"/>
      <c r="F998" s="6"/>
      <c r="G998" s="6"/>
      <c r="H998" s="6"/>
      <c r="I998" s="6"/>
      <c r="J998" s="11"/>
      <c r="K998" s="591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 ht="11.25" customHeight="1">
      <c r="A999" s="7"/>
      <c r="B999" s="5"/>
      <c r="C999" s="6"/>
      <c r="D999" s="6"/>
      <c r="E999" s="6"/>
      <c r="F999" s="6"/>
      <c r="G999" s="6"/>
      <c r="H999" s="6"/>
      <c r="I999" s="6"/>
      <c r="J999" s="11"/>
      <c r="K999" s="591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 ht="11.25" customHeight="1">
      <c r="A1000" s="7"/>
      <c r="B1000" s="5"/>
      <c r="C1000" s="6"/>
      <c r="D1000" s="6"/>
      <c r="E1000" s="6"/>
      <c r="F1000" s="6"/>
      <c r="G1000" s="6"/>
      <c r="H1000" s="6"/>
      <c r="I1000" s="6"/>
      <c r="J1000" s="11"/>
      <c r="K1000" s="591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conditionalFormatting sqref="I1:I1000 T6:T365">
    <cfRule type="cellIs" dxfId="0" priority="1" operator="lessThan">
      <formula>0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31.38"/>
    <col customWidth="1" min="2" max="4" width="12.63"/>
    <col customWidth="1" min="6" max="7" width="12.63"/>
    <col customWidth="1" min="9" max="10" width="12.63"/>
    <col customWidth="1" min="12" max="16" width="12.63"/>
    <col customWidth="1" min="17" max="17" width="31.38"/>
  </cols>
  <sheetData>
    <row r="1">
      <c r="A1" s="118" t="s">
        <v>37</v>
      </c>
      <c r="B1" s="118" t="s">
        <v>2575</v>
      </c>
      <c r="C1" s="118" t="s">
        <v>2622</v>
      </c>
      <c r="D1" s="118" t="s">
        <v>40</v>
      </c>
      <c r="F1" s="118" t="s">
        <v>2623</v>
      </c>
      <c r="G1" s="656" t="s">
        <v>2624</v>
      </c>
      <c r="I1" s="118" t="s">
        <v>2574</v>
      </c>
      <c r="J1" s="657" t="s">
        <v>2625</v>
      </c>
      <c r="L1" s="657" t="s">
        <v>2626</v>
      </c>
      <c r="M1" s="118" t="s">
        <v>2204</v>
      </c>
      <c r="N1" s="118" t="s">
        <v>2579</v>
      </c>
      <c r="O1" s="118" t="s">
        <v>2205</v>
      </c>
      <c r="P1" s="118" t="s">
        <v>41</v>
      </c>
    </row>
    <row r="2">
      <c r="A2" s="215" t="s">
        <v>2627</v>
      </c>
      <c r="B2" s="204">
        <f t="shared" ref="B2:C2" si="1">SUM(B4:B31)</f>
        <v>13097.7</v>
      </c>
      <c r="C2" s="204">
        <f t="shared" si="1"/>
        <v>13097.7</v>
      </c>
      <c r="D2" s="120">
        <f>SUM(D4:D123)</f>
        <v>0</v>
      </c>
      <c r="E2" s="217"/>
      <c r="F2" s="204">
        <f t="shared" ref="F2:G2" si="2">SUM(F4:F35)</f>
        <v>396.9</v>
      </c>
      <c r="G2" s="658">
        <f t="shared" si="2"/>
        <v>630</v>
      </c>
      <c r="H2" s="217"/>
      <c r="I2" s="204">
        <f t="shared" ref="I2:J2" si="3">SUM(I4:I35)</f>
        <v>396.9</v>
      </c>
      <c r="J2" s="659">
        <f t="shared" si="3"/>
        <v>630</v>
      </c>
      <c r="K2" s="217"/>
      <c r="L2" s="660">
        <v>0.63</v>
      </c>
      <c r="M2" s="204"/>
      <c r="N2" s="204"/>
      <c r="O2" s="204">
        <f>SUM(O5:O100)</f>
        <v>138100</v>
      </c>
      <c r="P2" s="417">
        <f>O2/(B2/100)</f>
        <v>1054.383594</v>
      </c>
      <c r="Q2" s="121"/>
      <c r="R2" s="217"/>
      <c r="S2" s="217"/>
      <c r="T2" s="217"/>
    </row>
    <row r="3">
      <c r="A3" s="122" t="s">
        <v>1999</v>
      </c>
      <c r="E3" s="129"/>
      <c r="G3" s="661"/>
      <c r="H3" s="129"/>
      <c r="J3" s="471"/>
      <c r="K3" s="129"/>
      <c r="L3" s="153"/>
      <c r="M3" s="139"/>
      <c r="N3" s="139"/>
      <c r="O3" s="139"/>
      <c r="P3" s="166"/>
      <c r="Q3" s="129"/>
      <c r="R3" s="129"/>
      <c r="S3" s="129"/>
      <c r="T3" s="129"/>
    </row>
    <row r="4">
      <c r="A4" s="122" t="s">
        <v>2628</v>
      </c>
      <c r="E4" s="129"/>
      <c r="G4" s="661"/>
      <c r="H4" s="129"/>
      <c r="J4" s="471"/>
      <c r="K4" s="129"/>
      <c r="L4" s="153"/>
      <c r="M4" s="139"/>
      <c r="N4" s="139"/>
      <c r="O4" s="139"/>
      <c r="P4" s="166"/>
      <c r="Q4" s="129"/>
      <c r="R4" s="129"/>
      <c r="S4" s="129"/>
      <c r="T4" s="129"/>
    </row>
    <row r="5">
      <c r="A5" s="123" t="s">
        <v>2629</v>
      </c>
      <c r="B5" s="124">
        <f t="shared" ref="B5:B20" si="4">I5*33</f>
        <v>831.6</v>
      </c>
      <c r="C5" s="124">
        <f t="shared" ref="C5:C20" si="5">F5*33</f>
        <v>831.6</v>
      </c>
      <c r="D5" s="125">
        <f t="shared" ref="D5:D20" si="6">C5-B5</f>
        <v>0</v>
      </c>
      <c r="E5" s="129"/>
      <c r="F5" s="123">
        <f>G5*L2</f>
        <v>25.2</v>
      </c>
      <c r="G5" s="662">
        <v>40.0</v>
      </c>
      <c r="H5" s="129"/>
      <c r="I5" s="123">
        <f>J5*L2</f>
        <v>25.2</v>
      </c>
      <c r="J5" s="140">
        <v>40.0</v>
      </c>
      <c r="K5" s="129"/>
      <c r="L5" s="663"/>
      <c r="M5" s="627" t="s">
        <v>2270</v>
      </c>
      <c r="N5" s="664">
        <v>44504.0</v>
      </c>
      <c r="O5" s="474">
        <v>1400.0</v>
      </c>
      <c r="P5" s="125">
        <f>SUM(O5:O15)</f>
        <v>52650</v>
      </c>
      <c r="Q5" s="128" t="s">
        <v>2597</v>
      </c>
      <c r="R5" s="129"/>
      <c r="S5" s="129"/>
      <c r="T5" s="129"/>
    </row>
    <row r="6">
      <c r="A6" s="123" t="s">
        <v>2629</v>
      </c>
      <c r="B6" s="124">
        <f t="shared" si="4"/>
        <v>831.6</v>
      </c>
      <c r="C6" s="124">
        <f t="shared" si="5"/>
        <v>831.6</v>
      </c>
      <c r="D6" s="125">
        <f t="shared" si="6"/>
        <v>0</v>
      </c>
      <c r="E6" s="129"/>
      <c r="F6" s="123">
        <f>G6*L2</f>
        <v>25.2</v>
      </c>
      <c r="G6" s="662">
        <v>40.0</v>
      </c>
      <c r="H6" s="129"/>
      <c r="I6" s="123">
        <f>J6*L2</f>
        <v>25.2</v>
      </c>
      <c r="J6" s="140">
        <v>40.0</v>
      </c>
      <c r="K6" s="129"/>
      <c r="L6" s="665"/>
      <c r="M6" s="627" t="s">
        <v>2270</v>
      </c>
      <c r="N6" s="664">
        <v>44507.0</v>
      </c>
      <c r="O6" s="474">
        <v>1000.0</v>
      </c>
      <c r="Q6" s="129"/>
      <c r="R6" s="129"/>
      <c r="S6" s="129"/>
      <c r="T6" s="129"/>
    </row>
    <row r="7">
      <c r="A7" s="123" t="s">
        <v>2629</v>
      </c>
      <c r="B7" s="124">
        <f t="shared" si="4"/>
        <v>831.6</v>
      </c>
      <c r="C7" s="124">
        <f t="shared" si="5"/>
        <v>831.6</v>
      </c>
      <c r="D7" s="125">
        <f t="shared" si="6"/>
        <v>0</v>
      </c>
      <c r="E7" s="129"/>
      <c r="F7" s="123">
        <f>G7*L2</f>
        <v>25.2</v>
      </c>
      <c r="G7" s="662">
        <v>40.0</v>
      </c>
      <c r="H7" s="129"/>
      <c r="I7" s="123">
        <f>J7*L2</f>
        <v>25.2</v>
      </c>
      <c r="J7" s="140">
        <v>40.0</v>
      </c>
      <c r="K7" s="149"/>
      <c r="L7" s="665"/>
      <c r="M7" s="627" t="s">
        <v>2630</v>
      </c>
      <c r="N7" s="664">
        <v>44514.0</v>
      </c>
      <c r="O7" s="474">
        <v>2850.0</v>
      </c>
      <c r="Q7" s="128"/>
      <c r="R7" s="129"/>
      <c r="S7" s="129"/>
      <c r="T7" s="129"/>
    </row>
    <row r="8">
      <c r="A8" s="123" t="s">
        <v>2631</v>
      </c>
      <c r="B8" s="124">
        <f t="shared" si="4"/>
        <v>831.6</v>
      </c>
      <c r="C8" s="124">
        <f t="shared" si="5"/>
        <v>831.6</v>
      </c>
      <c r="D8" s="125">
        <f t="shared" si="6"/>
        <v>0</v>
      </c>
      <c r="E8" s="129"/>
      <c r="F8" s="123">
        <f>G8*L2</f>
        <v>25.2</v>
      </c>
      <c r="G8" s="662">
        <v>40.0</v>
      </c>
      <c r="H8" s="129"/>
      <c r="I8" s="123">
        <f>J8*L2</f>
        <v>25.2</v>
      </c>
      <c r="J8" s="140">
        <v>40.0</v>
      </c>
      <c r="K8" s="149"/>
      <c r="L8" s="665"/>
      <c r="M8" s="627" t="s">
        <v>2632</v>
      </c>
      <c r="N8" s="664">
        <v>44515.0</v>
      </c>
      <c r="O8" s="474">
        <v>3100.0</v>
      </c>
      <c r="Q8" s="128"/>
      <c r="R8" s="129"/>
      <c r="S8" s="129"/>
      <c r="T8" s="129"/>
    </row>
    <row r="9">
      <c r="A9" s="123" t="s">
        <v>2631</v>
      </c>
      <c r="B9" s="124">
        <f t="shared" si="4"/>
        <v>831.6</v>
      </c>
      <c r="C9" s="124">
        <f t="shared" si="5"/>
        <v>831.6</v>
      </c>
      <c r="D9" s="125">
        <f t="shared" si="6"/>
        <v>0</v>
      </c>
      <c r="E9" s="168"/>
      <c r="F9" s="123">
        <f>G9*L2</f>
        <v>25.2</v>
      </c>
      <c r="G9" s="662">
        <v>40.0</v>
      </c>
      <c r="H9" s="168"/>
      <c r="I9" s="123">
        <f>J9*L2</f>
        <v>25.2</v>
      </c>
      <c r="J9" s="140">
        <v>40.0</v>
      </c>
      <c r="K9" s="149"/>
      <c r="L9" s="665"/>
      <c r="M9" s="627" t="s">
        <v>2270</v>
      </c>
      <c r="N9" s="664">
        <v>44516.0</v>
      </c>
      <c r="O9" s="474">
        <v>7250.0</v>
      </c>
      <c r="Q9" s="128"/>
      <c r="R9" s="129"/>
      <c r="S9" s="129"/>
      <c r="T9" s="129"/>
    </row>
    <row r="10">
      <c r="A10" s="123" t="s">
        <v>2631</v>
      </c>
      <c r="B10" s="124">
        <f t="shared" si="4"/>
        <v>831.6</v>
      </c>
      <c r="C10" s="124">
        <f t="shared" si="5"/>
        <v>831.6</v>
      </c>
      <c r="D10" s="125">
        <f t="shared" si="6"/>
        <v>0</v>
      </c>
      <c r="E10" s="168"/>
      <c r="F10" s="123">
        <f>G10*L2</f>
        <v>25.2</v>
      </c>
      <c r="G10" s="662">
        <v>40.0</v>
      </c>
      <c r="H10" s="168"/>
      <c r="I10" s="123">
        <f>J10*L2</f>
        <v>25.2</v>
      </c>
      <c r="J10" s="140">
        <v>40.0</v>
      </c>
      <c r="K10" s="149"/>
      <c r="L10" s="665"/>
      <c r="M10" s="627" t="s">
        <v>2630</v>
      </c>
      <c r="N10" s="664">
        <v>44518.0</v>
      </c>
      <c r="O10" s="474">
        <v>4350.0</v>
      </c>
      <c r="Q10" s="128"/>
      <c r="R10" s="129"/>
      <c r="S10" s="129"/>
      <c r="T10" s="129"/>
    </row>
    <row r="11">
      <c r="A11" s="123" t="s">
        <v>2631</v>
      </c>
      <c r="B11" s="124">
        <f t="shared" si="4"/>
        <v>831.6</v>
      </c>
      <c r="C11" s="124">
        <f t="shared" si="5"/>
        <v>831.6</v>
      </c>
      <c r="D11" s="125">
        <f t="shared" si="6"/>
        <v>0</v>
      </c>
      <c r="E11" s="168"/>
      <c r="F11" s="123">
        <f>G11*L2</f>
        <v>25.2</v>
      </c>
      <c r="G11" s="662">
        <v>40.0</v>
      </c>
      <c r="H11" s="168"/>
      <c r="I11" s="123">
        <f>J11*L2</f>
        <v>25.2</v>
      </c>
      <c r="J11" s="140">
        <v>40.0</v>
      </c>
      <c r="K11" s="149"/>
      <c r="L11" s="665"/>
      <c r="M11" s="627" t="s">
        <v>2270</v>
      </c>
      <c r="N11" s="664">
        <v>44522.0</v>
      </c>
      <c r="O11" s="474">
        <v>7650.0</v>
      </c>
      <c r="Q11" s="128"/>
      <c r="R11" s="129"/>
      <c r="S11" s="129"/>
      <c r="T11" s="129"/>
    </row>
    <row r="12">
      <c r="A12" s="123" t="s">
        <v>2631</v>
      </c>
      <c r="B12" s="124">
        <f t="shared" si="4"/>
        <v>831.6</v>
      </c>
      <c r="C12" s="124">
        <f t="shared" si="5"/>
        <v>831.6</v>
      </c>
      <c r="D12" s="125">
        <f t="shared" si="6"/>
        <v>0</v>
      </c>
      <c r="E12" s="168"/>
      <c r="F12" s="123">
        <f>G12*L2</f>
        <v>25.2</v>
      </c>
      <c r="G12" s="662">
        <v>40.0</v>
      </c>
      <c r="H12" s="168"/>
      <c r="I12" s="123">
        <f>J12*L2</f>
        <v>25.2</v>
      </c>
      <c r="J12" s="140">
        <v>40.0</v>
      </c>
      <c r="K12" s="149"/>
      <c r="L12" s="665"/>
      <c r="M12" s="627" t="s">
        <v>2630</v>
      </c>
      <c r="N12" s="664">
        <v>44524.0</v>
      </c>
      <c r="O12" s="474">
        <v>4425.0</v>
      </c>
      <c r="Q12" s="128"/>
      <c r="R12" s="129"/>
      <c r="S12" s="129"/>
      <c r="T12" s="129"/>
    </row>
    <row r="13">
      <c r="A13" s="123" t="s">
        <v>2631</v>
      </c>
      <c r="B13" s="124">
        <f t="shared" si="4"/>
        <v>831.6</v>
      </c>
      <c r="C13" s="124">
        <f t="shared" si="5"/>
        <v>831.6</v>
      </c>
      <c r="D13" s="125">
        <f t="shared" si="6"/>
        <v>0</v>
      </c>
      <c r="E13" s="168"/>
      <c r="F13" s="123">
        <f>G13*L2</f>
        <v>25.2</v>
      </c>
      <c r="G13" s="662">
        <v>40.0</v>
      </c>
      <c r="H13" s="168"/>
      <c r="I13" s="123">
        <f>J13*L2</f>
        <v>25.2</v>
      </c>
      <c r="J13" s="140">
        <v>40.0</v>
      </c>
      <c r="K13" s="149"/>
      <c r="L13" s="665"/>
      <c r="M13" s="627" t="s">
        <v>2632</v>
      </c>
      <c r="N13" s="664">
        <v>44524.0</v>
      </c>
      <c r="O13" s="474">
        <v>4400.0</v>
      </c>
      <c r="Q13" s="128"/>
      <c r="R13" s="129"/>
      <c r="S13" s="129"/>
      <c r="T13" s="129"/>
    </row>
    <row r="14">
      <c r="A14" s="123" t="s">
        <v>2631</v>
      </c>
      <c r="B14" s="124">
        <f t="shared" si="4"/>
        <v>831.6</v>
      </c>
      <c r="C14" s="124">
        <f t="shared" si="5"/>
        <v>831.6</v>
      </c>
      <c r="D14" s="125">
        <f t="shared" si="6"/>
        <v>0</v>
      </c>
      <c r="E14" s="168"/>
      <c r="F14" s="123">
        <f>G14*L2</f>
        <v>25.2</v>
      </c>
      <c r="G14" s="662">
        <v>40.0</v>
      </c>
      <c r="H14" s="168"/>
      <c r="I14" s="123">
        <f>J14*L2</f>
        <v>25.2</v>
      </c>
      <c r="J14" s="140">
        <v>40.0</v>
      </c>
      <c r="K14" s="149"/>
      <c r="L14" s="665"/>
      <c r="M14" s="627" t="s">
        <v>2630</v>
      </c>
      <c r="N14" s="664">
        <v>44528.0</v>
      </c>
      <c r="O14" s="474">
        <v>5325.0</v>
      </c>
      <c r="Q14" s="128"/>
      <c r="R14" s="129"/>
      <c r="S14" s="129"/>
      <c r="T14" s="129"/>
    </row>
    <row r="15">
      <c r="A15" s="123" t="s">
        <v>2631</v>
      </c>
      <c r="B15" s="124">
        <f t="shared" si="4"/>
        <v>831.6</v>
      </c>
      <c r="C15" s="124">
        <f t="shared" si="5"/>
        <v>831.6</v>
      </c>
      <c r="D15" s="125">
        <f t="shared" si="6"/>
        <v>0</v>
      </c>
      <c r="E15" s="168"/>
      <c r="F15" s="123">
        <f>G15*L2</f>
        <v>25.2</v>
      </c>
      <c r="G15" s="662">
        <v>40.0</v>
      </c>
      <c r="H15" s="168"/>
      <c r="I15" s="123">
        <f>J15*L2</f>
        <v>25.2</v>
      </c>
      <c r="J15" s="140">
        <v>40.0</v>
      </c>
      <c r="L15" s="665"/>
      <c r="M15" s="627" t="s">
        <v>2270</v>
      </c>
      <c r="N15" s="664">
        <v>44529.0</v>
      </c>
      <c r="O15" s="474">
        <v>10900.0</v>
      </c>
      <c r="P15" s="634"/>
    </row>
    <row r="16">
      <c r="A16" s="123" t="s">
        <v>2633</v>
      </c>
      <c r="B16" s="124">
        <f t="shared" si="4"/>
        <v>415.8</v>
      </c>
      <c r="C16" s="124">
        <f t="shared" si="5"/>
        <v>415.8</v>
      </c>
      <c r="D16" s="125">
        <f t="shared" si="6"/>
        <v>0</v>
      </c>
      <c r="E16" s="168"/>
      <c r="F16" s="123">
        <f>G16*L2</f>
        <v>12.6</v>
      </c>
      <c r="G16" s="662">
        <v>20.0</v>
      </c>
      <c r="H16" s="168"/>
      <c r="I16" s="123">
        <f>J16*L2</f>
        <v>12.6</v>
      </c>
      <c r="J16" s="140">
        <v>20.0</v>
      </c>
      <c r="L16" s="665"/>
      <c r="M16" s="627"/>
      <c r="N16" s="650"/>
      <c r="O16" s="474"/>
    </row>
    <row r="17">
      <c r="A17" s="123" t="s">
        <v>2633</v>
      </c>
      <c r="B17" s="124">
        <f t="shared" si="4"/>
        <v>415.8</v>
      </c>
      <c r="C17" s="124">
        <f t="shared" si="5"/>
        <v>415.8</v>
      </c>
      <c r="D17" s="125">
        <f t="shared" si="6"/>
        <v>0</v>
      </c>
      <c r="E17" s="168"/>
      <c r="F17" s="123">
        <f>G17*L2</f>
        <v>12.6</v>
      </c>
      <c r="G17" s="662">
        <v>20.0</v>
      </c>
      <c r="H17" s="168"/>
      <c r="I17" s="123">
        <f>J17*L2</f>
        <v>12.6</v>
      </c>
      <c r="J17" s="140">
        <v>20.0</v>
      </c>
      <c r="L17" s="665"/>
      <c r="M17" s="627" t="s">
        <v>2630</v>
      </c>
      <c r="N17" s="664">
        <v>44534.0</v>
      </c>
      <c r="O17" s="474">
        <v>4700.0</v>
      </c>
      <c r="P17" s="125">
        <f>SUM(O17:O29)</f>
        <v>53700</v>
      </c>
      <c r="Q17" s="128" t="s">
        <v>2598</v>
      </c>
    </row>
    <row r="18">
      <c r="A18" s="123" t="s">
        <v>2633</v>
      </c>
      <c r="B18" s="124">
        <f t="shared" si="4"/>
        <v>415.8</v>
      </c>
      <c r="C18" s="124">
        <f t="shared" si="5"/>
        <v>415.8</v>
      </c>
      <c r="D18" s="125">
        <f t="shared" si="6"/>
        <v>0</v>
      </c>
      <c r="E18" s="168"/>
      <c r="F18" s="123">
        <f>G18*L2</f>
        <v>12.6</v>
      </c>
      <c r="G18" s="662">
        <v>20.0</v>
      </c>
      <c r="H18" s="168"/>
      <c r="I18" s="123">
        <f>J18*L2</f>
        <v>12.6</v>
      </c>
      <c r="J18" s="140">
        <v>20.0</v>
      </c>
      <c r="L18" s="665"/>
      <c r="M18" s="627" t="s">
        <v>2632</v>
      </c>
      <c r="N18" s="664">
        <v>44536.0</v>
      </c>
      <c r="O18" s="474">
        <v>4650.0</v>
      </c>
      <c r="Q18" s="129"/>
    </row>
    <row r="19">
      <c r="A19" s="123" t="s">
        <v>2633</v>
      </c>
      <c r="B19" s="124">
        <f t="shared" si="4"/>
        <v>415.8</v>
      </c>
      <c r="C19" s="124">
        <f t="shared" si="5"/>
        <v>415.8</v>
      </c>
      <c r="D19" s="125">
        <f t="shared" si="6"/>
        <v>0</v>
      </c>
      <c r="E19" s="168"/>
      <c r="F19" s="123">
        <f>G19*L2</f>
        <v>12.6</v>
      </c>
      <c r="G19" s="662">
        <v>20.0</v>
      </c>
      <c r="H19" s="168"/>
      <c r="I19" s="123">
        <f>J19*L2</f>
        <v>12.6</v>
      </c>
      <c r="J19" s="140">
        <v>20.0</v>
      </c>
      <c r="L19" s="665"/>
      <c r="M19" s="627" t="s">
        <v>2270</v>
      </c>
      <c r="N19" s="664">
        <v>44537.0</v>
      </c>
      <c r="O19" s="474">
        <v>8100.0</v>
      </c>
      <c r="Q19" s="128"/>
    </row>
    <row r="20">
      <c r="A20" s="123" t="s">
        <v>2634</v>
      </c>
      <c r="B20" s="124">
        <f t="shared" si="4"/>
        <v>207.9</v>
      </c>
      <c r="C20" s="124">
        <f t="shared" si="5"/>
        <v>207.9</v>
      </c>
      <c r="D20" s="125">
        <f t="shared" si="6"/>
        <v>0</v>
      </c>
      <c r="E20" s="168"/>
      <c r="F20" s="123">
        <f>G20*L2</f>
        <v>6.3</v>
      </c>
      <c r="G20" s="662">
        <v>10.0</v>
      </c>
      <c r="H20" s="168"/>
      <c r="I20" s="123">
        <f>J20*L2</f>
        <v>6.3</v>
      </c>
      <c r="J20" s="140">
        <v>10.0</v>
      </c>
      <c r="L20" s="665"/>
      <c r="M20" s="627" t="s">
        <v>2630</v>
      </c>
      <c r="N20" s="664">
        <v>44539.0</v>
      </c>
      <c r="O20" s="474">
        <v>3525.0</v>
      </c>
      <c r="Q20" s="128"/>
    </row>
    <row r="21">
      <c r="B21" s="124"/>
      <c r="C21" s="124"/>
      <c r="E21" s="168"/>
      <c r="G21" s="662"/>
      <c r="H21" s="168"/>
      <c r="J21" s="140"/>
      <c r="L21" s="665"/>
      <c r="M21" s="627" t="s">
        <v>2630</v>
      </c>
      <c r="N21" s="664">
        <v>44546.0</v>
      </c>
      <c r="O21" s="474">
        <v>2900.0</v>
      </c>
      <c r="Q21" s="128"/>
    </row>
    <row r="22">
      <c r="B22" s="124"/>
      <c r="C22" s="124"/>
      <c r="E22" s="168"/>
      <c r="G22" s="662"/>
      <c r="H22" s="168"/>
      <c r="J22" s="140"/>
      <c r="L22" s="665"/>
      <c r="M22" s="627" t="s">
        <v>2270</v>
      </c>
      <c r="N22" s="664">
        <v>44546.0</v>
      </c>
      <c r="O22" s="474">
        <v>5950.0</v>
      </c>
      <c r="Q22" s="128"/>
    </row>
    <row r="23">
      <c r="B23" s="124"/>
      <c r="C23" s="124"/>
      <c r="E23" s="168"/>
      <c r="G23" s="662"/>
      <c r="H23" s="168"/>
      <c r="J23" s="140"/>
      <c r="L23" s="665"/>
      <c r="M23" s="627" t="s">
        <v>2632</v>
      </c>
      <c r="N23" s="664">
        <v>44547.0</v>
      </c>
      <c r="O23" s="474">
        <v>2525.0</v>
      </c>
      <c r="Q23" s="128"/>
    </row>
    <row r="24">
      <c r="B24" s="124"/>
      <c r="C24" s="124"/>
      <c r="E24" s="168"/>
      <c r="G24" s="662"/>
      <c r="H24" s="168"/>
      <c r="J24" s="140"/>
      <c r="L24" s="471"/>
      <c r="M24" s="627" t="s">
        <v>2630</v>
      </c>
      <c r="N24" s="664">
        <v>44551.0</v>
      </c>
      <c r="O24" s="474">
        <v>2400.0</v>
      </c>
      <c r="Q24" s="128"/>
    </row>
    <row r="25">
      <c r="B25" s="124"/>
      <c r="C25" s="124"/>
      <c r="E25" s="168"/>
      <c r="G25" s="662"/>
      <c r="H25" s="168"/>
      <c r="J25" s="140"/>
      <c r="L25" s="663"/>
      <c r="M25" s="627" t="s">
        <v>2270</v>
      </c>
      <c r="N25" s="664">
        <v>44551.0</v>
      </c>
      <c r="O25" s="474">
        <v>5325.0</v>
      </c>
      <c r="Q25" s="128"/>
    </row>
    <row r="26">
      <c r="B26" s="124"/>
      <c r="C26" s="124"/>
      <c r="E26" s="168"/>
      <c r="G26" s="662"/>
      <c r="H26" s="168"/>
      <c r="J26" s="140"/>
      <c r="L26" s="665"/>
      <c r="M26" s="627" t="s">
        <v>2270</v>
      </c>
      <c r="N26" s="664">
        <v>44555.0</v>
      </c>
      <c r="O26" s="474">
        <v>5025.0</v>
      </c>
      <c r="Q26" s="128"/>
    </row>
    <row r="27">
      <c r="A27" s="128" t="s">
        <v>2635</v>
      </c>
      <c r="B27" s="132">
        <f t="shared" ref="B27:B28" si="7">I27*33</f>
        <v>1039.5</v>
      </c>
      <c r="C27" s="132">
        <f t="shared" ref="C27:C28" si="8">F27*33</f>
        <v>1039.5</v>
      </c>
      <c r="D27" s="132">
        <f t="shared" ref="D27:D28" si="9">C27-B27</f>
        <v>0</v>
      </c>
      <c r="E27" s="166"/>
      <c r="F27" s="123">
        <f>G27*L2</f>
        <v>31.5</v>
      </c>
      <c r="G27" s="662">
        <v>50.0</v>
      </c>
      <c r="I27" s="123">
        <f>J27*L2</f>
        <v>31.5</v>
      </c>
      <c r="J27" s="140">
        <v>50.0</v>
      </c>
      <c r="L27" s="665"/>
      <c r="M27" s="627" t="s">
        <v>2630</v>
      </c>
      <c r="N27" s="664">
        <v>44557.0</v>
      </c>
      <c r="O27" s="474">
        <v>2350.0</v>
      </c>
      <c r="P27" s="634"/>
    </row>
    <row r="28">
      <c r="A28" s="128" t="s">
        <v>2636</v>
      </c>
      <c r="B28" s="132">
        <f t="shared" si="7"/>
        <v>1039.5</v>
      </c>
      <c r="C28" s="132">
        <f t="shared" si="8"/>
        <v>1039.5</v>
      </c>
      <c r="D28" s="132">
        <f t="shared" si="9"/>
        <v>0</v>
      </c>
      <c r="E28" s="166"/>
      <c r="F28" s="123">
        <f>G28*L2</f>
        <v>31.5</v>
      </c>
      <c r="G28" s="666">
        <v>50.0</v>
      </c>
      <c r="I28" s="123">
        <f>J28*L2</f>
        <v>31.5</v>
      </c>
      <c r="J28" s="164">
        <v>50.0</v>
      </c>
      <c r="L28" s="665"/>
      <c r="M28" s="627" t="s">
        <v>2270</v>
      </c>
      <c r="N28" s="664">
        <v>44559.0</v>
      </c>
      <c r="O28" s="474">
        <v>4250.0</v>
      </c>
      <c r="P28" s="130"/>
      <c r="Q28" s="128"/>
    </row>
    <row r="29">
      <c r="B29" s="147"/>
      <c r="C29" s="147"/>
      <c r="D29" s="132"/>
      <c r="F29" s="147"/>
      <c r="G29" s="666"/>
      <c r="I29" s="147"/>
      <c r="J29" s="164"/>
      <c r="L29" s="665"/>
      <c r="M29" s="627" t="s">
        <v>2632</v>
      </c>
      <c r="N29" s="664">
        <v>44559.0</v>
      </c>
      <c r="O29" s="474">
        <v>2000.0</v>
      </c>
      <c r="P29" s="125"/>
    </row>
    <row r="30">
      <c r="D30" s="132"/>
      <c r="F30" s="147"/>
      <c r="G30" s="666"/>
      <c r="I30" s="147"/>
      <c r="J30" s="164"/>
      <c r="L30" s="665"/>
      <c r="M30" s="627"/>
      <c r="N30" s="650"/>
      <c r="O30" s="474"/>
      <c r="P30" s="134"/>
    </row>
    <row r="31">
      <c r="D31" s="132"/>
      <c r="G31" s="661"/>
      <c r="J31" s="471"/>
      <c r="L31" s="665"/>
      <c r="M31" s="627" t="s">
        <v>2270</v>
      </c>
      <c r="N31" s="664">
        <v>44562.0</v>
      </c>
      <c r="O31" s="474">
        <v>3325.0</v>
      </c>
      <c r="P31" s="125">
        <f>SUM(O31:O40)</f>
        <v>28050</v>
      </c>
      <c r="Q31" s="128" t="s">
        <v>2637</v>
      </c>
    </row>
    <row r="32">
      <c r="D32" s="132"/>
      <c r="F32" s="147"/>
      <c r="G32" s="666"/>
      <c r="I32" s="147"/>
      <c r="J32" s="164"/>
      <c r="L32" s="665"/>
      <c r="M32" s="627" t="s">
        <v>2630</v>
      </c>
      <c r="N32" s="664">
        <v>44564.0</v>
      </c>
      <c r="O32" s="474">
        <v>1475.0</v>
      </c>
      <c r="Q32" s="129"/>
    </row>
    <row r="33">
      <c r="B33" s="641"/>
      <c r="C33" s="641"/>
      <c r="D33" s="132"/>
      <c r="F33" s="147"/>
      <c r="G33" s="666"/>
      <c r="I33" s="147"/>
      <c r="J33" s="164"/>
      <c r="L33" s="665"/>
      <c r="M33" s="627" t="s">
        <v>2270</v>
      </c>
      <c r="N33" s="664">
        <v>44565.0</v>
      </c>
      <c r="O33" s="474">
        <v>2600.0</v>
      </c>
      <c r="Q33" s="128"/>
    </row>
    <row r="34">
      <c r="B34" s="641"/>
      <c r="C34" s="641"/>
      <c r="D34" s="132"/>
      <c r="G34" s="661"/>
      <c r="J34" s="471"/>
      <c r="L34" s="665"/>
      <c r="M34" s="627" t="s">
        <v>2270</v>
      </c>
      <c r="N34" s="664">
        <v>44569.0</v>
      </c>
      <c r="O34" s="474">
        <v>3150.0</v>
      </c>
      <c r="Q34" s="128"/>
    </row>
    <row r="35">
      <c r="B35" s="641"/>
      <c r="C35" s="641"/>
      <c r="D35" s="132"/>
      <c r="G35" s="661"/>
      <c r="J35" s="471"/>
      <c r="L35" s="665"/>
      <c r="M35" s="627" t="s">
        <v>2270</v>
      </c>
      <c r="N35" s="664">
        <v>44573.0</v>
      </c>
      <c r="O35" s="474">
        <v>3150.0</v>
      </c>
      <c r="Q35" s="128"/>
    </row>
    <row r="36">
      <c r="D36" s="132"/>
      <c r="G36" s="661"/>
      <c r="J36" s="471"/>
      <c r="L36" s="665"/>
      <c r="M36" s="627" t="s">
        <v>2630</v>
      </c>
      <c r="N36" s="664">
        <v>44575.0</v>
      </c>
      <c r="O36" s="474">
        <v>2250.0</v>
      </c>
      <c r="Q36" s="128"/>
    </row>
    <row r="37">
      <c r="D37" s="132"/>
      <c r="F37" s="641"/>
      <c r="G37" s="667"/>
      <c r="I37" s="641"/>
      <c r="J37" s="668"/>
      <c r="L37" s="665"/>
      <c r="M37" s="627" t="s">
        <v>2270</v>
      </c>
      <c r="N37" s="664">
        <v>44578.0</v>
      </c>
      <c r="O37" s="474">
        <v>3500.0</v>
      </c>
      <c r="Q37" s="128"/>
    </row>
    <row r="38">
      <c r="D38" s="132"/>
      <c r="F38" s="641"/>
      <c r="G38" s="667"/>
      <c r="I38" s="641"/>
      <c r="J38" s="668"/>
      <c r="L38" s="665"/>
      <c r="M38" s="627" t="s">
        <v>2632</v>
      </c>
      <c r="N38" s="664">
        <v>44579.0</v>
      </c>
      <c r="O38" s="474">
        <v>2150.0</v>
      </c>
      <c r="Q38" s="128"/>
    </row>
    <row r="39">
      <c r="B39" s="641"/>
      <c r="C39" s="641"/>
      <c r="D39" s="132"/>
      <c r="F39" s="641"/>
      <c r="G39" s="667"/>
      <c r="I39" s="641"/>
      <c r="J39" s="668"/>
      <c r="L39" s="665"/>
      <c r="M39" s="627" t="s">
        <v>2270</v>
      </c>
      <c r="N39" s="664">
        <v>44582.0</v>
      </c>
      <c r="O39" s="474">
        <v>3300.0</v>
      </c>
      <c r="Q39" s="128"/>
    </row>
    <row r="40">
      <c r="D40" s="132"/>
      <c r="G40" s="661"/>
      <c r="J40" s="471"/>
      <c r="L40" s="665"/>
      <c r="M40" s="627" t="s">
        <v>2270</v>
      </c>
      <c r="N40" s="664">
        <v>44590.0</v>
      </c>
      <c r="O40" s="474">
        <v>3150.0</v>
      </c>
      <c r="Q40" s="128"/>
    </row>
    <row r="41">
      <c r="D41" s="132"/>
      <c r="G41" s="661"/>
      <c r="J41" s="471"/>
      <c r="L41" s="665"/>
      <c r="P41" s="634"/>
    </row>
    <row r="42">
      <c r="A42" s="122"/>
      <c r="B42" s="118"/>
      <c r="C42" s="118"/>
      <c r="D42" s="132"/>
      <c r="G42" s="661"/>
      <c r="J42" s="471"/>
      <c r="L42" s="471"/>
      <c r="M42" s="627" t="s">
        <v>2630</v>
      </c>
      <c r="N42" s="664">
        <v>44594.0</v>
      </c>
      <c r="O42" s="474">
        <v>1000.0</v>
      </c>
      <c r="P42" s="125">
        <f>SUM(O42:O51)</f>
        <v>3700</v>
      </c>
      <c r="Q42" s="128" t="s">
        <v>2638</v>
      </c>
    </row>
    <row r="43">
      <c r="B43" s="124"/>
      <c r="C43" s="124"/>
      <c r="D43" s="132"/>
      <c r="F43" s="641"/>
      <c r="G43" s="667"/>
      <c r="I43" s="641"/>
      <c r="J43" s="668"/>
      <c r="L43" s="471"/>
      <c r="M43" s="627" t="s">
        <v>2270</v>
      </c>
      <c r="N43" s="664">
        <v>44597.0</v>
      </c>
      <c r="O43" s="474">
        <v>2000.0</v>
      </c>
      <c r="P43" s="125"/>
    </row>
    <row r="44">
      <c r="B44" s="124"/>
      <c r="C44" s="124"/>
      <c r="D44" s="132"/>
      <c r="G44" s="661"/>
      <c r="J44" s="471"/>
      <c r="L44" s="471"/>
      <c r="M44" s="627" t="s">
        <v>2270</v>
      </c>
      <c r="N44" s="664">
        <v>44608.0</v>
      </c>
      <c r="O44" s="474">
        <v>700.0</v>
      </c>
      <c r="P44" s="630"/>
    </row>
    <row r="45">
      <c r="B45" s="124"/>
      <c r="C45" s="124"/>
      <c r="D45" s="132"/>
      <c r="G45" s="661"/>
      <c r="J45" s="471"/>
      <c r="L45" s="471"/>
      <c r="M45" s="627"/>
      <c r="N45" s="627"/>
      <c r="O45" s="474"/>
      <c r="P45" s="631"/>
      <c r="Q45" s="632"/>
    </row>
    <row r="46">
      <c r="B46" s="124"/>
      <c r="C46" s="124"/>
      <c r="D46" s="132"/>
      <c r="F46" s="118"/>
      <c r="G46" s="656"/>
      <c r="I46" s="118"/>
      <c r="J46" s="657"/>
      <c r="L46" s="471"/>
      <c r="M46" s="627"/>
      <c r="N46" s="627"/>
      <c r="O46" s="474"/>
    </row>
    <row r="47">
      <c r="A47" s="122"/>
      <c r="B47" s="118"/>
      <c r="C47" s="118"/>
      <c r="D47" s="313"/>
      <c r="F47" s="124"/>
      <c r="G47" s="662"/>
      <c r="I47" s="124"/>
      <c r="J47" s="140"/>
      <c r="L47" s="471"/>
      <c r="M47" s="627"/>
      <c r="N47" s="627"/>
      <c r="O47" s="474"/>
    </row>
    <row r="48">
      <c r="B48" s="124"/>
      <c r="C48" s="124"/>
      <c r="F48" s="124"/>
      <c r="G48" s="662"/>
      <c r="I48" s="124"/>
      <c r="J48" s="140"/>
      <c r="L48" s="471"/>
      <c r="M48" s="627"/>
      <c r="N48" s="627"/>
      <c r="O48" s="474"/>
    </row>
    <row r="49">
      <c r="B49" s="124"/>
      <c r="C49" s="124"/>
      <c r="D49" s="132"/>
      <c r="F49" s="124"/>
      <c r="G49" s="662"/>
      <c r="I49" s="124"/>
      <c r="J49" s="140"/>
      <c r="L49" s="471"/>
      <c r="M49" s="627"/>
      <c r="N49" s="627"/>
      <c r="O49" s="474"/>
    </row>
    <row r="50">
      <c r="B50" s="124"/>
      <c r="C50" s="124"/>
      <c r="D50" s="132"/>
      <c r="F50" s="124"/>
      <c r="G50" s="662"/>
      <c r="I50" s="124"/>
      <c r="J50" s="140"/>
      <c r="L50" s="471"/>
      <c r="M50" s="627"/>
      <c r="N50" s="627"/>
      <c r="O50" s="474"/>
    </row>
    <row r="51">
      <c r="B51" s="124"/>
      <c r="C51" s="124"/>
      <c r="D51" s="132"/>
      <c r="F51" s="118"/>
      <c r="G51" s="656"/>
      <c r="I51" s="118"/>
      <c r="J51" s="657"/>
      <c r="L51" s="471"/>
      <c r="M51" s="627"/>
      <c r="N51" s="627"/>
      <c r="O51" s="474"/>
    </row>
    <row r="52">
      <c r="B52" s="124"/>
      <c r="C52" s="124"/>
      <c r="D52" s="149"/>
      <c r="F52" s="124"/>
      <c r="G52" s="662"/>
      <c r="I52" s="124"/>
      <c r="J52" s="140"/>
      <c r="L52" s="471"/>
      <c r="M52" s="627"/>
      <c r="N52" s="627"/>
      <c r="O52" s="474"/>
    </row>
    <row r="53">
      <c r="B53" s="124"/>
      <c r="C53" s="124"/>
      <c r="D53" s="132"/>
      <c r="F53" s="124"/>
      <c r="G53" s="662"/>
      <c r="I53" s="124"/>
      <c r="J53" s="140"/>
      <c r="L53" s="471"/>
      <c r="M53" s="627"/>
      <c r="N53" s="627"/>
      <c r="O53" s="474"/>
    </row>
    <row r="54">
      <c r="B54" s="124"/>
      <c r="C54" s="124"/>
      <c r="D54" s="132"/>
      <c r="F54" s="124"/>
      <c r="G54" s="662"/>
      <c r="I54" s="124"/>
      <c r="J54" s="140"/>
      <c r="L54" s="471"/>
      <c r="M54" s="627"/>
      <c r="N54" s="627"/>
      <c r="O54" s="474"/>
    </row>
    <row r="55">
      <c r="D55" s="132"/>
      <c r="F55" s="124"/>
      <c r="G55" s="662"/>
      <c r="I55" s="124"/>
      <c r="J55" s="140"/>
      <c r="L55" s="471"/>
      <c r="M55" s="627"/>
      <c r="N55" s="627"/>
      <c r="O55" s="474"/>
    </row>
    <row r="56">
      <c r="F56" s="124"/>
      <c r="G56" s="662"/>
      <c r="I56" s="124"/>
      <c r="J56" s="140"/>
      <c r="L56" s="471"/>
      <c r="M56" s="627"/>
      <c r="N56" s="627"/>
      <c r="O56" s="474"/>
    </row>
    <row r="57">
      <c r="D57" s="132"/>
      <c r="F57" s="124"/>
      <c r="G57" s="662"/>
      <c r="I57" s="124"/>
      <c r="J57" s="140"/>
      <c r="L57" s="471"/>
    </row>
    <row r="58">
      <c r="D58" s="132"/>
      <c r="F58" s="124"/>
      <c r="G58" s="662"/>
      <c r="I58" s="124"/>
      <c r="J58" s="140"/>
      <c r="L58" s="471"/>
      <c r="M58" s="130"/>
      <c r="N58" s="130"/>
      <c r="O58" s="124"/>
      <c r="P58" s="130"/>
      <c r="Q58" s="128"/>
    </row>
    <row r="59">
      <c r="D59" s="132"/>
      <c r="G59" s="661"/>
      <c r="J59" s="471"/>
      <c r="L59" s="471"/>
      <c r="M59" s="627"/>
      <c r="N59" s="627"/>
      <c r="O59" s="474"/>
      <c r="P59" s="125"/>
    </row>
    <row r="60">
      <c r="D60" s="132"/>
      <c r="G60" s="661"/>
      <c r="J60" s="471"/>
      <c r="L60" s="471"/>
      <c r="M60" s="627"/>
      <c r="N60" s="627"/>
      <c r="O60" s="474"/>
      <c r="P60" s="134"/>
    </row>
    <row r="61">
      <c r="A61" s="122"/>
      <c r="B61" s="118"/>
      <c r="C61" s="118"/>
      <c r="D61" s="132"/>
      <c r="G61" s="661"/>
      <c r="J61" s="471"/>
      <c r="L61" s="471"/>
      <c r="M61" s="627"/>
      <c r="N61" s="627"/>
      <c r="O61" s="474"/>
      <c r="P61" s="189"/>
      <c r="Q61" s="122"/>
    </row>
    <row r="62">
      <c r="B62" s="124"/>
      <c r="C62" s="124"/>
      <c r="D62" s="132"/>
      <c r="G62" s="661"/>
      <c r="J62" s="471"/>
      <c r="L62" s="471"/>
      <c r="M62" s="627"/>
      <c r="N62" s="627"/>
      <c r="O62" s="474"/>
      <c r="P62" s="630"/>
    </row>
    <row r="63">
      <c r="B63" s="124"/>
      <c r="C63" s="124"/>
      <c r="D63" s="132"/>
      <c r="G63" s="661"/>
      <c r="J63" s="471"/>
      <c r="L63" s="471"/>
      <c r="M63" s="627"/>
      <c r="N63" s="627"/>
      <c r="O63" s="474"/>
      <c r="P63" s="631"/>
      <c r="Q63" s="632"/>
    </row>
    <row r="64">
      <c r="B64" s="124"/>
      <c r="C64" s="124"/>
      <c r="G64" s="661"/>
      <c r="J64" s="471"/>
      <c r="L64" s="471"/>
      <c r="M64" s="627"/>
      <c r="N64" s="627"/>
      <c r="O64" s="474"/>
    </row>
    <row r="65">
      <c r="B65" s="124"/>
      <c r="C65" s="124"/>
      <c r="D65" s="132"/>
      <c r="F65" s="118"/>
      <c r="G65" s="656"/>
      <c r="I65" s="118"/>
      <c r="J65" s="657"/>
      <c r="L65" s="471"/>
      <c r="M65" s="627"/>
      <c r="N65" s="627"/>
      <c r="O65" s="474"/>
    </row>
    <row r="66">
      <c r="A66" s="122"/>
      <c r="B66" s="118"/>
      <c r="C66" s="118"/>
      <c r="D66" s="132"/>
      <c r="F66" s="124"/>
      <c r="G66" s="662"/>
      <c r="I66" s="124"/>
      <c r="J66" s="140"/>
      <c r="L66" s="471"/>
      <c r="M66" s="627"/>
      <c r="N66" s="627"/>
      <c r="O66" s="474"/>
    </row>
    <row r="67">
      <c r="B67" s="124"/>
      <c r="C67" s="124"/>
      <c r="D67" s="132"/>
      <c r="F67" s="124"/>
      <c r="G67" s="662"/>
      <c r="I67" s="124"/>
      <c r="J67" s="140"/>
      <c r="L67" s="471"/>
      <c r="M67" s="627"/>
      <c r="N67" s="627"/>
      <c r="O67" s="474"/>
    </row>
    <row r="68">
      <c r="B68" s="124"/>
      <c r="C68" s="124"/>
      <c r="D68" s="132"/>
      <c r="F68" s="124"/>
      <c r="G68" s="662"/>
      <c r="I68" s="124"/>
      <c r="J68" s="140"/>
      <c r="L68" s="471"/>
      <c r="M68" s="627"/>
      <c r="N68" s="627"/>
      <c r="O68" s="474"/>
    </row>
    <row r="69">
      <c r="B69" s="124"/>
      <c r="C69" s="124"/>
      <c r="D69" s="132"/>
      <c r="F69" s="124"/>
      <c r="G69" s="662"/>
      <c r="I69" s="124"/>
      <c r="J69" s="140"/>
      <c r="L69" s="471"/>
      <c r="M69" s="627"/>
      <c r="N69" s="627"/>
      <c r="O69" s="474"/>
    </row>
    <row r="70">
      <c r="B70" s="124"/>
      <c r="C70" s="124"/>
      <c r="D70" s="132"/>
      <c r="F70" s="118"/>
      <c r="G70" s="656"/>
      <c r="I70" s="118"/>
      <c r="J70" s="657"/>
      <c r="L70" s="471"/>
      <c r="M70" s="627"/>
      <c r="N70" s="627"/>
      <c r="O70" s="474"/>
    </row>
    <row r="71">
      <c r="B71" s="124"/>
      <c r="C71" s="124"/>
      <c r="D71" s="132"/>
      <c r="F71" s="124"/>
      <c r="G71" s="662"/>
      <c r="I71" s="124"/>
      <c r="J71" s="140"/>
      <c r="L71" s="471"/>
      <c r="M71" s="627"/>
      <c r="N71" s="627"/>
      <c r="O71" s="474"/>
    </row>
    <row r="72">
      <c r="B72" s="124"/>
      <c r="C72" s="124"/>
      <c r="D72" s="132"/>
      <c r="F72" s="124"/>
      <c r="G72" s="662"/>
      <c r="I72" s="124"/>
      <c r="J72" s="140"/>
      <c r="L72" s="471"/>
      <c r="M72" s="627"/>
      <c r="N72" s="627"/>
      <c r="O72" s="474"/>
    </row>
    <row r="73">
      <c r="B73" s="124"/>
      <c r="C73" s="124"/>
      <c r="D73" s="132"/>
      <c r="F73" s="124"/>
      <c r="G73" s="662"/>
      <c r="I73" s="124"/>
      <c r="J73" s="140"/>
      <c r="L73" s="471"/>
      <c r="M73" s="627"/>
      <c r="N73" s="627"/>
      <c r="O73" s="474"/>
    </row>
    <row r="74">
      <c r="D74" s="132"/>
      <c r="F74" s="124"/>
      <c r="G74" s="662"/>
      <c r="I74" s="124"/>
      <c r="J74" s="140"/>
      <c r="L74" s="471"/>
      <c r="M74" s="627"/>
      <c r="N74" s="627"/>
      <c r="O74" s="474"/>
    </row>
    <row r="75">
      <c r="D75" s="132"/>
      <c r="F75" s="124"/>
      <c r="G75" s="662"/>
      <c r="I75" s="124"/>
      <c r="J75" s="140"/>
      <c r="L75" s="471"/>
    </row>
    <row r="76">
      <c r="D76" s="132"/>
      <c r="F76" s="124"/>
      <c r="G76" s="662"/>
      <c r="I76" s="124"/>
      <c r="J76" s="140"/>
      <c r="L76" s="471"/>
    </row>
    <row r="77">
      <c r="D77" s="132"/>
      <c r="F77" s="124"/>
      <c r="G77" s="662"/>
      <c r="I77" s="124"/>
      <c r="J77" s="140"/>
      <c r="L77" s="471"/>
    </row>
    <row r="78">
      <c r="D78" s="132"/>
      <c r="G78" s="661"/>
      <c r="J78" s="471"/>
      <c r="L78" s="471"/>
    </row>
    <row r="79">
      <c r="D79" s="132"/>
      <c r="G79" s="661"/>
      <c r="J79" s="471"/>
      <c r="L79" s="471"/>
    </row>
    <row r="80">
      <c r="D80" s="132"/>
      <c r="G80" s="661"/>
      <c r="J80" s="471"/>
      <c r="L80" s="471"/>
    </row>
    <row r="81">
      <c r="D81" s="312"/>
      <c r="G81" s="661"/>
      <c r="J81" s="471"/>
      <c r="L81" s="471"/>
    </row>
    <row r="82">
      <c r="G82" s="661"/>
      <c r="J82" s="471"/>
      <c r="L82" s="471"/>
    </row>
    <row r="83">
      <c r="G83" s="661"/>
      <c r="J83" s="471"/>
      <c r="L83" s="471"/>
    </row>
    <row r="84">
      <c r="G84" s="661"/>
      <c r="J84" s="471"/>
      <c r="L84" s="471"/>
    </row>
    <row r="85">
      <c r="G85" s="661"/>
      <c r="J85" s="471"/>
      <c r="L85" s="471"/>
    </row>
    <row r="86">
      <c r="G86" s="661"/>
      <c r="J86" s="471"/>
      <c r="L86" s="471"/>
    </row>
    <row r="87">
      <c r="D87" s="170"/>
      <c r="G87" s="661"/>
      <c r="J87" s="471"/>
      <c r="L87" s="471"/>
    </row>
    <row r="88">
      <c r="D88" s="170"/>
      <c r="G88" s="661"/>
      <c r="J88" s="471"/>
      <c r="L88" s="471"/>
    </row>
    <row r="89">
      <c r="D89" s="132"/>
      <c r="G89" s="661"/>
      <c r="J89" s="471"/>
      <c r="L89" s="471"/>
    </row>
    <row r="90">
      <c r="D90" s="132"/>
      <c r="G90" s="661"/>
      <c r="J90" s="471"/>
      <c r="L90" s="471"/>
    </row>
    <row r="91">
      <c r="D91" s="132"/>
      <c r="G91" s="661"/>
      <c r="J91" s="471"/>
      <c r="L91" s="471"/>
    </row>
    <row r="92">
      <c r="D92" s="132"/>
      <c r="G92" s="661"/>
      <c r="J92" s="471"/>
      <c r="L92" s="471"/>
    </row>
    <row r="93">
      <c r="D93" s="132"/>
      <c r="G93" s="661"/>
      <c r="J93" s="471"/>
      <c r="L93" s="471"/>
    </row>
    <row r="94">
      <c r="D94" s="132"/>
      <c r="G94" s="661"/>
      <c r="J94" s="471"/>
      <c r="L94" s="471"/>
    </row>
    <row r="95">
      <c r="D95" s="132"/>
      <c r="G95" s="661"/>
      <c r="J95" s="471"/>
      <c r="L95" s="471"/>
    </row>
    <row r="96">
      <c r="D96" s="132"/>
      <c r="G96" s="661"/>
      <c r="J96" s="471"/>
      <c r="L96" s="471"/>
    </row>
    <row r="97">
      <c r="D97" s="132"/>
      <c r="G97" s="661"/>
      <c r="J97" s="471"/>
      <c r="L97" s="471"/>
    </row>
    <row r="98">
      <c r="D98" s="132"/>
      <c r="G98" s="661"/>
      <c r="J98" s="471"/>
      <c r="L98" s="471"/>
    </row>
    <row r="99">
      <c r="D99" s="132"/>
      <c r="G99" s="661"/>
      <c r="J99" s="471"/>
      <c r="L99" s="471"/>
    </row>
    <row r="100">
      <c r="D100" s="132"/>
      <c r="G100" s="661"/>
      <c r="J100" s="471"/>
      <c r="L100" s="471"/>
    </row>
    <row r="101">
      <c r="D101" s="132"/>
      <c r="G101" s="661"/>
      <c r="J101" s="471"/>
      <c r="L101" s="471"/>
    </row>
    <row r="102">
      <c r="D102" s="132"/>
      <c r="G102" s="661"/>
      <c r="J102" s="471"/>
      <c r="L102" s="471"/>
    </row>
    <row r="103">
      <c r="D103" s="132"/>
      <c r="G103" s="661"/>
      <c r="J103" s="471"/>
      <c r="L103" s="471"/>
    </row>
    <row r="104">
      <c r="D104" s="132"/>
      <c r="G104" s="661"/>
      <c r="J104" s="471"/>
      <c r="L104" s="471"/>
    </row>
    <row r="105">
      <c r="D105" s="132"/>
      <c r="G105" s="661"/>
      <c r="J105" s="471"/>
      <c r="L105" s="471"/>
    </row>
    <row r="106">
      <c r="D106" s="132"/>
      <c r="G106" s="661"/>
      <c r="J106" s="471"/>
      <c r="L106" s="471"/>
    </row>
    <row r="107">
      <c r="D107" s="132"/>
      <c r="G107" s="661"/>
      <c r="J107" s="471"/>
      <c r="L107" s="471"/>
    </row>
    <row r="108">
      <c r="D108" s="132"/>
      <c r="G108" s="661"/>
      <c r="J108" s="471"/>
      <c r="L108" s="471"/>
    </row>
    <row r="109">
      <c r="G109" s="661"/>
      <c r="J109" s="471"/>
      <c r="L109" s="471"/>
    </row>
    <row r="110">
      <c r="D110" s="132"/>
      <c r="G110" s="661"/>
      <c r="J110" s="471"/>
      <c r="L110" s="471"/>
    </row>
    <row r="111">
      <c r="D111" s="132"/>
      <c r="G111" s="661"/>
      <c r="J111" s="471"/>
      <c r="L111" s="471"/>
    </row>
    <row r="112">
      <c r="G112" s="661"/>
      <c r="J112" s="471"/>
      <c r="L112" s="471"/>
    </row>
    <row r="113">
      <c r="D113" s="134"/>
      <c r="G113" s="661"/>
      <c r="J113" s="471"/>
      <c r="L113" s="471"/>
    </row>
    <row r="114">
      <c r="G114" s="661"/>
      <c r="J114" s="471"/>
      <c r="L114" s="471"/>
    </row>
    <row r="115">
      <c r="G115" s="661"/>
      <c r="J115" s="471"/>
      <c r="L115" s="471"/>
    </row>
    <row r="116">
      <c r="D116" s="132"/>
      <c r="G116" s="661"/>
      <c r="J116" s="471"/>
      <c r="L116" s="471"/>
    </row>
    <row r="117">
      <c r="D117" s="312"/>
      <c r="G117" s="661"/>
      <c r="J117" s="471"/>
      <c r="L117" s="471"/>
    </row>
    <row r="118">
      <c r="G118" s="661"/>
      <c r="J118" s="471"/>
      <c r="L118" s="471"/>
    </row>
    <row r="119">
      <c r="G119" s="661"/>
      <c r="J119" s="471"/>
      <c r="L119" s="471"/>
    </row>
    <row r="120">
      <c r="D120" s="132"/>
      <c r="G120" s="661"/>
      <c r="J120" s="471"/>
      <c r="L120" s="471"/>
    </row>
    <row r="121">
      <c r="G121" s="661"/>
      <c r="J121" s="471"/>
      <c r="L121" s="471"/>
    </row>
    <row r="122">
      <c r="G122" s="661"/>
      <c r="J122" s="471"/>
      <c r="L122" s="471"/>
    </row>
    <row r="123">
      <c r="D123" s="312"/>
      <c r="G123" s="661"/>
      <c r="J123" s="471"/>
      <c r="L123" s="471"/>
    </row>
    <row r="124">
      <c r="D124" s="136"/>
      <c r="G124" s="661"/>
      <c r="J124" s="471"/>
      <c r="L124" s="471"/>
    </row>
    <row r="125">
      <c r="D125" s="139"/>
      <c r="G125" s="661"/>
      <c r="J125" s="471"/>
      <c r="L125" s="471"/>
    </row>
    <row r="126">
      <c r="D126" s="139"/>
      <c r="G126" s="661"/>
      <c r="J126" s="471"/>
      <c r="L126" s="471"/>
    </row>
    <row r="127">
      <c r="D127" s="139"/>
      <c r="G127" s="661"/>
      <c r="J127" s="471"/>
      <c r="L127" s="471"/>
    </row>
    <row r="128">
      <c r="D128" s="132"/>
      <c r="G128" s="661"/>
      <c r="J128" s="471"/>
      <c r="L128" s="471"/>
    </row>
    <row r="129">
      <c r="D129" s="139"/>
      <c r="G129" s="661"/>
      <c r="J129" s="471"/>
      <c r="L129" s="471"/>
    </row>
    <row r="130">
      <c r="D130" s="145"/>
      <c r="G130" s="661"/>
      <c r="J130" s="471"/>
      <c r="L130" s="471"/>
    </row>
    <row r="131">
      <c r="D131" s="139"/>
      <c r="G131" s="661"/>
      <c r="J131" s="471"/>
      <c r="L131" s="471"/>
    </row>
    <row r="132">
      <c r="D132" s="139"/>
      <c r="G132" s="661"/>
      <c r="J132" s="471"/>
      <c r="L132" s="471"/>
    </row>
    <row r="133">
      <c r="D133" s="132"/>
      <c r="G133" s="661"/>
      <c r="J133" s="471"/>
      <c r="L133" s="471"/>
    </row>
    <row r="134">
      <c r="D134" s="132"/>
      <c r="G134" s="661"/>
      <c r="J134" s="471"/>
      <c r="L134" s="471"/>
    </row>
    <row r="135">
      <c r="D135" s="132"/>
      <c r="G135" s="661"/>
      <c r="J135" s="471"/>
      <c r="L135" s="471"/>
    </row>
    <row r="136">
      <c r="G136" s="661"/>
      <c r="J136" s="471"/>
      <c r="L136" s="471"/>
    </row>
    <row r="137">
      <c r="G137" s="661"/>
      <c r="J137" s="471"/>
      <c r="L137" s="471"/>
    </row>
    <row r="138">
      <c r="G138" s="661"/>
      <c r="J138" s="471"/>
      <c r="L138" s="471"/>
    </row>
    <row r="139">
      <c r="G139" s="661"/>
      <c r="J139" s="471"/>
      <c r="L139" s="471"/>
    </row>
    <row r="140">
      <c r="D140" s="132"/>
      <c r="G140" s="661"/>
      <c r="J140" s="471"/>
      <c r="L140" s="471"/>
    </row>
    <row r="141">
      <c r="D141" s="132"/>
      <c r="G141" s="661"/>
      <c r="J141" s="471"/>
      <c r="L141" s="471"/>
    </row>
    <row r="142">
      <c r="D142" s="132"/>
      <c r="G142" s="661"/>
      <c r="J142" s="471"/>
      <c r="L142" s="471"/>
    </row>
    <row r="143">
      <c r="D143" s="132"/>
      <c r="G143" s="661"/>
      <c r="J143" s="471"/>
      <c r="L143" s="471"/>
    </row>
    <row r="144">
      <c r="G144" s="661"/>
      <c r="J144" s="471"/>
      <c r="L144" s="471"/>
    </row>
    <row r="145">
      <c r="D145" s="132"/>
      <c r="G145" s="661"/>
      <c r="J145" s="471"/>
      <c r="L145" s="471"/>
    </row>
    <row r="146">
      <c r="D146" s="132"/>
      <c r="G146" s="661"/>
      <c r="J146" s="471"/>
      <c r="L146" s="471"/>
    </row>
    <row r="147">
      <c r="D147" s="132"/>
      <c r="G147" s="661"/>
      <c r="J147" s="471"/>
      <c r="L147" s="471"/>
    </row>
    <row r="148">
      <c r="D148" s="132"/>
      <c r="G148" s="661"/>
      <c r="J148" s="471"/>
      <c r="L148" s="471"/>
    </row>
    <row r="149">
      <c r="D149" s="132"/>
      <c r="G149" s="661"/>
      <c r="J149" s="471"/>
      <c r="L149" s="471"/>
    </row>
    <row r="150">
      <c r="G150" s="661"/>
      <c r="J150" s="471"/>
      <c r="L150" s="471"/>
    </row>
    <row r="151">
      <c r="D151" s="132"/>
      <c r="G151" s="661"/>
      <c r="J151" s="471"/>
      <c r="L151" s="471"/>
    </row>
    <row r="152">
      <c r="D152" s="132"/>
      <c r="G152" s="661"/>
      <c r="J152" s="471"/>
      <c r="L152" s="471"/>
    </row>
    <row r="153">
      <c r="G153" s="661"/>
      <c r="J153" s="471"/>
      <c r="L153" s="471"/>
    </row>
    <row r="154">
      <c r="D154" s="132"/>
      <c r="G154" s="661"/>
      <c r="J154" s="471"/>
      <c r="L154" s="471"/>
    </row>
    <row r="155">
      <c r="D155" s="132"/>
      <c r="G155" s="661"/>
      <c r="J155" s="471"/>
      <c r="L155" s="471"/>
    </row>
    <row r="156">
      <c r="D156" s="132"/>
      <c r="G156" s="661"/>
      <c r="J156" s="471"/>
      <c r="L156" s="471"/>
    </row>
    <row r="157">
      <c r="D157" s="168"/>
      <c r="G157" s="661"/>
      <c r="J157" s="471"/>
      <c r="L157" s="471"/>
    </row>
    <row r="158">
      <c r="D158" s="132"/>
      <c r="G158" s="661"/>
      <c r="J158" s="471"/>
      <c r="L158" s="471"/>
    </row>
    <row r="159">
      <c r="D159" s="132"/>
      <c r="G159" s="661"/>
      <c r="J159" s="471"/>
      <c r="L159" s="471"/>
    </row>
    <row r="160">
      <c r="D160" s="132"/>
      <c r="G160" s="661"/>
      <c r="J160" s="471"/>
      <c r="L160" s="471"/>
    </row>
    <row r="161">
      <c r="D161" s="132"/>
      <c r="G161" s="661"/>
      <c r="J161" s="471"/>
      <c r="L161" s="471"/>
    </row>
    <row r="162">
      <c r="D162" s="132"/>
      <c r="G162" s="661"/>
      <c r="J162" s="471"/>
      <c r="L162" s="471"/>
    </row>
    <row r="163">
      <c r="D163" s="132"/>
      <c r="G163" s="661"/>
      <c r="J163" s="471"/>
      <c r="L163" s="471"/>
    </row>
    <row r="164">
      <c r="D164" s="132"/>
      <c r="G164" s="661"/>
      <c r="J164" s="471"/>
      <c r="L164" s="471"/>
    </row>
    <row r="165">
      <c r="G165" s="661"/>
      <c r="J165" s="471"/>
      <c r="L165" s="471"/>
    </row>
    <row r="166">
      <c r="D166" s="132"/>
      <c r="G166" s="661"/>
      <c r="J166" s="471"/>
      <c r="L166" s="471"/>
    </row>
    <row r="167">
      <c r="D167" s="168"/>
      <c r="G167" s="661"/>
      <c r="J167" s="471"/>
      <c r="L167" s="471"/>
    </row>
    <row r="168">
      <c r="G168" s="661"/>
      <c r="J168" s="471"/>
      <c r="L168" s="471"/>
    </row>
    <row r="169">
      <c r="D169" s="132"/>
      <c r="G169" s="661"/>
      <c r="J169" s="471"/>
      <c r="L169" s="471"/>
    </row>
    <row r="170">
      <c r="D170" s="132"/>
      <c r="G170" s="661"/>
      <c r="J170" s="471"/>
      <c r="L170" s="471"/>
    </row>
    <row r="171">
      <c r="D171" s="132"/>
      <c r="G171" s="661"/>
      <c r="J171" s="471"/>
      <c r="L171" s="471"/>
    </row>
    <row r="172">
      <c r="D172" s="132"/>
      <c r="G172" s="661"/>
      <c r="J172" s="471"/>
      <c r="L172" s="471"/>
    </row>
    <row r="173">
      <c r="G173" s="661"/>
      <c r="J173" s="471"/>
      <c r="L173" s="471"/>
    </row>
    <row r="174">
      <c r="D174" s="139"/>
      <c r="G174" s="661"/>
      <c r="J174" s="471"/>
      <c r="L174" s="471"/>
    </row>
    <row r="175">
      <c r="D175" s="145"/>
      <c r="G175" s="661"/>
      <c r="J175" s="471"/>
      <c r="L175" s="471"/>
    </row>
    <row r="176">
      <c r="D176" s="124"/>
      <c r="G176" s="661"/>
      <c r="J176" s="471"/>
      <c r="L176" s="471"/>
    </row>
    <row r="177">
      <c r="D177" s="124"/>
      <c r="G177" s="661"/>
      <c r="J177" s="471"/>
      <c r="L177" s="471"/>
    </row>
    <row r="178">
      <c r="G178" s="661"/>
      <c r="J178" s="471"/>
      <c r="L178" s="471"/>
    </row>
    <row r="179">
      <c r="D179" s="132"/>
      <c r="G179" s="661"/>
      <c r="J179" s="471"/>
      <c r="L179" s="471"/>
    </row>
    <row r="180">
      <c r="G180" s="661"/>
      <c r="J180" s="471"/>
      <c r="L180" s="471"/>
    </row>
    <row r="181">
      <c r="G181" s="661"/>
      <c r="J181" s="471"/>
      <c r="L181" s="471"/>
    </row>
    <row r="182">
      <c r="D182" s="132"/>
      <c r="G182" s="661"/>
      <c r="J182" s="471"/>
      <c r="L182" s="471"/>
    </row>
    <row r="183">
      <c r="D183" s="170"/>
      <c r="G183" s="661"/>
      <c r="J183" s="471"/>
      <c r="L183" s="471"/>
    </row>
    <row r="184">
      <c r="D184" s="132"/>
      <c r="G184" s="661"/>
      <c r="J184" s="471"/>
      <c r="L184" s="471"/>
    </row>
    <row r="185">
      <c r="D185" s="132"/>
      <c r="G185" s="661"/>
      <c r="J185" s="471"/>
      <c r="L185" s="471"/>
    </row>
    <row r="186">
      <c r="D186" s="132"/>
      <c r="G186" s="661"/>
      <c r="J186" s="471"/>
      <c r="L186" s="471"/>
    </row>
    <row r="187">
      <c r="G187" s="661"/>
      <c r="J187" s="471"/>
      <c r="L187" s="471"/>
    </row>
    <row r="188">
      <c r="D188" s="132"/>
      <c r="G188" s="661"/>
      <c r="J188" s="471"/>
      <c r="L188" s="471"/>
    </row>
    <row r="189">
      <c r="G189" s="661"/>
      <c r="J189" s="471"/>
      <c r="L189" s="471"/>
    </row>
    <row r="190">
      <c r="G190" s="661"/>
      <c r="J190" s="471"/>
      <c r="L190" s="471"/>
    </row>
    <row r="191">
      <c r="G191" s="661"/>
      <c r="J191" s="471"/>
      <c r="L191" s="471"/>
    </row>
    <row r="192">
      <c r="D192" s="132"/>
      <c r="G192" s="661"/>
      <c r="J192" s="471"/>
      <c r="L192" s="471"/>
    </row>
    <row r="193">
      <c r="D193" s="132"/>
      <c r="G193" s="661"/>
      <c r="J193" s="471"/>
      <c r="L193" s="471"/>
    </row>
    <row r="194">
      <c r="D194" s="132"/>
      <c r="G194" s="661"/>
      <c r="J194" s="471"/>
      <c r="L194" s="471"/>
    </row>
    <row r="195">
      <c r="G195" s="661"/>
      <c r="J195" s="471"/>
      <c r="L195" s="471"/>
    </row>
    <row r="196">
      <c r="D196" s="132"/>
      <c r="G196" s="661"/>
      <c r="J196" s="471"/>
      <c r="L196" s="471"/>
    </row>
    <row r="197">
      <c r="D197" s="132"/>
      <c r="G197" s="661"/>
      <c r="J197" s="471"/>
      <c r="L197" s="471"/>
    </row>
    <row r="198">
      <c r="D198" s="132"/>
      <c r="G198" s="661"/>
      <c r="J198" s="471"/>
      <c r="L198" s="471"/>
    </row>
    <row r="199">
      <c r="D199" s="132"/>
      <c r="G199" s="661"/>
      <c r="J199" s="471"/>
      <c r="L199" s="471"/>
    </row>
    <row r="200">
      <c r="D200" s="132"/>
      <c r="G200" s="661"/>
      <c r="J200" s="471"/>
      <c r="L200" s="471"/>
    </row>
    <row r="201">
      <c r="D201" s="132"/>
      <c r="G201" s="661"/>
      <c r="J201" s="471"/>
      <c r="L201" s="471"/>
    </row>
    <row r="202">
      <c r="D202" s="132"/>
      <c r="G202" s="661"/>
      <c r="J202" s="471"/>
      <c r="L202" s="471"/>
    </row>
    <row r="203">
      <c r="G203" s="661"/>
      <c r="J203" s="471"/>
      <c r="L203" s="471"/>
    </row>
    <row r="204">
      <c r="D204" s="132"/>
      <c r="G204" s="661"/>
      <c r="J204" s="471"/>
      <c r="L204" s="471"/>
    </row>
    <row r="205">
      <c r="D205" s="132"/>
      <c r="G205" s="661"/>
      <c r="J205" s="471"/>
      <c r="L205" s="471"/>
    </row>
    <row r="206">
      <c r="D206" s="132"/>
      <c r="G206" s="661"/>
      <c r="J206" s="471"/>
      <c r="L206" s="471"/>
    </row>
    <row r="207">
      <c r="G207" s="661"/>
      <c r="J207" s="471"/>
      <c r="L207" s="471"/>
    </row>
    <row r="208">
      <c r="D208" s="168"/>
      <c r="G208" s="661"/>
      <c r="J208" s="471"/>
      <c r="L208" s="471"/>
    </row>
    <row r="209">
      <c r="G209" s="661"/>
      <c r="J209" s="471"/>
      <c r="L209" s="471"/>
    </row>
    <row r="210">
      <c r="D210" s="168"/>
      <c r="G210" s="661"/>
      <c r="J210" s="471"/>
      <c r="L210" s="471"/>
    </row>
    <row r="211">
      <c r="D211" s="132"/>
      <c r="G211" s="661"/>
      <c r="J211" s="471"/>
      <c r="L211" s="471"/>
    </row>
    <row r="212">
      <c r="D212" s="132"/>
      <c r="G212" s="661"/>
      <c r="J212" s="471"/>
      <c r="L212" s="471"/>
    </row>
    <row r="213">
      <c r="D213" s="132"/>
      <c r="G213" s="661"/>
      <c r="J213" s="471"/>
      <c r="L213" s="471"/>
    </row>
    <row r="214">
      <c r="D214" s="132"/>
      <c r="G214" s="661"/>
      <c r="J214" s="471"/>
      <c r="L214" s="471"/>
    </row>
    <row r="215">
      <c r="D215" s="132"/>
      <c r="G215" s="661"/>
      <c r="J215" s="471"/>
      <c r="L215" s="471"/>
    </row>
    <row r="216">
      <c r="G216" s="661"/>
      <c r="J216" s="471"/>
      <c r="L216" s="471"/>
    </row>
    <row r="217">
      <c r="D217" s="132"/>
      <c r="G217" s="661"/>
      <c r="J217" s="471"/>
      <c r="L217" s="471"/>
    </row>
    <row r="218">
      <c r="D218" s="132"/>
      <c r="G218" s="661"/>
      <c r="J218" s="471"/>
      <c r="L218" s="471"/>
    </row>
    <row r="219">
      <c r="D219" s="132"/>
      <c r="G219" s="661"/>
      <c r="J219" s="471"/>
      <c r="L219" s="471"/>
    </row>
    <row r="220">
      <c r="D220" s="132"/>
      <c r="G220" s="661"/>
      <c r="J220" s="471"/>
      <c r="L220" s="471"/>
    </row>
    <row r="221">
      <c r="D221" s="170"/>
      <c r="G221" s="661"/>
      <c r="J221" s="471"/>
      <c r="L221" s="471"/>
    </row>
    <row r="222">
      <c r="D222" s="132"/>
      <c r="G222" s="661"/>
      <c r="J222" s="471"/>
      <c r="L222" s="471"/>
    </row>
    <row r="223">
      <c r="D223" s="149"/>
      <c r="G223" s="661"/>
      <c r="J223" s="471"/>
      <c r="L223" s="471"/>
    </row>
    <row r="224">
      <c r="D224" s="132"/>
      <c r="G224" s="661"/>
      <c r="J224" s="471"/>
      <c r="L224" s="471"/>
    </row>
    <row r="225">
      <c r="D225" s="208"/>
      <c r="G225" s="661"/>
      <c r="J225" s="471"/>
      <c r="L225" s="471"/>
    </row>
    <row r="226">
      <c r="D226" s="132"/>
      <c r="G226" s="661"/>
      <c r="J226" s="471"/>
      <c r="L226" s="471"/>
    </row>
    <row r="227">
      <c r="D227" s="132"/>
      <c r="G227" s="661"/>
      <c r="J227" s="471"/>
      <c r="L227" s="471"/>
    </row>
    <row r="228">
      <c r="G228" s="661"/>
      <c r="J228" s="471"/>
      <c r="L228" s="471"/>
    </row>
    <row r="229">
      <c r="D229" s="170"/>
      <c r="G229" s="661"/>
      <c r="J229" s="471"/>
      <c r="L229" s="471"/>
    </row>
    <row r="230">
      <c r="D230" s="132"/>
      <c r="G230" s="661"/>
      <c r="J230" s="471"/>
      <c r="L230" s="471"/>
    </row>
    <row r="231">
      <c r="D231" s="149"/>
      <c r="G231" s="661"/>
      <c r="J231" s="471"/>
      <c r="L231" s="471"/>
    </row>
    <row r="232">
      <c r="D232" s="132"/>
      <c r="G232" s="661"/>
      <c r="J232" s="471"/>
      <c r="L232" s="471"/>
    </row>
    <row r="233">
      <c r="D233" s="132"/>
      <c r="G233" s="661"/>
      <c r="J233" s="471"/>
      <c r="L233" s="471"/>
    </row>
    <row r="234">
      <c r="D234" s="132"/>
      <c r="G234" s="661"/>
      <c r="J234" s="471"/>
      <c r="L234" s="471"/>
    </row>
    <row r="235">
      <c r="D235" s="132"/>
      <c r="G235" s="661"/>
      <c r="J235" s="471"/>
      <c r="L235" s="471"/>
    </row>
    <row r="236">
      <c r="D236" s="132"/>
      <c r="G236" s="661"/>
      <c r="J236" s="471"/>
      <c r="L236" s="471"/>
    </row>
    <row r="237">
      <c r="D237" s="132"/>
      <c r="G237" s="661"/>
      <c r="J237" s="471"/>
      <c r="L237" s="471"/>
    </row>
    <row r="238">
      <c r="D238" s="132"/>
      <c r="G238" s="661"/>
      <c r="J238" s="471"/>
      <c r="L238" s="471"/>
    </row>
    <row r="239">
      <c r="D239" s="132"/>
      <c r="G239" s="661"/>
      <c r="J239" s="471"/>
      <c r="L239" s="471"/>
    </row>
    <row r="240">
      <c r="D240" s="132"/>
      <c r="G240" s="661"/>
      <c r="J240" s="471"/>
      <c r="L240" s="471"/>
    </row>
    <row r="241">
      <c r="D241" s="132"/>
      <c r="G241" s="661"/>
      <c r="J241" s="471"/>
      <c r="L241" s="471"/>
    </row>
    <row r="242">
      <c r="D242" s="132"/>
      <c r="G242" s="661"/>
      <c r="J242" s="471"/>
      <c r="L242" s="471"/>
    </row>
    <row r="243">
      <c r="D243" s="139"/>
      <c r="G243" s="661"/>
      <c r="J243" s="471"/>
      <c r="L243" s="471"/>
    </row>
    <row r="244">
      <c r="D244" s="134"/>
      <c r="G244" s="661"/>
      <c r="J244" s="471"/>
      <c r="L244" s="471"/>
    </row>
    <row r="245">
      <c r="D245" s="124"/>
      <c r="G245" s="661"/>
      <c r="J245" s="471"/>
      <c r="L245" s="471"/>
    </row>
    <row r="246">
      <c r="D246" s="124"/>
      <c r="G246" s="661"/>
      <c r="J246" s="471"/>
      <c r="L246" s="471"/>
    </row>
    <row r="247">
      <c r="G247" s="661"/>
      <c r="J247" s="471"/>
      <c r="L247" s="471"/>
    </row>
    <row r="248">
      <c r="D248" s="132"/>
      <c r="G248" s="661"/>
      <c r="J248" s="471"/>
      <c r="L248" s="471"/>
    </row>
    <row r="249">
      <c r="G249" s="661"/>
      <c r="J249" s="471"/>
      <c r="L249" s="471"/>
    </row>
    <row r="250">
      <c r="G250" s="661"/>
      <c r="J250" s="471"/>
      <c r="L250" s="471"/>
    </row>
    <row r="251">
      <c r="D251" s="132"/>
      <c r="G251" s="661"/>
      <c r="J251" s="471"/>
      <c r="L251" s="471"/>
    </row>
    <row r="252">
      <c r="D252" s="132"/>
      <c r="G252" s="661"/>
      <c r="J252" s="471"/>
      <c r="L252" s="471"/>
    </row>
    <row r="253">
      <c r="G253" s="661"/>
      <c r="J253" s="471"/>
      <c r="L253" s="471"/>
    </row>
    <row r="254">
      <c r="D254" s="132"/>
      <c r="G254" s="661"/>
      <c r="J254" s="471"/>
      <c r="L254" s="471"/>
    </row>
    <row r="255">
      <c r="D255" s="132"/>
      <c r="G255" s="661"/>
      <c r="J255" s="471"/>
      <c r="L255" s="471"/>
    </row>
    <row r="256">
      <c r="D256" s="132"/>
      <c r="G256" s="661"/>
      <c r="J256" s="471"/>
      <c r="L256" s="471"/>
    </row>
    <row r="257">
      <c r="D257" s="132"/>
      <c r="G257" s="661"/>
      <c r="J257" s="471"/>
      <c r="L257" s="471"/>
    </row>
    <row r="258">
      <c r="D258" s="132"/>
      <c r="G258" s="661"/>
      <c r="J258" s="471"/>
      <c r="L258" s="471"/>
    </row>
    <row r="259">
      <c r="D259" s="168"/>
      <c r="G259" s="661"/>
      <c r="J259" s="471"/>
      <c r="L259" s="471"/>
    </row>
    <row r="260">
      <c r="D260" s="132"/>
      <c r="G260" s="661"/>
      <c r="J260" s="471"/>
      <c r="L260" s="471"/>
    </row>
    <row r="261">
      <c r="G261" s="661"/>
      <c r="J261" s="471"/>
      <c r="L261" s="471"/>
    </row>
    <row r="262">
      <c r="D262" s="132"/>
      <c r="G262" s="661"/>
      <c r="J262" s="471"/>
      <c r="L262" s="471"/>
    </row>
    <row r="263">
      <c r="D263" s="270"/>
      <c r="G263" s="661"/>
      <c r="J263" s="471"/>
      <c r="L263" s="471"/>
    </row>
    <row r="264">
      <c r="D264" s="132"/>
      <c r="G264" s="661"/>
      <c r="J264" s="471"/>
      <c r="L264" s="471"/>
    </row>
    <row r="265">
      <c r="D265" s="132"/>
      <c r="G265" s="661"/>
      <c r="J265" s="471"/>
      <c r="L265" s="471"/>
    </row>
    <row r="266">
      <c r="D266" s="132"/>
      <c r="G266" s="661"/>
      <c r="J266" s="471"/>
      <c r="L266" s="471"/>
    </row>
    <row r="267">
      <c r="D267" s="132"/>
      <c r="G267" s="661"/>
      <c r="J267" s="471"/>
      <c r="L267" s="471"/>
    </row>
    <row r="268">
      <c r="D268" s="132"/>
      <c r="G268" s="661"/>
      <c r="J268" s="471"/>
      <c r="L268" s="471"/>
    </row>
    <row r="269">
      <c r="D269" s="132"/>
      <c r="G269" s="661"/>
      <c r="J269" s="471"/>
      <c r="L269" s="471"/>
    </row>
    <row r="270">
      <c r="D270" s="132"/>
      <c r="G270" s="661"/>
      <c r="J270" s="471"/>
      <c r="L270" s="471"/>
    </row>
    <row r="271">
      <c r="D271" s="132"/>
      <c r="G271" s="661"/>
      <c r="J271" s="471"/>
      <c r="L271" s="471"/>
    </row>
    <row r="272">
      <c r="D272" s="132"/>
      <c r="G272" s="661"/>
      <c r="J272" s="471"/>
      <c r="L272" s="471"/>
    </row>
    <row r="273">
      <c r="D273" s="132"/>
      <c r="G273" s="661"/>
      <c r="J273" s="471"/>
      <c r="L273" s="471"/>
    </row>
    <row r="274">
      <c r="D274" s="132"/>
      <c r="G274" s="661"/>
      <c r="J274" s="471"/>
      <c r="L274" s="471"/>
    </row>
    <row r="275">
      <c r="D275" s="132"/>
      <c r="G275" s="661"/>
      <c r="J275" s="471"/>
      <c r="L275" s="471"/>
    </row>
    <row r="276">
      <c r="D276" s="132"/>
      <c r="G276" s="661"/>
      <c r="J276" s="471"/>
      <c r="L276" s="471"/>
    </row>
    <row r="277">
      <c r="G277" s="661"/>
      <c r="J277" s="471"/>
      <c r="L277" s="471"/>
    </row>
    <row r="278">
      <c r="D278" s="132"/>
      <c r="G278" s="661"/>
      <c r="J278" s="471"/>
      <c r="L278" s="471"/>
    </row>
    <row r="279">
      <c r="D279" s="132"/>
      <c r="G279" s="661"/>
      <c r="J279" s="471"/>
      <c r="L279" s="471"/>
    </row>
    <row r="280">
      <c r="D280" s="132"/>
      <c r="G280" s="661"/>
      <c r="J280" s="471"/>
      <c r="L280" s="471"/>
    </row>
    <row r="281">
      <c r="G281" s="661"/>
      <c r="J281" s="471"/>
      <c r="L281" s="471"/>
    </row>
    <row r="282">
      <c r="D282" s="132"/>
      <c r="G282" s="661"/>
      <c r="J282" s="471"/>
      <c r="L282" s="471"/>
    </row>
    <row r="283">
      <c r="D283" s="132"/>
      <c r="G283" s="661"/>
      <c r="J283" s="471"/>
      <c r="L283" s="471"/>
    </row>
    <row r="284">
      <c r="D284" s="149"/>
      <c r="G284" s="661"/>
      <c r="J284" s="471"/>
      <c r="L284" s="471"/>
    </row>
    <row r="285">
      <c r="D285" s="132"/>
      <c r="G285" s="661"/>
      <c r="J285" s="471"/>
      <c r="L285" s="471"/>
    </row>
    <row r="286">
      <c r="D286" s="132"/>
      <c r="G286" s="661"/>
      <c r="J286" s="471"/>
      <c r="L286" s="471"/>
    </row>
    <row r="287">
      <c r="D287" s="132"/>
      <c r="G287" s="661"/>
      <c r="J287" s="471"/>
      <c r="L287" s="471"/>
    </row>
    <row r="288">
      <c r="D288" s="132"/>
      <c r="G288" s="661"/>
      <c r="J288" s="471"/>
      <c r="L288" s="471"/>
    </row>
    <row r="289">
      <c r="D289" s="132"/>
      <c r="G289" s="661"/>
      <c r="J289" s="471"/>
      <c r="L289" s="471"/>
    </row>
    <row r="290">
      <c r="D290" s="132"/>
      <c r="G290" s="661"/>
      <c r="J290" s="471"/>
      <c r="L290" s="471"/>
    </row>
    <row r="291">
      <c r="D291" s="132"/>
      <c r="G291" s="661"/>
      <c r="J291" s="471"/>
      <c r="L291" s="471"/>
    </row>
    <row r="292">
      <c r="D292" s="132"/>
      <c r="G292" s="661"/>
      <c r="J292" s="471"/>
      <c r="L292" s="471"/>
    </row>
    <row r="293">
      <c r="D293" s="132"/>
      <c r="G293" s="661"/>
      <c r="J293" s="471"/>
      <c r="L293" s="471"/>
    </row>
    <row r="294">
      <c r="D294" s="132"/>
      <c r="G294" s="661"/>
      <c r="J294" s="471"/>
      <c r="L294" s="471"/>
    </row>
    <row r="295">
      <c r="G295" s="661"/>
      <c r="J295" s="471"/>
      <c r="L295" s="471"/>
    </row>
    <row r="296">
      <c r="G296" s="661"/>
      <c r="J296" s="471"/>
      <c r="L296" s="471"/>
    </row>
    <row r="297">
      <c r="D297" s="132"/>
      <c r="G297" s="661"/>
      <c r="J297" s="471"/>
      <c r="L297" s="471"/>
    </row>
    <row r="298">
      <c r="D298" s="132"/>
      <c r="G298" s="661"/>
      <c r="J298" s="471"/>
      <c r="L298" s="471"/>
    </row>
    <row r="299">
      <c r="G299" s="661"/>
      <c r="J299" s="471"/>
      <c r="L299" s="471"/>
    </row>
    <row r="300">
      <c r="D300" s="132"/>
      <c r="G300" s="661"/>
      <c r="J300" s="471"/>
      <c r="L300" s="471"/>
    </row>
    <row r="301">
      <c r="G301" s="661"/>
      <c r="J301" s="471"/>
      <c r="L301" s="471"/>
    </row>
    <row r="302">
      <c r="D302" s="132"/>
      <c r="G302" s="661"/>
      <c r="J302" s="471"/>
      <c r="L302" s="471"/>
    </row>
    <row r="303">
      <c r="D303" s="132"/>
      <c r="G303" s="661"/>
      <c r="J303" s="471"/>
      <c r="L303" s="471"/>
    </row>
    <row r="304">
      <c r="D304" s="132"/>
      <c r="G304" s="661"/>
      <c r="J304" s="471"/>
      <c r="L304" s="471"/>
    </row>
    <row r="305">
      <c r="D305" s="132"/>
      <c r="G305" s="661"/>
      <c r="J305" s="471"/>
      <c r="L305" s="471"/>
    </row>
    <row r="306">
      <c r="D306" s="132"/>
      <c r="G306" s="661"/>
      <c r="J306" s="471"/>
      <c r="L306" s="471"/>
    </row>
    <row r="307">
      <c r="D307" s="132"/>
      <c r="G307" s="661"/>
      <c r="J307" s="471"/>
      <c r="L307" s="471"/>
    </row>
    <row r="308">
      <c r="D308" s="132"/>
      <c r="G308" s="661"/>
      <c r="J308" s="471"/>
      <c r="L308" s="471"/>
    </row>
    <row r="309">
      <c r="D309" s="132"/>
      <c r="G309" s="661"/>
      <c r="J309" s="471"/>
      <c r="L309" s="471"/>
    </row>
    <row r="310">
      <c r="D310" s="132"/>
      <c r="G310" s="661"/>
      <c r="J310" s="471"/>
      <c r="L310" s="471"/>
    </row>
    <row r="311">
      <c r="G311" s="661"/>
      <c r="J311" s="471"/>
      <c r="L311" s="471"/>
    </row>
    <row r="312">
      <c r="D312" s="132"/>
      <c r="G312" s="661"/>
      <c r="J312" s="471"/>
      <c r="L312" s="471"/>
    </row>
    <row r="313">
      <c r="D313" s="132"/>
      <c r="G313" s="661"/>
      <c r="J313" s="471"/>
      <c r="L313" s="471"/>
    </row>
    <row r="314">
      <c r="D314" s="132"/>
      <c r="G314" s="661"/>
      <c r="J314" s="471"/>
      <c r="L314" s="471"/>
    </row>
    <row r="315">
      <c r="D315" s="132"/>
      <c r="G315" s="661"/>
      <c r="J315" s="471"/>
      <c r="L315" s="471"/>
    </row>
    <row r="316">
      <c r="D316" s="149"/>
      <c r="G316" s="661"/>
      <c r="J316" s="471"/>
      <c r="L316" s="471"/>
    </row>
    <row r="317">
      <c r="D317" s="132"/>
      <c r="G317" s="661"/>
      <c r="J317" s="471"/>
      <c r="L317" s="471"/>
    </row>
    <row r="318">
      <c r="D318" s="132"/>
      <c r="G318" s="661"/>
      <c r="J318" s="471"/>
      <c r="L318" s="471"/>
    </row>
    <row r="319">
      <c r="D319" s="132"/>
      <c r="G319" s="661"/>
      <c r="J319" s="471"/>
      <c r="L319" s="471"/>
    </row>
    <row r="320">
      <c r="D320" s="168"/>
      <c r="G320" s="661"/>
      <c r="J320" s="471"/>
      <c r="L320" s="471"/>
    </row>
    <row r="321">
      <c r="D321" s="132"/>
      <c r="G321" s="661"/>
      <c r="J321" s="471"/>
      <c r="L321" s="471"/>
    </row>
    <row r="322">
      <c r="D322" s="132"/>
      <c r="G322" s="661"/>
      <c r="J322" s="471"/>
      <c r="L322" s="471"/>
    </row>
    <row r="323">
      <c r="G323" s="661"/>
      <c r="J323" s="471"/>
      <c r="L323" s="471"/>
    </row>
    <row r="324">
      <c r="D324" s="132"/>
      <c r="G324" s="661"/>
      <c r="J324" s="471"/>
      <c r="L324" s="471"/>
    </row>
    <row r="325">
      <c r="G325" s="661"/>
      <c r="J325" s="471"/>
      <c r="L325" s="471"/>
    </row>
    <row r="326">
      <c r="D326" s="139"/>
      <c r="G326" s="661"/>
      <c r="J326" s="471"/>
      <c r="L326" s="471"/>
    </row>
    <row r="327">
      <c r="D327" s="134"/>
      <c r="G327" s="661"/>
      <c r="J327" s="471"/>
      <c r="L327" s="471"/>
    </row>
    <row r="328">
      <c r="D328" s="124"/>
      <c r="G328" s="661"/>
      <c r="J328" s="471"/>
      <c r="L328" s="471"/>
    </row>
    <row r="329">
      <c r="D329" s="124"/>
      <c r="G329" s="661"/>
      <c r="J329" s="471"/>
      <c r="L329" s="471"/>
    </row>
    <row r="330">
      <c r="D330" s="149"/>
      <c r="G330" s="661"/>
      <c r="J330" s="471"/>
      <c r="L330" s="471"/>
    </row>
    <row r="331">
      <c r="D331" s="132"/>
      <c r="G331" s="661"/>
      <c r="J331" s="471"/>
      <c r="L331" s="471"/>
    </row>
    <row r="332">
      <c r="D332" s="132"/>
      <c r="G332" s="661"/>
      <c r="J332" s="471"/>
      <c r="L332" s="471"/>
    </row>
    <row r="333">
      <c r="D333" s="132"/>
      <c r="G333" s="661"/>
      <c r="J333" s="471"/>
      <c r="L333" s="471"/>
    </row>
    <row r="334">
      <c r="D334" s="132"/>
      <c r="G334" s="661"/>
      <c r="J334" s="471"/>
      <c r="L334" s="471"/>
    </row>
    <row r="335">
      <c r="D335" s="168"/>
      <c r="G335" s="661"/>
      <c r="J335" s="471"/>
      <c r="L335" s="471"/>
    </row>
    <row r="336">
      <c r="D336" s="132"/>
      <c r="G336" s="661"/>
      <c r="J336" s="471"/>
      <c r="L336" s="471"/>
    </row>
    <row r="337">
      <c r="D337" s="132"/>
      <c r="G337" s="661"/>
      <c r="J337" s="471"/>
      <c r="L337" s="471"/>
    </row>
    <row r="338">
      <c r="G338" s="661"/>
      <c r="J338" s="471"/>
      <c r="L338" s="471"/>
    </row>
    <row r="339">
      <c r="D339" s="132"/>
      <c r="G339" s="661"/>
      <c r="J339" s="471"/>
      <c r="L339" s="471"/>
    </row>
    <row r="340">
      <c r="D340" s="132"/>
      <c r="G340" s="661"/>
      <c r="J340" s="471"/>
      <c r="L340" s="471"/>
    </row>
    <row r="341">
      <c r="D341" s="132"/>
      <c r="G341" s="661"/>
      <c r="J341" s="471"/>
      <c r="L341" s="471"/>
    </row>
    <row r="342">
      <c r="G342" s="661"/>
      <c r="J342" s="471"/>
      <c r="L342" s="471"/>
    </row>
    <row r="343">
      <c r="D343" s="132"/>
      <c r="G343" s="661"/>
      <c r="J343" s="471"/>
      <c r="L343" s="471"/>
    </row>
    <row r="344">
      <c r="D344" s="132"/>
      <c r="G344" s="661"/>
      <c r="J344" s="471"/>
      <c r="L344" s="471"/>
    </row>
    <row r="345">
      <c r="D345" s="168"/>
      <c r="G345" s="661"/>
      <c r="J345" s="471"/>
      <c r="L345" s="471"/>
    </row>
    <row r="346">
      <c r="D346" s="132"/>
      <c r="G346" s="661"/>
      <c r="J346" s="471"/>
      <c r="L346" s="471"/>
    </row>
    <row r="347">
      <c r="D347" s="170"/>
      <c r="G347" s="661"/>
      <c r="J347" s="471"/>
      <c r="L347" s="471"/>
    </row>
    <row r="348">
      <c r="D348" s="168"/>
      <c r="G348" s="661"/>
      <c r="J348" s="471"/>
      <c r="L348" s="471"/>
    </row>
    <row r="349">
      <c r="D349" s="132"/>
      <c r="G349" s="661"/>
      <c r="J349" s="471"/>
      <c r="L349" s="471"/>
    </row>
    <row r="350">
      <c r="D350" s="132"/>
      <c r="G350" s="661"/>
      <c r="J350" s="471"/>
      <c r="L350" s="471"/>
    </row>
    <row r="351">
      <c r="D351" s="132"/>
      <c r="G351" s="661"/>
      <c r="J351" s="471"/>
      <c r="L351" s="471"/>
    </row>
    <row r="352">
      <c r="D352" s="168"/>
      <c r="G352" s="661"/>
      <c r="J352" s="471"/>
      <c r="L352" s="471"/>
    </row>
    <row r="353">
      <c r="D353" s="132"/>
      <c r="G353" s="661"/>
      <c r="J353" s="471"/>
      <c r="L353" s="471"/>
    </row>
    <row r="354">
      <c r="D354" s="132"/>
      <c r="G354" s="661"/>
      <c r="J354" s="471"/>
      <c r="L354" s="471"/>
    </row>
    <row r="355">
      <c r="D355" s="270"/>
      <c r="G355" s="661"/>
      <c r="J355" s="471"/>
      <c r="L355" s="471"/>
    </row>
    <row r="356">
      <c r="D356" s="132"/>
      <c r="G356" s="661"/>
      <c r="J356" s="471"/>
      <c r="L356" s="471"/>
    </row>
    <row r="357">
      <c r="D357" s="132"/>
      <c r="G357" s="661"/>
      <c r="J357" s="471"/>
      <c r="L357" s="471"/>
    </row>
    <row r="358">
      <c r="G358" s="661"/>
      <c r="J358" s="471"/>
      <c r="L358" s="471"/>
    </row>
    <row r="359">
      <c r="D359" s="132"/>
      <c r="G359" s="661"/>
      <c r="J359" s="471"/>
      <c r="L359" s="471"/>
    </row>
    <row r="360">
      <c r="D360" s="132"/>
      <c r="G360" s="661"/>
      <c r="J360" s="471"/>
      <c r="L360" s="471"/>
    </row>
    <row r="361">
      <c r="G361" s="661"/>
      <c r="J361" s="471"/>
      <c r="L361" s="471"/>
    </row>
    <row r="362">
      <c r="D362" s="132"/>
      <c r="G362" s="661"/>
      <c r="J362" s="471"/>
      <c r="L362" s="471"/>
    </row>
    <row r="363">
      <c r="D363" s="170"/>
      <c r="G363" s="661"/>
      <c r="J363" s="471"/>
      <c r="L363" s="471"/>
    </row>
    <row r="364">
      <c r="D364" s="139"/>
      <c r="G364" s="661"/>
      <c r="J364" s="471"/>
      <c r="L364" s="471"/>
    </row>
    <row r="365">
      <c r="D365" s="134"/>
      <c r="G365" s="661"/>
      <c r="J365" s="471"/>
      <c r="L365" s="471"/>
    </row>
    <row r="366">
      <c r="D366" s="124"/>
      <c r="G366" s="661"/>
      <c r="J366" s="471"/>
      <c r="L366" s="471"/>
    </row>
    <row r="367">
      <c r="D367" s="124"/>
      <c r="G367" s="661"/>
      <c r="J367" s="471"/>
      <c r="L367" s="471"/>
    </row>
    <row r="368">
      <c r="D368" s="132"/>
      <c r="G368" s="661"/>
      <c r="J368" s="471"/>
      <c r="L368" s="471"/>
    </row>
    <row r="369">
      <c r="D369" s="132"/>
      <c r="G369" s="661"/>
      <c r="J369" s="471"/>
      <c r="L369" s="471"/>
    </row>
    <row r="370">
      <c r="D370" s="132"/>
      <c r="G370" s="661"/>
      <c r="J370" s="471"/>
      <c r="L370" s="471"/>
    </row>
    <row r="371">
      <c r="D371" s="168"/>
      <c r="G371" s="661"/>
      <c r="J371" s="471"/>
      <c r="L371" s="471"/>
    </row>
    <row r="372">
      <c r="D372" s="132"/>
      <c r="G372" s="661"/>
      <c r="J372" s="471"/>
      <c r="L372" s="471"/>
    </row>
    <row r="373">
      <c r="D373" s="132"/>
      <c r="G373" s="661"/>
      <c r="J373" s="471"/>
      <c r="L373" s="471"/>
    </row>
    <row r="374">
      <c r="D374" s="132"/>
      <c r="G374" s="661"/>
      <c r="J374" s="471"/>
      <c r="L374" s="471"/>
    </row>
    <row r="375">
      <c r="D375" s="132"/>
      <c r="G375" s="661"/>
      <c r="J375" s="471"/>
      <c r="L375" s="471"/>
    </row>
    <row r="376">
      <c r="D376" s="132"/>
      <c r="G376" s="661"/>
      <c r="J376" s="471"/>
      <c r="L376" s="471"/>
    </row>
    <row r="377">
      <c r="D377" s="132"/>
      <c r="G377" s="661"/>
      <c r="J377" s="471"/>
      <c r="L377" s="471"/>
    </row>
    <row r="378">
      <c r="D378" s="132"/>
      <c r="G378" s="661"/>
      <c r="J378" s="471"/>
      <c r="L378" s="471"/>
    </row>
    <row r="379">
      <c r="D379" s="132"/>
      <c r="G379" s="661"/>
      <c r="J379" s="471"/>
      <c r="L379" s="471"/>
    </row>
    <row r="380">
      <c r="D380" s="132"/>
      <c r="G380" s="661"/>
      <c r="J380" s="471"/>
      <c r="L380" s="471"/>
    </row>
    <row r="381">
      <c r="G381" s="661"/>
      <c r="J381" s="471"/>
      <c r="L381" s="471"/>
    </row>
    <row r="382">
      <c r="G382" s="661"/>
      <c r="J382" s="471"/>
      <c r="L382" s="471"/>
    </row>
    <row r="383">
      <c r="G383" s="661"/>
      <c r="J383" s="471"/>
      <c r="L383" s="471"/>
    </row>
    <row r="384">
      <c r="D384" s="132"/>
      <c r="G384" s="661"/>
      <c r="J384" s="471"/>
      <c r="L384" s="471"/>
    </row>
    <row r="385">
      <c r="D385" s="168"/>
      <c r="G385" s="661"/>
      <c r="J385" s="471"/>
      <c r="L385" s="471"/>
    </row>
    <row r="386">
      <c r="D386" s="168"/>
      <c r="G386" s="661"/>
      <c r="J386" s="471"/>
      <c r="L386" s="471"/>
    </row>
    <row r="387">
      <c r="D387" s="132"/>
      <c r="G387" s="661"/>
      <c r="J387" s="471"/>
      <c r="L387" s="471"/>
    </row>
    <row r="388">
      <c r="D388" s="132"/>
      <c r="G388" s="661"/>
      <c r="J388" s="471"/>
      <c r="L388" s="471"/>
    </row>
    <row r="389">
      <c r="D389" s="132"/>
      <c r="G389" s="661"/>
      <c r="J389" s="471"/>
      <c r="L389" s="471"/>
    </row>
    <row r="390">
      <c r="D390" s="168"/>
      <c r="G390" s="661"/>
      <c r="J390" s="471"/>
      <c r="L390" s="471"/>
    </row>
    <row r="391">
      <c r="D391" s="132"/>
      <c r="G391" s="661"/>
      <c r="J391" s="471"/>
      <c r="L391" s="471"/>
    </row>
    <row r="392">
      <c r="D392" s="132"/>
      <c r="G392" s="661"/>
      <c r="J392" s="471"/>
      <c r="L392" s="471"/>
    </row>
    <row r="393">
      <c r="D393" s="132"/>
      <c r="G393" s="661"/>
      <c r="J393" s="471"/>
      <c r="L393" s="471"/>
    </row>
    <row r="394">
      <c r="D394" s="168"/>
      <c r="G394" s="661"/>
      <c r="J394" s="471"/>
      <c r="L394" s="471"/>
    </row>
    <row r="395">
      <c r="D395" s="132"/>
      <c r="G395" s="661"/>
      <c r="J395" s="471"/>
      <c r="L395" s="471"/>
    </row>
    <row r="396">
      <c r="D396" s="132"/>
      <c r="G396" s="661"/>
      <c r="J396" s="471"/>
      <c r="L396" s="471"/>
    </row>
    <row r="397">
      <c r="D397" s="132"/>
      <c r="G397" s="661"/>
      <c r="J397" s="471"/>
      <c r="L397" s="471"/>
    </row>
    <row r="398">
      <c r="D398" s="132"/>
      <c r="G398" s="661"/>
      <c r="J398" s="471"/>
      <c r="L398" s="471"/>
    </row>
    <row r="399">
      <c r="D399" s="132"/>
      <c r="G399" s="661"/>
      <c r="J399" s="471"/>
      <c r="L399" s="471"/>
    </row>
    <row r="400">
      <c r="D400" s="132"/>
      <c r="G400" s="661"/>
      <c r="J400" s="471"/>
      <c r="L400" s="471"/>
    </row>
    <row r="401">
      <c r="G401" s="661"/>
      <c r="J401" s="471"/>
      <c r="L401" s="471"/>
    </row>
    <row r="402">
      <c r="D402" s="132"/>
      <c r="G402" s="661"/>
      <c r="J402" s="471"/>
      <c r="L402" s="471"/>
    </row>
    <row r="403">
      <c r="D403" s="168"/>
      <c r="G403" s="661"/>
      <c r="J403" s="471"/>
      <c r="L403" s="471"/>
    </row>
    <row r="404">
      <c r="D404" s="132"/>
      <c r="G404" s="661"/>
      <c r="J404" s="471"/>
      <c r="L404" s="471"/>
    </row>
    <row r="405">
      <c r="D405" s="270"/>
      <c r="G405" s="661"/>
      <c r="J405" s="471"/>
      <c r="L405" s="471"/>
    </row>
    <row r="406">
      <c r="D406" s="132"/>
      <c r="G406" s="661"/>
      <c r="J406" s="471"/>
      <c r="L406" s="471"/>
    </row>
    <row r="407">
      <c r="D407" s="132"/>
      <c r="G407" s="661"/>
      <c r="J407" s="471"/>
      <c r="L407" s="471"/>
    </row>
    <row r="408">
      <c r="D408" s="132"/>
      <c r="G408" s="661"/>
      <c r="J408" s="471"/>
      <c r="L408" s="471"/>
    </row>
    <row r="409">
      <c r="D409" s="132"/>
      <c r="G409" s="661"/>
      <c r="J409" s="471"/>
      <c r="L409" s="471"/>
    </row>
    <row r="410">
      <c r="D410" s="132"/>
      <c r="G410" s="661"/>
      <c r="J410" s="471"/>
      <c r="L410" s="471"/>
    </row>
    <row r="411">
      <c r="G411" s="661"/>
      <c r="J411" s="471"/>
      <c r="L411" s="471"/>
    </row>
    <row r="412">
      <c r="D412" s="132"/>
      <c r="G412" s="661"/>
      <c r="J412" s="471"/>
      <c r="L412" s="471"/>
    </row>
    <row r="413">
      <c r="D413" s="132"/>
      <c r="G413" s="661"/>
      <c r="J413" s="471"/>
      <c r="L413" s="471"/>
    </row>
    <row r="414">
      <c r="D414" s="132"/>
      <c r="G414" s="661"/>
      <c r="J414" s="471"/>
      <c r="L414" s="471"/>
    </row>
    <row r="415">
      <c r="G415" s="661"/>
      <c r="J415" s="471"/>
      <c r="L415" s="471"/>
    </row>
    <row r="416">
      <c r="D416" s="132"/>
      <c r="G416" s="661"/>
      <c r="J416" s="471"/>
      <c r="L416" s="471"/>
    </row>
    <row r="417">
      <c r="D417" s="132"/>
      <c r="G417" s="661"/>
      <c r="J417" s="471"/>
      <c r="L417" s="471"/>
    </row>
    <row r="418">
      <c r="D418" s="132"/>
      <c r="G418" s="661"/>
      <c r="J418" s="471"/>
      <c r="L418" s="471"/>
    </row>
    <row r="419">
      <c r="G419" s="661"/>
      <c r="J419" s="471"/>
      <c r="L419" s="471"/>
    </row>
    <row r="420">
      <c r="G420" s="661"/>
      <c r="J420" s="471"/>
      <c r="L420" s="471"/>
    </row>
    <row r="421">
      <c r="G421" s="661"/>
      <c r="J421" s="471"/>
      <c r="L421" s="471"/>
    </row>
    <row r="422">
      <c r="D422" s="132"/>
      <c r="G422" s="661"/>
      <c r="J422" s="471"/>
      <c r="L422" s="471"/>
    </row>
    <row r="423">
      <c r="D423" s="132"/>
      <c r="G423" s="661"/>
      <c r="J423" s="471"/>
      <c r="L423" s="471"/>
    </row>
    <row r="424">
      <c r="D424" s="132"/>
      <c r="G424" s="661"/>
      <c r="J424" s="471"/>
      <c r="L424" s="471"/>
    </row>
    <row r="425">
      <c r="D425" s="139"/>
      <c r="G425" s="661"/>
      <c r="J425" s="471"/>
      <c r="L425" s="471"/>
    </row>
    <row r="426">
      <c r="D426" s="134"/>
      <c r="G426" s="661"/>
      <c r="J426" s="471"/>
      <c r="L426" s="471"/>
    </row>
    <row r="427">
      <c r="D427" s="124"/>
      <c r="G427" s="661"/>
      <c r="J427" s="471"/>
      <c r="L427" s="471"/>
    </row>
    <row r="428">
      <c r="D428" s="124"/>
      <c r="G428" s="661"/>
      <c r="J428" s="471"/>
      <c r="L428" s="471"/>
    </row>
    <row r="429">
      <c r="D429" s="149"/>
      <c r="G429" s="661"/>
      <c r="J429" s="471"/>
      <c r="L429" s="471"/>
    </row>
    <row r="430">
      <c r="D430" s="132"/>
      <c r="G430" s="661"/>
      <c r="J430" s="471"/>
      <c r="L430" s="471"/>
    </row>
    <row r="431">
      <c r="D431" s="132"/>
      <c r="G431" s="661"/>
      <c r="J431" s="471"/>
      <c r="L431" s="471"/>
    </row>
    <row r="432">
      <c r="D432" s="149"/>
      <c r="G432" s="661"/>
      <c r="J432" s="471"/>
      <c r="L432" s="471"/>
    </row>
    <row r="433">
      <c r="D433" s="132"/>
      <c r="G433" s="661"/>
      <c r="J433" s="471"/>
      <c r="L433" s="471"/>
    </row>
    <row r="434">
      <c r="D434" s="132"/>
      <c r="G434" s="661"/>
      <c r="J434" s="471"/>
      <c r="L434" s="471"/>
    </row>
    <row r="435">
      <c r="D435" s="132"/>
      <c r="G435" s="661"/>
      <c r="J435" s="471"/>
      <c r="L435" s="471"/>
    </row>
    <row r="436">
      <c r="D436" s="132"/>
      <c r="G436" s="661"/>
      <c r="J436" s="471"/>
      <c r="L436" s="471"/>
    </row>
    <row r="437">
      <c r="D437" s="132"/>
      <c r="G437" s="661"/>
      <c r="J437" s="471"/>
      <c r="L437" s="471"/>
    </row>
    <row r="438">
      <c r="G438" s="661"/>
      <c r="J438" s="471"/>
      <c r="L438" s="471"/>
    </row>
    <row r="439">
      <c r="D439" s="132"/>
      <c r="G439" s="661"/>
      <c r="J439" s="471"/>
      <c r="L439" s="471"/>
    </row>
    <row r="440">
      <c r="D440" s="132"/>
      <c r="G440" s="661"/>
      <c r="J440" s="471"/>
      <c r="L440" s="471"/>
    </row>
    <row r="441">
      <c r="D441" s="132"/>
      <c r="G441" s="661"/>
      <c r="J441" s="471"/>
      <c r="L441" s="471"/>
    </row>
    <row r="442">
      <c r="D442" s="132"/>
      <c r="G442" s="661"/>
      <c r="J442" s="471"/>
      <c r="L442" s="471"/>
    </row>
    <row r="443">
      <c r="D443" s="132"/>
      <c r="G443" s="661"/>
      <c r="J443" s="471"/>
      <c r="L443" s="471"/>
    </row>
    <row r="444">
      <c r="D444" s="132"/>
      <c r="G444" s="661"/>
      <c r="J444" s="471"/>
      <c r="L444" s="471"/>
    </row>
    <row r="445">
      <c r="D445" s="132"/>
      <c r="G445" s="661"/>
      <c r="J445" s="471"/>
      <c r="L445" s="471"/>
    </row>
    <row r="446">
      <c r="D446" s="132"/>
      <c r="G446" s="661"/>
      <c r="J446" s="471"/>
      <c r="L446" s="471"/>
    </row>
    <row r="447">
      <c r="D447" s="132"/>
      <c r="G447" s="661"/>
      <c r="J447" s="471"/>
      <c r="L447" s="471"/>
    </row>
    <row r="448">
      <c r="D448" s="132"/>
      <c r="G448" s="661"/>
      <c r="J448" s="471"/>
      <c r="L448" s="471"/>
    </row>
    <row r="449">
      <c r="D449" s="132"/>
      <c r="G449" s="661"/>
      <c r="J449" s="471"/>
      <c r="L449" s="471"/>
    </row>
    <row r="450">
      <c r="D450" s="132"/>
      <c r="G450" s="661"/>
      <c r="J450" s="471"/>
      <c r="L450" s="471"/>
    </row>
    <row r="451">
      <c r="D451" s="270"/>
      <c r="G451" s="661"/>
      <c r="J451" s="471"/>
      <c r="L451" s="471"/>
    </row>
    <row r="452">
      <c r="G452" s="661"/>
      <c r="J452" s="471"/>
      <c r="L452" s="471"/>
    </row>
    <row r="453">
      <c r="D453" s="132"/>
      <c r="G453" s="661"/>
      <c r="J453" s="471"/>
      <c r="L453" s="471"/>
    </row>
    <row r="454">
      <c r="D454" s="132"/>
      <c r="G454" s="661"/>
      <c r="J454" s="471"/>
      <c r="L454" s="471"/>
    </row>
    <row r="455">
      <c r="G455" s="661"/>
      <c r="J455" s="471"/>
      <c r="L455" s="471"/>
    </row>
    <row r="456">
      <c r="G456" s="661"/>
      <c r="J456" s="471"/>
      <c r="L456" s="471"/>
    </row>
    <row r="457">
      <c r="D457" s="132"/>
      <c r="G457" s="661"/>
      <c r="J457" s="471"/>
      <c r="L457" s="471"/>
    </row>
    <row r="458">
      <c r="D458" s="132"/>
      <c r="G458" s="661"/>
      <c r="J458" s="471"/>
      <c r="L458" s="471"/>
    </row>
    <row r="459">
      <c r="D459" s="132"/>
      <c r="G459" s="661"/>
      <c r="J459" s="471"/>
      <c r="L459" s="471"/>
    </row>
    <row r="460">
      <c r="G460" s="661"/>
      <c r="J460" s="471"/>
      <c r="L460" s="471"/>
    </row>
    <row r="461">
      <c r="D461" s="132"/>
      <c r="G461" s="661"/>
      <c r="J461" s="471"/>
      <c r="L461" s="471"/>
    </row>
    <row r="462">
      <c r="G462" s="661"/>
      <c r="J462" s="471"/>
      <c r="L462" s="471"/>
    </row>
    <row r="463">
      <c r="D463" s="270"/>
      <c r="G463" s="661"/>
      <c r="J463" s="471"/>
      <c r="L463" s="471"/>
    </row>
    <row r="464">
      <c r="D464" s="270"/>
      <c r="G464" s="661"/>
      <c r="J464" s="471"/>
      <c r="L464" s="471"/>
    </row>
    <row r="465">
      <c r="D465" s="132"/>
      <c r="G465" s="661"/>
      <c r="J465" s="471"/>
      <c r="L465" s="471"/>
    </row>
    <row r="466">
      <c r="G466" s="661"/>
      <c r="J466" s="471"/>
      <c r="L466" s="471"/>
    </row>
    <row r="467">
      <c r="D467" s="270"/>
      <c r="G467" s="661"/>
      <c r="J467" s="471"/>
      <c r="L467" s="471"/>
    </row>
    <row r="468">
      <c r="G468" s="661"/>
      <c r="J468" s="471"/>
      <c r="L468" s="471"/>
    </row>
    <row r="469">
      <c r="D469" s="132"/>
      <c r="G469" s="661"/>
      <c r="J469" s="471"/>
      <c r="L469" s="471"/>
    </row>
    <row r="470">
      <c r="G470" s="661"/>
      <c r="J470" s="471"/>
      <c r="L470" s="471"/>
    </row>
    <row r="471">
      <c r="D471" s="132"/>
      <c r="G471" s="661"/>
      <c r="J471" s="471"/>
      <c r="L471" s="471"/>
    </row>
    <row r="472">
      <c r="D472" s="132"/>
      <c r="G472" s="661"/>
      <c r="J472" s="471"/>
      <c r="L472" s="471"/>
    </row>
    <row r="473">
      <c r="D473" s="149"/>
      <c r="G473" s="661"/>
      <c r="J473" s="471"/>
      <c r="L473" s="471"/>
    </row>
    <row r="474">
      <c r="D474" s="168"/>
      <c r="G474" s="661"/>
      <c r="J474" s="471"/>
      <c r="L474" s="471"/>
    </row>
    <row r="475">
      <c r="D475" s="132"/>
      <c r="G475" s="661"/>
      <c r="J475" s="471"/>
      <c r="L475" s="471"/>
    </row>
    <row r="476">
      <c r="D476" s="132"/>
      <c r="G476" s="661"/>
      <c r="J476" s="471"/>
      <c r="L476" s="471"/>
    </row>
    <row r="477">
      <c r="D477" s="132"/>
      <c r="G477" s="661"/>
      <c r="J477" s="471"/>
      <c r="L477" s="471"/>
    </row>
    <row r="478">
      <c r="G478" s="661"/>
      <c r="J478" s="471"/>
      <c r="L478" s="471"/>
    </row>
    <row r="479">
      <c r="D479" s="132"/>
      <c r="G479" s="661"/>
      <c r="J479" s="471"/>
      <c r="L479" s="471"/>
    </row>
    <row r="480">
      <c r="D480" s="132"/>
      <c r="G480" s="661"/>
      <c r="J480" s="471"/>
      <c r="L480" s="471"/>
    </row>
    <row r="481">
      <c r="D481" s="132"/>
      <c r="G481" s="661"/>
      <c r="J481" s="471"/>
      <c r="L481" s="471"/>
    </row>
    <row r="482">
      <c r="D482" s="132"/>
      <c r="G482" s="661"/>
      <c r="J482" s="471"/>
      <c r="L482" s="471"/>
    </row>
    <row r="483">
      <c r="D483" s="132"/>
      <c r="G483" s="661"/>
      <c r="J483" s="471"/>
      <c r="L483" s="471"/>
    </row>
    <row r="484">
      <c r="G484" s="661"/>
      <c r="J484" s="471"/>
      <c r="L484" s="471"/>
    </row>
    <row r="485">
      <c r="D485" s="132"/>
      <c r="G485" s="661"/>
      <c r="J485" s="471"/>
      <c r="L485" s="471"/>
    </row>
    <row r="486">
      <c r="D486" s="132"/>
      <c r="G486" s="661"/>
      <c r="J486" s="471"/>
      <c r="L486" s="471"/>
    </row>
    <row r="487">
      <c r="G487" s="661"/>
      <c r="J487" s="471"/>
      <c r="L487" s="471"/>
    </row>
    <row r="488">
      <c r="D488" s="270"/>
      <c r="G488" s="661"/>
      <c r="J488" s="471"/>
      <c r="L488" s="471"/>
    </row>
    <row r="489">
      <c r="D489" s="132"/>
      <c r="G489" s="661"/>
      <c r="J489" s="471"/>
      <c r="L489" s="471"/>
    </row>
    <row r="490">
      <c r="G490" s="661"/>
      <c r="J490" s="471"/>
      <c r="L490" s="471"/>
    </row>
    <row r="491">
      <c r="D491" s="132"/>
      <c r="G491" s="661"/>
      <c r="J491" s="471"/>
      <c r="L491" s="471"/>
    </row>
    <row r="492">
      <c r="D492" s="132"/>
      <c r="G492" s="661"/>
      <c r="J492" s="471"/>
      <c r="L492" s="471"/>
    </row>
    <row r="493">
      <c r="D493" s="168"/>
      <c r="G493" s="661"/>
      <c r="J493" s="471"/>
      <c r="L493" s="471"/>
    </row>
    <row r="494">
      <c r="D494" s="132"/>
      <c r="G494" s="661"/>
      <c r="J494" s="471"/>
      <c r="L494" s="471"/>
    </row>
    <row r="495">
      <c r="D495" s="168"/>
      <c r="G495" s="661"/>
      <c r="J495" s="471"/>
      <c r="L495" s="471"/>
    </row>
    <row r="496">
      <c r="D496" s="170"/>
      <c r="G496" s="661"/>
      <c r="J496" s="471"/>
      <c r="L496" s="471"/>
    </row>
    <row r="497">
      <c r="D497" s="139"/>
      <c r="G497" s="661"/>
      <c r="J497" s="471"/>
      <c r="L497" s="471"/>
    </row>
    <row r="498">
      <c r="D498" s="134"/>
      <c r="G498" s="661"/>
      <c r="J498" s="471"/>
      <c r="L498" s="471"/>
    </row>
    <row r="499">
      <c r="D499" s="124"/>
      <c r="G499" s="661"/>
      <c r="J499" s="471"/>
      <c r="L499" s="471"/>
    </row>
    <row r="500">
      <c r="D500" s="124"/>
      <c r="G500" s="661"/>
      <c r="J500" s="471"/>
      <c r="L500" s="471"/>
    </row>
    <row r="501">
      <c r="D501" s="170"/>
      <c r="G501" s="661"/>
      <c r="J501" s="471"/>
      <c r="L501" s="471"/>
    </row>
    <row r="502">
      <c r="G502" s="661"/>
      <c r="J502" s="471"/>
      <c r="L502" s="471"/>
    </row>
    <row r="503">
      <c r="G503" s="661"/>
      <c r="J503" s="471"/>
      <c r="L503" s="471"/>
    </row>
    <row r="504">
      <c r="D504" s="132"/>
      <c r="G504" s="661"/>
      <c r="J504" s="471"/>
      <c r="L504" s="471"/>
    </row>
    <row r="505">
      <c r="D505" s="132"/>
      <c r="G505" s="661"/>
      <c r="J505" s="471"/>
      <c r="L505" s="471"/>
    </row>
    <row r="506">
      <c r="D506" s="132"/>
      <c r="G506" s="661"/>
      <c r="J506" s="471"/>
      <c r="L506" s="471"/>
    </row>
    <row r="507">
      <c r="D507" s="149"/>
      <c r="G507" s="661"/>
      <c r="J507" s="471"/>
      <c r="L507" s="471"/>
    </row>
    <row r="508">
      <c r="D508" s="132"/>
      <c r="G508" s="661"/>
      <c r="J508" s="471"/>
      <c r="L508" s="471"/>
    </row>
    <row r="509">
      <c r="D509" s="149"/>
      <c r="G509" s="661"/>
      <c r="J509" s="471"/>
      <c r="L509" s="471"/>
    </row>
    <row r="510">
      <c r="D510" s="149"/>
      <c r="G510" s="661"/>
      <c r="J510" s="471"/>
      <c r="L510" s="471"/>
    </row>
    <row r="511">
      <c r="D511" s="132"/>
      <c r="G511" s="661"/>
      <c r="J511" s="471"/>
      <c r="L511" s="471"/>
    </row>
    <row r="512">
      <c r="D512" s="168"/>
      <c r="G512" s="661"/>
      <c r="J512" s="471"/>
      <c r="L512" s="471"/>
    </row>
    <row r="513">
      <c r="D513" s="168"/>
      <c r="G513" s="661"/>
      <c r="J513" s="471"/>
      <c r="L513" s="471"/>
    </row>
    <row r="514">
      <c r="D514" s="132"/>
      <c r="G514" s="661"/>
      <c r="J514" s="471"/>
      <c r="L514" s="471"/>
    </row>
    <row r="515">
      <c r="D515" s="149"/>
      <c r="G515" s="661"/>
      <c r="J515" s="471"/>
      <c r="L515" s="471"/>
    </row>
    <row r="516">
      <c r="D516" s="149"/>
      <c r="G516" s="661"/>
      <c r="J516" s="471"/>
      <c r="L516" s="471"/>
    </row>
    <row r="517">
      <c r="G517" s="661"/>
      <c r="J517" s="471"/>
      <c r="L517" s="471"/>
    </row>
    <row r="518">
      <c r="D518" s="132"/>
      <c r="G518" s="661"/>
      <c r="J518" s="471"/>
      <c r="L518" s="471"/>
    </row>
    <row r="519">
      <c r="G519" s="661"/>
      <c r="J519" s="471"/>
      <c r="L519" s="471"/>
    </row>
    <row r="520">
      <c r="D520" s="132"/>
      <c r="G520" s="661"/>
      <c r="J520" s="471"/>
      <c r="L520" s="471"/>
    </row>
    <row r="521">
      <c r="G521" s="661"/>
      <c r="J521" s="471"/>
      <c r="L521" s="471"/>
    </row>
    <row r="522">
      <c r="G522" s="661"/>
      <c r="J522" s="471"/>
      <c r="L522" s="471"/>
    </row>
    <row r="523">
      <c r="G523" s="661"/>
      <c r="J523" s="471"/>
      <c r="L523" s="471"/>
    </row>
    <row r="524">
      <c r="G524" s="661"/>
      <c r="J524" s="471"/>
      <c r="L524" s="471"/>
    </row>
    <row r="525">
      <c r="D525" s="132"/>
      <c r="G525" s="661"/>
      <c r="J525" s="471"/>
      <c r="L525" s="471"/>
    </row>
    <row r="526">
      <c r="D526" s="132"/>
      <c r="G526" s="661"/>
      <c r="J526" s="471"/>
      <c r="L526" s="471"/>
    </row>
    <row r="527">
      <c r="D527" s="132"/>
      <c r="G527" s="661"/>
      <c r="J527" s="471"/>
      <c r="L527" s="471"/>
    </row>
    <row r="528">
      <c r="G528" s="661"/>
      <c r="J528" s="471"/>
      <c r="L528" s="471"/>
    </row>
    <row r="529">
      <c r="G529" s="661"/>
      <c r="J529" s="471"/>
      <c r="L529" s="471"/>
    </row>
    <row r="530">
      <c r="G530" s="661"/>
      <c r="J530" s="471"/>
      <c r="L530" s="471"/>
    </row>
    <row r="531">
      <c r="G531" s="661"/>
      <c r="J531" s="471"/>
      <c r="L531" s="471"/>
    </row>
    <row r="532">
      <c r="G532" s="661"/>
      <c r="J532" s="471"/>
      <c r="L532" s="471"/>
    </row>
    <row r="533">
      <c r="G533" s="661"/>
      <c r="J533" s="471"/>
      <c r="L533" s="471"/>
    </row>
    <row r="534">
      <c r="D534" s="132"/>
      <c r="G534" s="661"/>
      <c r="J534" s="471"/>
      <c r="L534" s="471"/>
    </row>
    <row r="535">
      <c r="D535" s="208"/>
      <c r="G535" s="661"/>
      <c r="J535" s="471"/>
      <c r="L535" s="471"/>
    </row>
    <row r="536">
      <c r="G536" s="661"/>
      <c r="J536" s="471"/>
      <c r="L536" s="471"/>
    </row>
    <row r="537">
      <c r="D537" s="132"/>
      <c r="G537" s="661"/>
      <c r="J537" s="471"/>
      <c r="L537" s="471"/>
    </row>
    <row r="538">
      <c r="D538" s="132"/>
      <c r="G538" s="661"/>
      <c r="J538" s="471"/>
      <c r="L538" s="471"/>
    </row>
    <row r="539">
      <c r="D539" s="132"/>
      <c r="G539" s="661"/>
      <c r="J539" s="471"/>
      <c r="L539" s="471"/>
    </row>
    <row r="540">
      <c r="D540" s="132"/>
      <c r="G540" s="661"/>
      <c r="J540" s="471"/>
      <c r="L540" s="471"/>
    </row>
    <row r="541">
      <c r="D541" s="132"/>
      <c r="G541" s="661"/>
      <c r="J541" s="471"/>
      <c r="L541" s="471"/>
    </row>
    <row r="542">
      <c r="G542" s="661"/>
      <c r="J542" s="471"/>
      <c r="L542" s="471"/>
    </row>
    <row r="543">
      <c r="D543" s="132"/>
      <c r="G543" s="661"/>
      <c r="J543" s="471"/>
      <c r="L543" s="471"/>
    </row>
    <row r="544">
      <c r="D544" s="132"/>
      <c r="G544" s="661"/>
      <c r="J544" s="471"/>
      <c r="L544" s="471"/>
    </row>
    <row r="545">
      <c r="G545" s="661"/>
      <c r="J545" s="471"/>
      <c r="L545" s="471"/>
    </row>
    <row r="546">
      <c r="D546" s="132"/>
      <c r="G546" s="661"/>
      <c r="J546" s="471"/>
      <c r="L546" s="471"/>
    </row>
    <row r="547">
      <c r="D547" s="132"/>
      <c r="G547" s="661"/>
      <c r="J547" s="471"/>
      <c r="L547" s="471"/>
    </row>
    <row r="548">
      <c r="D548" s="132"/>
      <c r="G548" s="661"/>
      <c r="J548" s="471"/>
      <c r="L548" s="471"/>
    </row>
    <row r="549">
      <c r="D549" s="132"/>
      <c r="G549" s="661"/>
      <c r="J549" s="471"/>
      <c r="L549" s="471"/>
    </row>
    <row r="550">
      <c r="D550" s="132"/>
      <c r="G550" s="661"/>
      <c r="J550" s="471"/>
      <c r="L550" s="471"/>
    </row>
    <row r="551">
      <c r="D551" s="132"/>
      <c r="G551" s="661"/>
      <c r="J551" s="471"/>
      <c r="L551" s="471"/>
    </row>
    <row r="552">
      <c r="G552" s="661"/>
      <c r="J552" s="471"/>
      <c r="L552" s="471"/>
    </row>
    <row r="553">
      <c r="D553" s="132"/>
      <c r="G553" s="661"/>
      <c r="J553" s="471"/>
      <c r="L553" s="471"/>
    </row>
    <row r="554">
      <c r="G554" s="661"/>
      <c r="J554" s="471"/>
      <c r="L554" s="471"/>
    </row>
    <row r="555">
      <c r="D555" s="132"/>
      <c r="G555" s="661"/>
      <c r="J555" s="471"/>
      <c r="L555" s="471"/>
    </row>
    <row r="556">
      <c r="D556" s="132"/>
      <c r="G556" s="661"/>
      <c r="J556" s="471"/>
      <c r="L556" s="471"/>
    </row>
    <row r="557">
      <c r="D557" s="132"/>
      <c r="G557" s="661"/>
      <c r="J557" s="471"/>
      <c r="L557" s="471"/>
    </row>
    <row r="558">
      <c r="D558" s="170"/>
      <c r="G558" s="661"/>
      <c r="J558" s="471"/>
      <c r="L558" s="471"/>
    </row>
    <row r="559">
      <c r="D559" s="132"/>
      <c r="G559" s="661"/>
      <c r="J559" s="471"/>
      <c r="L559" s="471"/>
    </row>
    <row r="560">
      <c r="D560" s="132"/>
      <c r="G560" s="661"/>
      <c r="J560" s="471"/>
      <c r="L560" s="471"/>
    </row>
    <row r="561">
      <c r="D561" s="132"/>
      <c r="G561" s="661"/>
      <c r="J561" s="471"/>
      <c r="L561" s="471"/>
    </row>
    <row r="562">
      <c r="D562" s="132"/>
      <c r="G562" s="661"/>
      <c r="J562" s="471"/>
      <c r="L562" s="471"/>
    </row>
    <row r="563">
      <c r="D563" s="132"/>
      <c r="G563" s="661"/>
      <c r="J563" s="471"/>
      <c r="L563" s="471"/>
    </row>
    <row r="564">
      <c r="D564" s="170"/>
      <c r="G564" s="661"/>
      <c r="J564" s="471"/>
      <c r="L564" s="471"/>
    </row>
    <row r="565">
      <c r="D565" s="132"/>
      <c r="G565" s="661"/>
      <c r="J565" s="471"/>
      <c r="L565" s="471"/>
    </row>
    <row r="566">
      <c r="D566" s="132"/>
      <c r="G566" s="661"/>
      <c r="J566" s="471"/>
      <c r="L566" s="471"/>
    </row>
    <row r="567">
      <c r="D567" s="132"/>
      <c r="G567" s="661"/>
      <c r="J567" s="471"/>
      <c r="L567" s="471"/>
    </row>
    <row r="568">
      <c r="D568" s="132"/>
      <c r="G568" s="661"/>
      <c r="J568" s="471"/>
      <c r="L568" s="471"/>
    </row>
    <row r="569">
      <c r="G569" s="661"/>
      <c r="J569" s="471"/>
      <c r="L569" s="471"/>
    </row>
    <row r="570">
      <c r="D570" s="168"/>
      <c r="G570" s="661"/>
      <c r="J570" s="471"/>
      <c r="L570" s="471"/>
    </row>
    <row r="571">
      <c r="D571" s="132"/>
      <c r="G571" s="661"/>
      <c r="J571" s="471"/>
      <c r="L571" s="471"/>
    </row>
    <row r="572">
      <c r="D572" s="132"/>
      <c r="G572" s="661"/>
      <c r="J572" s="471"/>
      <c r="L572" s="471"/>
    </row>
    <row r="573">
      <c r="G573" s="661"/>
      <c r="J573" s="471"/>
      <c r="L573" s="471"/>
    </row>
    <row r="574">
      <c r="D574" s="168"/>
      <c r="G574" s="661"/>
      <c r="J574" s="471"/>
      <c r="L574" s="471"/>
    </row>
    <row r="575">
      <c r="D575" s="168"/>
      <c r="G575" s="661"/>
      <c r="J575" s="471"/>
      <c r="L575" s="471"/>
    </row>
    <row r="576">
      <c r="D576" s="132"/>
      <c r="G576" s="661"/>
      <c r="J576" s="471"/>
      <c r="L576" s="471"/>
    </row>
    <row r="577">
      <c r="D577" s="132"/>
      <c r="G577" s="661"/>
      <c r="J577" s="471"/>
      <c r="L577" s="471"/>
    </row>
    <row r="578">
      <c r="D578" s="132"/>
      <c r="G578" s="661"/>
      <c r="J578" s="471"/>
      <c r="L578" s="471"/>
    </row>
    <row r="579">
      <c r="G579" s="661"/>
      <c r="J579" s="471"/>
      <c r="L579" s="471"/>
    </row>
    <row r="580">
      <c r="D580" s="170"/>
      <c r="G580" s="661"/>
      <c r="J580" s="471"/>
      <c r="L580" s="471"/>
    </row>
    <row r="581">
      <c r="D581" s="132"/>
      <c r="G581" s="661"/>
      <c r="J581" s="471"/>
      <c r="L581" s="471"/>
    </row>
    <row r="582">
      <c r="G582" s="661"/>
      <c r="J582" s="471"/>
      <c r="L582" s="471"/>
    </row>
    <row r="583">
      <c r="D583" s="132"/>
      <c r="G583" s="661"/>
      <c r="J583" s="471"/>
      <c r="L583" s="471"/>
    </row>
    <row r="584">
      <c r="G584" s="661"/>
      <c r="J584" s="471"/>
      <c r="L584" s="471"/>
    </row>
    <row r="585">
      <c r="D585" s="132"/>
      <c r="G585" s="661"/>
      <c r="J585" s="471"/>
      <c r="L585" s="471"/>
    </row>
    <row r="586">
      <c r="D586" s="208"/>
      <c r="G586" s="661"/>
      <c r="J586" s="471"/>
      <c r="L586" s="471"/>
    </row>
    <row r="587">
      <c r="D587" s="208"/>
      <c r="G587" s="661"/>
      <c r="J587" s="471"/>
      <c r="L587" s="471"/>
    </row>
    <row r="588">
      <c r="D588" s="132"/>
      <c r="G588" s="661"/>
      <c r="J588" s="471"/>
      <c r="L588" s="471"/>
    </row>
    <row r="589">
      <c r="D589" s="132"/>
      <c r="G589" s="661"/>
      <c r="J589" s="471"/>
      <c r="L589" s="471"/>
    </row>
    <row r="590">
      <c r="D590" s="132"/>
      <c r="G590" s="661"/>
      <c r="J590" s="471"/>
      <c r="L590" s="471"/>
    </row>
    <row r="591">
      <c r="D591" s="132"/>
      <c r="G591" s="661"/>
      <c r="J591" s="471"/>
      <c r="L591" s="471"/>
    </row>
    <row r="592">
      <c r="D592" s="132"/>
      <c r="G592" s="661"/>
      <c r="J592" s="471"/>
      <c r="L592" s="471"/>
    </row>
    <row r="593">
      <c r="D593" s="170"/>
      <c r="G593" s="661"/>
      <c r="J593" s="471"/>
      <c r="L593" s="471"/>
    </row>
    <row r="594">
      <c r="D594" s="170"/>
      <c r="G594" s="661"/>
      <c r="J594" s="471"/>
      <c r="L594" s="471"/>
    </row>
    <row r="595">
      <c r="D595" s="132"/>
      <c r="G595" s="661"/>
      <c r="J595" s="471"/>
      <c r="L595" s="471"/>
    </row>
    <row r="596">
      <c r="D596" s="132"/>
      <c r="G596" s="661"/>
      <c r="J596" s="471"/>
      <c r="L596" s="471"/>
    </row>
    <row r="597">
      <c r="G597" s="661"/>
      <c r="J597" s="471"/>
      <c r="L597" s="471"/>
    </row>
    <row r="598">
      <c r="G598" s="661"/>
      <c r="J598" s="471"/>
      <c r="L598" s="471"/>
    </row>
    <row r="599">
      <c r="D599" s="139"/>
      <c r="G599" s="661"/>
      <c r="J599" s="471"/>
      <c r="L599" s="471"/>
    </row>
    <row r="600">
      <c r="D600" s="134"/>
      <c r="G600" s="661"/>
      <c r="J600" s="471"/>
      <c r="L600" s="471"/>
    </row>
    <row r="601">
      <c r="D601" s="124"/>
      <c r="G601" s="661"/>
      <c r="J601" s="471"/>
      <c r="L601" s="471"/>
    </row>
    <row r="602">
      <c r="D602" s="124"/>
      <c r="G602" s="661"/>
      <c r="J602" s="471"/>
      <c r="L602" s="471"/>
    </row>
    <row r="603">
      <c r="D603" s="132"/>
      <c r="G603" s="661"/>
      <c r="J603" s="471"/>
      <c r="L603" s="471"/>
    </row>
    <row r="604">
      <c r="D604" s="132"/>
      <c r="G604" s="661"/>
      <c r="J604" s="471"/>
      <c r="L604" s="471"/>
    </row>
    <row r="605">
      <c r="D605" s="132"/>
      <c r="G605" s="661"/>
      <c r="J605" s="471"/>
      <c r="L605" s="471"/>
    </row>
    <row r="606">
      <c r="D606" s="132"/>
      <c r="G606" s="661"/>
      <c r="J606" s="471"/>
      <c r="L606" s="471"/>
    </row>
    <row r="607">
      <c r="D607" s="132"/>
      <c r="G607" s="661"/>
      <c r="J607" s="471"/>
      <c r="L607" s="471"/>
    </row>
    <row r="608">
      <c r="G608" s="661"/>
      <c r="J608" s="471"/>
      <c r="L608" s="471"/>
    </row>
    <row r="609">
      <c r="D609" s="132"/>
      <c r="G609" s="661"/>
      <c r="J609" s="471"/>
      <c r="L609" s="471"/>
    </row>
    <row r="610">
      <c r="G610" s="661"/>
      <c r="J610" s="471"/>
      <c r="L610" s="471"/>
    </row>
    <row r="611">
      <c r="G611" s="661"/>
      <c r="J611" s="471"/>
      <c r="L611" s="471"/>
    </row>
    <row r="612">
      <c r="D612" s="170"/>
      <c r="G612" s="661"/>
      <c r="J612" s="471"/>
      <c r="L612" s="471"/>
    </row>
    <row r="613">
      <c r="D613" s="132"/>
      <c r="G613" s="661"/>
      <c r="J613" s="471"/>
      <c r="L613" s="471"/>
    </row>
    <row r="614">
      <c r="G614" s="661"/>
      <c r="J614" s="471"/>
      <c r="L614" s="471"/>
    </row>
    <row r="615">
      <c r="D615" s="132"/>
      <c r="G615" s="661"/>
      <c r="J615" s="471"/>
      <c r="L615" s="471"/>
    </row>
    <row r="616">
      <c r="D616" s="132"/>
      <c r="G616" s="661"/>
      <c r="J616" s="471"/>
      <c r="L616" s="471"/>
    </row>
    <row r="617">
      <c r="G617" s="661"/>
      <c r="J617" s="471"/>
      <c r="L617" s="471"/>
    </row>
    <row r="618">
      <c r="D618" s="132"/>
      <c r="G618" s="661"/>
      <c r="J618" s="471"/>
      <c r="L618" s="471"/>
    </row>
    <row r="619">
      <c r="D619" s="132"/>
      <c r="G619" s="661"/>
      <c r="J619" s="471"/>
      <c r="L619" s="471"/>
    </row>
    <row r="620">
      <c r="D620" s="149"/>
      <c r="G620" s="661"/>
      <c r="J620" s="471"/>
      <c r="L620" s="471"/>
    </row>
    <row r="621">
      <c r="G621" s="661"/>
      <c r="J621" s="471"/>
      <c r="L621" s="471"/>
    </row>
    <row r="622">
      <c r="D622" s="132"/>
      <c r="G622" s="661"/>
      <c r="J622" s="471"/>
      <c r="L622" s="471"/>
    </row>
    <row r="623">
      <c r="D623" s="132"/>
      <c r="G623" s="661"/>
      <c r="J623" s="471"/>
      <c r="L623" s="471"/>
    </row>
    <row r="624">
      <c r="G624" s="661"/>
      <c r="J624" s="471"/>
      <c r="L624" s="471"/>
    </row>
    <row r="625">
      <c r="G625" s="661"/>
      <c r="J625" s="471"/>
      <c r="L625" s="471"/>
    </row>
    <row r="626">
      <c r="G626" s="661"/>
      <c r="J626" s="471"/>
      <c r="L626" s="471"/>
    </row>
    <row r="627">
      <c r="D627" s="170"/>
      <c r="G627" s="661"/>
      <c r="J627" s="471"/>
      <c r="L627" s="471"/>
    </row>
    <row r="628">
      <c r="D628" s="132"/>
      <c r="G628" s="661"/>
      <c r="J628" s="471"/>
      <c r="L628" s="471"/>
    </row>
    <row r="629">
      <c r="D629" s="132"/>
      <c r="G629" s="661"/>
      <c r="J629" s="471"/>
      <c r="L629" s="471"/>
    </row>
    <row r="630">
      <c r="D630" s="132"/>
      <c r="G630" s="661"/>
      <c r="J630" s="471"/>
      <c r="L630" s="471"/>
    </row>
    <row r="631">
      <c r="D631" s="149"/>
      <c r="G631" s="661"/>
      <c r="J631" s="471"/>
      <c r="L631" s="471"/>
    </row>
    <row r="632">
      <c r="G632" s="661"/>
      <c r="J632" s="471"/>
      <c r="L632" s="471"/>
    </row>
    <row r="633">
      <c r="D633" s="149"/>
      <c r="G633" s="661"/>
      <c r="J633" s="471"/>
      <c r="L633" s="471"/>
    </row>
    <row r="634">
      <c r="G634" s="661"/>
      <c r="J634" s="471"/>
      <c r="L634" s="471"/>
    </row>
    <row r="635">
      <c r="G635" s="661"/>
      <c r="J635" s="471"/>
      <c r="L635" s="471"/>
    </row>
    <row r="636">
      <c r="D636" s="132"/>
      <c r="G636" s="661"/>
      <c r="J636" s="471"/>
      <c r="L636" s="471"/>
    </row>
    <row r="637">
      <c r="G637" s="661"/>
      <c r="J637" s="471"/>
      <c r="L637" s="471"/>
    </row>
    <row r="638">
      <c r="D638" s="132"/>
      <c r="G638" s="661"/>
      <c r="J638" s="471"/>
      <c r="L638" s="471"/>
    </row>
    <row r="639">
      <c r="G639" s="661"/>
      <c r="J639" s="471"/>
      <c r="L639" s="471"/>
    </row>
    <row r="640">
      <c r="D640" s="132"/>
      <c r="G640" s="661"/>
      <c r="J640" s="471"/>
      <c r="L640" s="471"/>
    </row>
    <row r="641">
      <c r="D641" s="149"/>
      <c r="G641" s="661"/>
      <c r="J641" s="471"/>
      <c r="L641" s="471"/>
    </row>
    <row r="642">
      <c r="D642" s="132"/>
      <c r="G642" s="661"/>
      <c r="J642" s="471"/>
      <c r="L642" s="471"/>
    </row>
    <row r="643">
      <c r="D643" s="132"/>
      <c r="G643" s="661"/>
      <c r="J643" s="471"/>
      <c r="L643" s="471"/>
    </row>
    <row r="644">
      <c r="D644" s="132"/>
      <c r="G644" s="661"/>
      <c r="J644" s="471"/>
      <c r="L644" s="471"/>
    </row>
    <row r="645">
      <c r="D645" s="132"/>
      <c r="G645" s="661"/>
      <c r="J645" s="471"/>
      <c r="L645" s="471"/>
    </row>
    <row r="646">
      <c r="D646" s="132"/>
      <c r="G646" s="661"/>
      <c r="J646" s="471"/>
      <c r="L646" s="471"/>
    </row>
    <row r="647">
      <c r="G647" s="661"/>
      <c r="J647" s="471"/>
      <c r="L647" s="471"/>
    </row>
    <row r="648">
      <c r="D648" s="132"/>
      <c r="G648" s="661"/>
      <c r="J648" s="471"/>
      <c r="L648" s="471"/>
    </row>
    <row r="649">
      <c r="D649" s="132"/>
      <c r="G649" s="661"/>
      <c r="J649" s="471"/>
      <c r="L649" s="471"/>
    </row>
    <row r="650">
      <c r="D650" s="132"/>
      <c r="G650" s="661"/>
      <c r="J650" s="471"/>
      <c r="L650" s="471"/>
    </row>
    <row r="651">
      <c r="G651" s="661"/>
      <c r="J651" s="471"/>
      <c r="L651" s="471"/>
    </row>
    <row r="652">
      <c r="D652" s="132"/>
      <c r="G652" s="661"/>
      <c r="J652" s="471"/>
      <c r="L652" s="471"/>
    </row>
    <row r="653">
      <c r="D653" s="132"/>
      <c r="G653" s="661"/>
      <c r="J653" s="471"/>
      <c r="L653" s="471"/>
    </row>
    <row r="654">
      <c r="D654" s="132"/>
      <c r="G654" s="661"/>
      <c r="J654" s="471"/>
      <c r="L654" s="471"/>
    </row>
    <row r="655">
      <c r="G655" s="661"/>
      <c r="J655" s="471"/>
      <c r="L655" s="471"/>
    </row>
    <row r="656">
      <c r="D656" s="132"/>
      <c r="G656" s="661"/>
      <c r="J656" s="471"/>
      <c r="L656" s="471"/>
    </row>
    <row r="657">
      <c r="D657" s="132"/>
      <c r="G657" s="661"/>
      <c r="J657" s="471"/>
      <c r="L657" s="471"/>
    </row>
    <row r="658">
      <c r="D658" s="132"/>
      <c r="G658" s="661"/>
      <c r="J658" s="471"/>
      <c r="L658" s="471"/>
    </row>
    <row r="659">
      <c r="D659" s="132"/>
      <c r="G659" s="661"/>
      <c r="J659" s="471"/>
      <c r="L659" s="471"/>
    </row>
    <row r="660">
      <c r="D660" s="132"/>
      <c r="G660" s="661"/>
      <c r="J660" s="471"/>
      <c r="L660" s="471"/>
    </row>
    <row r="661">
      <c r="G661" s="661"/>
      <c r="J661" s="471"/>
      <c r="L661" s="471"/>
    </row>
    <row r="662">
      <c r="G662" s="661"/>
      <c r="J662" s="471"/>
      <c r="L662" s="471"/>
    </row>
    <row r="663">
      <c r="G663" s="661"/>
      <c r="J663" s="471"/>
      <c r="L663" s="471"/>
    </row>
    <row r="664">
      <c r="D664" s="170"/>
      <c r="G664" s="661"/>
      <c r="J664" s="471"/>
      <c r="L664" s="471"/>
    </row>
    <row r="665">
      <c r="D665" s="132"/>
      <c r="G665" s="661"/>
      <c r="J665" s="471"/>
      <c r="L665" s="471"/>
    </row>
    <row r="666">
      <c r="D666" s="208"/>
      <c r="G666" s="661"/>
      <c r="J666" s="471"/>
      <c r="L666" s="471"/>
    </row>
    <row r="667">
      <c r="D667" s="132"/>
      <c r="G667" s="661"/>
      <c r="J667" s="471"/>
      <c r="L667" s="471"/>
    </row>
    <row r="668">
      <c r="D668" s="132"/>
      <c r="G668" s="661"/>
      <c r="J668" s="471"/>
      <c r="L668" s="471"/>
    </row>
    <row r="669">
      <c r="D669" s="132"/>
      <c r="G669" s="661"/>
      <c r="J669" s="471"/>
      <c r="L669" s="471"/>
    </row>
    <row r="670">
      <c r="G670" s="661"/>
      <c r="J670" s="471"/>
      <c r="L670" s="471"/>
    </row>
    <row r="671">
      <c r="D671" s="139"/>
      <c r="G671" s="661"/>
      <c r="J671" s="471"/>
      <c r="L671" s="471"/>
    </row>
    <row r="672">
      <c r="D672" s="134"/>
      <c r="G672" s="661"/>
      <c r="J672" s="471"/>
      <c r="L672" s="471"/>
    </row>
    <row r="673">
      <c r="D673" s="124"/>
      <c r="G673" s="661"/>
      <c r="J673" s="471"/>
      <c r="L673" s="471"/>
    </row>
    <row r="674">
      <c r="D674" s="124"/>
      <c r="G674" s="661"/>
      <c r="J674" s="471"/>
      <c r="L674" s="471"/>
    </row>
    <row r="675">
      <c r="D675" s="132"/>
      <c r="G675" s="661"/>
      <c r="J675" s="471"/>
      <c r="L675" s="471"/>
    </row>
    <row r="676">
      <c r="D676" s="132"/>
      <c r="G676" s="661"/>
      <c r="J676" s="471"/>
      <c r="L676" s="471"/>
    </row>
    <row r="677">
      <c r="G677" s="661"/>
      <c r="J677" s="471"/>
      <c r="L677" s="471"/>
    </row>
    <row r="678">
      <c r="D678" s="132"/>
      <c r="G678" s="661"/>
      <c r="J678" s="471"/>
      <c r="L678" s="471"/>
    </row>
    <row r="679">
      <c r="D679" s="132"/>
      <c r="G679" s="661"/>
      <c r="J679" s="471"/>
      <c r="L679" s="471"/>
    </row>
    <row r="680">
      <c r="D680" s="132"/>
      <c r="G680" s="661"/>
      <c r="J680" s="471"/>
      <c r="L680" s="471"/>
    </row>
    <row r="681">
      <c r="D681" s="132"/>
      <c r="G681" s="661"/>
      <c r="J681" s="471"/>
      <c r="L681" s="471"/>
    </row>
    <row r="682">
      <c r="G682" s="661"/>
      <c r="J682" s="471"/>
      <c r="L682" s="471"/>
    </row>
    <row r="683">
      <c r="G683" s="661"/>
      <c r="J683" s="471"/>
      <c r="L683" s="471"/>
    </row>
    <row r="684">
      <c r="D684" s="132"/>
      <c r="G684" s="661"/>
      <c r="J684" s="471"/>
      <c r="L684" s="471"/>
    </row>
    <row r="685">
      <c r="D685" s="132"/>
      <c r="G685" s="661"/>
      <c r="J685" s="471"/>
      <c r="L685" s="471"/>
    </row>
    <row r="686">
      <c r="D686" s="132"/>
      <c r="G686" s="661"/>
      <c r="J686" s="471"/>
      <c r="L686" s="471"/>
    </row>
    <row r="687">
      <c r="D687" s="132"/>
      <c r="G687" s="661"/>
      <c r="J687" s="471"/>
      <c r="L687" s="471"/>
    </row>
    <row r="688">
      <c r="D688" s="168"/>
      <c r="G688" s="661"/>
      <c r="J688" s="471"/>
      <c r="L688" s="471"/>
    </row>
    <row r="689">
      <c r="D689" s="170"/>
      <c r="G689" s="661"/>
      <c r="J689" s="471"/>
      <c r="L689" s="471"/>
    </row>
    <row r="690">
      <c r="D690" s="270"/>
      <c r="G690" s="661"/>
      <c r="J690" s="471"/>
      <c r="L690" s="471"/>
    </row>
    <row r="691">
      <c r="D691" s="132"/>
      <c r="G691" s="661"/>
      <c r="J691" s="471"/>
      <c r="L691" s="471"/>
    </row>
    <row r="692">
      <c r="D692" s="132"/>
      <c r="G692" s="661"/>
      <c r="J692" s="471"/>
      <c r="L692" s="471"/>
    </row>
    <row r="693">
      <c r="D693" s="168"/>
      <c r="G693" s="661"/>
      <c r="J693" s="471"/>
      <c r="L693" s="471"/>
    </row>
    <row r="694">
      <c r="G694" s="661"/>
      <c r="J694" s="471"/>
      <c r="L694" s="471"/>
    </row>
    <row r="695">
      <c r="G695" s="661"/>
      <c r="J695" s="471"/>
      <c r="L695" s="471"/>
    </row>
    <row r="696">
      <c r="D696" s="132"/>
      <c r="G696" s="661"/>
      <c r="J696" s="471"/>
      <c r="L696" s="471"/>
    </row>
    <row r="697">
      <c r="D697" s="132"/>
      <c r="G697" s="661"/>
      <c r="J697" s="471"/>
      <c r="L697" s="471"/>
    </row>
    <row r="698">
      <c r="D698" s="132"/>
      <c r="G698" s="661"/>
      <c r="J698" s="471"/>
      <c r="L698" s="471"/>
    </row>
    <row r="699">
      <c r="G699" s="661"/>
      <c r="J699" s="471"/>
      <c r="L699" s="471"/>
    </row>
    <row r="700">
      <c r="D700" s="132"/>
      <c r="G700" s="661"/>
      <c r="J700" s="471"/>
      <c r="L700" s="471"/>
    </row>
    <row r="701">
      <c r="G701" s="661"/>
      <c r="J701" s="471"/>
      <c r="L701" s="471"/>
    </row>
    <row r="702">
      <c r="D702" s="170"/>
      <c r="G702" s="661"/>
      <c r="J702" s="471"/>
      <c r="L702" s="471"/>
    </row>
    <row r="703">
      <c r="D703" s="208"/>
      <c r="G703" s="661"/>
      <c r="J703" s="471"/>
      <c r="L703" s="471"/>
    </row>
    <row r="704">
      <c r="G704" s="661"/>
      <c r="J704" s="471"/>
      <c r="L704" s="471"/>
    </row>
    <row r="705">
      <c r="D705" s="132"/>
      <c r="G705" s="661"/>
      <c r="J705" s="471"/>
      <c r="L705" s="471"/>
    </row>
    <row r="706">
      <c r="D706" s="132"/>
      <c r="G706" s="661"/>
      <c r="J706" s="471"/>
      <c r="L706" s="471"/>
    </row>
    <row r="707">
      <c r="G707" s="661"/>
      <c r="J707" s="471"/>
      <c r="L707" s="471"/>
    </row>
    <row r="708">
      <c r="D708" s="132"/>
      <c r="G708" s="661"/>
      <c r="J708" s="471"/>
      <c r="L708" s="471"/>
    </row>
    <row r="709">
      <c r="D709" s="132"/>
      <c r="G709" s="661"/>
      <c r="J709" s="471"/>
      <c r="L709" s="471"/>
    </row>
    <row r="710">
      <c r="G710" s="661"/>
      <c r="J710" s="471"/>
      <c r="L710" s="471"/>
    </row>
    <row r="711">
      <c r="D711" s="132"/>
      <c r="G711" s="661"/>
      <c r="J711" s="471"/>
      <c r="L711" s="471"/>
    </row>
    <row r="712">
      <c r="D712" s="149"/>
      <c r="G712" s="661"/>
      <c r="J712" s="471"/>
      <c r="L712" s="471"/>
    </row>
    <row r="713">
      <c r="D713" s="132"/>
      <c r="G713" s="661"/>
      <c r="J713" s="471"/>
      <c r="L713" s="471"/>
    </row>
    <row r="714">
      <c r="D714" s="132"/>
      <c r="G714" s="661"/>
      <c r="J714" s="471"/>
      <c r="L714" s="471"/>
    </row>
    <row r="715">
      <c r="D715" s="132"/>
      <c r="G715" s="661"/>
      <c r="J715" s="471"/>
      <c r="L715" s="471"/>
    </row>
    <row r="716">
      <c r="D716" s="132"/>
      <c r="G716" s="661"/>
      <c r="J716" s="471"/>
      <c r="L716" s="471"/>
    </row>
    <row r="717">
      <c r="D717" s="132"/>
      <c r="G717" s="661"/>
      <c r="J717" s="471"/>
      <c r="L717" s="471"/>
    </row>
    <row r="718">
      <c r="D718" s="132"/>
      <c r="G718" s="661"/>
      <c r="J718" s="471"/>
      <c r="L718" s="471"/>
    </row>
    <row r="719">
      <c r="D719" s="132"/>
      <c r="G719" s="661"/>
      <c r="J719" s="471"/>
      <c r="L719" s="471"/>
    </row>
    <row r="720">
      <c r="D720" s="132"/>
      <c r="G720" s="661"/>
      <c r="J720" s="471"/>
      <c r="L720" s="471"/>
    </row>
    <row r="721">
      <c r="D721" s="132"/>
      <c r="G721" s="661"/>
      <c r="J721" s="471"/>
      <c r="L721" s="471"/>
    </row>
    <row r="722">
      <c r="D722" s="132"/>
      <c r="G722" s="661"/>
      <c r="J722" s="471"/>
      <c r="L722" s="471"/>
    </row>
    <row r="723">
      <c r="D723" s="149"/>
      <c r="G723" s="661"/>
      <c r="J723" s="471"/>
      <c r="L723" s="471"/>
    </row>
    <row r="724">
      <c r="D724" s="132"/>
      <c r="G724" s="661"/>
      <c r="J724" s="471"/>
      <c r="L724" s="471"/>
    </row>
    <row r="725">
      <c r="D725" s="170"/>
      <c r="G725" s="661"/>
      <c r="J725" s="471"/>
      <c r="L725" s="471"/>
    </row>
    <row r="726">
      <c r="D726" s="170"/>
      <c r="G726" s="661"/>
      <c r="J726" s="471"/>
      <c r="L726" s="471"/>
    </row>
    <row r="727">
      <c r="D727" s="132"/>
      <c r="G727" s="661"/>
      <c r="J727" s="471"/>
      <c r="L727" s="471"/>
    </row>
    <row r="728">
      <c r="D728" s="170"/>
      <c r="G728" s="661"/>
      <c r="J728" s="471"/>
      <c r="L728" s="471"/>
    </row>
    <row r="729">
      <c r="D729" s="132"/>
      <c r="G729" s="661"/>
      <c r="J729" s="471"/>
      <c r="L729" s="471"/>
    </row>
    <row r="730">
      <c r="D730" s="132"/>
      <c r="G730" s="661"/>
      <c r="J730" s="471"/>
      <c r="L730" s="471"/>
    </row>
    <row r="731">
      <c r="D731" s="132"/>
      <c r="G731" s="661"/>
      <c r="J731" s="471"/>
      <c r="L731" s="471"/>
    </row>
    <row r="732">
      <c r="G732" s="661"/>
      <c r="J732" s="471"/>
      <c r="L732" s="471"/>
    </row>
    <row r="733">
      <c r="D733" s="170"/>
      <c r="G733" s="661"/>
      <c r="J733" s="471"/>
      <c r="L733" s="471"/>
    </row>
    <row r="734">
      <c r="D734" s="170"/>
      <c r="G734" s="661"/>
      <c r="J734" s="471"/>
      <c r="L734" s="471"/>
    </row>
    <row r="735">
      <c r="D735" s="170"/>
      <c r="G735" s="661"/>
      <c r="J735" s="471"/>
      <c r="L735" s="471"/>
    </row>
    <row r="736">
      <c r="D736" s="132"/>
      <c r="G736" s="661"/>
      <c r="J736" s="471"/>
      <c r="L736" s="471"/>
    </row>
    <row r="737">
      <c r="D737" s="132"/>
      <c r="G737" s="661"/>
      <c r="J737" s="471"/>
      <c r="L737" s="471"/>
    </row>
    <row r="738">
      <c r="D738" s="132"/>
      <c r="G738" s="661"/>
      <c r="J738" s="471"/>
      <c r="L738" s="471"/>
    </row>
    <row r="739">
      <c r="D739" s="170"/>
      <c r="G739" s="661"/>
      <c r="J739" s="471"/>
      <c r="L739" s="471"/>
    </row>
    <row r="740">
      <c r="G740" s="661"/>
      <c r="J740" s="471"/>
      <c r="L740" s="471"/>
    </row>
    <row r="741">
      <c r="D741" s="132"/>
      <c r="G741" s="661"/>
      <c r="J741" s="471"/>
      <c r="L741" s="471"/>
    </row>
    <row r="742">
      <c r="D742" s="132"/>
      <c r="G742" s="661"/>
      <c r="J742" s="471"/>
      <c r="L742" s="471"/>
    </row>
    <row r="743">
      <c r="D743" s="132"/>
      <c r="G743" s="661"/>
      <c r="J743" s="471"/>
      <c r="L743" s="471"/>
    </row>
    <row r="744">
      <c r="D744" s="168"/>
      <c r="G744" s="661"/>
      <c r="J744" s="471"/>
      <c r="L744" s="471"/>
    </row>
    <row r="745">
      <c r="G745" s="661"/>
      <c r="J745" s="471"/>
      <c r="L745" s="471"/>
    </row>
    <row r="746">
      <c r="D746" s="170"/>
      <c r="G746" s="661"/>
      <c r="J746" s="471"/>
      <c r="L746" s="471"/>
    </row>
    <row r="747">
      <c r="D747" s="132"/>
      <c r="G747" s="661"/>
      <c r="J747" s="471"/>
      <c r="L747" s="471"/>
    </row>
    <row r="748">
      <c r="G748" s="661"/>
      <c r="J748" s="471"/>
      <c r="L748" s="471"/>
    </row>
    <row r="749">
      <c r="D749" s="168"/>
      <c r="G749" s="661"/>
      <c r="J749" s="471"/>
      <c r="L749" s="471"/>
    </row>
    <row r="750">
      <c r="D750" s="132"/>
      <c r="G750" s="661"/>
      <c r="J750" s="471"/>
      <c r="L750" s="471"/>
    </row>
    <row r="751">
      <c r="D751" s="132"/>
      <c r="G751" s="661"/>
      <c r="J751" s="471"/>
      <c r="L751" s="471"/>
    </row>
    <row r="752">
      <c r="D752" s="132"/>
      <c r="G752" s="661"/>
      <c r="J752" s="471"/>
      <c r="L752" s="471"/>
    </row>
    <row r="753">
      <c r="D753" s="132"/>
      <c r="G753" s="661"/>
      <c r="J753" s="471"/>
      <c r="L753" s="471"/>
    </row>
    <row r="754">
      <c r="D754" s="132"/>
      <c r="G754" s="661"/>
      <c r="J754" s="471"/>
      <c r="L754" s="471"/>
    </row>
    <row r="755">
      <c r="D755" s="132"/>
      <c r="G755" s="661"/>
      <c r="J755" s="471"/>
      <c r="L755" s="471"/>
    </row>
    <row r="756">
      <c r="D756" s="132"/>
      <c r="G756" s="661"/>
      <c r="J756" s="471"/>
      <c r="L756" s="471"/>
    </row>
    <row r="757">
      <c r="G757" s="661"/>
      <c r="J757" s="471"/>
      <c r="L757" s="471"/>
    </row>
    <row r="758">
      <c r="D758" s="132"/>
      <c r="G758" s="661"/>
      <c r="J758" s="471"/>
      <c r="L758" s="471"/>
    </row>
    <row r="759">
      <c r="D759" s="132"/>
      <c r="G759" s="661"/>
      <c r="J759" s="471"/>
      <c r="L759" s="471"/>
    </row>
    <row r="760">
      <c r="D760" s="132"/>
      <c r="G760" s="661"/>
      <c r="J760" s="471"/>
      <c r="L760" s="471"/>
    </row>
    <row r="761">
      <c r="D761" s="132"/>
      <c r="G761" s="661"/>
      <c r="J761" s="471"/>
      <c r="L761" s="471"/>
    </row>
    <row r="762">
      <c r="D762" s="132"/>
      <c r="G762" s="661"/>
      <c r="J762" s="471"/>
      <c r="L762" s="471"/>
    </row>
    <row r="763">
      <c r="D763" s="132"/>
      <c r="G763" s="661"/>
      <c r="J763" s="471"/>
      <c r="L763" s="471"/>
    </row>
    <row r="764">
      <c r="D764" s="132"/>
      <c r="G764" s="661"/>
      <c r="J764" s="471"/>
      <c r="L764" s="471"/>
    </row>
    <row r="765">
      <c r="D765" s="132"/>
      <c r="G765" s="661"/>
      <c r="J765" s="471"/>
      <c r="L765" s="471"/>
    </row>
    <row r="766">
      <c r="D766" s="132"/>
      <c r="G766" s="661"/>
      <c r="J766" s="471"/>
      <c r="L766" s="471"/>
    </row>
    <row r="767">
      <c r="D767" s="132"/>
      <c r="G767" s="661"/>
      <c r="J767" s="471"/>
      <c r="L767" s="471"/>
    </row>
    <row r="768">
      <c r="D768" s="132"/>
      <c r="G768" s="661"/>
      <c r="J768" s="471"/>
      <c r="L768" s="471"/>
    </row>
    <row r="769">
      <c r="D769" s="139"/>
      <c r="G769" s="661"/>
      <c r="J769" s="471"/>
      <c r="L769" s="471"/>
    </row>
    <row r="770">
      <c r="D770" s="134"/>
      <c r="G770" s="661"/>
      <c r="J770" s="471"/>
      <c r="L770" s="471"/>
    </row>
    <row r="771">
      <c r="D771" s="134"/>
      <c r="G771" s="661"/>
      <c r="J771" s="471"/>
      <c r="L771" s="471"/>
    </row>
    <row r="772">
      <c r="G772" s="661"/>
      <c r="J772" s="471"/>
      <c r="L772" s="471"/>
    </row>
    <row r="773">
      <c r="G773" s="661"/>
      <c r="J773" s="471"/>
      <c r="L773" s="471"/>
    </row>
    <row r="774">
      <c r="D774" s="124"/>
      <c r="G774" s="661"/>
      <c r="J774" s="471"/>
      <c r="L774" s="471"/>
    </row>
    <row r="775">
      <c r="D775" s="132"/>
      <c r="G775" s="661"/>
      <c r="J775" s="471"/>
      <c r="L775" s="471"/>
    </row>
    <row r="776">
      <c r="D776" s="132"/>
      <c r="G776" s="661"/>
      <c r="J776" s="471"/>
      <c r="L776" s="471"/>
    </row>
    <row r="777">
      <c r="G777" s="661"/>
      <c r="J777" s="471"/>
      <c r="L777" s="471"/>
    </row>
    <row r="778">
      <c r="D778" s="132"/>
      <c r="G778" s="661"/>
      <c r="J778" s="471"/>
      <c r="L778" s="471"/>
    </row>
    <row r="779">
      <c r="D779" s="132"/>
      <c r="G779" s="661"/>
      <c r="J779" s="471"/>
      <c r="L779" s="471"/>
    </row>
    <row r="780">
      <c r="D780" s="132"/>
      <c r="G780" s="661"/>
      <c r="J780" s="471"/>
      <c r="L780" s="471"/>
    </row>
    <row r="781">
      <c r="D781" s="168"/>
      <c r="G781" s="661"/>
      <c r="J781" s="471"/>
      <c r="L781" s="471"/>
    </row>
    <row r="782">
      <c r="D782" s="132"/>
      <c r="G782" s="661"/>
      <c r="J782" s="471"/>
      <c r="L782" s="471"/>
    </row>
    <row r="783">
      <c r="D783" s="132"/>
      <c r="G783" s="661"/>
      <c r="J783" s="471"/>
      <c r="L783" s="471"/>
    </row>
    <row r="784">
      <c r="D784" s="132"/>
      <c r="G784" s="661"/>
      <c r="J784" s="471"/>
      <c r="L784" s="471"/>
    </row>
    <row r="785">
      <c r="D785" s="132"/>
      <c r="G785" s="661"/>
      <c r="J785" s="471"/>
      <c r="L785" s="471"/>
    </row>
    <row r="786">
      <c r="D786" s="168"/>
      <c r="G786" s="661"/>
      <c r="J786" s="471"/>
      <c r="L786" s="471"/>
    </row>
    <row r="787">
      <c r="D787" s="168"/>
      <c r="G787" s="661"/>
      <c r="J787" s="471"/>
      <c r="L787" s="471"/>
    </row>
    <row r="788">
      <c r="D788" s="168"/>
      <c r="G788" s="661"/>
      <c r="J788" s="471"/>
      <c r="L788" s="471"/>
    </row>
    <row r="789">
      <c r="D789" s="132"/>
      <c r="G789" s="661"/>
      <c r="J789" s="471"/>
      <c r="L789" s="471"/>
    </row>
    <row r="790">
      <c r="D790" s="132"/>
      <c r="G790" s="661"/>
      <c r="J790" s="471"/>
      <c r="L790" s="471"/>
    </row>
    <row r="791">
      <c r="D791" s="132"/>
      <c r="G791" s="661"/>
      <c r="J791" s="471"/>
      <c r="L791" s="471"/>
    </row>
    <row r="792">
      <c r="D792" s="132"/>
      <c r="G792" s="661"/>
      <c r="J792" s="471"/>
      <c r="L792" s="471"/>
    </row>
    <row r="793">
      <c r="D793" s="168"/>
      <c r="G793" s="661"/>
      <c r="J793" s="471"/>
      <c r="L793" s="471"/>
    </row>
    <row r="794">
      <c r="D794" s="132"/>
      <c r="G794" s="661"/>
      <c r="J794" s="471"/>
      <c r="L794" s="471"/>
    </row>
    <row r="795">
      <c r="D795" s="132"/>
      <c r="G795" s="661"/>
      <c r="J795" s="471"/>
      <c r="L795" s="471"/>
    </row>
    <row r="796">
      <c r="D796" s="132"/>
      <c r="G796" s="661"/>
      <c r="J796" s="471"/>
      <c r="L796" s="471"/>
    </row>
    <row r="797">
      <c r="D797" s="132"/>
      <c r="G797" s="661"/>
      <c r="J797" s="471"/>
      <c r="L797" s="471"/>
    </row>
    <row r="798">
      <c r="D798" s="132"/>
      <c r="G798" s="661"/>
      <c r="J798" s="471"/>
      <c r="L798" s="471"/>
    </row>
    <row r="799">
      <c r="D799" s="132"/>
      <c r="G799" s="661"/>
      <c r="J799" s="471"/>
      <c r="L799" s="471"/>
    </row>
    <row r="800">
      <c r="D800" s="132"/>
      <c r="G800" s="661"/>
      <c r="J800" s="471"/>
      <c r="L800" s="471"/>
    </row>
    <row r="801">
      <c r="D801" s="132"/>
      <c r="G801" s="661"/>
      <c r="J801" s="471"/>
      <c r="L801" s="471"/>
    </row>
    <row r="802">
      <c r="D802" s="132"/>
      <c r="G802" s="661"/>
      <c r="J802" s="471"/>
      <c r="L802" s="471"/>
    </row>
    <row r="803">
      <c r="D803" s="132"/>
      <c r="G803" s="661"/>
      <c r="J803" s="471"/>
      <c r="L803" s="471"/>
    </row>
    <row r="804">
      <c r="D804" s="132"/>
      <c r="G804" s="661"/>
      <c r="J804" s="471"/>
      <c r="L804" s="471"/>
    </row>
    <row r="805">
      <c r="D805" s="270"/>
      <c r="G805" s="661"/>
      <c r="J805" s="471"/>
      <c r="L805" s="471"/>
    </row>
    <row r="806">
      <c r="D806" s="132"/>
      <c r="G806" s="661"/>
      <c r="J806" s="471"/>
      <c r="L806" s="471"/>
    </row>
    <row r="807">
      <c r="D807" s="132"/>
      <c r="G807" s="661"/>
      <c r="J807" s="471"/>
      <c r="L807" s="471"/>
    </row>
    <row r="808">
      <c r="D808" s="132"/>
      <c r="G808" s="661"/>
      <c r="J808" s="471"/>
      <c r="L808" s="471"/>
    </row>
    <row r="809">
      <c r="D809" s="132"/>
      <c r="G809" s="661"/>
      <c r="J809" s="471"/>
      <c r="L809" s="471"/>
    </row>
    <row r="810">
      <c r="D810" s="208"/>
      <c r="G810" s="661"/>
      <c r="J810" s="471"/>
      <c r="L810" s="471"/>
    </row>
    <row r="811">
      <c r="G811" s="661"/>
      <c r="J811" s="471"/>
      <c r="L811" s="471"/>
    </row>
    <row r="812">
      <c r="D812" s="132"/>
      <c r="G812" s="661"/>
      <c r="J812" s="471"/>
      <c r="L812" s="471"/>
    </row>
    <row r="813">
      <c r="G813" s="661"/>
      <c r="J813" s="471"/>
      <c r="L813" s="471"/>
    </row>
    <row r="814">
      <c r="G814" s="661"/>
      <c r="J814" s="471"/>
      <c r="L814" s="471"/>
    </row>
    <row r="815">
      <c r="G815" s="661"/>
      <c r="J815" s="471"/>
      <c r="L815" s="471"/>
    </row>
    <row r="816">
      <c r="G816" s="661"/>
      <c r="J816" s="471"/>
      <c r="L816" s="471"/>
    </row>
    <row r="817">
      <c r="D817" s="168"/>
      <c r="G817" s="661"/>
      <c r="J817" s="471"/>
      <c r="L817" s="471"/>
    </row>
    <row r="818">
      <c r="D818" s="132"/>
      <c r="G818" s="661"/>
      <c r="J818" s="471"/>
      <c r="L818" s="471"/>
    </row>
    <row r="819">
      <c r="D819" s="132"/>
      <c r="G819" s="661"/>
      <c r="J819" s="471"/>
      <c r="L819" s="471"/>
    </row>
    <row r="820">
      <c r="D820" s="132"/>
      <c r="G820" s="661"/>
      <c r="J820" s="471"/>
      <c r="L820" s="471"/>
    </row>
    <row r="821">
      <c r="D821" s="132"/>
      <c r="G821" s="661"/>
      <c r="J821" s="471"/>
      <c r="L821" s="471"/>
    </row>
    <row r="822">
      <c r="D822" s="132"/>
      <c r="G822" s="661"/>
      <c r="J822" s="471"/>
      <c r="L822" s="471"/>
    </row>
    <row r="823">
      <c r="D823" s="132"/>
      <c r="G823" s="661"/>
      <c r="J823" s="471"/>
      <c r="L823" s="471"/>
    </row>
    <row r="824">
      <c r="D824" s="170"/>
      <c r="G824" s="661"/>
      <c r="J824" s="471"/>
      <c r="L824" s="471"/>
    </row>
    <row r="825">
      <c r="D825" s="168"/>
      <c r="G825" s="661"/>
      <c r="J825" s="471"/>
      <c r="L825" s="471"/>
    </row>
    <row r="826">
      <c r="D826" s="132"/>
      <c r="G826" s="661"/>
      <c r="J826" s="471"/>
      <c r="L826" s="471"/>
    </row>
    <row r="827">
      <c r="D827" s="168"/>
      <c r="G827" s="661"/>
      <c r="J827" s="471"/>
      <c r="L827" s="471"/>
    </row>
    <row r="828">
      <c r="D828" s="132"/>
      <c r="G828" s="661"/>
      <c r="J828" s="471"/>
      <c r="L828" s="471"/>
    </row>
    <row r="829">
      <c r="D829" s="132"/>
      <c r="G829" s="661"/>
      <c r="J829" s="471"/>
      <c r="L829" s="471"/>
    </row>
    <row r="830">
      <c r="D830" s="132"/>
      <c r="G830" s="661"/>
      <c r="J830" s="471"/>
      <c r="L830" s="471"/>
    </row>
    <row r="831">
      <c r="D831" s="132"/>
      <c r="G831" s="661"/>
      <c r="J831" s="471"/>
      <c r="L831" s="471"/>
    </row>
    <row r="832">
      <c r="D832" s="132"/>
      <c r="G832" s="661"/>
      <c r="J832" s="471"/>
      <c r="L832" s="471"/>
    </row>
    <row r="833">
      <c r="D833" s="132"/>
      <c r="G833" s="661"/>
      <c r="J833" s="471"/>
      <c r="L833" s="471"/>
    </row>
    <row r="834">
      <c r="D834" s="132"/>
      <c r="G834" s="661"/>
      <c r="J834" s="471"/>
      <c r="L834" s="471"/>
    </row>
    <row r="835">
      <c r="D835" s="168"/>
      <c r="G835" s="661"/>
      <c r="J835" s="471"/>
      <c r="L835" s="471"/>
    </row>
    <row r="836">
      <c r="D836" s="132"/>
      <c r="G836" s="661"/>
      <c r="J836" s="471"/>
      <c r="L836" s="471"/>
    </row>
    <row r="837">
      <c r="D837" s="168"/>
      <c r="G837" s="661"/>
      <c r="J837" s="471"/>
      <c r="L837" s="471"/>
    </row>
    <row r="838">
      <c r="D838" s="132"/>
      <c r="G838" s="661"/>
      <c r="J838" s="471"/>
      <c r="L838" s="471"/>
    </row>
    <row r="839">
      <c r="D839" s="132"/>
      <c r="G839" s="661"/>
      <c r="J839" s="471"/>
      <c r="L839" s="471"/>
    </row>
    <row r="840">
      <c r="G840" s="661"/>
      <c r="J840" s="471"/>
      <c r="L840" s="471"/>
    </row>
    <row r="841">
      <c r="D841" s="132"/>
      <c r="G841" s="661"/>
      <c r="J841" s="471"/>
      <c r="L841" s="471"/>
    </row>
    <row r="842">
      <c r="D842" s="168"/>
      <c r="G842" s="661"/>
      <c r="J842" s="471"/>
      <c r="L842" s="471"/>
    </row>
    <row r="843">
      <c r="D843" s="132"/>
      <c r="G843" s="661"/>
      <c r="J843" s="471"/>
      <c r="L843" s="471"/>
    </row>
    <row r="844">
      <c r="D844" s="132"/>
      <c r="G844" s="661"/>
      <c r="J844" s="471"/>
      <c r="L844" s="471"/>
    </row>
    <row r="845">
      <c r="D845" s="132"/>
      <c r="G845" s="661"/>
      <c r="J845" s="471"/>
      <c r="L845" s="471"/>
    </row>
    <row r="846">
      <c r="D846" s="170"/>
      <c r="G846" s="661"/>
      <c r="J846" s="471"/>
      <c r="L846" s="471"/>
    </row>
    <row r="847">
      <c r="D847" s="132"/>
      <c r="G847" s="661"/>
      <c r="J847" s="471"/>
      <c r="L847" s="471"/>
    </row>
    <row r="848">
      <c r="D848" s="170"/>
      <c r="G848" s="661"/>
      <c r="J848" s="471"/>
      <c r="L848" s="471"/>
    </row>
    <row r="849">
      <c r="D849" s="132"/>
      <c r="G849" s="661"/>
      <c r="J849" s="471"/>
      <c r="L849" s="471"/>
    </row>
    <row r="850">
      <c r="D850" s="132"/>
      <c r="G850" s="661"/>
      <c r="J850" s="471"/>
      <c r="L850" s="471"/>
    </row>
    <row r="851">
      <c r="D851" s="132"/>
      <c r="G851" s="661"/>
      <c r="J851" s="471"/>
      <c r="L851" s="471"/>
    </row>
    <row r="852">
      <c r="D852" s="132"/>
      <c r="G852" s="661"/>
      <c r="J852" s="471"/>
      <c r="L852" s="471"/>
    </row>
    <row r="853">
      <c r="D853" s="132"/>
      <c r="G853" s="661"/>
      <c r="J853" s="471"/>
      <c r="L853" s="471"/>
    </row>
    <row r="854">
      <c r="D854" s="132"/>
      <c r="G854" s="661"/>
      <c r="J854" s="471"/>
      <c r="L854" s="471"/>
    </row>
    <row r="855">
      <c r="D855" s="132"/>
      <c r="G855" s="661"/>
      <c r="J855" s="471"/>
      <c r="L855" s="471"/>
    </row>
    <row r="856">
      <c r="D856" s="132"/>
      <c r="G856" s="661"/>
      <c r="J856" s="471"/>
      <c r="L856" s="471"/>
    </row>
    <row r="857">
      <c r="D857" s="132"/>
      <c r="G857" s="661"/>
      <c r="J857" s="471"/>
      <c r="L857" s="471"/>
    </row>
    <row r="858">
      <c r="D858" s="132"/>
      <c r="G858" s="661"/>
      <c r="J858" s="471"/>
      <c r="L858" s="471"/>
    </row>
    <row r="859">
      <c r="D859" s="132"/>
      <c r="G859" s="661"/>
      <c r="J859" s="471"/>
      <c r="L859" s="471"/>
    </row>
    <row r="860">
      <c r="D860" s="132"/>
      <c r="G860" s="661"/>
      <c r="J860" s="471"/>
      <c r="L860" s="471"/>
    </row>
    <row r="861">
      <c r="D861" s="132"/>
      <c r="G861" s="661"/>
      <c r="J861" s="471"/>
      <c r="L861" s="471"/>
    </row>
    <row r="862">
      <c r="D862" s="168"/>
      <c r="G862" s="661"/>
      <c r="J862" s="471"/>
      <c r="L862" s="471"/>
    </row>
    <row r="863">
      <c r="D863" s="132"/>
      <c r="G863" s="661"/>
      <c r="J863" s="471"/>
      <c r="L863" s="471"/>
    </row>
    <row r="864">
      <c r="D864" s="132"/>
      <c r="G864" s="661"/>
      <c r="J864" s="471"/>
      <c r="L864" s="471"/>
    </row>
    <row r="865">
      <c r="D865" s="132"/>
      <c r="G865" s="661"/>
      <c r="J865" s="471"/>
      <c r="L865" s="471"/>
    </row>
    <row r="866">
      <c r="D866" s="132"/>
      <c r="G866" s="661"/>
      <c r="J866" s="471"/>
      <c r="L866" s="471"/>
    </row>
    <row r="867">
      <c r="D867" s="132"/>
      <c r="G867" s="661"/>
      <c r="J867" s="471"/>
      <c r="L867" s="471"/>
    </row>
    <row r="868">
      <c r="D868" s="132"/>
      <c r="G868" s="661"/>
      <c r="J868" s="471"/>
      <c r="L868" s="471"/>
    </row>
    <row r="869">
      <c r="D869" s="132"/>
      <c r="G869" s="661"/>
      <c r="J869" s="471"/>
      <c r="L869" s="471"/>
    </row>
    <row r="870">
      <c r="D870" s="132"/>
      <c r="G870" s="661"/>
      <c r="J870" s="471"/>
      <c r="L870" s="471"/>
    </row>
    <row r="871">
      <c r="D871" s="132"/>
      <c r="G871" s="661"/>
      <c r="J871" s="471"/>
      <c r="L871" s="471"/>
    </row>
    <row r="872">
      <c r="D872" s="132"/>
      <c r="G872" s="661"/>
      <c r="J872" s="471"/>
      <c r="L872" s="471"/>
    </row>
    <row r="873">
      <c r="D873" s="132"/>
      <c r="G873" s="661"/>
      <c r="J873" s="471"/>
      <c r="L873" s="471"/>
    </row>
    <row r="874">
      <c r="D874" s="132"/>
      <c r="G874" s="661"/>
      <c r="J874" s="471"/>
      <c r="L874" s="471"/>
    </row>
    <row r="875">
      <c r="G875" s="661"/>
      <c r="J875" s="471"/>
      <c r="L875" s="471"/>
    </row>
    <row r="876">
      <c r="D876" s="139"/>
      <c r="G876" s="661"/>
      <c r="J876" s="471"/>
      <c r="L876" s="471"/>
    </row>
    <row r="877">
      <c r="D877" s="134"/>
      <c r="G877" s="661"/>
      <c r="J877" s="471"/>
      <c r="L877" s="471"/>
    </row>
    <row r="878">
      <c r="G878" s="661"/>
      <c r="J878" s="471"/>
      <c r="L878" s="471"/>
    </row>
    <row r="879">
      <c r="D879" s="124"/>
      <c r="G879" s="661"/>
      <c r="J879" s="471"/>
      <c r="L879" s="471"/>
    </row>
    <row r="880">
      <c r="D880" s="132"/>
      <c r="G880" s="661"/>
      <c r="J880" s="471"/>
      <c r="L880" s="471"/>
    </row>
    <row r="881">
      <c r="D881" s="132"/>
      <c r="G881" s="661"/>
      <c r="J881" s="471"/>
      <c r="L881" s="471"/>
    </row>
    <row r="882">
      <c r="D882" s="132"/>
      <c r="G882" s="661"/>
      <c r="J882" s="471"/>
      <c r="L882" s="471"/>
    </row>
    <row r="883">
      <c r="D883" s="132"/>
      <c r="G883" s="661"/>
      <c r="J883" s="471"/>
      <c r="L883" s="657" t="s">
        <v>2576</v>
      </c>
    </row>
    <row r="884">
      <c r="D884" s="132"/>
      <c r="G884" s="661"/>
      <c r="J884" s="471"/>
      <c r="L884" s="660">
        <v>0.013</v>
      </c>
    </row>
    <row r="885">
      <c r="D885" s="132"/>
      <c r="G885" s="661"/>
      <c r="J885" s="471"/>
      <c r="L885" s="153"/>
    </row>
    <row r="886">
      <c r="G886" s="661"/>
      <c r="J886" s="471"/>
      <c r="L886" s="663"/>
    </row>
    <row r="887">
      <c r="D887" s="132"/>
      <c r="G887" s="661"/>
      <c r="J887" s="471"/>
      <c r="L887" s="665"/>
    </row>
    <row r="888">
      <c r="D888" s="132"/>
      <c r="G888" s="661"/>
      <c r="J888" s="471"/>
      <c r="L888" s="665"/>
    </row>
    <row r="889">
      <c r="D889" s="132"/>
      <c r="G889" s="661"/>
      <c r="J889" s="471"/>
      <c r="L889" s="665"/>
    </row>
    <row r="890">
      <c r="D890" s="132"/>
      <c r="G890" s="661"/>
      <c r="J890" s="471"/>
      <c r="L890" s="665"/>
    </row>
    <row r="891">
      <c r="D891" s="132"/>
      <c r="G891" s="661"/>
      <c r="J891" s="471"/>
      <c r="L891" s="471"/>
    </row>
    <row r="892">
      <c r="D892" s="132"/>
      <c r="G892" s="661"/>
      <c r="J892" s="471"/>
      <c r="L892" s="471"/>
    </row>
    <row r="893">
      <c r="D893" s="132"/>
      <c r="G893" s="661"/>
      <c r="J893" s="471"/>
      <c r="L893" s="665"/>
    </row>
    <row r="894">
      <c r="D894" s="132"/>
      <c r="G894" s="661"/>
      <c r="J894" s="471"/>
      <c r="L894" s="665"/>
    </row>
    <row r="895">
      <c r="D895" s="132"/>
      <c r="G895" s="661"/>
      <c r="J895" s="471"/>
      <c r="L895" s="665"/>
    </row>
    <row r="896">
      <c r="D896" s="132"/>
      <c r="G896" s="661"/>
      <c r="J896" s="471"/>
      <c r="L896" s="665"/>
    </row>
    <row r="897">
      <c r="D897" s="132"/>
      <c r="G897" s="661"/>
      <c r="J897" s="471"/>
      <c r="L897" s="665"/>
    </row>
    <row r="898">
      <c r="D898" s="132"/>
      <c r="G898" s="661"/>
      <c r="J898" s="471"/>
      <c r="L898" s="665"/>
    </row>
    <row r="899">
      <c r="D899" s="132"/>
      <c r="G899" s="661"/>
      <c r="J899" s="471"/>
      <c r="L899" s="665"/>
    </row>
    <row r="900">
      <c r="D900" s="132"/>
      <c r="G900" s="661"/>
      <c r="J900" s="471"/>
      <c r="L900" s="665"/>
    </row>
    <row r="901">
      <c r="D901" s="208"/>
      <c r="G901" s="661"/>
      <c r="J901" s="471"/>
      <c r="L901" s="663"/>
    </row>
    <row r="902">
      <c r="D902" s="132"/>
      <c r="G902" s="661"/>
      <c r="J902" s="471"/>
      <c r="L902" s="663"/>
    </row>
    <row r="903">
      <c r="D903" s="132"/>
      <c r="G903" s="661"/>
      <c r="J903" s="471"/>
      <c r="L903" s="665"/>
    </row>
    <row r="904">
      <c r="D904" s="132"/>
      <c r="G904" s="661"/>
      <c r="J904" s="471"/>
      <c r="L904" s="665"/>
    </row>
    <row r="905">
      <c r="D905" s="132"/>
      <c r="G905" s="661"/>
      <c r="J905" s="471"/>
      <c r="L905" s="665"/>
    </row>
    <row r="906">
      <c r="D906" s="132"/>
      <c r="G906" s="661"/>
      <c r="J906" s="471"/>
      <c r="L906" s="665"/>
    </row>
    <row r="907">
      <c r="G907" s="661"/>
      <c r="J907" s="471"/>
      <c r="L907" s="665"/>
    </row>
    <row r="908">
      <c r="D908" s="132"/>
      <c r="G908" s="661"/>
      <c r="J908" s="471"/>
      <c r="L908" s="665"/>
    </row>
    <row r="909">
      <c r="D909" s="132"/>
      <c r="G909" s="661"/>
      <c r="J909" s="471"/>
      <c r="L909" s="665"/>
    </row>
    <row r="910">
      <c r="G910" s="661"/>
      <c r="J910" s="471"/>
      <c r="L910" s="665"/>
    </row>
    <row r="911">
      <c r="D911" s="132"/>
      <c r="G911" s="661"/>
      <c r="J911" s="471"/>
      <c r="L911" s="665"/>
    </row>
    <row r="912">
      <c r="D912" s="132"/>
      <c r="G912" s="661"/>
      <c r="J912" s="471"/>
      <c r="L912" s="665"/>
    </row>
    <row r="913">
      <c r="D913" s="132"/>
      <c r="G913" s="661"/>
      <c r="J913" s="471"/>
      <c r="L913" s="665"/>
    </row>
    <row r="914">
      <c r="D914" s="132"/>
      <c r="G914" s="661"/>
      <c r="J914" s="471"/>
      <c r="L914" s="665"/>
    </row>
    <row r="915">
      <c r="D915" s="132"/>
      <c r="G915" s="661"/>
      <c r="J915" s="471"/>
      <c r="L915" s="471"/>
    </row>
    <row r="916">
      <c r="D916" s="132"/>
      <c r="G916" s="661"/>
      <c r="J916" s="471"/>
      <c r="L916" s="663"/>
      <c r="M916" s="118" t="s">
        <v>2204</v>
      </c>
      <c r="N916" s="118" t="s">
        <v>2579</v>
      </c>
      <c r="O916" s="118" t="s">
        <v>2205</v>
      </c>
      <c r="P916" s="118" t="s">
        <v>41</v>
      </c>
    </row>
    <row r="917">
      <c r="D917" s="132"/>
      <c r="G917" s="661"/>
      <c r="J917" s="471"/>
      <c r="L917" s="665"/>
      <c r="M917" s="204"/>
      <c r="N917" s="204"/>
      <c r="O917" s="204">
        <f>SUM(O919:O1015)</f>
        <v>15425</v>
      </c>
      <c r="P917" s="417" t="str">
        <f>O917/(H917/100)</f>
        <v>#DIV/0!</v>
      </c>
      <c r="Q917" s="121"/>
    </row>
    <row r="918">
      <c r="D918" s="132"/>
      <c r="G918" s="661"/>
      <c r="J918" s="471"/>
      <c r="L918" s="665"/>
      <c r="M918" s="139"/>
      <c r="N918" s="139"/>
      <c r="O918" s="139"/>
      <c r="P918" s="166"/>
      <c r="Q918" s="129"/>
    </row>
    <row r="919">
      <c r="G919" s="661"/>
      <c r="J919" s="471"/>
      <c r="L919" s="665"/>
      <c r="M919" s="627" t="s">
        <v>2581</v>
      </c>
      <c r="N919" s="650">
        <v>44434.0</v>
      </c>
      <c r="O919" s="474">
        <v>150.0</v>
      </c>
      <c r="P919" s="125">
        <f>SUM(O919:O928)</f>
        <v>900</v>
      </c>
      <c r="Q919" s="128" t="s">
        <v>2582</v>
      </c>
    </row>
    <row r="920">
      <c r="D920" s="132"/>
      <c r="G920" s="661"/>
      <c r="J920" s="471"/>
      <c r="L920" s="665"/>
      <c r="M920" s="627" t="s">
        <v>2584</v>
      </c>
      <c r="N920" s="650">
        <v>44434.0</v>
      </c>
      <c r="O920" s="474">
        <v>75.0</v>
      </c>
      <c r="Q920" s="129"/>
    </row>
    <row r="921">
      <c r="D921" s="132"/>
      <c r="G921" s="661"/>
      <c r="J921" s="471"/>
      <c r="L921" s="665"/>
      <c r="M921" s="627" t="s">
        <v>2581</v>
      </c>
      <c r="N921" s="650">
        <v>44435.0</v>
      </c>
      <c r="O921" s="474">
        <v>100.0</v>
      </c>
      <c r="Q921" s="128"/>
    </row>
    <row r="922">
      <c r="G922" s="661"/>
      <c r="J922" s="471"/>
      <c r="L922" s="665"/>
      <c r="M922" s="627" t="s">
        <v>2584</v>
      </c>
      <c r="N922" s="650">
        <v>44435.0</v>
      </c>
      <c r="O922" s="474">
        <v>75.0</v>
      </c>
      <c r="P922" s="130"/>
      <c r="Q922" s="129"/>
    </row>
    <row r="923">
      <c r="D923" s="132"/>
      <c r="G923" s="661"/>
      <c r="J923" s="471"/>
      <c r="L923" s="665"/>
      <c r="M923" s="627" t="s">
        <v>2581</v>
      </c>
      <c r="N923" s="650">
        <v>44436.0</v>
      </c>
      <c r="O923" s="474">
        <v>125.0</v>
      </c>
    </row>
    <row r="924">
      <c r="G924" s="661"/>
      <c r="J924" s="471"/>
      <c r="L924" s="665"/>
      <c r="M924" s="627" t="s">
        <v>2584</v>
      </c>
      <c r="N924" s="650">
        <v>44436.0</v>
      </c>
      <c r="O924" s="474">
        <v>-50.0</v>
      </c>
      <c r="P924" s="130"/>
      <c r="Q924" s="128"/>
    </row>
    <row r="925">
      <c r="D925" s="270"/>
      <c r="G925" s="661"/>
      <c r="J925" s="471"/>
      <c r="L925" s="665"/>
      <c r="M925" s="627" t="s">
        <v>2581</v>
      </c>
      <c r="N925" s="650">
        <v>44437.0</v>
      </c>
      <c r="O925" s="474">
        <v>0.0</v>
      </c>
      <c r="P925" s="125"/>
    </row>
    <row r="926">
      <c r="D926" s="132"/>
      <c r="G926" s="661"/>
      <c r="J926" s="471"/>
      <c r="L926" s="665"/>
      <c r="M926" s="627" t="s">
        <v>2584</v>
      </c>
      <c r="N926" s="650">
        <v>44437.0</v>
      </c>
      <c r="O926" s="474">
        <v>-100.0</v>
      </c>
      <c r="P926" s="134"/>
    </row>
    <row r="927">
      <c r="G927" s="661"/>
      <c r="J927" s="471"/>
      <c r="L927" s="665"/>
      <c r="M927" s="627" t="s">
        <v>2588</v>
      </c>
      <c r="N927" s="650">
        <v>44439.0</v>
      </c>
      <c r="O927" s="474">
        <v>450.0</v>
      </c>
      <c r="P927" s="189"/>
      <c r="Q927" s="122"/>
    </row>
    <row r="928">
      <c r="G928" s="661"/>
      <c r="J928" s="471"/>
      <c r="L928" s="665"/>
      <c r="M928" s="627" t="s">
        <v>2581</v>
      </c>
      <c r="N928" s="650">
        <v>44439.0</v>
      </c>
      <c r="O928" s="474">
        <v>75.0</v>
      </c>
      <c r="P928" s="630"/>
    </row>
    <row r="929">
      <c r="G929" s="661"/>
      <c r="J929" s="471"/>
      <c r="L929" s="665"/>
      <c r="M929" s="627"/>
      <c r="N929" s="627"/>
      <c r="O929" s="474"/>
      <c r="P929" s="631"/>
      <c r="Q929" s="632"/>
    </row>
    <row r="930">
      <c r="D930" s="132"/>
      <c r="G930" s="661"/>
      <c r="J930" s="471"/>
      <c r="L930" s="471"/>
      <c r="M930" s="627" t="s">
        <v>2589</v>
      </c>
      <c r="N930" s="650">
        <v>44440.0</v>
      </c>
      <c r="O930" s="474">
        <v>50.0</v>
      </c>
      <c r="P930" s="125">
        <f>SUM(O930:O963)</f>
        <v>8425</v>
      </c>
      <c r="Q930" s="128" t="s">
        <v>2590</v>
      </c>
    </row>
    <row r="931">
      <c r="D931" s="132"/>
      <c r="G931" s="661"/>
      <c r="J931" s="471"/>
      <c r="L931" s="663"/>
      <c r="M931" s="627" t="s">
        <v>2581</v>
      </c>
      <c r="N931" s="650">
        <v>44440.0</v>
      </c>
      <c r="O931" s="474">
        <v>95.0</v>
      </c>
      <c r="Q931" s="129"/>
    </row>
    <row r="932">
      <c r="D932" s="132"/>
      <c r="G932" s="661"/>
      <c r="J932" s="471"/>
      <c r="L932" s="665"/>
      <c r="M932" s="627" t="s">
        <v>2591</v>
      </c>
      <c r="N932" s="650">
        <v>44440.0</v>
      </c>
      <c r="O932" s="474">
        <v>185.0</v>
      </c>
      <c r="Q932" s="128"/>
    </row>
    <row r="933">
      <c r="D933" s="132"/>
      <c r="G933" s="661"/>
      <c r="J933" s="471"/>
      <c r="L933" s="665"/>
      <c r="M933" s="627" t="s">
        <v>2592</v>
      </c>
      <c r="N933" s="650">
        <v>44441.0</v>
      </c>
      <c r="O933" s="474">
        <v>115.0</v>
      </c>
      <c r="P933" s="130"/>
      <c r="Q933" s="129"/>
    </row>
    <row r="934">
      <c r="G934" s="661"/>
      <c r="J934" s="471"/>
      <c r="L934" s="665"/>
      <c r="M934" s="627" t="s">
        <v>2589</v>
      </c>
      <c r="N934" s="650">
        <v>44442.0</v>
      </c>
      <c r="O934" s="474">
        <v>25.0</v>
      </c>
    </row>
    <row r="935">
      <c r="D935" s="132"/>
      <c r="G935" s="661"/>
      <c r="J935" s="471"/>
      <c r="L935" s="665"/>
      <c r="M935" s="627" t="s">
        <v>2592</v>
      </c>
      <c r="N935" s="650">
        <v>44442.0</v>
      </c>
      <c r="O935" s="474">
        <v>115.0</v>
      </c>
      <c r="P935" s="130"/>
      <c r="Q935" s="128"/>
    </row>
    <row r="936">
      <c r="D936" s="132"/>
      <c r="G936" s="661"/>
      <c r="J936" s="471"/>
      <c r="L936" s="665"/>
      <c r="M936" s="627" t="s">
        <v>2592</v>
      </c>
      <c r="N936" s="650">
        <v>44443.0</v>
      </c>
      <c r="O936" s="474">
        <v>125.0</v>
      </c>
      <c r="P936" s="125"/>
    </row>
    <row r="937">
      <c r="D937" s="132"/>
      <c r="G937" s="661"/>
      <c r="J937" s="471"/>
      <c r="L937" s="665"/>
      <c r="M937" s="627" t="s">
        <v>2592</v>
      </c>
      <c r="N937" s="650">
        <v>44444.0</v>
      </c>
      <c r="O937" s="474">
        <v>220.0</v>
      </c>
      <c r="P937" s="134"/>
    </row>
    <row r="938">
      <c r="G938" s="661"/>
      <c r="J938" s="471"/>
      <c r="L938" s="665"/>
      <c r="M938" s="627" t="s">
        <v>2592</v>
      </c>
      <c r="N938" s="650">
        <v>44445.0</v>
      </c>
      <c r="O938" s="474">
        <v>170.0</v>
      </c>
      <c r="P938" s="189"/>
      <c r="Q938" s="122"/>
    </row>
    <row r="939">
      <c r="D939" s="132"/>
      <c r="G939" s="661"/>
      <c r="J939" s="471"/>
      <c r="L939" s="665"/>
      <c r="M939" s="627" t="s">
        <v>2592</v>
      </c>
      <c r="N939" s="650">
        <v>44446.0</v>
      </c>
      <c r="O939" s="474">
        <v>190.0</v>
      </c>
      <c r="P939" s="630"/>
    </row>
    <row r="940">
      <c r="D940" s="132"/>
      <c r="G940" s="661"/>
      <c r="J940" s="471"/>
      <c r="L940" s="665"/>
      <c r="M940" s="627" t="s">
        <v>2592</v>
      </c>
      <c r="N940" s="650">
        <v>44447.0</v>
      </c>
      <c r="O940" s="474">
        <v>180.0</v>
      </c>
      <c r="P940" s="631"/>
      <c r="Q940" s="632"/>
    </row>
    <row r="941">
      <c r="D941" s="132"/>
      <c r="G941" s="661"/>
      <c r="J941" s="471"/>
      <c r="L941" s="665"/>
      <c r="M941" s="627" t="s">
        <v>2592</v>
      </c>
      <c r="N941" s="650">
        <v>44448.0</v>
      </c>
      <c r="O941" s="474">
        <v>175.0</v>
      </c>
    </row>
    <row r="942">
      <c r="D942" s="132"/>
      <c r="G942" s="661"/>
      <c r="J942" s="471"/>
      <c r="L942" s="663"/>
      <c r="M942" s="627" t="s">
        <v>2592</v>
      </c>
      <c r="N942" s="650">
        <v>44449.0</v>
      </c>
      <c r="O942" s="474">
        <v>195.0</v>
      </c>
    </row>
    <row r="943">
      <c r="D943" s="132"/>
      <c r="G943" s="661"/>
      <c r="J943" s="471"/>
      <c r="L943" s="665"/>
      <c r="M943" s="627" t="s">
        <v>2592</v>
      </c>
      <c r="N943" s="650">
        <v>44450.0</v>
      </c>
      <c r="O943" s="474">
        <v>185.0</v>
      </c>
    </row>
    <row r="944">
      <c r="D944" s="132"/>
      <c r="G944" s="661"/>
      <c r="J944" s="471"/>
      <c r="L944" s="665"/>
      <c r="M944" s="627" t="s">
        <v>2592</v>
      </c>
      <c r="N944" s="650">
        <v>44451.0</v>
      </c>
      <c r="O944" s="474">
        <v>200.0</v>
      </c>
    </row>
    <row r="945">
      <c r="G945" s="661"/>
      <c r="J945" s="471"/>
      <c r="L945" s="665"/>
      <c r="M945" s="627" t="s">
        <v>2592</v>
      </c>
      <c r="N945" s="650">
        <v>44452.0</v>
      </c>
      <c r="O945" s="474">
        <v>250.0</v>
      </c>
    </row>
    <row r="946">
      <c r="D946" s="270"/>
      <c r="G946" s="661"/>
      <c r="J946" s="471"/>
      <c r="L946" s="665"/>
      <c r="M946" s="627" t="s">
        <v>2592</v>
      </c>
      <c r="N946" s="650">
        <v>44453.0</v>
      </c>
      <c r="O946" s="474">
        <v>250.0</v>
      </c>
    </row>
    <row r="947">
      <c r="D947" s="132"/>
      <c r="G947" s="661"/>
      <c r="J947" s="471"/>
      <c r="L947" s="665"/>
      <c r="M947" s="627" t="s">
        <v>2584</v>
      </c>
      <c r="N947" s="650">
        <v>44454.0</v>
      </c>
      <c r="O947" s="474">
        <v>500.0</v>
      </c>
    </row>
    <row r="948">
      <c r="D948" s="132"/>
      <c r="G948" s="661"/>
      <c r="J948" s="471"/>
      <c r="L948" s="665"/>
      <c r="M948" s="627" t="s">
        <v>2592</v>
      </c>
      <c r="N948" s="650">
        <v>44456.0</v>
      </c>
      <c r="O948" s="474">
        <v>525.0</v>
      </c>
    </row>
    <row r="949">
      <c r="D949" s="132"/>
      <c r="G949" s="661"/>
      <c r="J949" s="471"/>
      <c r="L949" s="665"/>
      <c r="M949" s="627" t="s">
        <v>2592</v>
      </c>
      <c r="N949" s="650">
        <v>44457.0</v>
      </c>
      <c r="O949" s="474">
        <v>50.0</v>
      </c>
      <c r="P949" s="130"/>
      <c r="Q949" s="128"/>
    </row>
    <row r="950">
      <c r="D950" s="132"/>
      <c r="G950" s="661"/>
      <c r="J950" s="471"/>
      <c r="L950" s="665"/>
      <c r="M950" s="627" t="s">
        <v>2592</v>
      </c>
      <c r="N950" s="650">
        <v>44457.0</v>
      </c>
      <c r="O950" s="474">
        <v>225.0</v>
      </c>
      <c r="P950" s="125"/>
    </row>
    <row r="951">
      <c r="G951" s="661"/>
      <c r="J951" s="471"/>
      <c r="L951" s="665"/>
      <c r="M951" s="627" t="s">
        <v>2592</v>
      </c>
      <c r="N951" s="650">
        <v>44458.0</v>
      </c>
      <c r="O951" s="474">
        <v>215.0</v>
      </c>
      <c r="P951" s="134"/>
    </row>
    <row r="952">
      <c r="D952" s="132"/>
      <c r="G952" s="661"/>
      <c r="J952" s="471"/>
      <c r="L952" s="665"/>
      <c r="M952" s="627" t="s">
        <v>2592</v>
      </c>
      <c r="N952" s="650">
        <v>44459.0</v>
      </c>
      <c r="O952" s="474">
        <v>175.0</v>
      </c>
      <c r="P952" s="189"/>
      <c r="Q952" s="122"/>
    </row>
    <row r="953">
      <c r="D953" s="132"/>
      <c r="G953" s="661"/>
      <c r="J953" s="471"/>
      <c r="L953" s="471"/>
      <c r="M953" s="627" t="s">
        <v>2592</v>
      </c>
      <c r="N953" s="650">
        <v>44460.0</v>
      </c>
      <c r="O953" s="474">
        <v>185.0</v>
      </c>
      <c r="P953" s="630"/>
    </row>
    <row r="954">
      <c r="D954" s="132"/>
      <c r="G954" s="661"/>
      <c r="J954" s="471"/>
      <c r="L954" s="663"/>
      <c r="M954" s="627" t="s">
        <v>2592</v>
      </c>
      <c r="N954" s="650">
        <v>44461.0</v>
      </c>
      <c r="O954" s="474">
        <v>185.0</v>
      </c>
      <c r="P954" s="631"/>
      <c r="Q954" s="632"/>
    </row>
    <row r="955">
      <c r="G955" s="661"/>
      <c r="J955" s="471"/>
      <c r="L955" s="665"/>
      <c r="M955" s="627" t="s">
        <v>2592</v>
      </c>
      <c r="N955" s="650">
        <v>44462.0</v>
      </c>
      <c r="O955" s="474">
        <v>255.0</v>
      </c>
    </row>
    <row r="956">
      <c r="G956" s="661"/>
      <c r="J956" s="471"/>
      <c r="L956" s="665"/>
      <c r="M956" s="627" t="s">
        <v>2592</v>
      </c>
      <c r="N956" s="650">
        <v>44463.0</v>
      </c>
      <c r="O956" s="474">
        <v>260.0</v>
      </c>
    </row>
    <row r="957">
      <c r="D957" s="132"/>
      <c r="G957" s="661"/>
      <c r="J957" s="471"/>
      <c r="L957" s="665"/>
      <c r="M957" s="627" t="s">
        <v>2592</v>
      </c>
      <c r="N957" s="650">
        <v>44464.0</v>
      </c>
      <c r="O957" s="474">
        <v>270.0</v>
      </c>
    </row>
    <row r="958">
      <c r="D958" s="132"/>
      <c r="G958" s="661"/>
      <c r="J958" s="471"/>
      <c r="L958" s="665"/>
      <c r="M958" s="627" t="s">
        <v>2592</v>
      </c>
      <c r="N958" s="650">
        <v>44465.0</v>
      </c>
      <c r="O958" s="474">
        <v>295.0</v>
      </c>
      <c r="P958" s="634"/>
    </row>
    <row r="959">
      <c r="D959" s="132"/>
      <c r="G959" s="661"/>
      <c r="J959" s="471"/>
      <c r="L959" s="665"/>
      <c r="M959" s="627" t="s">
        <v>2592</v>
      </c>
      <c r="N959" s="650">
        <v>44466.0</v>
      </c>
      <c r="O959" s="474">
        <v>285.0</v>
      </c>
      <c r="P959" s="635"/>
    </row>
    <row r="960">
      <c r="D960" s="132"/>
      <c r="G960" s="661"/>
      <c r="J960" s="471"/>
      <c r="L960" s="665"/>
      <c r="M960" s="627" t="s">
        <v>2592</v>
      </c>
      <c r="N960" s="650">
        <v>44467.0</v>
      </c>
      <c r="O960" s="474">
        <v>300.0</v>
      </c>
      <c r="P960" s="635"/>
    </row>
    <row r="961">
      <c r="D961" s="132"/>
      <c r="G961" s="661"/>
      <c r="J961" s="471"/>
      <c r="L961" s="665"/>
      <c r="M961" s="627" t="s">
        <v>2592</v>
      </c>
      <c r="N961" s="650">
        <v>44468.0</v>
      </c>
      <c r="O961" s="474">
        <v>450.0</v>
      </c>
      <c r="P961" s="635"/>
    </row>
    <row r="962">
      <c r="D962" s="132"/>
      <c r="G962" s="661"/>
      <c r="J962" s="471"/>
      <c r="L962" s="665"/>
      <c r="M962" s="627" t="s">
        <v>2584</v>
      </c>
      <c r="N962" s="650">
        <v>44468.0</v>
      </c>
      <c r="O962" s="474">
        <v>1100.0</v>
      </c>
      <c r="P962" s="634"/>
    </row>
    <row r="963">
      <c r="D963" s="132"/>
      <c r="G963" s="661"/>
      <c r="J963" s="471"/>
      <c r="L963" s="665"/>
      <c r="M963" s="627" t="s">
        <v>2592</v>
      </c>
      <c r="N963" s="650">
        <v>44469.0</v>
      </c>
      <c r="O963" s="474">
        <v>425.0</v>
      </c>
    </row>
    <row r="964">
      <c r="D964" s="132"/>
      <c r="G964" s="661"/>
      <c r="J964" s="471"/>
      <c r="L964" s="665"/>
      <c r="M964" s="130"/>
      <c r="N964" s="130"/>
      <c r="O964" s="124"/>
      <c r="P964" s="130"/>
      <c r="Q964" s="128"/>
    </row>
    <row r="965">
      <c r="D965" s="132"/>
      <c r="G965" s="661"/>
      <c r="J965" s="471"/>
      <c r="L965" s="665"/>
      <c r="M965" s="627" t="s">
        <v>2592</v>
      </c>
      <c r="N965" s="650">
        <v>44470.0</v>
      </c>
      <c r="O965" s="474">
        <v>425.0</v>
      </c>
      <c r="P965" s="125">
        <f>SUM(O965:O998)</f>
        <v>6100</v>
      </c>
      <c r="Q965" s="128" t="s">
        <v>2593</v>
      </c>
    </row>
    <row r="966">
      <c r="D966" s="132"/>
      <c r="G966" s="661"/>
      <c r="J966" s="471"/>
      <c r="L966" s="665"/>
      <c r="M966" s="627" t="s">
        <v>2592</v>
      </c>
      <c r="N966" s="650">
        <v>44471.0</v>
      </c>
      <c r="O966" s="474">
        <v>400.0</v>
      </c>
      <c r="P966" s="134"/>
    </row>
    <row r="967">
      <c r="D967" s="132"/>
      <c r="G967" s="661"/>
      <c r="J967" s="471"/>
      <c r="L967" s="665"/>
      <c r="M967" s="627" t="s">
        <v>2592</v>
      </c>
      <c r="N967" s="650">
        <v>44472.0</v>
      </c>
      <c r="O967" s="474">
        <v>400.0</v>
      </c>
      <c r="P967" s="189"/>
      <c r="Q967" s="122"/>
    </row>
    <row r="968">
      <c r="D968" s="132"/>
      <c r="G968" s="661"/>
      <c r="J968" s="471"/>
      <c r="L968" s="665"/>
      <c r="M968" s="627" t="s">
        <v>2592</v>
      </c>
      <c r="N968" s="650">
        <v>44473.0</v>
      </c>
      <c r="O968" s="474">
        <v>425.0</v>
      </c>
      <c r="P968" s="630"/>
    </row>
    <row r="969">
      <c r="G969" s="661"/>
      <c r="J969" s="471"/>
      <c r="L969" s="665"/>
      <c r="M969" s="627" t="s">
        <v>2592</v>
      </c>
      <c r="N969" s="650">
        <v>44474.0</v>
      </c>
      <c r="O969" s="474">
        <v>350.0</v>
      </c>
      <c r="P969" s="631"/>
      <c r="Q969" s="632"/>
    </row>
    <row r="970">
      <c r="D970" s="132"/>
      <c r="G970" s="661"/>
      <c r="J970" s="471"/>
      <c r="L970" s="665"/>
      <c r="M970" s="627" t="s">
        <v>2592</v>
      </c>
      <c r="N970" s="650">
        <v>44475.0</v>
      </c>
      <c r="O970" s="474">
        <v>425.0</v>
      </c>
    </row>
    <row r="971">
      <c r="D971" s="132"/>
      <c r="G971" s="661"/>
      <c r="J971" s="471"/>
      <c r="L971" s="471"/>
      <c r="M971" s="627" t="s">
        <v>2592</v>
      </c>
      <c r="N971" s="650">
        <v>44476.0</v>
      </c>
      <c r="O971" s="474">
        <v>175.0</v>
      </c>
    </row>
    <row r="972">
      <c r="D972" s="132"/>
      <c r="G972" s="661"/>
      <c r="J972" s="471"/>
      <c r="L972" s="663"/>
      <c r="M972" s="627" t="s">
        <v>2592</v>
      </c>
      <c r="N972" s="650">
        <v>44477.0</v>
      </c>
      <c r="O972" s="474">
        <v>175.0</v>
      </c>
    </row>
    <row r="973">
      <c r="D973" s="132"/>
      <c r="G973" s="661"/>
      <c r="J973" s="471"/>
      <c r="L973" s="665"/>
      <c r="M973" s="627" t="s">
        <v>2592</v>
      </c>
      <c r="N973" s="650">
        <v>44478.0</v>
      </c>
      <c r="O973" s="474">
        <v>175.0</v>
      </c>
    </row>
    <row r="974">
      <c r="D974" s="132"/>
      <c r="G974" s="661"/>
      <c r="J974" s="471"/>
      <c r="L974" s="665"/>
      <c r="M974" s="627" t="s">
        <v>2592</v>
      </c>
      <c r="N974" s="650">
        <v>44479.0</v>
      </c>
      <c r="O974" s="474">
        <v>250.0</v>
      </c>
    </row>
    <row r="975">
      <c r="D975" s="132"/>
      <c r="G975" s="661"/>
      <c r="J975" s="471"/>
      <c r="L975" s="665"/>
      <c r="M975" s="627" t="s">
        <v>2592</v>
      </c>
      <c r="N975" s="650">
        <v>44480.0</v>
      </c>
      <c r="O975" s="474">
        <v>250.0</v>
      </c>
      <c r="P975" s="130"/>
      <c r="Q975" s="128"/>
    </row>
    <row r="976">
      <c r="D976" s="132"/>
      <c r="G976" s="661"/>
      <c r="J976" s="471"/>
      <c r="L976" s="665"/>
      <c r="M976" s="627" t="s">
        <v>2592</v>
      </c>
      <c r="N976" s="650">
        <v>44481.0</v>
      </c>
      <c r="O976" s="474">
        <v>225.0</v>
      </c>
      <c r="P976" s="125"/>
    </row>
    <row r="977">
      <c r="D977" s="132"/>
      <c r="G977" s="661"/>
      <c r="J977" s="471"/>
      <c r="L977" s="665"/>
      <c r="M977" s="627" t="s">
        <v>2592</v>
      </c>
      <c r="N977" s="650">
        <v>44482.0</v>
      </c>
      <c r="O977" s="474">
        <v>225.0</v>
      </c>
      <c r="P977" s="134"/>
    </row>
    <row r="978">
      <c r="D978" s="132"/>
      <c r="G978" s="661"/>
      <c r="J978" s="471"/>
      <c r="L978" s="665"/>
      <c r="M978" s="627" t="s">
        <v>2592</v>
      </c>
      <c r="N978" s="650">
        <v>44483.0</v>
      </c>
      <c r="O978" s="474">
        <v>225.0</v>
      </c>
      <c r="P978" s="189"/>
      <c r="Q978" s="122"/>
    </row>
    <row r="979">
      <c r="G979" s="661"/>
      <c r="J979" s="471"/>
      <c r="L979" s="665"/>
      <c r="M979" s="627" t="s">
        <v>2592</v>
      </c>
      <c r="N979" s="650">
        <v>44483.0</v>
      </c>
      <c r="O979" s="474">
        <v>225.0</v>
      </c>
      <c r="P979" s="630"/>
    </row>
    <row r="980">
      <c r="D980" s="132"/>
      <c r="G980" s="661"/>
      <c r="J980" s="471"/>
      <c r="L980" s="665"/>
      <c r="M980" s="627" t="s">
        <v>2594</v>
      </c>
      <c r="N980" s="650">
        <v>44487.0</v>
      </c>
      <c r="O980" s="474">
        <v>150.0</v>
      </c>
      <c r="P980" s="631"/>
      <c r="Q980" s="632"/>
    </row>
    <row r="981">
      <c r="G981" s="661"/>
      <c r="J981" s="471"/>
      <c r="L981" s="665"/>
      <c r="M981" s="627" t="s">
        <v>2594</v>
      </c>
      <c r="N981" s="650">
        <v>44488.0</v>
      </c>
      <c r="O981" s="474">
        <v>225.0</v>
      </c>
    </row>
    <row r="982">
      <c r="D982" s="132"/>
      <c r="G982" s="661"/>
      <c r="J982" s="471"/>
      <c r="L982" s="665"/>
      <c r="M982" s="627" t="s">
        <v>2594</v>
      </c>
      <c r="N982" s="650">
        <v>44489.0</v>
      </c>
      <c r="O982" s="474">
        <v>175.0</v>
      </c>
    </row>
    <row r="983">
      <c r="D983" s="132"/>
      <c r="G983" s="661"/>
      <c r="J983" s="471"/>
      <c r="L983" s="665"/>
      <c r="M983" s="627" t="s">
        <v>2594</v>
      </c>
      <c r="N983" s="650">
        <v>44490.0</v>
      </c>
      <c r="O983" s="474">
        <v>175.0</v>
      </c>
    </row>
    <row r="984">
      <c r="D984" s="132"/>
      <c r="G984" s="661"/>
      <c r="J984" s="471"/>
      <c r="L984" s="665"/>
      <c r="M984" s="627" t="s">
        <v>2595</v>
      </c>
      <c r="N984" s="650">
        <v>44490.0</v>
      </c>
      <c r="O984" s="474">
        <v>50.0</v>
      </c>
    </row>
    <row r="985">
      <c r="D985" s="132"/>
      <c r="G985" s="661"/>
      <c r="J985" s="471"/>
      <c r="L985" s="665"/>
      <c r="M985" s="627" t="s">
        <v>2594</v>
      </c>
      <c r="N985" s="650">
        <v>44491.0</v>
      </c>
      <c r="O985" s="474">
        <v>250.0</v>
      </c>
    </row>
    <row r="986">
      <c r="D986" s="132"/>
      <c r="G986" s="661"/>
      <c r="J986" s="471"/>
      <c r="L986" s="665"/>
      <c r="M986" s="627" t="s">
        <v>2595</v>
      </c>
      <c r="N986" s="650">
        <v>44491.0</v>
      </c>
      <c r="O986" s="474">
        <v>50.0</v>
      </c>
    </row>
    <row r="987">
      <c r="D987" s="132"/>
      <c r="G987" s="661"/>
      <c r="J987" s="471"/>
      <c r="L987" s="665"/>
      <c r="M987" s="627" t="s">
        <v>2594</v>
      </c>
      <c r="N987" s="650">
        <v>44492.0</v>
      </c>
      <c r="O987" s="474">
        <v>275.0</v>
      </c>
      <c r="P987" s="130"/>
      <c r="Q987" s="128"/>
    </row>
    <row r="988">
      <c r="D988" s="132"/>
      <c r="G988" s="661"/>
      <c r="J988" s="471"/>
      <c r="L988" s="665"/>
      <c r="M988" s="627" t="s">
        <v>2595</v>
      </c>
      <c r="N988" s="650">
        <v>44492.0</v>
      </c>
      <c r="O988" s="474">
        <v>50.0</v>
      </c>
      <c r="P988" s="125"/>
    </row>
    <row r="989">
      <c r="D989" s="132"/>
      <c r="G989" s="661"/>
      <c r="J989" s="471"/>
      <c r="L989" s="471"/>
      <c r="M989" s="627" t="s">
        <v>2594</v>
      </c>
      <c r="N989" s="650">
        <v>44493.0</v>
      </c>
      <c r="O989" s="474">
        <v>300.0</v>
      </c>
      <c r="P989" s="134"/>
    </row>
    <row r="990">
      <c r="D990" s="132"/>
      <c r="G990" s="661"/>
      <c r="J990" s="471"/>
      <c r="L990" s="471"/>
      <c r="M990" s="627" t="s">
        <v>2595</v>
      </c>
      <c r="N990" s="650">
        <v>44493.0</v>
      </c>
      <c r="O990" s="474">
        <v>50.0</v>
      </c>
      <c r="P990" s="189"/>
      <c r="Q990" s="122"/>
    </row>
    <row r="991">
      <c r="D991" s="132"/>
      <c r="G991" s="661"/>
      <c r="J991" s="471"/>
      <c r="L991" s="471"/>
      <c r="M991" s="627"/>
      <c r="N991" s="627"/>
      <c r="O991" s="474"/>
      <c r="P991" s="630"/>
    </row>
    <row r="992">
      <c r="D992" s="132"/>
      <c r="G992" s="661"/>
      <c r="J992" s="471"/>
      <c r="L992" s="471"/>
      <c r="M992" s="627"/>
      <c r="N992" s="627"/>
      <c r="O992" s="474"/>
      <c r="P992" s="631"/>
      <c r="Q992" s="632"/>
    </row>
    <row r="993">
      <c r="D993" s="132"/>
      <c r="G993" s="661"/>
      <c r="J993" s="471"/>
      <c r="L993" s="471"/>
      <c r="M993" s="627"/>
      <c r="N993" s="627"/>
      <c r="O993" s="474"/>
    </row>
    <row r="994">
      <c r="D994" s="132"/>
      <c r="G994" s="661"/>
      <c r="J994" s="471"/>
      <c r="L994" s="471"/>
      <c r="M994" s="627"/>
      <c r="N994" s="627"/>
      <c r="O994" s="474"/>
    </row>
    <row r="995">
      <c r="D995" s="132"/>
      <c r="G995" s="661"/>
      <c r="J995" s="471"/>
      <c r="L995" s="471"/>
      <c r="M995" s="627"/>
      <c r="N995" s="627"/>
      <c r="O995" s="474"/>
    </row>
    <row r="996">
      <c r="G996" s="661"/>
      <c r="J996" s="471"/>
      <c r="L996" s="471"/>
      <c r="M996" s="627"/>
      <c r="N996" s="627"/>
      <c r="O996" s="474"/>
    </row>
    <row r="997">
      <c r="G997" s="661"/>
      <c r="J997" s="471"/>
      <c r="L997" s="471"/>
      <c r="M997" s="627"/>
      <c r="N997" s="627"/>
      <c r="O997" s="474"/>
    </row>
    <row r="998">
      <c r="D998" s="134"/>
      <c r="G998" s="661"/>
      <c r="J998" s="471"/>
      <c r="L998" s="471"/>
      <c r="M998" s="627"/>
      <c r="N998" s="627"/>
      <c r="O998" s="474"/>
    </row>
    <row r="999">
      <c r="G999" s="661"/>
      <c r="J999" s="471"/>
      <c r="L999" s="471"/>
      <c r="M999" s="627"/>
      <c r="N999" s="627"/>
      <c r="O999" s="474"/>
    </row>
    <row r="1000">
      <c r="D1000" s="139"/>
      <c r="G1000" s="661"/>
      <c r="J1000" s="471"/>
      <c r="L1000" s="471"/>
      <c r="M1000" s="627"/>
      <c r="N1000" s="627"/>
      <c r="O1000" s="474"/>
    </row>
    <row r="1001">
      <c r="D1001" s="132"/>
      <c r="G1001" s="661"/>
      <c r="J1001" s="471"/>
      <c r="L1001" s="471"/>
      <c r="M1001" s="627"/>
      <c r="N1001" s="627"/>
      <c r="O1001" s="474"/>
    </row>
    <row r="1002">
      <c r="D1002" s="132"/>
      <c r="G1002" s="661"/>
      <c r="J1002" s="471"/>
      <c r="L1002" s="471"/>
      <c r="M1002" s="627"/>
      <c r="N1002" s="627"/>
      <c r="O1002" s="474"/>
    </row>
    <row r="1003">
      <c r="G1003" s="661"/>
      <c r="J1003" s="471"/>
      <c r="L1003" s="471"/>
      <c r="M1003" s="627"/>
      <c r="N1003" s="627"/>
      <c r="O1003" s="474"/>
    </row>
    <row r="1004">
      <c r="G1004" s="661"/>
      <c r="J1004" s="471"/>
      <c r="L1004" s="471"/>
    </row>
    <row r="1005">
      <c r="G1005" s="661"/>
      <c r="J1005" s="471"/>
      <c r="L1005" s="471"/>
      <c r="M1005" s="130"/>
      <c r="N1005" s="130"/>
      <c r="O1005" s="124"/>
      <c r="P1005" s="130"/>
      <c r="Q1005" s="128"/>
    </row>
    <row r="1006">
      <c r="D1006" s="132"/>
      <c r="G1006" s="661"/>
      <c r="J1006" s="471"/>
      <c r="L1006" s="471"/>
      <c r="M1006" s="627"/>
      <c r="N1006" s="627"/>
      <c r="O1006" s="474"/>
      <c r="P1006" s="125"/>
    </row>
    <row r="1007">
      <c r="G1007" s="661"/>
      <c r="J1007" s="471"/>
      <c r="L1007" s="471"/>
      <c r="M1007" s="627"/>
      <c r="N1007" s="627"/>
      <c r="O1007" s="474"/>
      <c r="P1007" s="134"/>
    </row>
    <row r="1008">
      <c r="D1008" s="132"/>
      <c r="G1008" s="661"/>
      <c r="J1008" s="471"/>
      <c r="L1008" s="471"/>
      <c r="M1008" s="627"/>
      <c r="N1008" s="627"/>
      <c r="O1008" s="474"/>
      <c r="P1008" s="189"/>
      <c r="Q1008" s="122"/>
    </row>
    <row r="1009">
      <c r="D1009" s="132"/>
      <c r="G1009" s="661"/>
      <c r="J1009" s="471"/>
      <c r="L1009" s="471"/>
      <c r="M1009" s="627"/>
      <c r="N1009" s="627"/>
      <c r="O1009" s="474"/>
      <c r="P1009" s="630"/>
    </row>
    <row r="1010">
      <c r="G1010" s="661"/>
      <c r="J1010" s="471"/>
      <c r="L1010" s="471"/>
      <c r="M1010" s="627"/>
      <c r="N1010" s="627"/>
      <c r="O1010" s="474"/>
      <c r="P1010" s="631"/>
      <c r="Q1010" s="632"/>
    </row>
    <row r="1011">
      <c r="D1011" s="132"/>
      <c r="G1011" s="661"/>
      <c r="J1011" s="471"/>
      <c r="L1011" s="471"/>
      <c r="M1011" s="627"/>
      <c r="N1011" s="627"/>
      <c r="O1011" s="474"/>
    </row>
    <row r="1012">
      <c r="G1012" s="661"/>
      <c r="J1012" s="471"/>
      <c r="L1012" s="471"/>
      <c r="M1012" s="627"/>
      <c r="N1012" s="627"/>
      <c r="O1012" s="474"/>
    </row>
    <row r="1013">
      <c r="G1013" s="661"/>
      <c r="J1013" s="471"/>
      <c r="L1013" s="471"/>
      <c r="M1013" s="627"/>
      <c r="N1013" s="627"/>
      <c r="O1013" s="474"/>
    </row>
    <row r="1014">
      <c r="G1014" s="661"/>
      <c r="J1014" s="471"/>
      <c r="L1014" s="471"/>
      <c r="M1014" s="627"/>
      <c r="N1014" s="627"/>
      <c r="O1014" s="474"/>
    </row>
    <row r="1015">
      <c r="D1015" s="132"/>
      <c r="G1015" s="661"/>
      <c r="J1015" s="471"/>
      <c r="L1015" s="471"/>
      <c r="M1015" s="627"/>
      <c r="N1015" s="627"/>
      <c r="O1015" s="474"/>
    </row>
    <row r="1016">
      <c r="G1016" s="661"/>
      <c r="J1016" s="471"/>
      <c r="L1016" s="471"/>
      <c r="M1016" s="627"/>
      <c r="N1016" s="627"/>
      <c r="O1016" s="474"/>
    </row>
    <row r="1017">
      <c r="D1017" s="149"/>
      <c r="G1017" s="661"/>
      <c r="J1017" s="471"/>
      <c r="L1017" s="471"/>
      <c r="M1017" s="627"/>
      <c r="N1017" s="627"/>
      <c r="O1017" s="474"/>
    </row>
    <row r="1018">
      <c r="G1018" s="661"/>
      <c r="J1018" s="471"/>
      <c r="L1018" s="471"/>
      <c r="M1018" s="627"/>
      <c r="N1018" s="627"/>
      <c r="O1018" s="474"/>
    </row>
    <row r="1019">
      <c r="D1019" s="132"/>
      <c r="G1019" s="661"/>
      <c r="J1019" s="471"/>
      <c r="L1019" s="471"/>
      <c r="M1019" s="627"/>
      <c r="N1019" s="627"/>
      <c r="O1019" s="474"/>
    </row>
    <row r="1020">
      <c r="D1020" s="132"/>
      <c r="G1020" s="661"/>
      <c r="J1020" s="471"/>
      <c r="L1020" s="471"/>
      <c r="M1020" s="627"/>
      <c r="N1020" s="627"/>
      <c r="O1020" s="474"/>
    </row>
    <row r="1021">
      <c r="D1021" s="132"/>
      <c r="G1021" s="661"/>
      <c r="J1021" s="471"/>
      <c r="L1021" s="471"/>
      <c r="M1021" s="627"/>
      <c r="N1021" s="627"/>
      <c r="O1021" s="474"/>
    </row>
    <row r="1022">
      <c r="D1022" s="132"/>
      <c r="G1022" s="661"/>
      <c r="J1022" s="471"/>
      <c r="L1022" s="471"/>
    </row>
    <row r="1023">
      <c r="D1023" s="132"/>
      <c r="G1023" s="661"/>
      <c r="J1023" s="471"/>
      <c r="L1023" s="471"/>
    </row>
    <row r="1024">
      <c r="D1024" s="132"/>
      <c r="G1024" s="661"/>
      <c r="J1024" s="471"/>
      <c r="L1024" s="471"/>
    </row>
    <row r="1025">
      <c r="G1025" s="661"/>
      <c r="J1025" s="471"/>
      <c r="L1025" s="471"/>
    </row>
    <row r="1026">
      <c r="D1026" s="132"/>
      <c r="G1026" s="661"/>
      <c r="J1026" s="471"/>
      <c r="L1026" s="471"/>
    </row>
    <row r="1027">
      <c r="D1027" s="132"/>
      <c r="G1027" s="661"/>
      <c r="J1027" s="471"/>
      <c r="L1027" s="471"/>
    </row>
    <row r="1028">
      <c r="G1028" s="661"/>
      <c r="J1028" s="471"/>
      <c r="L1028" s="471"/>
    </row>
    <row r="1029">
      <c r="D1029" s="270"/>
      <c r="G1029" s="661"/>
      <c r="J1029" s="471"/>
      <c r="L1029" s="471"/>
    </row>
    <row r="1030">
      <c r="G1030" s="661"/>
      <c r="J1030" s="471"/>
      <c r="L1030" s="471"/>
    </row>
    <row r="1031">
      <c r="D1031" s="132"/>
      <c r="G1031" s="661"/>
      <c r="J1031" s="471"/>
      <c r="L1031" s="471"/>
    </row>
    <row r="1032">
      <c r="G1032" s="661"/>
      <c r="J1032" s="471"/>
      <c r="L1032" s="471"/>
    </row>
    <row r="1033">
      <c r="D1033" s="132"/>
      <c r="G1033" s="661"/>
      <c r="J1033" s="471"/>
      <c r="L1033" s="471"/>
    </row>
    <row r="1034">
      <c r="D1034" s="132"/>
      <c r="G1034" s="661"/>
      <c r="J1034" s="471"/>
      <c r="L1034" s="471"/>
    </row>
    <row r="1035">
      <c r="D1035" s="132"/>
      <c r="G1035" s="661"/>
      <c r="J1035" s="471"/>
      <c r="L1035" s="471"/>
    </row>
    <row r="1036">
      <c r="G1036" s="661"/>
      <c r="J1036" s="471"/>
      <c r="L1036" s="471"/>
    </row>
    <row r="1037">
      <c r="D1037" s="132"/>
      <c r="G1037" s="661"/>
      <c r="J1037" s="471"/>
      <c r="L1037" s="471"/>
    </row>
    <row r="1038">
      <c r="G1038" s="661"/>
      <c r="J1038" s="471"/>
      <c r="L1038" s="471"/>
    </row>
    <row r="1039">
      <c r="D1039" s="132"/>
      <c r="G1039" s="661"/>
      <c r="J1039" s="471"/>
      <c r="L1039" s="471"/>
    </row>
    <row r="1040">
      <c r="D1040" s="132"/>
      <c r="G1040" s="661"/>
      <c r="J1040" s="471"/>
      <c r="L1040" s="471"/>
    </row>
    <row r="1041">
      <c r="D1041" s="132"/>
      <c r="G1041" s="661"/>
      <c r="J1041" s="471"/>
      <c r="L1041" s="471"/>
    </row>
    <row r="1042">
      <c r="D1042" s="149"/>
      <c r="G1042" s="661"/>
      <c r="J1042" s="471"/>
      <c r="L1042" s="471"/>
    </row>
    <row r="1043">
      <c r="D1043" s="132"/>
      <c r="G1043" s="661"/>
      <c r="J1043" s="471"/>
      <c r="L1043" s="471"/>
    </row>
    <row r="1044">
      <c r="D1044" s="132"/>
      <c r="G1044" s="661"/>
      <c r="J1044" s="471"/>
      <c r="L1044" s="471"/>
    </row>
    <row r="1045">
      <c r="G1045" s="661"/>
      <c r="J1045" s="471"/>
      <c r="L1045" s="471"/>
    </row>
    <row r="1046">
      <c r="D1046" s="132"/>
      <c r="G1046" s="661"/>
      <c r="J1046" s="471"/>
      <c r="L1046" s="471"/>
    </row>
    <row r="1047">
      <c r="G1047" s="661"/>
      <c r="J1047" s="471"/>
      <c r="L1047" s="471"/>
    </row>
    <row r="1048">
      <c r="D1048" s="132"/>
      <c r="G1048" s="661"/>
      <c r="J1048" s="471"/>
      <c r="L1048" s="471"/>
    </row>
    <row r="1049">
      <c r="D1049" s="132"/>
      <c r="G1049" s="661"/>
      <c r="J1049" s="471"/>
      <c r="L1049" s="471"/>
    </row>
    <row r="1050">
      <c r="D1050" s="132"/>
      <c r="G1050" s="661"/>
      <c r="J1050" s="471"/>
      <c r="L1050" s="471"/>
    </row>
    <row r="1051">
      <c r="D1051" s="132"/>
      <c r="G1051" s="661"/>
      <c r="J1051" s="471"/>
      <c r="L1051" s="471"/>
    </row>
    <row r="1052">
      <c r="D1052" s="149"/>
      <c r="G1052" s="661"/>
      <c r="J1052" s="471"/>
      <c r="L1052" s="471"/>
    </row>
    <row r="1053">
      <c r="G1053" s="661"/>
      <c r="J1053" s="471"/>
      <c r="L1053" s="471"/>
    </row>
    <row r="1054">
      <c r="D1054" s="132"/>
      <c r="G1054" s="661"/>
      <c r="J1054" s="471"/>
      <c r="L1054" s="471"/>
    </row>
    <row r="1055">
      <c r="D1055" s="208"/>
      <c r="G1055" s="661"/>
      <c r="J1055" s="471"/>
      <c r="L1055" s="471"/>
    </row>
    <row r="1056">
      <c r="D1056" s="132"/>
      <c r="G1056" s="661"/>
      <c r="J1056" s="471"/>
      <c r="L1056" s="471"/>
    </row>
    <row r="1057">
      <c r="D1057" s="132"/>
      <c r="G1057" s="661"/>
      <c r="J1057" s="471"/>
      <c r="L1057" s="471"/>
    </row>
    <row r="1058">
      <c r="D1058" s="132"/>
      <c r="G1058" s="661"/>
      <c r="J1058" s="471"/>
      <c r="L1058" s="471"/>
    </row>
    <row r="1059">
      <c r="D1059" s="132"/>
      <c r="G1059" s="661"/>
      <c r="J1059" s="471"/>
      <c r="L1059" s="471"/>
    </row>
    <row r="1060">
      <c r="D1060" s="132"/>
      <c r="G1060" s="661"/>
      <c r="J1060" s="471"/>
      <c r="L1060" s="471"/>
    </row>
    <row r="1061">
      <c r="G1061" s="661"/>
      <c r="J1061" s="471"/>
      <c r="L1061" s="471"/>
    </row>
    <row r="1062">
      <c r="D1062" s="132"/>
      <c r="G1062" s="661"/>
      <c r="J1062" s="471"/>
      <c r="L1062" s="471"/>
    </row>
    <row r="1063">
      <c r="D1063" s="132"/>
      <c r="G1063" s="661"/>
      <c r="J1063" s="471"/>
      <c r="L1063" s="471"/>
    </row>
    <row r="1064">
      <c r="D1064" s="132"/>
      <c r="G1064" s="661"/>
      <c r="J1064" s="471"/>
      <c r="L1064" s="471"/>
    </row>
    <row r="1065">
      <c r="D1065" s="132"/>
      <c r="G1065" s="661"/>
      <c r="J1065" s="471"/>
      <c r="L1065" s="471"/>
    </row>
    <row r="1066">
      <c r="D1066" s="132"/>
      <c r="G1066" s="661"/>
      <c r="J1066" s="471"/>
      <c r="L1066" s="471"/>
    </row>
    <row r="1067">
      <c r="D1067" s="132"/>
      <c r="G1067" s="661"/>
      <c r="J1067" s="471"/>
      <c r="L1067" s="471"/>
    </row>
    <row r="1068">
      <c r="D1068" s="132"/>
      <c r="G1068" s="661"/>
      <c r="J1068" s="471"/>
      <c r="L1068" s="471"/>
    </row>
    <row r="1069">
      <c r="D1069" s="132"/>
      <c r="G1069" s="661"/>
      <c r="J1069" s="471"/>
      <c r="L1069" s="471"/>
    </row>
    <row r="1070">
      <c r="D1070" s="132"/>
      <c r="G1070" s="661"/>
      <c r="J1070" s="471"/>
      <c r="L1070" s="471"/>
    </row>
    <row r="1071">
      <c r="D1071" s="132"/>
      <c r="G1071" s="661"/>
      <c r="J1071" s="471"/>
      <c r="L1071" s="471"/>
    </row>
    <row r="1072">
      <c r="D1072" s="132"/>
      <c r="G1072" s="661"/>
      <c r="J1072" s="471"/>
      <c r="L1072" s="471"/>
    </row>
    <row r="1073">
      <c r="D1073" s="132"/>
      <c r="G1073" s="661"/>
      <c r="J1073" s="471"/>
      <c r="L1073" s="471"/>
    </row>
    <row r="1074">
      <c r="D1074" s="132"/>
      <c r="G1074" s="661"/>
      <c r="J1074" s="471"/>
      <c r="L1074" s="471"/>
    </row>
    <row r="1075">
      <c r="D1075" s="132"/>
      <c r="G1075" s="661"/>
      <c r="J1075" s="471"/>
      <c r="L1075" s="471"/>
    </row>
    <row r="1076">
      <c r="G1076" s="661"/>
      <c r="J1076" s="471"/>
      <c r="L1076" s="471"/>
    </row>
    <row r="1077">
      <c r="D1077" s="132"/>
      <c r="G1077" s="661"/>
      <c r="J1077" s="471"/>
      <c r="L1077" s="471"/>
    </row>
    <row r="1078">
      <c r="D1078" s="132"/>
      <c r="G1078" s="661"/>
      <c r="J1078" s="471"/>
      <c r="L1078" s="471"/>
    </row>
    <row r="1079">
      <c r="D1079" s="132"/>
      <c r="G1079" s="661"/>
      <c r="J1079" s="471"/>
      <c r="L1079" s="471"/>
    </row>
    <row r="1080">
      <c r="D1080" s="132"/>
      <c r="G1080" s="661"/>
      <c r="J1080" s="471"/>
      <c r="L1080" s="471"/>
    </row>
    <row r="1081">
      <c r="D1081" s="132"/>
      <c r="G1081" s="661"/>
      <c r="J1081" s="471"/>
      <c r="L1081" s="471"/>
    </row>
    <row r="1082">
      <c r="G1082" s="661"/>
      <c r="J1082" s="471"/>
      <c r="L1082" s="471"/>
    </row>
    <row r="1083">
      <c r="D1083" s="132"/>
      <c r="G1083" s="661"/>
      <c r="J1083" s="471"/>
      <c r="L1083" s="471"/>
    </row>
    <row r="1084">
      <c r="G1084" s="661"/>
      <c r="J1084" s="471"/>
      <c r="L1084" s="471"/>
    </row>
    <row r="1085">
      <c r="G1085" s="661"/>
      <c r="J1085" s="471"/>
      <c r="L1085" s="471"/>
    </row>
    <row r="1086">
      <c r="G1086" s="661"/>
      <c r="J1086" s="471"/>
      <c r="L1086" s="471"/>
    </row>
    <row r="1087">
      <c r="D1087" s="132"/>
      <c r="G1087" s="661"/>
      <c r="J1087" s="471"/>
      <c r="L1087" s="471"/>
    </row>
    <row r="1088">
      <c r="D1088" s="132"/>
      <c r="G1088" s="661"/>
      <c r="J1088" s="471"/>
      <c r="L1088" s="471"/>
    </row>
    <row r="1089">
      <c r="G1089" s="661"/>
      <c r="J1089" s="471"/>
      <c r="L1089" s="471"/>
    </row>
    <row r="1090">
      <c r="D1090" s="132"/>
      <c r="G1090" s="661"/>
      <c r="J1090" s="471"/>
      <c r="L1090" s="471"/>
    </row>
    <row r="1091">
      <c r="D1091" s="132"/>
      <c r="G1091" s="661"/>
      <c r="J1091" s="471"/>
      <c r="L1091" s="471"/>
    </row>
    <row r="1092">
      <c r="G1092" s="661"/>
      <c r="J1092" s="471"/>
      <c r="L1092" s="471"/>
    </row>
    <row r="1093">
      <c r="D1093" s="132"/>
      <c r="G1093" s="661"/>
      <c r="J1093" s="471"/>
      <c r="L1093" s="471"/>
    </row>
    <row r="1094">
      <c r="G1094" s="661"/>
      <c r="J1094" s="471"/>
      <c r="L1094" s="471"/>
    </row>
    <row r="1095">
      <c r="D1095" s="132"/>
      <c r="G1095" s="661"/>
      <c r="J1095" s="471"/>
      <c r="L1095" s="471"/>
    </row>
    <row r="1096">
      <c r="D1096" s="132"/>
      <c r="G1096" s="661"/>
      <c r="J1096" s="471"/>
      <c r="L1096" s="471"/>
    </row>
    <row r="1097">
      <c r="D1097" s="132"/>
      <c r="G1097" s="661"/>
      <c r="J1097" s="471"/>
      <c r="L1097" s="471"/>
    </row>
    <row r="1098">
      <c r="D1098" s="132"/>
      <c r="G1098" s="661"/>
      <c r="J1098" s="471"/>
      <c r="L1098" s="471"/>
    </row>
    <row r="1099">
      <c r="G1099" s="661"/>
      <c r="J1099" s="471"/>
      <c r="L1099" s="471"/>
    </row>
    <row r="1100">
      <c r="D1100" s="132"/>
      <c r="G1100" s="661"/>
      <c r="J1100" s="471"/>
      <c r="L1100" s="471"/>
    </row>
    <row r="1101">
      <c r="D1101" s="132"/>
      <c r="G1101" s="661"/>
      <c r="J1101" s="471"/>
      <c r="L1101" s="471"/>
    </row>
    <row r="1102">
      <c r="G1102" s="661"/>
      <c r="J1102" s="471"/>
      <c r="L1102" s="471"/>
    </row>
    <row r="1103">
      <c r="G1103" s="661"/>
      <c r="J1103" s="471"/>
      <c r="L1103" s="471"/>
    </row>
    <row r="1104">
      <c r="G1104" s="661"/>
      <c r="J1104" s="471"/>
      <c r="L1104" s="471"/>
    </row>
    <row r="1105">
      <c r="G1105" s="661"/>
      <c r="J1105" s="471"/>
      <c r="L1105" s="471"/>
    </row>
    <row r="1106">
      <c r="D1106" s="132"/>
      <c r="G1106" s="661"/>
      <c r="J1106" s="471"/>
      <c r="L1106" s="471"/>
    </row>
    <row r="1107">
      <c r="D1107" s="139"/>
      <c r="G1107" s="661"/>
      <c r="J1107" s="471"/>
      <c r="L1107" s="471"/>
    </row>
    <row r="1108">
      <c r="D1108" s="145"/>
      <c r="G1108" s="661"/>
      <c r="J1108" s="471"/>
      <c r="L1108" s="471"/>
    </row>
    <row r="1109">
      <c r="D1109" s="139"/>
      <c r="G1109" s="661"/>
      <c r="J1109" s="471"/>
      <c r="L1109" s="471"/>
    </row>
    <row r="1110">
      <c r="D1110" s="139"/>
      <c r="G1110" s="661"/>
      <c r="J1110" s="471"/>
      <c r="L1110" s="471"/>
    </row>
    <row r="1111">
      <c r="D1111" s="132"/>
      <c r="G1111" s="661"/>
      <c r="J1111" s="471"/>
      <c r="L1111" s="471"/>
    </row>
    <row r="1112">
      <c r="D1112" s="132"/>
      <c r="G1112" s="661"/>
      <c r="J1112" s="471"/>
      <c r="L1112" s="471"/>
    </row>
    <row r="1113">
      <c r="D1113" s="132"/>
      <c r="G1113" s="661"/>
      <c r="J1113" s="471"/>
      <c r="L1113" s="471"/>
    </row>
    <row r="1114">
      <c r="G1114" s="661"/>
      <c r="J1114" s="471"/>
      <c r="L1114" s="471"/>
    </row>
    <row r="1115">
      <c r="D1115" s="132"/>
      <c r="G1115" s="661"/>
      <c r="J1115" s="471"/>
      <c r="L1115" s="471"/>
    </row>
    <row r="1116">
      <c r="D1116" s="132"/>
      <c r="G1116" s="661"/>
      <c r="J1116" s="471"/>
      <c r="L1116" s="471"/>
    </row>
    <row r="1117">
      <c r="D1117" s="132"/>
      <c r="G1117" s="661"/>
      <c r="J1117" s="471"/>
      <c r="L1117" s="471"/>
    </row>
    <row r="1118">
      <c r="D1118" s="132"/>
      <c r="G1118" s="661"/>
      <c r="J1118" s="471"/>
      <c r="L1118" s="471"/>
    </row>
    <row r="1119">
      <c r="D1119" s="132"/>
      <c r="G1119" s="661"/>
      <c r="J1119" s="471"/>
      <c r="L1119" s="471"/>
    </row>
    <row r="1120">
      <c r="D1120" s="132"/>
      <c r="G1120" s="661"/>
      <c r="J1120" s="471"/>
      <c r="L1120" s="471"/>
    </row>
    <row r="1121">
      <c r="G1121" s="661"/>
      <c r="J1121" s="471"/>
      <c r="L1121" s="471"/>
    </row>
    <row r="1122">
      <c r="D1122" s="132"/>
      <c r="G1122" s="661"/>
      <c r="J1122" s="471"/>
      <c r="L1122" s="471"/>
    </row>
    <row r="1123">
      <c r="D1123" s="132"/>
      <c r="G1123" s="661"/>
      <c r="J1123" s="471"/>
      <c r="L1123" s="471"/>
    </row>
    <row r="1124">
      <c r="D1124" s="132"/>
      <c r="G1124" s="661"/>
      <c r="J1124" s="471"/>
      <c r="L1124" s="471"/>
    </row>
    <row r="1125">
      <c r="D1125" s="132"/>
      <c r="G1125" s="661"/>
      <c r="J1125" s="471"/>
      <c r="L1125" s="471"/>
    </row>
    <row r="1126">
      <c r="D1126" s="132"/>
      <c r="G1126" s="661"/>
      <c r="J1126" s="471"/>
      <c r="L1126" s="471"/>
    </row>
    <row r="1127">
      <c r="D1127" s="132"/>
      <c r="G1127" s="661"/>
      <c r="J1127" s="471"/>
      <c r="L1127" s="471"/>
    </row>
    <row r="1128">
      <c r="D1128" s="132"/>
      <c r="G1128" s="661"/>
      <c r="J1128" s="471"/>
      <c r="L1128" s="471"/>
    </row>
    <row r="1129">
      <c r="D1129" s="132"/>
      <c r="G1129" s="661"/>
      <c r="J1129" s="471"/>
      <c r="L1129" s="471"/>
    </row>
    <row r="1130">
      <c r="D1130" s="132"/>
      <c r="G1130" s="661"/>
      <c r="J1130" s="471"/>
      <c r="L1130" s="471"/>
    </row>
    <row r="1131">
      <c r="D1131" s="132"/>
      <c r="G1131" s="661"/>
      <c r="J1131" s="471"/>
      <c r="L1131" s="471"/>
    </row>
    <row r="1132">
      <c r="D1132" s="132"/>
      <c r="G1132" s="661"/>
      <c r="J1132" s="471"/>
      <c r="L1132" s="471"/>
    </row>
    <row r="1133">
      <c r="D1133" s="132"/>
      <c r="G1133" s="661"/>
      <c r="J1133" s="471"/>
      <c r="L1133" s="471"/>
    </row>
    <row r="1134">
      <c r="D1134" s="132"/>
      <c r="G1134" s="661"/>
      <c r="J1134" s="471"/>
      <c r="L1134" s="471"/>
    </row>
    <row r="1135">
      <c r="D1135" s="132"/>
      <c r="G1135" s="661"/>
      <c r="J1135" s="471"/>
      <c r="L1135" s="471"/>
    </row>
    <row r="1136">
      <c r="D1136" s="132"/>
      <c r="G1136" s="661"/>
      <c r="J1136" s="471"/>
      <c r="L1136" s="471"/>
    </row>
    <row r="1137">
      <c r="D1137" s="149"/>
      <c r="G1137" s="661"/>
      <c r="J1137" s="471"/>
      <c r="L1137" s="471"/>
    </row>
    <row r="1138">
      <c r="D1138" s="132"/>
      <c r="G1138" s="661"/>
      <c r="J1138" s="471"/>
      <c r="L1138" s="471"/>
    </row>
    <row r="1139">
      <c r="G1139" s="661"/>
      <c r="J1139" s="471"/>
      <c r="L1139" s="471"/>
    </row>
    <row r="1140">
      <c r="D1140" s="132"/>
      <c r="G1140" s="661"/>
      <c r="J1140" s="471"/>
      <c r="L1140" s="471"/>
    </row>
    <row r="1141">
      <c r="D1141" s="132"/>
      <c r="G1141" s="661"/>
      <c r="J1141" s="471"/>
      <c r="L1141" s="471"/>
    </row>
    <row r="1142">
      <c r="D1142" s="132"/>
      <c r="G1142" s="661"/>
      <c r="J1142" s="471"/>
      <c r="L1142" s="471"/>
    </row>
    <row r="1143">
      <c r="D1143" s="132"/>
      <c r="G1143" s="661"/>
      <c r="J1143" s="471"/>
      <c r="L1143" s="471"/>
    </row>
    <row r="1144">
      <c r="D1144" s="132"/>
      <c r="G1144" s="661"/>
      <c r="J1144" s="471"/>
      <c r="L1144" s="471"/>
    </row>
    <row r="1145">
      <c r="D1145" s="132"/>
      <c r="G1145" s="661"/>
      <c r="J1145" s="471"/>
      <c r="L1145" s="471"/>
    </row>
    <row r="1146">
      <c r="D1146" s="132"/>
      <c r="G1146" s="661"/>
      <c r="J1146" s="471"/>
      <c r="L1146" s="471"/>
    </row>
    <row r="1147">
      <c r="D1147" s="132"/>
      <c r="G1147" s="661"/>
      <c r="J1147" s="471"/>
      <c r="L1147" s="471"/>
    </row>
    <row r="1148">
      <c r="D1148" s="149"/>
      <c r="G1148" s="661"/>
      <c r="J1148" s="471"/>
      <c r="L1148" s="471"/>
    </row>
    <row r="1149">
      <c r="D1149" s="132"/>
      <c r="G1149" s="661"/>
      <c r="J1149" s="471"/>
      <c r="L1149" s="471"/>
    </row>
    <row r="1150">
      <c r="D1150" s="132"/>
      <c r="G1150" s="661"/>
      <c r="J1150" s="471"/>
      <c r="L1150" s="471"/>
    </row>
    <row r="1151">
      <c r="D1151" s="132"/>
      <c r="G1151" s="661"/>
      <c r="J1151" s="471"/>
      <c r="L1151" s="471"/>
    </row>
    <row r="1152">
      <c r="D1152" s="132"/>
      <c r="G1152" s="661"/>
      <c r="J1152" s="471"/>
      <c r="L1152" s="471"/>
    </row>
    <row r="1153">
      <c r="D1153" s="132"/>
      <c r="G1153" s="661"/>
      <c r="J1153" s="471"/>
      <c r="L1153" s="471"/>
    </row>
    <row r="1154">
      <c r="D1154" s="132"/>
      <c r="G1154" s="661"/>
      <c r="J1154" s="471"/>
      <c r="L1154" s="471"/>
    </row>
    <row r="1155">
      <c r="D1155" s="132"/>
      <c r="G1155" s="661"/>
      <c r="J1155" s="471"/>
      <c r="L1155" s="471"/>
    </row>
    <row r="1156">
      <c r="D1156" s="132"/>
      <c r="G1156" s="661"/>
      <c r="J1156" s="471"/>
      <c r="L1156" s="471"/>
    </row>
    <row r="1157">
      <c r="D1157" s="132"/>
      <c r="G1157" s="661"/>
      <c r="J1157" s="471"/>
      <c r="L1157" s="471"/>
    </row>
    <row r="1158">
      <c r="D1158" s="132"/>
      <c r="G1158" s="661"/>
      <c r="J1158" s="471"/>
      <c r="L1158" s="471"/>
    </row>
    <row r="1159">
      <c r="D1159" s="132"/>
      <c r="G1159" s="661"/>
      <c r="J1159" s="471"/>
      <c r="L1159" s="471"/>
    </row>
    <row r="1160">
      <c r="D1160" s="132"/>
      <c r="G1160" s="661"/>
      <c r="J1160" s="471"/>
      <c r="L1160" s="471"/>
    </row>
    <row r="1161">
      <c r="D1161" s="132"/>
      <c r="G1161" s="661"/>
      <c r="J1161" s="471"/>
      <c r="L1161" s="471"/>
    </row>
    <row r="1162">
      <c r="D1162" s="132"/>
      <c r="G1162" s="661"/>
      <c r="J1162" s="471"/>
      <c r="L1162" s="471"/>
    </row>
    <row r="1163">
      <c r="D1163" s="132"/>
      <c r="G1163" s="661"/>
      <c r="J1163" s="471"/>
      <c r="L1163" s="471"/>
    </row>
    <row r="1164">
      <c r="D1164" s="132"/>
      <c r="G1164" s="661"/>
      <c r="J1164" s="471"/>
      <c r="L1164" s="471"/>
    </row>
    <row r="1165">
      <c r="D1165" s="132"/>
      <c r="G1165" s="661"/>
      <c r="J1165" s="471"/>
      <c r="L1165" s="471"/>
    </row>
    <row r="1166">
      <c r="D1166" s="132"/>
      <c r="G1166" s="661"/>
      <c r="J1166" s="471"/>
      <c r="L1166" s="471"/>
    </row>
    <row r="1167">
      <c r="D1167" s="132"/>
      <c r="G1167" s="661"/>
      <c r="J1167" s="471"/>
      <c r="L1167" s="471"/>
    </row>
    <row r="1168">
      <c r="D1168" s="132"/>
      <c r="G1168" s="661"/>
      <c r="J1168" s="471"/>
      <c r="L1168" s="471"/>
    </row>
    <row r="1169">
      <c r="D1169" s="132"/>
      <c r="G1169" s="661"/>
      <c r="J1169" s="471"/>
      <c r="L1169" s="471"/>
    </row>
    <row r="1170">
      <c r="D1170" s="132"/>
      <c r="G1170" s="661"/>
      <c r="J1170" s="471"/>
      <c r="L1170" s="471"/>
    </row>
    <row r="1171">
      <c r="D1171" s="132"/>
      <c r="G1171" s="661"/>
      <c r="J1171" s="471"/>
      <c r="L1171" s="471"/>
    </row>
    <row r="1172">
      <c r="D1172" s="132"/>
      <c r="G1172" s="661"/>
      <c r="J1172" s="471"/>
      <c r="L1172" s="471"/>
    </row>
    <row r="1173">
      <c r="D1173" s="132"/>
      <c r="G1173" s="661"/>
      <c r="J1173" s="471"/>
      <c r="L1173" s="471"/>
    </row>
    <row r="1174">
      <c r="D1174" s="132"/>
      <c r="G1174" s="661"/>
      <c r="J1174" s="471"/>
      <c r="L1174" s="471"/>
    </row>
    <row r="1175">
      <c r="D1175" s="132"/>
      <c r="G1175" s="661"/>
      <c r="J1175" s="471"/>
      <c r="L1175" s="471"/>
    </row>
    <row r="1176">
      <c r="D1176" s="132"/>
      <c r="G1176" s="661"/>
      <c r="J1176" s="471"/>
      <c r="L1176" s="471"/>
    </row>
    <row r="1177">
      <c r="D1177" s="132"/>
      <c r="G1177" s="661"/>
      <c r="J1177" s="471"/>
      <c r="L1177" s="471"/>
    </row>
    <row r="1178">
      <c r="D1178" s="132"/>
      <c r="G1178" s="661"/>
      <c r="J1178" s="471"/>
      <c r="L1178" s="471"/>
    </row>
    <row r="1179">
      <c r="D1179" s="132"/>
      <c r="G1179" s="661"/>
      <c r="J1179" s="471"/>
      <c r="L1179" s="471"/>
    </row>
    <row r="1180">
      <c r="G1180" s="661"/>
      <c r="J1180" s="471"/>
      <c r="L1180" s="471"/>
    </row>
    <row r="1181">
      <c r="D1181" s="132"/>
      <c r="G1181" s="661"/>
      <c r="J1181" s="471"/>
      <c r="L1181" s="471"/>
    </row>
    <row r="1182">
      <c r="D1182" s="132"/>
      <c r="G1182" s="661"/>
      <c r="J1182" s="471"/>
      <c r="L1182" s="471"/>
    </row>
    <row r="1183">
      <c r="D1183" s="132"/>
      <c r="G1183" s="661"/>
      <c r="J1183" s="471"/>
      <c r="L1183" s="471"/>
    </row>
    <row r="1184">
      <c r="D1184" s="132"/>
      <c r="G1184" s="661"/>
      <c r="J1184" s="471"/>
      <c r="L1184" s="471"/>
    </row>
    <row r="1185">
      <c r="D1185" s="132"/>
      <c r="G1185" s="661"/>
      <c r="J1185" s="471"/>
      <c r="L1185" s="471"/>
    </row>
    <row r="1186">
      <c r="D1186" s="132"/>
      <c r="G1186" s="661"/>
      <c r="J1186" s="471"/>
      <c r="L1186" s="471"/>
    </row>
    <row r="1187">
      <c r="D1187" s="132"/>
      <c r="G1187" s="661"/>
      <c r="J1187" s="471"/>
      <c r="L1187" s="471"/>
    </row>
    <row r="1188">
      <c r="D1188" s="132"/>
      <c r="G1188" s="661"/>
      <c r="J1188" s="471"/>
      <c r="L1188" s="471"/>
    </row>
    <row r="1189">
      <c r="D1189" s="149"/>
      <c r="G1189" s="661"/>
      <c r="J1189" s="471"/>
      <c r="L1189" s="471"/>
    </row>
    <row r="1190">
      <c r="D1190" s="132"/>
      <c r="G1190" s="661"/>
      <c r="J1190" s="471"/>
      <c r="L1190" s="471"/>
    </row>
    <row r="1191">
      <c r="D1191" s="132"/>
      <c r="G1191" s="661"/>
      <c r="J1191" s="471"/>
      <c r="L1191" s="471"/>
    </row>
    <row r="1192">
      <c r="D1192" s="149"/>
      <c r="G1192" s="661"/>
      <c r="J1192" s="471"/>
      <c r="L1192" s="471"/>
    </row>
    <row r="1193">
      <c r="D1193" s="149"/>
      <c r="G1193" s="661"/>
      <c r="J1193" s="471"/>
      <c r="L1193" s="471"/>
    </row>
    <row r="1194">
      <c r="D1194" s="132"/>
      <c r="G1194" s="661"/>
      <c r="J1194" s="471"/>
      <c r="L1194" s="471"/>
    </row>
    <row r="1195">
      <c r="G1195" s="661"/>
      <c r="J1195" s="471"/>
      <c r="L1195" s="471"/>
    </row>
    <row r="1196">
      <c r="D1196" s="132"/>
      <c r="G1196" s="661"/>
      <c r="J1196" s="471"/>
      <c r="L1196" s="471"/>
    </row>
    <row r="1197">
      <c r="G1197" s="661"/>
      <c r="J1197" s="471"/>
      <c r="L1197" s="471"/>
    </row>
    <row r="1198">
      <c r="D1198" s="149"/>
      <c r="G1198" s="661"/>
      <c r="J1198" s="471"/>
      <c r="L1198" s="471"/>
    </row>
    <row r="1199">
      <c r="D1199" s="149"/>
      <c r="G1199" s="661"/>
      <c r="J1199" s="471"/>
      <c r="L1199" s="471"/>
    </row>
    <row r="1200">
      <c r="D1200" s="132"/>
      <c r="G1200" s="661"/>
      <c r="J1200" s="471"/>
      <c r="L1200" s="471"/>
    </row>
    <row r="1201">
      <c r="D1201" s="132"/>
      <c r="G1201" s="661"/>
      <c r="J1201" s="471"/>
      <c r="L1201" s="471"/>
    </row>
    <row r="1202">
      <c r="D1202" s="132"/>
      <c r="G1202" s="661"/>
      <c r="J1202" s="471"/>
      <c r="L1202" s="471"/>
    </row>
    <row r="1203">
      <c r="D1203" s="132"/>
      <c r="G1203" s="661"/>
      <c r="J1203" s="471"/>
      <c r="L1203" s="471"/>
    </row>
    <row r="1204">
      <c r="D1204" s="132"/>
      <c r="G1204" s="661"/>
      <c r="J1204" s="471"/>
      <c r="L1204" s="471"/>
    </row>
    <row r="1205">
      <c r="D1205" s="132"/>
      <c r="G1205" s="661"/>
      <c r="J1205" s="471"/>
      <c r="L1205" s="471"/>
    </row>
    <row r="1206">
      <c r="D1206" s="132"/>
      <c r="G1206" s="661"/>
      <c r="J1206" s="471"/>
      <c r="L1206" s="471"/>
    </row>
    <row r="1207">
      <c r="D1207" s="132"/>
      <c r="G1207" s="661"/>
      <c r="J1207" s="471"/>
      <c r="L1207" s="471"/>
    </row>
    <row r="1208">
      <c r="D1208" s="208"/>
      <c r="G1208" s="661"/>
      <c r="J1208" s="471"/>
      <c r="L1208" s="471"/>
    </row>
    <row r="1209">
      <c r="G1209" s="661"/>
      <c r="J1209" s="471"/>
      <c r="L1209" s="471"/>
    </row>
    <row r="1210">
      <c r="G1210" s="661"/>
      <c r="J1210" s="471"/>
      <c r="L1210" s="471"/>
    </row>
    <row r="1211">
      <c r="D1211" s="132"/>
      <c r="G1211" s="661"/>
      <c r="J1211" s="471"/>
      <c r="L1211" s="471"/>
    </row>
    <row r="1212">
      <c r="D1212" s="132"/>
      <c r="G1212" s="661"/>
      <c r="J1212" s="471"/>
      <c r="L1212" s="471"/>
    </row>
    <row r="1213">
      <c r="G1213" s="661"/>
      <c r="J1213" s="471"/>
      <c r="L1213" s="471"/>
    </row>
    <row r="1214">
      <c r="D1214" s="132"/>
      <c r="G1214" s="661"/>
      <c r="J1214" s="471"/>
      <c r="L1214" s="471"/>
    </row>
    <row r="1215">
      <c r="D1215" s="132"/>
      <c r="G1215" s="661"/>
      <c r="J1215" s="471"/>
      <c r="L1215" s="471"/>
    </row>
    <row r="1216">
      <c r="D1216" s="132"/>
      <c r="G1216" s="661"/>
      <c r="J1216" s="471"/>
      <c r="L1216" s="471"/>
    </row>
    <row r="1217">
      <c r="D1217" s="132"/>
      <c r="G1217" s="661"/>
      <c r="J1217" s="471"/>
      <c r="L1217" s="471"/>
    </row>
    <row r="1218">
      <c r="D1218" s="132"/>
      <c r="G1218" s="661"/>
      <c r="J1218" s="471"/>
      <c r="L1218" s="471"/>
    </row>
    <row r="1219">
      <c r="D1219" s="149"/>
      <c r="G1219" s="661"/>
      <c r="J1219" s="471"/>
      <c r="L1219" s="471"/>
    </row>
    <row r="1220">
      <c r="D1220" s="208"/>
      <c r="G1220" s="661"/>
      <c r="J1220" s="471"/>
      <c r="L1220" s="471"/>
    </row>
    <row r="1221">
      <c r="G1221" s="661"/>
      <c r="J1221" s="471"/>
      <c r="L1221" s="471"/>
    </row>
    <row r="1222">
      <c r="D1222" s="149"/>
      <c r="G1222" s="661"/>
      <c r="J1222" s="471"/>
      <c r="L1222" s="471"/>
    </row>
    <row r="1223">
      <c r="D1223" s="132"/>
      <c r="G1223" s="661"/>
      <c r="J1223" s="471"/>
      <c r="L1223" s="471"/>
    </row>
    <row r="1224">
      <c r="D1224" s="132"/>
      <c r="G1224" s="661"/>
      <c r="J1224" s="471"/>
      <c r="L1224" s="471"/>
    </row>
    <row r="1225">
      <c r="D1225" s="132"/>
      <c r="G1225" s="661"/>
      <c r="J1225" s="471"/>
      <c r="L1225" s="471"/>
    </row>
    <row r="1226">
      <c r="D1226" s="132"/>
      <c r="G1226" s="661"/>
      <c r="J1226" s="471"/>
      <c r="L1226" s="471"/>
    </row>
    <row r="1227">
      <c r="G1227" s="661"/>
      <c r="J1227" s="471"/>
      <c r="L1227" s="471"/>
    </row>
    <row r="1228">
      <c r="D1228" s="132"/>
      <c r="G1228" s="661"/>
      <c r="J1228" s="471"/>
      <c r="L1228" s="471"/>
    </row>
    <row r="1229">
      <c r="D1229" s="149"/>
      <c r="G1229" s="661"/>
      <c r="J1229" s="471"/>
      <c r="L1229" s="471"/>
    </row>
    <row r="1230">
      <c r="D1230" s="132"/>
      <c r="G1230" s="661"/>
      <c r="J1230" s="471"/>
      <c r="L1230" s="471"/>
    </row>
    <row r="1231">
      <c r="D1231" s="132"/>
      <c r="G1231" s="661"/>
      <c r="J1231" s="471"/>
      <c r="L1231" s="471"/>
    </row>
    <row r="1232">
      <c r="D1232" s="132"/>
      <c r="G1232" s="661"/>
      <c r="J1232" s="471"/>
      <c r="L1232" s="471"/>
    </row>
    <row r="1233">
      <c r="D1233" s="132"/>
      <c r="G1233" s="661"/>
      <c r="J1233" s="471"/>
      <c r="L1233" s="471"/>
    </row>
    <row r="1234">
      <c r="G1234" s="661"/>
      <c r="J1234" s="471"/>
      <c r="L1234" s="471"/>
    </row>
    <row r="1235">
      <c r="D1235" s="132"/>
      <c r="G1235" s="661"/>
      <c r="J1235" s="471"/>
      <c r="L1235" s="471"/>
    </row>
    <row r="1236">
      <c r="D1236" s="132"/>
      <c r="G1236" s="661"/>
      <c r="J1236" s="471"/>
      <c r="L1236" s="471"/>
    </row>
    <row r="1237">
      <c r="D1237" s="132"/>
      <c r="G1237" s="661"/>
      <c r="J1237" s="471"/>
      <c r="L1237" s="471"/>
    </row>
    <row r="1238">
      <c r="D1238" s="149"/>
      <c r="G1238" s="661"/>
      <c r="J1238" s="471"/>
      <c r="L1238" s="471"/>
    </row>
    <row r="1239">
      <c r="D1239" s="132"/>
      <c r="G1239" s="661"/>
      <c r="J1239" s="471"/>
      <c r="L1239" s="471"/>
    </row>
    <row r="1240">
      <c r="G1240" s="661"/>
      <c r="J1240" s="471"/>
      <c r="L1240" s="471"/>
    </row>
    <row r="1241">
      <c r="D1241" s="132"/>
      <c r="G1241" s="661"/>
      <c r="J1241" s="471"/>
      <c r="L1241" s="471"/>
    </row>
    <row r="1242">
      <c r="D1242" s="132"/>
      <c r="G1242" s="661"/>
      <c r="J1242" s="471"/>
      <c r="L1242" s="471"/>
    </row>
    <row r="1243">
      <c r="D1243" s="132"/>
      <c r="G1243" s="661"/>
      <c r="J1243" s="471"/>
      <c r="L1243" s="471"/>
    </row>
    <row r="1244">
      <c r="D1244" s="132"/>
      <c r="G1244" s="661"/>
      <c r="J1244" s="471"/>
      <c r="L1244" s="471"/>
    </row>
    <row r="1245">
      <c r="D1245" s="132"/>
      <c r="G1245" s="661"/>
      <c r="J1245" s="471"/>
      <c r="L1245" s="471"/>
    </row>
    <row r="1246">
      <c r="D1246" s="149"/>
      <c r="G1246" s="661"/>
      <c r="J1246" s="471"/>
      <c r="L1246" s="471"/>
    </row>
    <row r="1247">
      <c r="D1247" s="132"/>
      <c r="G1247" s="661"/>
      <c r="J1247" s="471"/>
      <c r="L1247" s="471"/>
    </row>
    <row r="1248">
      <c r="G1248" s="661"/>
      <c r="J1248" s="471"/>
      <c r="L1248" s="471"/>
    </row>
    <row r="1249">
      <c r="G1249" s="661"/>
      <c r="J1249" s="471"/>
      <c r="L1249" s="471"/>
    </row>
    <row r="1250">
      <c r="D1250" s="132"/>
      <c r="G1250" s="661"/>
      <c r="J1250" s="471"/>
      <c r="L1250" s="471"/>
    </row>
    <row r="1251">
      <c r="D1251" s="132"/>
      <c r="G1251" s="661"/>
      <c r="J1251" s="471"/>
      <c r="L1251" s="471"/>
    </row>
    <row r="1252">
      <c r="D1252" s="132"/>
      <c r="G1252" s="661"/>
      <c r="J1252" s="471"/>
      <c r="L1252" s="471"/>
    </row>
    <row r="1253">
      <c r="D1253" s="149"/>
      <c r="G1253" s="661"/>
      <c r="J1253" s="471"/>
      <c r="L1253" s="471"/>
    </row>
    <row r="1254">
      <c r="D1254" s="132"/>
      <c r="G1254" s="661"/>
      <c r="J1254" s="471"/>
      <c r="L1254" s="471"/>
    </row>
    <row r="1255">
      <c r="D1255" s="132"/>
      <c r="G1255" s="661"/>
      <c r="J1255" s="471"/>
      <c r="L1255" s="471"/>
    </row>
    <row r="1256">
      <c r="G1256" s="661"/>
      <c r="J1256" s="471"/>
      <c r="L1256" s="471"/>
    </row>
    <row r="1257">
      <c r="D1257" s="132"/>
      <c r="G1257" s="661"/>
      <c r="J1257" s="471"/>
      <c r="L1257" s="471"/>
    </row>
    <row r="1258">
      <c r="D1258" s="132"/>
      <c r="G1258" s="661"/>
      <c r="J1258" s="471"/>
      <c r="L1258" s="471"/>
    </row>
    <row r="1259">
      <c r="D1259" s="132"/>
      <c r="G1259" s="661"/>
      <c r="J1259" s="471"/>
      <c r="L1259" s="471"/>
    </row>
    <row r="1260">
      <c r="D1260" s="132"/>
      <c r="G1260" s="661"/>
      <c r="J1260" s="471"/>
      <c r="L1260" s="471"/>
    </row>
    <row r="1261">
      <c r="D1261" s="132"/>
      <c r="G1261" s="661"/>
      <c r="J1261" s="471"/>
      <c r="L1261" s="471"/>
    </row>
    <row r="1262">
      <c r="D1262" s="132"/>
      <c r="G1262" s="661"/>
      <c r="J1262" s="471"/>
      <c r="L1262" s="471"/>
    </row>
    <row r="1263">
      <c r="D1263" s="132"/>
      <c r="G1263" s="661"/>
      <c r="J1263" s="471"/>
      <c r="L1263" s="471"/>
    </row>
    <row r="1264">
      <c r="D1264" s="132"/>
      <c r="G1264" s="661"/>
      <c r="J1264" s="471"/>
      <c r="L1264" s="471"/>
    </row>
    <row r="1265">
      <c r="D1265" s="132"/>
      <c r="G1265" s="661"/>
      <c r="J1265" s="471"/>
      <c r="L1265" s="471"/>
    </row>
    <row r="1266">
      <c r="D1266" s="132"/>
      <c r="G1266" s="661"/>
      <c r="J1266" s="471"/>
      <c r="L1266" s="471"/>
    </row>
    <row r="1267">
      <c r="D1267" s="132"/>
      <c r="G1267" s="661"/>
      <c r="J1267" s="471"/>
      <c r="L1267" s="471"/>
    </row>
    <row r="1268">
      <c r="G1268" s="661"/>
      <c r="J1268" s="471"/>
      <c r="L1268" s="471"/>
    </row>
    <row r="1269">
      <c r="D1269" s="149"/>
      <c r="G1269" s="661"/>
      <c r="J1269" s="471"/>
      <c r="L1269" s="471"/>
    </row>
    <row r="1270">
      <c r="D1270" s="139"/>
      <c r="G1270" s="661"/>
      <c r="J1270" s="471"/>
      <c r="L1270" s="471"/>
    </row>
    <row r="1271">
      <c r="D1271" s="145"/>
      <c r="G1271" s="661"/>
      <c r="J1271" s="471"/>
      <c r="L1271" s="471"/>
    </row>
    <row r="1272">
      <c r="D1272" s="124"/>
      <c r="G1272" s="661"/>
      <c r="J1272" s="471"/>
      <c r="L1272" s="471"/>
    </row>
    <row r="1273">
      <c r="D1273" s="124"/>
      <c r="G1273" s="661"/>
      <c r="J1273" s="471"/>
      <c r="L1273" s="471"/>
    </row>
    <row r="1274">
      <c r="D1274" s="132"/>
      <c r="G1274" s="661"/>
      <c r="J1274" s="471"/>
      <c r="L1274" s="471"/>
    </row>
    <row r="1275">
      <c r="D1275" s="132"/>
      <c r="G1275" s="661"/>
      <c r="J1275" s="471"/>
      <c r="L1275" s="471"/>
    </row>
    <row r="1276">
      <c r="G1276" s="661"/>
      <c r="J1276" s="471"/>
      <c r="L1276" s="471"/>
    </row>
    <row r="1277">
      <c r="D1277" s="132"/>
      <c r="G1277" s="661"/>
      <c r="J1277" s="471"/>
      <c r="L1277" s="471"/>
    </row>
    <row r="1278">
      <c r="D1278" s="132"/>
      <c r="G1278" s="661"/>
      <c r="J1278" s="471"/>
      <c r="L1278" s="471"/>
    </row>
    <row r="1279">
      <c r="D1279" s="132"/>
      <c r="G1279" s="661"/>
      <c r="J1279" s="471"/>
      <c r="L1279" s="471"/>
    </row>
    <row r="1280">
      <c r="D1280" s="132"/>
      <c r="G1280" s="661"/>
      <c r="J1280" s="471"/>
      <c r="L1280" s="471"/>
    </row>
    <row r="1281">
      <c r="D1281" s="132"/>
      <c r="G1281" s="661"/>
      <c r="J1281" s="471"/>
      <c r="L1281" s="471"/>
    </row>
    <row r="1282">
      <c r="G1282" s="661"/>
      <c r="J1282" s="471"/>
      <c r="L1282" s="471"/>
    </row>
    <row r="1283">
      <c r="D1283" s="132"/>
      <c r="G1283" s="661"/>
      <c r="J1283" s="471"/>
      <c r="L1283" s="471"/>
    </row>
    <row r="1284">
      <c r="G1284" s="661"/>
      <c r="J1284" s="471"/>
      <c r="L1284" s="471"/>
    </row>
    <row r="1285">
      <c r="G1285" s="661"/>
      <c r="J1285" s="471"/>
      <c r="L1285" s="471"/>
    </row>
    <row r="1286">
      <c r="G1286" s="661"/>
      <c r="J1286" s="471"/>
      <c r="L1286" s="471"/>
    </row>
    <row r="1287">
      <c r="D1287" s="132"/>
      <c r="G1287" s="661"/>
      <c r="J1287" s="471"/>
      <c r="L1287" s="471"/>
    </row>
    <row r="1288">
      <c r="D1288" s="132"/>
      <c r="G1288" s="661"/>
      <c r="J1288" s="471"/>
      <c r="L1288" s="471"/>
    </row>
    <row r="1289">
      <c r="G1289" s="661"/>
      <c r="J1289" s="471"/>
      <c r="L1289" s="471"/>
    </row>
    <row r="1290">
      <c r="D1290" s="132"/>
      <c r="G1290" s="661"/>
      <c r="J1290" s="471"/>
      <c r="L1290" s="471"/>
    </row>
    <row r="1291">
      <c r="D1291" s="132"/>
      <c r="G1291" s="661"/>
      <c r="J1291" s="471"/>
      <c r="L1291" s="471"/>
    </row>
    <row r="1292">
      <c r="D1292" s="132"/>
      <c r="G1292" s="661"/>
      <c r="J1292" s="471"/>
      <c r="L1292" s="471"/>
    </row>
    <row r="1293">
      <c r="D1293" s="132"/>
      <c r="G1293" s="661"/>
      <c r="J1293" s="471"/>
      <c r="L1293" s="471"/>
    </row>
    <row r="1294">
      <c r="D1294" s="132"/>
      <c r="G1294" s="661"/>
      <c r="J1294" s="471"/>
      <c r="L1294" s="471"/>
    </row>
    <row r="1295">
      <c r="D1295" s="149"/>
      <c r="G1295" s="661"/>
      <c r="J1295" s="471"/>
      <c r="L1295" s="471"/>
    </row>
    <row r="1296">
      <c r="D1296" s="132"/>
      <c r="G1296" s="661"/>
      <c r="J1296" s="471"/>
      <c r="L1296" s="471"/>
    </row>
    <row r="1297">
      <c r="D1297" s="132"/>
      <c r="G1297" s="661"/>
      <c r="J1297" s="471"/>
      <c r="L1297" s="471"/>
    </row>
    <row r="1298">
      <c r="G1298" s="661"/>
      <c r="J1298" s="471"/>
      <c r="L1298" s="471"/>
    </row>
    <row r="1299">
      <c r="D1299" s="132"/>
      <c r="G1299" s="661"/>
      <c r="J1299" s="471"/>
      <c r="L1299" s="471"/>
    </row>
    <row r="1300">
      <c r="D1300" s="132"/>
      <c r="G1300" s="661"/>
      <c r="J1300" s="471"/>
      <c r="L1300" s="471"/>
    </row>
    <row r="1301">
      <c r="D1301" s="132"/>
      <c r="G1301" s="661"/>
      <c r="J1301" s="471"/>
      <c r="L1301" s="471"/>
    </row>
    <row r="1302">
      <c r="D1302" s="132"/>
      <c r="G1302" s="661"/>
      <c r="J1302" s="471"/>
      <c r="L1302" s="471"/>
    </row>
    <row r="1303">
      <c r="D1303" s="132"/>
      <c r="G1303" s="661"/>
      <c r="J1303" s="471"/>
      <c r="L1303" s="471"/>
    </row>
    <row r="1304">
      <c r="D1304" s="132"/>
      <c r="G1304" s="661"/>
      <c r="J1304" s="471"/>
      <c r="L1304" s="471"/>
    </row>
    <row r="1305">
      <c r="D1305" s="132"/>
      <c r="G1305" s="661"/>
      <c r="J1305" s="471"/>
      <c r="L1305" s="471"/>
    </row>
    <row r="1306">
      <c r="D1306" s="132"/>
      <c r="G1306" s="661"/>
      <c r="J1306" s="471"/>
      <c r="L1306" s="471"/>
    </row>
    <row r="1307">
      <c r="D1307" s="132"/>
      <c r="G1307" s="661"/>
      <c r="J1307" s="471"/>
      <c r="L1307" s="471"/>
    </row>
    <row r="1308">
      <c r="D1308" s="149"/>
      <c r="G1308" s="661"/>
      <c r="J1308" s="471"/>
      <c r="L1308" s="471"/>
    </row>
    <row r="1309">
      <c r="D1309" s="132"/>
      <c r="G1309" s="661"/>
      <c r="J1309" s="471"/>
      <c r="L1309" s="471"/>
    </row>
    <row r="1310">
      <c r="D1310" s="132"/>
      <c r="G1310" s="661"/>
      <c r="J1310" s="471"/>
      <c r="L1310" s="471"/>
    </row>
    <row r="1311">
      <c r="D1311" s="132"/>
      <c r="G1311" s="661"/>
      <c r="J1311" s="471"/>
      <c r="L1311" s="471"/>
    </row>
    <row r="1312">
      <c r="D1312" s="132"/>
      <c r="G1312" s="661"/>
      <c r="J1312" s="471"/>
      <c r="L1312" s="471"/>
    </row>
    <row r="1313">
      <c r="D1313" s="132"/>
      <c r="G1313" s="661"/>
      <c r="J1313" s="471"/>
      <c r="L1313" s="471"/>
    </row>
    <row r="1314">
      <c r="D1314" s="132"/>
      <c r="G1314" s="661"/>
      <c r="J1314" s="471"/>
      <c r="L1314" s="471"/>
    </row>
    <row r="1315">
      <c r="G1315" s="661"/>
      <c r="J1315" s="471"/>
      <c r="L1315" s="471"/>
    </row>
    <row r="1316">
      <c r="D1316" s="149"/>
      <c r="G1316" s="661"/>
      <c r="J1316" s="471"/>
      <c r="L1316" s="471"/>
    </row>
    <row r="1317">
      <c r="G1317" s="661"/>
      <c r="J1317" s="471"/>
      <c r="L1317" s="471"/>
    </row>
    <row r="1318">
      <c r="D1318" s="132"/>
      <c r="G1318" s="661"/>
      <c r="J1318" s="471"/>
      <c r="L1318" s="471"/>
    </row>
    <row r="1319">
      <c r="D1319" s="132"/>
      <c r="G1319" s="661"/>
      <c r="J1319" s="471"/>
      <c r="L1319" s="471"/>
    </row>
    <row r="1320">
      <c r="D1320" s="132"/>
      <c r="G1320" s="661"/>
      <c r="J1320" s="471"/>
      <c r="L1320" s="471"/>
    </row>
    <row r="1321">
      <c r="D1321" s="132"/>
      <c r="G1321" s="661"/>
      <c r="J1321" s="471"/>
      <c r="L1321" s="471"/>
    </row>
    <row r="1322">
      <c r="D1322" s="132"/>
      <c r="G1322" s="661"/>
      <c r="J1322" s="471"/>
      <c r="L1322" s="471"/>
    </row>
    <row r="1323">
      <c r="D1323" s="132"/>
      <c r="G1323" s="661"/>
      <c r="J1323" s="471"/>
      <c r="L1323" s="471"/>
    </row>
    <row r="1324">
      <c r="D1324" s="132"/>
      <c r="G1324" s="661"/>
      <c r="J1324" s="471"/>
      <c r="L1324" s="471"/>
    </row>
    <row r="1325">
      <c r="D1325" s="132"/>
      <c r="G1325" s="661"/>
      <c r="J1325" s="471"/>
      <c r="L1325" s="471"/>
    </row>
    <row r="1326">
      <c r="D1326" s="132"/>
      <c r="G1326" s="661"/>
      <c r="J1326" s="471"/>
      <c r="L1326" s="471"/>
    </row>
    <row r="1327">
      <c r="D1327" s="132"/>
      <c r="G1327" s="661"/>
      <c r="J1327" s="471"/>
      <c r="L1327" s="471"/>
    </row>
    <row r="1328">
      <c r="D1328" s="132"/>
      <c r="G1328" s="661"/>
      <c r="J1328" s="471"/>
      <c r="L1328" s="471"/>
    </row>
    <row r="1329">
      <c r="D1329" s="149"/>
      <c r="G1329" s="661"/>
      <c r="J1329" s="471"/>
      <c r="L1329" s="471"/>
    </row>
    <row r="1330">
      <c r="D1330" s="132"/>
      <c r="G1330" s="661"/>
      <c r="J1330" s="471"/>
      <c r="L1330" s="471"/>
    </row>
    <row r="1331">
      <c r="D1331" s="132"/>
      <c r="G1331" s="661"/>
      <c r="J1331" s="471"/>
      <c r="L1331" s="471"/>
    </row>
    <row r="1332">
      <c r="G1332" s="661"/>
      <c r="J1332" s="471"/>
      <c r="L1332" s="471"/>
    </row>
    <row r="1333">
      <c r="D1333" s="132"/>
      <c r="G1333" s="661"/>
      <c r="J1333" s="471"/>
      <c r="L1333" s="471"/>
    </row>
    <row r="1334">
      <c r="D1334" s="132"/>
      <c r="G1334" s="661"/>
      <c r="J1334" s="471"/>
      <c r="L1334" s="471"/>
    </row>
    <row r="1335">
      <c r="D1335" s="132"/>
      <c r="G1335" s="661"/>
      <c r="J1335" s="471"/>
      <c r="L1335" s="471"/>
    </row>
    <row r="1336">
      <c r="D1336" s="132"/>
      <c r="G1336" s="661"/>
      <c r="J1336" s="471"/>
      <c r="L1336" s="471"/>
    </row>
    <row r="1337">
      <c r="D1337" s="132"/>
      <c r="G1337" s="661"/>
      <c r="J1337" s="471"/>
      <c r="L1337" s="471"/>
    </row>
    <row r="1338">
      <c r="D1338" s="132"/>
      <c r="G1338" s="661"/>
      <c r="J1338" s="471"/>
      <c r="L1338" s="471"/>
    </row>
    <row r="1339">
      <c r="D1339" s="132"/>
      <c r="G1339" s="661"/>
      <c r="J1339" s="471"/>
      <c r="L1339" s="471"/>
    </row>
    <row r="1340">
      <c r="D1340" s="132"/>
      <c r="G1340" s="661"/>
      <c r="J1340" s="471"/>
      <c r="L1340" s="471"/>
    </row>
    <row r="1341">
      <c r="D1341" s="132"/>
      <c r="G1341" s="661"/>
      <c r="J1341" s="471"/>
      <c r="L1341" s="471"/>
    </row>
    <row r="1342">
      <c r="D1342" s="132"/>
      <c r="G1342" s="661"/>
      <c r="J1342" s="471"/>
      <c r="L1342" s="471"/>
    </row>
    <row r="1343">
      <c r="D1343" s="132"/>
      <c r="G1343" s="661"/>
      <c r="J1343" s="471"/>
      <c r="L1343" s="471"/>
    </row>
    <row r="1344">
      <c r="D1344" s="132"/>
      <c r="G1344" s="661"/>
      <c r="J1344" s="471"/>
      <c r="L1344" s="471"/>
    </row>
    <row r="1345">
      <c r="G1345" s="661"/>
      <c r="J1345" s="471"/>
      <c r="L1345" s="471"/>
    </row>
    <row r="1346">
      <c r="D1346" s="132"/>
      <c r="G1346" s="661"/>
      <c r="J1346" s="471"/>
      <c r="L1346" s="471"/>
    </row>
    <row r="1347">
      <c r="D1347" s="132"/>
      <c r="G1347" s="661"/>
      <c r="J1347" s="471"/>
      <c r="L1347" s="471"/>
    </row>
    <row r="1348">
      <c r="D1348" s="132"/>
      <c r="G1348" s="661"/>
      <c r="J1348" s="471"/>
      <c r="L1348" s="471"/>
    </row>
    <row r="1349">
      <c r="D1349" s="132"/>
      <c r="G1349" s="661"/>
      <c r="J1349" s="471"/>
      <c r="L1349" s="471"/>
    </row>
    <row r="1350">
      <c r="D1350" s="132"/>
      <c r="G1350" s="661"/>
      <c r="J1350" s="471"/>
      <c r="L1350" s="471"/>
    </row>
    <row r="1351">
      <c r="D1351" s="132"/>
      <c r="G1351" s="661"/>
      <c r="J1351" s="471"/>
      <c r="L1351" s="471"/>
    </row>
    <row r="1352">
      <c r="D1352" s="132"/>
      <c r="G1352" s="661"/>
      <c r="J1352" s="471"/>
      <c r="L1352" s="471"/>
    </row>
    <row r="1353">
      <c r="D1353" s="132"/>
      <c r="G1353" s="661"/>
      <c r="J1353" s="471"/>
      <c r="L1353" s="471"/>
    </row>
    <row r="1354">
      <c r="D1354" s="132"/>
      <c r="G1354" s="661"/>
      <c r="J1354" s="471"/>
      <c r="L1354" s="471"/>
    </row>
    <row r="1355">
      <c r="D1355" s="132"/>
      <c r="G1355" s="661"/>
      <c r="J1355" s="471"/>
      <c r="L1355" s="471"/>
    </row>
    <row r="1356">
      <c r="D1356" s="132"/>
      <c r="G1356" s="661"/>
      <c r="J1356" s="471"/>
      <c r="L1356" s="471"/>
    </row>
    <row r="1357">
      <c r="D1357" s="132"/>
      <c r="G1357" s="661"/>
      <c r="J1357" s="471"/>
      <c r="L1357" s="471"/>
    </row>
    <row r="1358">
      <c r="D1358" s="132"/>
      <c r="G1358" s="661"/>
      <c r="J1358" s="471"/>
      <c r="L1358" s="471"/>
    </row>
    <row r="1359">
      <c r="G1359" s="661"/>
      <c r="J1359" s="471"/>
      <c r="L1359" s="471"/>
    </row>
    <row r="1360">
      <c r="D1360" s="132"/>
      <c r="G1360" s="661"/>
      <c r="J1360" s="471"/>
      <c r="L1360" s="471"/>
    </row>
    <row r="1361">
      <c r="D1361" s="132"/>
      <c r="G1361" s="661"/>
      <c r="J1361" s="471"/>
      <c r="L1361" s="471"/>
    </row>
    <row r="1362">
      <c r="D1362" s="132"/>
      <c r="G1362" s="661"/>
      <c r="J1362" s="471"/>
      <c r="L1362" s="471"/>
    </row>
    <row r="1363">
      <c r="D1363" s="132"/>
      <c r="G1363" s="661"/>
      <c r="J1363" s="471"/>
      <c r="L1363" s="471"/>
    </row>
    <row r="1364">
      <c r="D1364" s="132"/>
      <c r="G1364" s="661"/>
      <c r="J1364" s="471"/>
      <c r="L1364" s="471"/>
    </row>
    <row r="1365">
      <c r="D1365" s="132"/>
      <c r="G1365" s="661"/>
      <c r="J1365" s="471"/>
      <c r="L1365" s="471"/>
    </row>
    <row r="1366">
      <c r="D1366" s="132"/>
      <c r="G1366" s="661"/>
      <c r="J1366" s="471"/>
      <c r="L1366" s="471"/>
    </row>
    <row r="1367">
      <c r="D1367" s="132"/>
      <c r="G1367" s="661"/>
      <c r="J1367" s="471"/>
      <c r="L1367" s="471"/>
    </row>
    <row r="1368">
      <c r="D1368" s="132"/>
      <c r="G1368" s="661"/>
      <c r="J1368" s="471"/>
      <c r="L1368" s="471"/>
    </row>
    <row r="1369">
      <c r="G1369" s="661"/>
      <c r="J1369" s="471"/>
      <c r="L1369" s="471"/>
    </row>
    <row r="1370">
      <c r="G1370" s="661"/>
      <c r="J1370" s="471"/>
      <c r="L1370" s="471"/>
    </row>
    <row r="1371">
      <c r="D1371" s="149"/>
      <c r="G1371" s="661"/>
      <c r="J1371" s="471"/>
      <c r="L1371" s="471"/>
    </row>
    <row r="1372">
      <c r="D1372" s="132"/>
      <c r="G1372" s="661"/>
      <c r="J1372" s="471"/>
      <c r="L1372" s="471"/>
    </row>
    <row r="1373">
      <c r="D1373" s="132"/>
      <c r="G1373" s="661"/>
      <c r="J1373" s="471"/>
      <c r="L1373" s="471"/>
    </row>
    <row r="1374">
      <c r="D1374" s="132"/>
      <c r="G1374" s="661"/>
      <c r="J1374" s="471"/>
      <c r="L1374" s="471"/>
    </row>
    <row r="1375">
      <c r="G1375" s="661"/>
      <c r="J1375" s="471"/>
      <c r="L1375" s="471"/>
    </row>
    <row r="1376">
      <c r="G1376" s="661"/>
      <c r="J1376" s="471"/>
      <c r="L1376" s="471"/>
    </row>
    <row r="1377">
      <c r="D1377" s="132"/>
      <c r="G1377" s="661"/>
      <c r="J1377" s="471"/>
      <c r="L1377" s="471"/>
    </row>
    <row r="1378">
      <c r="D1378" s="132"/>
      <c r="G1378" s="661"/>
      <c r="J1378" s="471"/>
      <c r="L1378" s="471"/>
    </row>
    <row r="1379">
      <c r="D1379" s="132"/>
      <c r="G1379" s="661"/>
      <c r="J1379" s="471"/>
      <c r="L1379" s="471"/>
    </row>
    <row r="1380">
      <c r="D1380" s="132"/>
      <c r="G1380" s="661"/>
      <c r="J1380" s="471"/>
      <c r="L1380" s="471"/>
    </row>
    <row r="1381">
      <c r="D1381" s="132"/>
      <c r="G1381" s="661"/>
      <c r="J1381" s="471"/>
      <c r="L1381" s="471"/>
    </row>
    <row r="1382">
      <c r="D1382" s="132"/>
      <c r="G1382" s="661"/>
      <c r="J1382" s="471"/>
      <c r="L1382" s="471"/>
    </row>
    <row r="1383">
      <c r="D1383" s="132"/>
      <c r="G1383" s="661"/>
      <c r="J1383" s="471"/>
      <c r="L1383" s="471"/>
    </row>
    <row r="1384">
      <c r="D1384" s="132"/>
      <c r="G1384" s="661"/>
      <c r="J1384" s="471"/>
      <c r="L1384" s="471"/>
    </row>
    <row r="1385">
      <c r="D1385" s="132"/>
      <c r="G1385" s="661"/>
      <c r="J1385" s="471"/>
      <c r="L1385" s="471"/>
    </row>
    <row r="1386">
      <c r="D1386" s="132"/>
      <c r="G1386" s="661"/>
      <c r="J1386" s="471"/>
      <c r="L1386" s="471"/>
    </row>
    <row r="1387">
      <c r="D1387" s="132"/>
      <c r="G1387" s="661"/>
      <c r="J1387" s="471"/>
      <c r="L1387" s="471"/>
    </row>
    <row r="1388">
      <c r="D1388" s="132"/>
      <c r="G1388" s="661"/>
      <c r="J1388" s="471"/>
      <c r="L1388" s="471"/>
    </row>
    <row r="1389">
      <c r="D1389" s="132"/>
      <c r="G1389" s="661"/>
      <c r="J1389" s="471"/>
      <c r="L1389" s="471"/>
    </row>
    <row r="1390">
      <c r="D1390" s="149"/>
      <c r="G1390" s="661"/>
      <c r="J1390" s="471"/>
      <c r="L1390" s="471"/>
    </row>
    <row r="1391">
      <c r="G1391" s="661"/>
      <c r="J1391" s="471"/>
      <c r="L1391" s="471"/>
    </row>
    <row r="1392">
      <c r="D1392" s="132"/>
      <c r="G1392" s="661"/>
      <c r="J1392" s="471"/>
      <c r="L1392" s="471"/>
    </row>
    <row r="1393">
      <c r="D1393" s="132"/>
      <c r="G1393" s="661"/>
      <c r="J1393" s="471"/>
      <c r="L1393" s="471"/>
    </row>
    <row r="1394">
      <c r="D1394" s="132"/>
      <c r="G1394" s="661"/>
      <c r="J1394" s="471"/>
      <c r="L1394" s="471"/>
    </row>
    <row r="1395">
      <c r="D1395" s="132"/>
      <c r="G1395" s="661"/>
      <c r="J1395" s="471"/>
      <c r="L1395" s="471"/>
    </row>
    <row r="1396">
      <c r="D1396" s="132"/>
      <c r="G1396" s="661"/>
      <c r="J1396" s="471"/>
      <c r="L1396" s="471"/>
    </row>
    <row r="1397">
      <c r="D1397" s="132"/>
      <c r="G1397" s="661"/>
      <c r="J1397" s="471"/>
      <c r="L1397" s="471"/>
    </row>
    <row r="1398">
      <c r="D1398" s="132"/>
      <c r="G1398" s="661"/>
      <c r="J1398" s="471"/>
      <c r="L1398" s="471"/>
    </row>
    <row r="1399">
      <c r="D1399" s="132"/>
      <c r="G1399" s="661"/>
      <c r="J1399" s="471"/>
      <c r="L1399" s="471"/>
    </row>
    <row r="1400">
      <c r="D1400" s="132"/>
      <c r="G1400" s="661"/>
      <c r="J1400" s="471"/>
      <c r="L1400" s="471"/>
    </row>
    <row r="1401">
      <c r="D1401" s="132"/>
      <c r="G1401" s="661"/>
      <c r="J1401" s="471"/>
      <c r="L1401" s="471"/>
    </row>
    <row r="1402">
      <c r="D1402" s="132"/>
      <c r="G1402" s="661"/>
      <c r="J1402" s="471"/>
      <c r="L1402" s="471"/>
    </row>
    <row r="1403">
      <c r="G1403" s="661"/>
      <c r="J1403" s="471"/>
      <c r="L1403" s="471"/>
    </row>
    <row r="1404">
      <c r="D1404" s="132"/>
      <c r="G1404" s="661"/>
      <c r="J1404" s="471"/>
      <c r="L1404" s="471"/>
    </row>
    <row r="1405">
      <c r="D1405" s="132"/>
      <c r="G1405" s="661"/>
      <c r="J1405" s="471"/>
      <c r="L1405" s="471"/>
    </row>
    <row r="1406">
      <c r="D1406" s="132"/>
      <c r="G1406" s="661"/>
      <c r="J1406" s="471"/>
      <c r="L1406" s="471"/>
    </row>
    <row r="1407">
      <c r="D1407" s="132"/>
      <c r="G1407" s="661"/>
      <c r="J1407" s="471"/>
      <c r="L1407" s="471"/>
    </row>
    <row r="1408">
      <c r="D1408" s="132"/>
      <c r="G1408" s="661"/>
      <c r="J1408" s="471"/>
      <c r="L1408" s="471"/>
    </row>
    <row r="1409">
      <c r="D1409" s="132"/>
      <c r="G1409" s="661"/>
      <c r="J1409" s="471"/>
      <c r="L1409" s="471"/>
    </row>
    <row r="1410">
      <c r="D1410" s="149"/>
      <c r="G1410" s="661"/>
      <c r="J1410" s="471"/>
      <c r="L1410" s="471"/>
    </row>
    <row r="1411">
      <c r="D1411" s="132"/>
      <c r="G1411" s="661"/>
      <c r="J1411" s="471"/>
      <c r="L1411" s="471"/>
    </row>
    <row r="1412">
      <c r="D1412" s="132"/>
      <c r="G1412" s="661"/>
      <c r="J1412" s="471"/>
      <c r="L1412" s="471"/>
    </row>
    <row r="1413">
      <c r="G1413" s="661"/>
      <c r="J1413" s="471"/>
      <c r="L1413" s="471"/>
    </row>
    <row r="1414">
      <c r="D1414" s="132"/>
      <c r="G1414" s="661"/>
      <c r="J1414" s="471"/>
      <c r="L1414" s="471"/>
    </row>
    <row r="1415">
      <c r="D1415" s="132"/>
      <c r="G1415" s="661"/>
      <c r="J1415" s="471"/>
      <c r="L1415" s="471"/>
    </row>
    <row r="1416">
      <c r="D1416" s="132"/>
      <c r="G1416" s="661"/>
      <c r="J1416" s="471"/>
      <c r="L1416" s="471"/>
    </row>
    <row r="1417">
      <c r="D1417" s="132"/>
      <c r="G1417" s="661"/>
      <c r="J1417" s="471"/>
      <c r="L1417" s="471"/>
    </row>
    <row r="1418">
      <c r="D1418" s="132"/>
      <c r="G1418" s="661"/>
      <c r="J1418" s="471"/>
      <c r="L1418" s="471"/>
    </row>
    <row r="1419">
      <c r="D1419" s="132"/>
      <c r="G1419" s="661"/>
      <c r="J1419" s="471"/>
      <c r="L1419" s="471"/>
    </row>
    <row r="1420">
      <c r="D1420" s="132"/>
      <c r="G1420" s="661"/>
      <c r="J1420" s="471"/>
      <c r="L1420" s="471"/>
    </row>
    <row r="1421">
      <c r="D1421" s="132"/>
      <c r="G1421" s="661"/>
      <c r="J1421" s="471"/>
      <c r="L1421" s="471"/>
    </row>
    <row r="1422">
      <c r="D1422" s="132"/>
      <c r="G1422" s="661"/>
      <c r="J1422" s="471"/>
      <c r="L1422" s="471"/>
    </row>
    <row r="1423">
      <c r="G1423" s="661"/>
      <c r="J1423" s="471"/>
      <c r="L1423" s="471"/>
    </row>
    <row r="1424">
      <c r="D1424" s="132"/>
      <c r="G1424" s="661"/>
      <c r="J1424" s="471"/>
      <c r="L1424" s="471"/>
    </row>
    <row r="1425">
      <c r="D1425" s="132"/>
      <c r="G1425" s="661"/>
      <c r="J1425" s="471"/>
      <c r="L1425" s="471"/>
    </row>
    <row r="1426">
      <c r="D1426" s="132"/>
      <c r="G1426" s="661"/>
      <c r="J1426" s="471"/>
      <c r="L1426" s="471"/>
    </row>
    <row r="1427">
      <c r="D1427" s="132"/>
      <c r="G1427" s="661"/>
      <c r="J1427" s="471"/>
      <c r="L1427" s="471"/>
    </row>
    <row r="1428">
      <c r="D1428" s="132"/>
      <c r="G1428" s="661"/>
      <c r="J1428" s="471"/>
      <c r="L1428" s="471"/>
    </row>
    <row r="1429">
      <c r="D1429" s="132"/>
      <c r="G1429" s="661"/>
      <c r="J1429" s="471"/>
      <c r="L1429" s="471"/>
    </row>
    <row r="1430">
      <c r="D1430" s="132"/>
      <c r="G1430" s="661"/>
      <c r="J1430" s="471"/>
      <c r="L1430" s="471"/>
    </row>
    <row r="1431">
      <c r="G1431" s="661"/>
      <c r="J1431" s="471"/>
      <c r="L1431" s="471"/>
    </row>
    <row r="1432">
      <c r="G1432" s="661"/>
      <c r="J1432" s="471"/>
      <c r="L1432" s="471"/>
    </row>
    <row r="1433">
      <c r="D1433" s="134"/>
      <c r="G1433" s="661"/>
      <c r="J1433" s="471"/>
      <c r="L1433" s="471"/>
    </row>
    <row r="1434">
      <c r="D1434" s="124"/>
      <c r="G1434" s="661"/>
      <c r="J1434" s="471"/>
      <c r="L1434" s="471"/>
    </row>
    <row r="1435">
      <c r="D1435" s="124"/>
      <c r="G1435" s="661"/>
      <c r="J1435" s="471"/>
      <c r="L1435" s="471"/>
    </row>
    <row r="1436">
      <c r="G1436" s="661"/>
      <c r="J1436" s="471"/>
      <c r="L1436" s="471"/>
    </row>
    <row r="1437">
      <c r="D1437" s="132"/>
      <c r="G1437" s="661"/>
      <c r="J1437" s="471"/>
      <c r="L1437" s="471"/>
    </row>
    <row r="1438">
      <c r="D1438" s="132"/>
      <c r="G1438" s="661"/>
      <c r="J1438" s="471"/>
      <c r="L1438" s="471"/>
    </row>
    <row r="1439">
      <c r="D1439" s="208"/>
      <c r="G1439" s="661"/>
      <c r="J1439" s="471"/>
      <c r="L1439" s="471"/>
    </row>
    <row r="1440">
      <c r="D1440" s="132"/>
      <c r="G1440" s="661"/>
      <c r="J1440" s="471"/>
      <c r="L1440" s="471"/>
    </row>
    <row r="1441">
      <c r="D1441" s="132"/>
      <c r="G1441" s="661"/>
      <c r="J1441" s="471"/>
      <c r="L1441" s="471"/>
    </row>
    <row r="1442">
      <c r="D1442" s="132"/>
      <c r="G1442" s="661"/>
      <c r="J1442" s="471"/>
      <c r="L1442" s="471"/>
    </row>
    <row r="1443">
      <c r="D1443" s="132"/>
      <c r="G1443" s="661"/>
      <c r="J1443" s="471"/>
      <c r="L1443" s="471"/>
    </row>
    <row r="1444">
      <c r="D1444" s="132"/>
      <c r="G1444" s="661"/>
      <c r="J1444" s="471"/>
      <c r="L1444" s="471"/>
    </row>
    <row r="1445">
      <c r="D1445" s="132"/>
      <c r="G1445" s="661"/>
      <c r="J1445" s="471"/>
      <c r="L1445" s="471"/>
    </row>
    <row r="1446">
      <c r="D1446" s="132"/>
      <c r="G1446" s="661"/>
      <c r="J1446" s="471"/>
      <c r="L1446" s="471"/>
    </row>
    <row r="1447">
      <c r="D1447" s="132"/>
      <c r="G1447" s="661"/>
      <c r="J1447" s="471"/>
      <c r="L1447" s="471"/>
    </row>
    <row r="1448">
      <c r="G1448" s="661"/>
      <c r="J1448" s="471"/>
      <c r="L1448" s="471"/>
    </row>
    <row r="1449">
      <c r="D1449" s="132"/>
      <c r="G1449" s="661"/>
      <c r="J1449" s="471"/>
      <c r="L1449" s="471"/>
    </row>
    <row r="1450">
      <c r="D1450" s="132"/>
      <c r="G1450" s="661"/>
      <c r="J1450" s="471"/>
      <c r="L1450" s="471"/>
    </row>
    <row r="1451">
      <c r="D1451" s="132"/>
      <c r="G1451" s="661"/>
      <c r="J1451" s="471"/>
      <c r="L1451" s="471"/>
    </row>
    <row r="1452">
      <c r="D1452" s="132"/>
      <c r="G1452" s="661"/>
      <c r="J1452" s="471"/>
      <c r="L1452" s="471"/>
    </row>
    <row r="1453">
      <c r="D1453" s="132"/>
      <c r="G1453" s="661"/>
      <c r="J1453" s="471"/>
      <c r="L1453" s="471"/>
    </row>
    <row r="1454">
      <c r="D1454" s="132"/>
      <c r="G1454" s="661"/>
      <c r="J1454" s="471"/>
      <c r="L1454" s="471"/>
    </row>
    <row r="1455">
      <c r="D1455" s="132"/>
      <c r="G1455" s="661"/>
      <c r="J1455" s="471"/>
      <c r="L1455" s="471"/>
    </row>
    <row r="1456">
      <c r="D1456" s="132"/>
      <c r="G1456" s="661"/>
      <c r="J1456" s="471"/>
      <c r="L1456" s="471"/>
    </row>
    <row r="1457">
      <c r="G1457" s="661"/>
      <c r="J1457" s="471"/>
      <c r="L1457" s="471"/>
    </row>
    <row r="1458">
      <c r="D1458" s="132"/>
      <c r="G1458" s="661"/>
      <c r="J1458" s="471"/>
      <c r="L1458" s="471"/>
    </row>
    <row r="1459">
      <c r="D1459" s="132"/>
      <c r="G1459" s="661"/>
      <c r="J1459" s="471"/>
      <c r="L1459" s="471"/>
    </row>
    <row r="1460">
      <c r="D1460" s="132"/>
      <c r="G1460" s="661"/>
      <c r="J1460" s="471"/>
      <c r="L1460" s="471"/>
    </row>
    <row r="1461">
      <c r="G1461" s="661"/>
      <c r="J1461" s="471"/>
      <c r="L1461" s="471"/>
    </row>
    <row r="1462">
      <c r="G1462" s="661"/>
      <c r="J1462" s="471"/>
      <c r="L1462" s="471"/>
    </row>
    <row r="1463">
      <c r="G1463" s="661"/>
      <c r="J1463" s="471"/>
      <c r="L1463" s="471"/>
    </row>
    <row r="1464">
      <c r="G1464" s="661"/>
      <c r="J1464" s="471"/>
      <c r="L1464" s="471"/>
    </row>
    <row r="1465">
      <c r="D1465" s="132"/>
      <c r="G1465" s="661"/>
      <c r="J1465" s="471"/>
      <c r="L1465" s="471"/>
    </row>
    <row r="1466">
      <c r="D1466" s="132"/>
      <c r="G1466" s="661"/>
      <c r="J1466" s="471"/>
      <c r="L1466" s="471"/>
    </row>
    <row r="1467">
      <c r="D1467" s="132"/>
      <c r="G1467" s="661"/>
      <c r="J1467" s="471"/>
      <c r="L1467" s="471"/>
    </row>
    <row r="1468">
      <c r="D1468" s="132"/>
      <c r="G1468" s="661"/>
      <c r="J1468" s="471"/>
      <c r="L1468" s="471"/>
    </row>
    <row r="1469">
      <c r="D1469" s="132"/>
      <c r="G1469" s="661"/>
      <c r="J1469" s="471"/>
      <c r="L1469" s="471"/>
    </row>
    <row r="1470">
      <c r="D1470" s="132"/>
      <c r="G1470" s="661"/>
      <c r="J1470" s="471"/>
      <c r="L1470" s="471"/>
    </row>
    <row r="1471">
      <c r="G1471" s="661"/>
      <c r="J1471" s="471"/>
      <c r="L1471" s="471"/>
    </row>
    <row r="1472">
      <c r="D1472" s="132"/>
      <c r="G1472" s="661"/>
      <c r="J1472" s="471"/>
      <c r="L1472" s="471"/>
    </row>
    <row r="1473">
      <c r="G1473" s="661"/>
      <c r="J1473" s="471"/>
      <c r="L1473" s="471"/>
    </row>
    <row r="1474">
      <c r="D1474" s="132"/>
      <c r="G1474" s="661"/>
      <c r="J1474" s="471"/>
      <c r="L1474" s="471"/>
    </row>
    <row r="1475">
      <c r="D1475" s="132"/>
      <c r="G1475" s="661"/>
      <c r="J1475" s="471"/>
      <c r="L1475" s="471"/>
    </row>
    <row r="1476">
      <c r="G1476" s="661"/>
      <c r="J1476" s="471"/>
      <c r="L1476" s="471"/>
    </row>
    <row r="1477">
      <c r="D1477" s="132"/>
      <c r="G1477" s="661"/>
      <c r="J1477" s="471"/>
      <c r="L1477" s="471"/>
    </row>
    <row r="1478">
      <c r="D1478" s="132"/>
      <c r="G1478" s="661"/>
      <c r="J1478" s="471"/>
      <c r="L1478" s="471"/>
    </row>
    <row r="1479">
      <c r="D1479" s="132"/>
      <c r="G1479" s="661"/>
      <c r="J1479" s="471"/>
      <c r="L1479" s="471"/>
    </row>
    <row r="1480">
      <c r="G1480" s="661"/>
      <c r="J1480" s="471"/>
      <c r="L1480" s="471"/>
    </row>
    <row r="1481">
      <c r="D1481" s="132"/>
      <c r="G1481" s="661"/>
      <c r="J1481" s="471"/>
      <c r="L1481" s="471"/>
    </row>
    <row r="1482">
      <c r="G1482" s="661"/>
      <c r="J1482" s="471"/>
      <c r="L1482" s="471"/>
    </row>
    <row r="1483">
      <c r="D1483" s="132"/>
      <c r="G1483" s="661"/>
      <c r="J1483" s="471"/>
      <c r="L1483" s="471"/>
    </row>
    <row r="1484">
      <c r="D1484" s="132"/>
      <c r="G1484" s="661"/>
      <c r="J1484" s="471"/>
      <c r="L1484" s="471"/>
    </row>
    <row r="1485">
      <c r="G1485" s="661"/>
      <c r="J1485" s="471"/>
      <c r="L1485" s="471"/>
    </row>
    <row r="1486">
      <c r="G1486" s="661"/>
      <c r="J1486" s="471"/>
      <c r="L1486" s="471"/>
    </row>
    <row r="1487">
      <c r="D1487" s="132"/>
      <c r="G1487" s="661"/>
      <c r="J1487" s="471"/>
      <c r="L1487" s="471"/>
    </row>
    <row r="1488">
      <c r="D1488" s="132"/>
      <c r="G1488" s="661"/>
      <c r="J1488" s="471"/>
      <c r="L1488" s="471"/>
    </row>
    <row r="1489">
      <c r="G1489" s="661"/>
      <c r="J1489" s="471"/>
      <c r="L1489" s="471"/>
    </row>
    <row r="1490">
      <c r="D1490" s="132"/>
      <c r="G1490" s="661"/>
      <c r="J1490" s="471"/>
      <c r="L1490" s="471"/>
    </row>
    <row r="1491">
      <c r="G1491" s="661"/>
      <c r="J1491" s="471"/>
      <c r="L1491" s="471"/>
    </row>
    <row r="1492">
      <c r="D1492" s="132"/>
      <c r="G1492" s="661"/>
      <c r="J1492" s="471"/>
      <c r="L1492" s="471"/>
    </row>
    <row r="1493">
      <c r="D1493" s="132"/>
      <c r="G1493" s="661"/>
      <c r="J1493" s="471"/>
      <c r="L1493" s="471"/>
    </row>
    <row r="1494">
      <c r="D1494" s="132"/>
      <c r="G1494" s="661"/>
      <c r="J1494" s="471"/>
      <c r="L1494" s="471"/>
    </row>
    <row r="1495">
      <c r="D1495" s="132"/>
      <c r="G1495" s="661"/>
      <c r="J1495" s="471"/>
      <c r="L1495" s="471"/>
    </row>
    <row r="1496">
      <c r="D1496" s="132"/>
      <c r="G1496" s="661"/>
      <c r="J1496" s="471"/>
      <c r="L1496" s="471"/>
    </row>
    <row r="1497">
      <c r="D1497" s="132"/>
      <c r="G1497" s="661"/>
      <c r="J1497" s="471"/>
      <c r="L1497" s="471"/>
    </row>
    <row r="1498">
      <c r="G1498" s="661"/>
      <c r="J1498" s="471"/>
      <c r="L1498" s="471"/>
    </row>
    <row r="1499">
      <c r="G1499" s="661"/>
      <c r="J1499" s="471"/>
      <c r="L1499" s="471"/>
    </row>
    <row r="1500">
      <c r="D1500" s="132"/>
      <c r="G1500" s="661"/>
      <c r="J1500" s="471"/>
      <c r="L1500" s="471"/>
    </row>
    <row r="1501">
      <c r="D1501" s="132"/>
      <c r="G1501" s="661"/>
      <c r="J1501" s="471"/>
      <c r="L1501" s="471"/>
    </row>
    <row r="1502">
      <c r="D1502" s="132"/>
      <c r="G1502" s="661"/>
      <c r="J1502" s="471"/>
      <c r="L1502" s="471"/>
    </row>
    <row r="1503">
      <c r="D1503" s="132"/>
      <c r="G1503" s="661"/>
      <c r="J1503" s="471"/>
      <c r="L1503" s="471"/>
    </row>
    <row r="1504">
      <c r="D1504" s="132"/>
      <c r="G1504" s="661"/>
      <c r="J1504" s="471"/>
      <c r="L1504" s="471"/>
    </row>
    <row r="1505">
      <c r="D1505" s="132"/>
      <c r="G1505" s="661"/>
      <c r="J1505" s="471"/>
      <c r="L1505" s="471"/>
    </row>
    <row r="1506">
      <c r="D1506" s="132"/>
      <c r="G1506" s="661"/>
      <c r="J1506" s="471"/>
      <c r="L1506" s="471"/>
    </row>
    <row r="1507">
      <c r="D1507" s="132"/>
      <c r="G1507" s="661"/>
      <c r="J1507" s="471"/>
      <c r="L1507" s="471"/>
    </row>
    <row r="1508">
      <c r="D1508" s="132"/>
      <c r="G1508" s="661"/>
      <c r="J1508" s="471"/>
      <c r="L1508" s="471"/>
    </row>
    <row r="1509">
      <c r="D1509" s="132"/>
      <c r="G1509" s="661"/>
      <c r="J1509" s="471"/>
      <c r="L1509" s="471"/>
    </row>
    <row r="1510">
      <c r="D1510" s="132"/>
      <c r="G1510" s="661"/>
      <c r="J1510" s="471"/>
      <c r="L1510" s="471"/>
    </row>
    <row r="1511">
      <c r="D1511" s="132"/>
      <c r="G1511" s="661"/>
      <c r="J1511" s="471"/>
      <c r="L1511" s="471"/>
    </row>
    <row r="1512">
      <c r="D1512" s="132"/>
      <c r="G1512" s="661"/>
      <c r="J1512" s="471"/>
      <c r="L1512" s="471"/>
    </row>
    <row r="1513">
      <c r="D1513" s="132"/>
      <c r="G1513" s="661"/>
      <c r="J1513" s="471"/>
      <c r="L1513" s="471"/>
    </row>
    <row r="1514">
      <c r="D1514" s="132"/>
      <c r="G1514" s="661"/>
      <c r="J1514" s="471"/>
      <c r="L1514" s="471"/>
    </row>
    <row r="1515">
      <c r="D1515" s="132"/>
      <c r="G1515" s="661"/>
      <c r="J1515" s="471"/>
      <c r="L1515" s="471"/>
    </row>
    <row r="1516">
      <c r="D1516" s="313"/>
      <c r="G1516" s="661"/>
      <c r="J1516" s="471"/>
      <c r="L1516" s="471"/>
    </row>
    <row r="1517">
      <c r="G1517" s="661"/>
      <c r="J1517" s="471"/>
      <c r="L1517" s="471"/>
    </row>
    <row r="1518">
      <c r="D1518" s="132"/>
      <c r="G1518" s="661"/>
      <c r="J1518" s="471"/>
      <c r="L1518" s="471"/>
    </row>
    <row r="1519">
      <c r="D1519" s="132"/>
      <c r="G1519" s="661"/>
      <c r="J1519" s="471"/>
      <c r="L1519" s="471"/>
    </row>
    <row r="1520">
      <c r="D1520" s="132"/>
      <c r="G1520" s="661"/>
      <c r="J1520" s="471"/>
      <c r="L1520" s="471"/>
    </row>
    <row r="1521">
      <c r="D1521" s="132"/>
      <c r="G1521" s="661"/>
      <c r="J1521" s="471"/>
      <c r="L1521" s="471"/>
    </row>
    <row r="1522">
      <c r="G1522" s="661"/>
      <c r="J1522" s="471"/>
      <c r="L1522" s="471"/>
    </row>
    <row r="1523">
      <c r="G1523" s="661"/>
      <c r="J1523" s="471"/>
      <c r="L1523" s="471"/>
    </row>
    <row r="1524">
      <c r="D1524" s="132"/>
      <c r="G1524" s="661"/>
      <c r="J1524" s="471"/>
      <c r="L1524" s="471"/>
    </row>
    <row r="1525">
      <c r="D1525" s="132"/>
      <c r="G1525" s="661"/>
      <c r="J1525" s="471"/>
      <c r="L1525" s="471"/>
    </row>
    <row r="1526">
      <c r="D1526" s="132"/>
      <c r="G1526" s="661"/>
      <c r="J1526" s="471"/>
      <c r="L1526" s="471"/>
    </row>
    <row r="1527">
      <c r="D1527" s="132"/>
      <c r="G1527" s="661"/>
      <c r="J1527" s="471"/>
      <c r="L1527" s="471"/>
    </row>
    <row r="1528">
      <c r="D1528" s="132"/>
      <c r="G1528" s="661"/>
      <c r="J1528" s="471"/>
      <c r="L1528" s="471"/>
    </row>
    <row r="1529">
      <c r="D1529" s="132"/>
      <c r="G1529" s="661"/>
      <c r="J1529" s="471"/>
      <c r="L1529" s="471"/>
    </row>
    <row r="1530">
      <c r="G1530" s="661"/>
      <c r="J1530" s="471"/>
      <c r="L1530" s="471"/>
    </row>
    <row r="1531">
      <c r="D1531" s="132"/>
      <c r="G1531" s="661"/>
      <c r="J1531" s="471"/>
      <c r="L1531" s="471"/>
    </row>
    <row r="1532">
      <c r="D1532" s="132"/>
      <c r="G1532" s="661"/>
      <c r="J1532" s="471"/>
      <c r="L1532" s="471"/>
    </row>
    <row r="1533">
      <c r="D1533" s="132"/>
      <c r="G1533" s="661"/>
      <c r="J1533" s="471"/>
      <c r="L1533" s="471"/>
    </row>
    <row r="1534">
      <c r="D1534" s="132"/>
      <c r="G1534" s="661"/>
      <c r="J1534" s="471"/>
      <c r="L1534" s="471"/>
    </row>
    <row r="1535">
      <c r="D1535" s="132"/>
      <c r="G1535" s="661"/>
      <c r="J1535" s="471"/>
      <c r="L1535" s="471"/>
    </row>
    <row r="1536">
      <c r="G1536" s="661"/>
      <c r="J1536" s="471"/>
      <c r="L1536" s="471"/>
    </row>
    <row r="1537">
      <c r="D1537" s="132"/>
      <c r="G1537" s="661"/>
      <c r="J1537" s="471"/>
      <c r="L1537" s="471"/>
    </row>
    <row r="1538">
      <c r="D1538" s="132"/>
      <c r="G1538" s="661"/>
      <c r="J1538" s="471"/>
      <c r="L1538" s="471"/>
    </row>
    <row r="1539">
      <c r="D1539" s="132"/>
      <c r="G1539" s="661"/>
      <c r="J1539" s="471"/>
      <c r="L1539" s="471"/>
    </row>
    <row r="1540">
      <c r="D1540" s="132"/>
      <c r="G1540" s="661"/>
      <c r="J1540" s="471"/>
      <c r="L1540" s="471"/>
    </row>
    <row r="1541">
      <c r="D1541" s="132"/>
      <c r="G1541" s="661"/>
      <c r="J1541" s="471"/>
      <c r="L1541" s="471"/>
    </row>
    <row r="1542">
      <c r="D1542" s="132"/>
      <c r="G1542" s="661"/>
      <c r="J1542" s="471"/>
      <c r="L1542" s="471"/>
    </row>
    <row r="1543">
      <c r="D1543" s="132"/>
      <c r="G1543" s="661"/>
      <c r="J1543" s="471"/>
      <c r="L1543" s="471"/>
    </row>
    <row r="1544">
      <c r="D1544" s="132"/>
      <c r="G1544" s="661"/>
      <c r="J1544" s="471"/>
      <c r="L1544" s="471"/>
    </row>
    <row r="1545">
      <c r="D1545" s="132"/>
      <c r="G1545" s="661"/>
      <c r="J1545" s="471"/>
      <c r="L1545" s="471"/>
    </row>
    <row r="1546">
      <c r="D1546" s="132"/>
      <c r="G1546" s="661"/>
      <c r="J1546" s="471"/>
      <c r="L1546" s="471"/>
    </row>
    <row r="1547">
      <c r="D1547" s="132"/>
      <c r="G1547" s="661"/>
      <c r="J1547" s="471"/>
      <c r="L1547" s="471"/>
    </row>
    <row r="1548">
      <c r="D1548" s="132"/>
      <c r="G1548" s="661"/>
      <c r="J1548" s="471"/>
      <c r="L1548" s="471"/>
    </row>
    <row r="1549">
      <c r="D1549" s="132"/>
      <c r="G1549" s="661"/>
      <c r="J1549" s="471"/>
      <c r="L1549" s="471"/>
    </row>
    <row r="1550">
      <c r="D1550" s="132"/>
      <c r="G1550" s="661"/>
      <c r="J1550" s="471"/>
      <c r="L1550" s="471"/>
    </row>
    <row r="1551">
      <c r="D1551" s="132"/>
      <c r="G1551" s="661"/>
      <c r="J1551" s="471"/>
      <c r="L1551" s="471"/>
    </row>
    <row r="1552">
      <c r="D1552" s="132"/>
      <c r="G1552" s="661"/>
      <c r="J1552" s="471"/>
      <c r="L1552" s="471"/>
    </row>
    <row r="1553">
      <c r="G1553" s="661"/>
      <c r="J1553" s="471"/>
      <c r="L1553" s="471"/>
    </row>
    <row r="1554">
      <c r="D1554" s="132"/>
      <c r="G1554" s="661"/>
      <c r="J1554" s="471"/>
      <c r="L1554" s="471"/>
    </row>
    <row r="1555">
      <c r="D1555" s="149"/>
      <c r="G1555" s="661"/>
      <c r="J1555" s="471"/>
      <c r="L1555" s="471"/>
    </row>
    <row r="1556">
      <c r="D1556" s="132"/>
      <c r="G1556" s="661"/>
      <c r="J1556" s="471"/>
      <c r="L1556" s="471"/>
    </row>
    <row r="1557">
      <c r="D1557" s="132"/>
      <c r="G1557" s="661"/>
      <c r="J1557" s="471"/>
      <c r="L1557" s="471"/>
    </row>
    <row r="1558">
      <c r="D1558" s="132"/>
      <c r="G1558" s="661"/>
      <c r="J1558" s="471"/>
      <c r="L1558" s="471"/>
    </row>
    <row r="1559">
      <c r="G1559" s="661"/>
      <c r="J1559" s="471"/>
      <c r="L1559" s="471"/>
    </row>
    <row r="1560">
      <c r="D1560" s="132"/>
      <c r="G1560" s="661"/>
      <c r="J1560" s="471"/>
      <c r="L1560" s="471"/>
    </row>
    <row r="1561">
      <c r="D1561" s="132"/>
      <c r="G1561" s="661"/>
      <c r="J1561" s="471"/>
      <c r="L1561" s="471"/>
    </row>
    <row r="1562">
      <c r="D1562" s="132"/>
      <c r="G1562" s="661"/>
      <c r="J1562" s="471"/>
      <c r="L1562" s="471"/>
    </row>
    <row r="1563">
      <c r="G1563" s="661"/>
      <c r="J1563" s="471"/>
      <c r="L1563" s="471"/>
    </row>
    <row r="1564">
      <c r="D1564" s="132"/>
      <c r="G1564" s="661"/>
      <c r="J1564" s="471"/>
      <c r="L1564" s="471"/>
    </row>
    <row r="1565">
      <c r="D1565" s="132"/>
      <c r="G1565" s="661"/>
      <c r="J1565" s="471"/>
      <c r="L1565" s="471"/>
    </row>
    <row r="1566">
      <c r="D1566" s="132"/>
      <c r="G1566" s="661"/>
      <c r="J1566" s="471"/>
      <c r="L1566" s="471"/>
    </row>
    <row r="1567">
      <c r="D1567" s="132"/>
      <c r="G1567" s="661"/>
      <c r="J1567" s="471"/>
      <c r="L1567" s="471"/>
    </row>
    <row r="1568">
      <c r="D1568" s="132"/>
      <c r="G1568" s="661"/>
      <c r="J1568" s="471"/>
      <c r="L1568" s="471"/>
    </row>
    <row r="1569">
      <c r="G1569" s="661"/>
      <c r="J1569" s="471"/>
      <c r="L1569" s="471"/>
    </row>
    <row r="1570">
      <c r="D1570" s="134"/>
      <c r="G1570" s="661"/>
      <c r="J1570" s="471"/>
      <c r="L1570" s="471"/>
    </row>
    <row r="1571">
      <c r="D1571" s="124"/>
      <c r="G1571" s="661"/>
      <c r="J1571" s="471"/>
      <c r="L1571" s="471"/>
    </row>
    <row r="1572">
      <c r="D1572" s="124"/>
      <c r="G1572" s="661"/>
      <c r="J1572" s="471"/>
      <c r="L1572" s="471"/>
    </row>
    <row r="1573">
      <c r="D1573" s="312"/>
      <c r="G1573" s="661"/>
      <c r="J1573" s="471"/>
      <c r="L1573" s="471"/>
    </row>
    <row r="1574">
      <c r="D1574" s="132"/>
      <c r="G1574" s="661"/>
      <c r="J1574" s="471"/>
      <c r="L1574" s="471"/>
    </row>
    <row r="1575">
      <c r="D1575" s="132"/>
      <c r="G1575" s="661"/>
      <c r="J1575" s="471"/>
      <c r="L1575" s="471"/>
    </row>
    <row r="1576">
      <c r="D1576" s="132"/>
      <c r="G1576" s="661"/>
      <c r="J1576" s="471"/>
      <c r="L1576" s="471"/>
    </row>
    <row r="1577">
      <c r="D1577" s="132"/>
      <c r="G1577" s="661"/>
      <c r="J1577" s="471"/>
      <c r="L1577" s="471"/>
    </row>
    <row r="1578">
      <c r="D1578" s="132"/>
      <c r="G1578" s="661"/>
      <c r="J1578" s="471"/>
      <c r="L1578" s="471"/>
    </row>
    <row r="1579">
      <c r="D1579" s="132"/>
      <c r="G1579" s="661"/>
      <c r="J1579" s="471"/>
      <c r="L1579" s="471"/>
    </row>
    <row r="1580">
      <c r="D1580" s="132"/>
      <c r="G1580" s="661"/>
      <c r="J1580" s="471"/>
      <c r="L1580" s="471"/>
    </row>
    <row r="1581">
      <c r="D1581" s="132"/>
      <c r="G1581" s="661"/>
      <c r="J1581" s="471"/>
      <c r="L1581" s="471"/>
    </row>
    <row r="1582">
      <c r="D1582" s="132"/>
      <c r="G1582" s="661"/>
      <c r="J1582" s="471"/>
      <c r="L1582" s="471"/>
    </row>
    <row r="1583">
      <c r="D1583" s="132"/>
      <c r="G1583" s="661"/>
      <c r="J1583" s="471"/>
      <c r="L1583" s="471"/>
    </row>
    <row r="1584">
      <c r="D1584" s="132"/>
      <c r="G1584" s="661"/>
      <c r="J1584" s="471"/>
      <c r="L1584" s="471"/>
    </row>
    <row r="1585">
      <c r="D1585" s="132"/>
      <c r="G1585" s="661"/>
      <c r="J1585" s="471"/>
      <c r="L1585" s="471"/>
    </row>
    <row r="1586">
      <c r="D1586" s="132"/>
      <c r="G1586" s="661"/>
      <c r="J1586" s="471"/>
      <c r="L1586" s="471"/>
    </row>
    <row r="1587">
      <c r="D1587" s="132"/>
      <c r="G1587" s="661"/>
      <c r="J1587" s="471"/>
      <c r="L1587" s="471"/>
    </row>
    <row r="1588">
      <c r="D1588" s="132"/>
      <c r="G1588" s="661"/>
      <c r="J1588" s="471"/>
      <c r="L1588" s="471"/>
    </row>
    <row r="1589">
      <c r="D1589" s="132"/>
      <c r="G1589" s="661"/>
      <c r="J1589" s="471"/>
      <c r="L1589" s="471"/>
    </row>
    <row r="1590">
      <c r="D1590" s="132"/>
      <c r="G1590" s="661"/>
      <c r="J1590" s="471"/>
      <c r="L1590" s="471"/>
    </row>
    <row r="1591">
      <c r="D1591" s="132"/>
      <c r="G1591" s="661"/>
      <c r="J1591" s="471"/>
      <c r="L1591" s="471"/>
    </row>
    <row r="1592">
      <c r="D1592" s="149"/>
      <c r="G1592" s="661"/>
      <c r="J1592" s="471"/>
      <c r="L1592" s="471"/>
    </row>
    <row r="1593">
      <c r="D1593" s="132"/>
      <c r="G1593" s="661"/>
      <c r="J1593" s="471"/>
      <c r="L1593" s="471"/>
    </row>
    <row r="1594">
      <c r="D1594" s="132"/>
      <c r="G1594" s="661"/>
      <c r="J1594" s="471"/>
      <c r="L1594" s="471"/>
    </row>
    <row r="1595">
      <c r="D1595" s="132"/>
      <c r="G1595" s="661"/>
      <c r="J1595" s="471"/>
      <c r="L1595" s="471"/>
    </row>
    <row r="1596">
      <c r="D1596" s="132"/>
      <c r="G1596" s="661"/>
      <c r="J1596" s="471"/>
      <c r="L1596" s="471"/>
    </row>
    <row r="1597">
      <c r="D1597" s="132"/>
      <c r="G1597" s="661"/>
      <c r="J1597" s="471"/>
      <c r="L1597" s="471"/>
    </row>
    <row r="1598">
      <c r="D1598" s="132"/>
      <c r="G1598" s="661"/>
      <c r="J1598" s="471"/>
      <c r="L1598" s="471"/>
    </row>
    <row r="1599">
      <c r="D1599" s="132"/>
      <c r="G1599" s="661"/>
      <c r="J1599" s="471"/>
      <c r="L1599" s="471"/>
    </row>
    <row r="1600">
      <c r="G1600" s="661"/>
      <c r="J1600" s="471"/>
      <c r="L1600" s="471"/>
    </row>
    <row r="1601">
      <c r="D1601" s="132"/>
      <c r="G1601" s="661"/>
      <c r="J1601" s="471"/>
      <c r="L1601" s="471"/>
    </row>
    <row r="1602">
      <c r="D1602" s="132"/>
      <c r="G1602" s="661"/>
      <c r="J1602" s="471"/>
      <c r="L1602" s="471"/>
    </row>
    <row r="1603">
      <c r="D1603" s="132"/>
      <c r="G1603" s="661"/>
      <c r="J1603" s="471"/>
      <c r="L1603" s="471"/>
    </row>
    <row r="1604">
      <c r="D1604" s="132"/>
      <c r="G1604" s="661"/>
      <c r="J1604" s="471"/>
      <c r="L1604" s="471"/>
    </row>
    <row r="1605">
      <c r="D1605" s="132"/>
      <c r="G1605" s="661"/>
      <c r="J1605" s="471"/>
      <c r="L1605" s="471"/>
    </row>
    <row r="1606">
      <c r="D1606" s="132"/>
      <c r="G1606" s="661"/>
      <c r="J1606" s="471"/>
      <c r="L1606" s="471"/>
    </row>
    <row r="1607">
      <c r="D1607" s="132"/>
      <c r="G1607" s="661"/>
      <c r="J1607" s="471"/>
      <c r="L1607" s="471"/>
    </row>
    <row r="1608">
      <c r="D1608" s="132"/>
      <c r="G1608" s="661"/>
      <c r="J1608" s="471"/>
      <c r="L1608" s="471"/>
    </row>
    <row r="1609">
      <c r="D1609" s="132"/>
      <c r="G1609" s="661"/>
      <c r="J1609" s="471"/>
      <c r="L1609" s="471"/>
    </row>
    <row r="1610">
      <c r="D1610" s="132"/>
      <c r="G1610" s="661"/>
      <c r="J1610" s="471"/>
      <c r="L1610" s="471"/>
    </row>
    <row r="1611">
      <c r="D1611" s="132"/>
      <c r="G1611" s="661"/>
      <c r="J1611" s="471"/>
      <c r="L1611" s="471"/>
    </row>
    <row r="1612">
      <c r="D1612" s="132"/>
      <c r="G1612" s="661"/>
      <c r="J1612" s="471"/>
      <c r="L1612" s="471"/>
    </row>
    <row r="1613">
      <c r="D1613" s="132"/>
      <c r="G1613" s="661"/>
      <c r="J1613" s="471"/>
      <c r="L1613" s="471"/>
    </row>
    <row r="1614">
      <c r="D1614" s="132"/>
      <c r="G1614" s="661"/>
      <c r="J1614" s="471"/>
      <c r="L1614" s="471"/>
    </row>
    <row r="1615">
      <c r="D1615" s="132"/>
      <c r="G1615" s="661"/>
      <c r="J1615" s="471"/>
      <c r="L1615" s="471"/>
    </row>
    <row r="1616">
      <c r="D1616" s="132"/>
      <c r="G1616" s="661"/>
      <c r="J1616" s="471"/>
      <c r="L1616" s="471"/>
    </row>
    <row r="1617">
      <c r="D1617" s="132"/>
      <c r="G1617" s="661"/>
      <c r="J1617" s="471"/>
      <c r="L1617" s="471"/>
    </row>
    <row r="1618">
      <c r="D1618" s="132"/>
      <c r="G1618" s="661"/>
      <c r="J1618" s="471"/>
      <c r="L1618" s="471"/>
    </row>
    <row r="1619">
      <c r="D1619" s="132"/>
      <c r="G1619" s="661"/>
      <c r="J1619" s="471"/>
      <c r="L1619" s="471"/>
    </row>
    <row r="1620">
      <c r="D1620" s="132"/>
      <c r="G1620" s="661"/>
      <c r="J1620" s="471"/>
      <c r="L1620" s="471"/>
    </row>
    <row r="1621">
      <c r="G1621" s="661"/>
      <c r="J1621" s="471"/>
      <c r="L1621" s="471"/>
    </row>
    <row r="1622">
      <c r="D1622" s="132"/>
      <c r="G1622" s="661"/>
      <c r="J1622" s="471"/>
      <c r="L1622" s="471"/>
    </row>
    <row r="1623">
      <c r="D1623" s="132"/>
      <c r="G1623" s="661"/>
      <c r="J1623" s="471"/>
      <c r="L1623" s="471"/>
    </row>
    <row r="1624">
      <c r="D1624" s="132"/>
      <c r="G1624" s="661"/>
      <c r="J1624" s="471"/>
      <c r="L1624" s="471"/>
    </row>
    <row r="1625">
      <c r="D1625" s="132"/>
      <c r="G1625" s="661"/>
      <c r="J1625" s="471"/>
      <c r="L1625" s="471"/>
    </row>
    <row r="1626">
      <c r="D1626" s="132"/>
      <c r="G1626" s="661"/>
      <c r="J1626" s="471"/>
      <c r="L1626" s="471"/>
    </row>
    <row r="1627">
      <c r="D1627" s="132"/>
      <c r="G1627" s="661"/>
      <c r="J1627" s="471"/>
      <c r="L1627" s="471"/>
    </row>
    <row r="1628">
      <c r="D1628" s="132"/>
      <c r="G1628" s="661"/>
      <c r="J1628" s="471"/>
      <c r="L1628" s="471"/>
    </row>
    <row r="1629">
      <c r="D1629" s="132"/>
      <c r="G1629" s="661"/>
      <c r="J1629" s="471"/>
      <c r="L1629" s="471"/>
    </row>
    <row r="1630">
      <c r="D1630" s="132"/>
      <c r="G1630" s="661"/>
      <c r="J1630" s="471"/>
      <c r="L1630" s="471"/>
    </row>
    <row r="1631">
      <c r="D1631" s="132"/>
      <c r="G1631" s="661"/>
      <c r="J1631" s="471"/>
      <c r="L1631" s="471"/>
    </row>
    <row r="1632">
      <c r="D1632" s="132"/>
      <c r="G1632" s="661"/>
      <c r="J1632" s="471"/>
      <c r="L1632" s="471"/>
    </row>
    <row r="1633">
      <c r="D1633" s="132"/>
      <c r="G1633" s="661"/>
      <c r="J1633" s="471"/>
      <c r="L1633" s="471"/>
    </row>
    <row r="1634">
      <c r="D1634" s="132"/>
      <c r="G1634" s="661"/>
      <c r="J1634" s="471"/>
      <c r="L1634" s="471"/>
    </row>
    <row r="1635">
      <c r="D1635" s="132"/>
      <c r="G1635" s="661"/>
      <c r="J1635" s="471"/>
      <c r="L1635" s="471"/>
    </row>
    <row r="1636">
      <c r="D1636" s="132"/>
      <c r="G1636" s="661"/>
      <c r="J1636" s="471"/>
      <c r="L1636" s="471"/>
    </row>
    <row r="1637">
      <c r="D1637" s="132"/>
      <c r="G1637" s="661"/>
      <c r="J1637" s="471"/>
      <c r="L1637" s="471"/>
    </row>
    <row r="1638">
      <c r="G1638" s="661"/>
      <c r="J1638" s="471"/>
      <c r="L1638" s="471"/>
    </row>
    <row r="1639">
      <c r="D1639" s="132"/>
      <c r="G1639" s="661"/>
      <c r="J1639" s="471"/>
      <c r="L1639" s="471"/>
    </row>
    <row r="1640">
      <c r="D1640" s="132"/>
      <c r="G1640" s="661"/>
      <c r="J1640" s="471"/>
      <c r="L1640" s="471"/>
    </row>
    <row r="1641">
      <c r="D1641" s="132"/>
      <c r="G1641" s="661"/>
      <c r="J1641" s="471"/>
      <c r="L1641" s="471"/>
    </row>
    <row r="1642">
      <c r="D1642" s="132"/>
      <c r="G1642" s="661"/>
      <c r="J1642" s="471"/>
      <c r="L1642" s="471"/>
    </row>
    <row r="1643">
      <c r="G1643" s="661"/>
      <c r="J1643" s="471"/>
      <c r="L1643" s="471"/>
    </row>
    <row r="1644">
      <c r="G1644" s="661"/>
      <c r="J1644" s="471"/>
      <c r="L1644" s="471"/>
    </row>
    <row r="1645">
      <c r="G1645" s="661"/>
      <c r="J1645" s="471"/>
      <c r="L1645" s="471"/>
    </row>
    <row r="1646">
      <c r="G1646" s="661"/>
      <c r="J1646" s="471"/>
      <c r="L1646" s="471"/>
    </row>
    <row r="1647">
      <c r="D1647" s="132"/>
      <c r="G1647" s="661"/>
      <c r="J1647" s="471"/>
      <c r="L1647" s="471"/>
    </row>
    <row r="1648">
      <c r="D1648" s="132"/>
      <c r="G1648" s="661"/>
      <c r="J1648" s="471"/>
      <c r="L1648" s="471"/>
    </row>
    <row r="1649">
      <c r="D1649" s="132"/>
      <c r="G1649" s="661"/>
      <c r="J1649" s="471"/>
      <c r="L1649" s="471"/>
    </row>
    <row r="1650">
      <c r="G1650" s="661"/>
      <c r="J1650" s="471"/>
      <c r="L1650" s="471"/>
    </row>
    <row r="1651">
      <c r="D1651" s="132"/>
      <c r="G1651" s="661"/>
      <c r="J1651" s="471"/>
      <c r="L1651" s="471"/>
    </row>
    <row r="1652">
      <c r="D1652" s="132"/>
      <c r="G1652" s="661"/>
      <c r="J1652" s="471"/>
      <c r="L1652" s="471"/>
    </row>
    <row r="1653">
      <c r="D1653" s="132"/>
      <c r="G1653" s="661"/>
      <c r="J1653" s="471"/>
      <c r="L1653" s="471"/>
    </row>
    <row r="1654">
      <c r="G1654" s="661"/>
      <c r="J1654" s="471"/>
      <c r="L1654" s="471"/>
    </row>
    <row r="1655">
      <c r="D1655" s="132"/>
      <c r="G1655" s="661"/>
      <c r="J1655" s="471"/>
      <c r="L1655" s="471"/>
    </row>
    <row r="1656">
      <c r="G1656" s="661"/>
      <c r="J1656" s="471"/>
      <c r="L1656" s="471"/>
    </row>
    <row r="1657">
      <c r="D1657" s="132"/>
      <c r="G1657" s="661"/>
      <c r="J1657" s="471"/>
      <c r="L1657" s="471"/>
    </row>
    <row r="1658">
      <c r="G1658" s="661"/>
      <c r="J1658" s="471"/>
      <c r="L1658" s="471"/>
    </row>
    <row r="1659">
      <c r="G1659" s="661"/>
      <c r="J1659" s="471"/>
      <c r="L1659" s="471"/>
    </row>
    <row r="1660">
      <c r="D1660" s="132"/>
      <c r="G1660" s="661"/>
      <c r="J1660" s="471"/>
      <c r="L1660" s="471"/>
    </row>
    <row r="1661">
      <c r="D1661" s="132"/>
      <c r="G1661" s="661"/>
      <c r="J1661" s="471"/>
      <c r="L1661" s="471"/>
    </row>
    <row r="1662">
      <c r="D1662" s="132"/>
      <c r="G1662" s="661"/>
      <c r="J1662" s="471"/>
      <c r="L1662" s="471"/>
    </row>
    <row r="1663">
      <c r="D1663" s="132"/>
      <c r="G1663" s="661"/>
      <c r="J1663" s="471"/>
      <c r="L1663" s="471"/>
    </row>
    <row r="1664">
      <c r="D1664" s="132"/>
      <c r="G1664" s="661"/>
      <c r="J1664" s="471"/>
      <c r="L1664" s="471"/>
    </row>
    <row r="1665">
      <c r="D1665" s="132"/>
      <c r="G1665" s="661"/>
      <c r="J1665" s="471"/>
      <c r="L1665" s="471"/>
    </row>
    <row r="1666">
      <c r="D1666" s="132"/>
      <c r="G1666" s="661"/>
      <c r="J1666" s="471"/>
      <c r="L1666" s="471"/>
    </row>
    <row r="1667">
      <c r="D1667" s="132"/>
      <c r="G1667" s="661"/>
      <c r="J1667" s="471"/>
      <c r="L1667" s="471"/>
    </row>
    <row r="1668">
      <c r="D1668" s="132"/>
      <c r="G1668" s="661"/>
      <c r="J1668" s="471"/>
      <c r="L1668" s="471"/>
    </row>
    <row r="1669">
      <c r="D1669" s="132"/>
      <c r="G1669" s="661"/>
      <c r="J1669" s="471"/>
      <c r="L1669" s="471"/>
    </row>
    <row r="1670">
      <c r="D1670" s="132"/>
      <c r="G1670" s="661"/>
      <c r="J1670" s="471"/>
      <c r="L1670" s="471"/>
    </row>
    <row r="1671">
      <c r="D1671" s="132"/>
      <c r="G1671" s="661"/>
      <c r="J1671" s="471"/>
      <c r="L1671" s="471"/>
    </row>
    <row r="1672">
      <c r="D1672" s="132"/>
      <c r="G1672" s="661"/>
      <c r="J1672" s="471"/>
      <c r="L1672" s="471"/>
    </row>
    <row r="1673">
      <c r="D1673" s="132"/>
      <c r="G1673" s="661"/>
      <c r="J1673" s="471"/>
      <c r="L1673" s="471"/>
    </row>
    <row r="1674">
      <c r="D1674" s="132"/>
      <c r="G1674" s="661"/>
      <c r="J1674" s="471"/>
      <c r="L1674" s="471"/>
    </row>
    <row r="1675">
      <c r="D1675" s="132"/>
      <c r="G1675" s="661"/>
      <c r="J1675" s="471"/>
      <c r="L1675" s="471"/>
    </row>
    <row r="1676">
      <c r="D1676" s="132"/>
      <c r="G1676" s="661"/>
      <c r="J1676" s="471"/>
      <c r="L1676" s="471"/>
    </row>
    <row r="1677">
      <c r="D1677" s="132"/>
      <c r="G1677" s="661"/>
      <c r="J1677" s="471"/>
      <c r="L1677" s="471"/>
    </row>
    <row r="1678">
      <c r="D1678" s="132"/>
      <c r="G1678" s="661"/>
      <c r="J1678" s="471"/>
      <c r="L1678" s="471"/>
    </row>
    <row r="1679">
      <c r="G1679" s="661"/>
      <c r="J1679" s="471"/>
      <c r="L1679" s="471"/>
    </row>
    <row r="1680">
      <c r="D1680" s="149"/>
      <c r="G1680" s="661"/>
      <c r="J1680" s="471"/>
      <c r="L1680" s="471"/>
    </row>
    <row r="1681">
      <c r="D1681" s="132"/>
      <c r="G1681" s="661"/>
      <c r="J1681" s="471"/>
      <c r="L1681" s="471"/>
    </row>
    <row r="1682">
      <c r="D1682" s="132"/>
      <c r="G1682" s="661"/>
      <c r="J1682" s="471"/>
      <c r="L1682" s="471"/>
    </row>
    <row r="1683">
      <c r="D1683" s="132"/>
      <c r="G1683" s="661"/>
      <c r="J1683" s="471"/>
      <c r="L1683" s="471"/>
    </row>
    <row r="1684">
      <c r="D1684" s="132"/>
      <c r="G1684" s="661"/>
      <c r="J1684" s="471"/>
      <c r="L1684" s="471"/>
    </row>
    <row r="1685">
      <c r="D1685" s="132"/>
      <c r="G1685" s="661"/>
      <c r="J1685" s="471"/>
      <c r="L1685" s="471"/>
    </row>
    <row r="1686">
      <c r="D1686" s="132"/>
      <c r="G1686" s="661"/>
      <c r="J1686" s="471"/>
      <c r="L1686" s="471"/>
    </row>
    <row r="1687">
      <c r="D1687" s="132"/>
      <c r="G1687" s="661"/>
      <c r="J1687" s="471"/>
      <c r="L1687" s="471"/>
    </row>
    <row r="1688">
      <c r="G1688" s="661"/>
      <c r="J1688" s="471"/>
      <c r="L1688" s="471"/>
    </row>
    <row r="1689">
      <c r="G1689" s="661"/>
      <c r="J1689" s="471"/>
      <c r="L1689" s="471"/>
    </row>
    <row r="1690">
      <c r="G1690" s="661"/>
      <c r="J1690" s="471"/>
      <c r="L1690" s="471"/>
    </row>
    <row r="1691">
      <c r="G1691" s="661"/>
      <c r="J1691" s="471"/>
      <c r="L1691" s="471"/>
    </row>
    <row r="1692">
      <c r="D1692" s="132"/>
      <c r="G1692" s="661"/>
      <c r="J1692" s="471"/>
      <c r="L1692" s="471"/>
    </row>
    <row r="1693">
      <c r="G1693" s="661"/>
      <c r="J1693" s="471"/>
      <c r="L1693" s="471"/>
    </row>
    <row r="1694">
      <c r="D1694" s="132"/>
      <c r="G1694" s="661"/>
      <c r="J1694" s="471"/>
      <c r="L1694" s="471"/>
    </row>
    <row r="1695">
      <c r="D1695" s="132"/>
      <c r="G1695" s="661"/>
      <c r="J1695" s="471"/>
      <c r="L1695" s="471"/>
    </row>
    <row r="1696">
      <c r="D1696" s="132"/>
      <c r="G1696" s="661"/>
      <c r="J1696" s="471"/>
      <c r="L1696" s="471"/>
    </row>
    <row r="1697">
      <c r="D1697" s="132"/>
      <c r="G1697" s="661"/>
      <c r="J1697" s="471"/>
      <c r="L1697" s="471"/>
    </row>
    <row r="1698">
      <c r="D1698" s="132"/>
      <c r="G1698" s="661"/>
      <c r="J1698" s="471"/>
      <c r="L1698" s="471"/>
    </row>
    <row r="1699">
      <c r="D1699" s="132"/>
      <c r="G1699" s="661"/>
      <c r="J1699" s="471"/>
      <c r="L1699" s="471"/>
    </row>
    <row r="1700">
      <c r="G1700" s="661"/>
      <c r="J1700" s="471"/>
      <c r="L1700" s="471"/>
    </row>
    <row r="1701">
      <c r="D1701" s="134"/>
      <c r="G1701" s="661"/>
      <c r="J1701" s="471"/>
      <c r="L1701" s="471"/>
    </row>
    <row r="1702">
      <c r="D1702" s="124"/>
      <c r="G1702" s="661"/>
      <c r="J1702" s="471"/>
      <c r="L1702" s="471"/>
    </row>
    <row r="1703">
      <c r="D1703" s="124"/>
      <c r="G1703" s="661"/>
      <c r="J1703" s="471"/>
      <c r="L1703" s="471"/>
    </row>
    <row r="1704">
      <c r="D1704" s="312"/>
      <c r="G1704" s="661"/>
      <c r="J1704" s="471"/>
      <c r="L1704" s="471"/>
    </row>
    <row r="1705">
      <c r="D1705" s="132"/>
      <c r="G1705" s="661"/>
      <c r="J1705" s="471"/>
      <c r="L1705" s="471"/>
    </row>
    <row r="1706">
      <c r="D1706" s="132"/>
      <c r="G1706" s="661"/>
      <c r="J1706" s="471"/>
      <c r="L1706" s="471"/>
    </row>
    <row r="1707">
      <c r="D1707" s="149"/>
      <c r="G1707" s="661"/>
      <c r="J1707" s="471"/>
      <c r="L1707" s="471"/>
    </row>
    <row r="1708">
      <c r="D1708" s="132"/>
      <c r="G1708" s="661"/>
      <c r="J1708" s="471"/>
      <c r="L1708" s="471"/>
    </row>
    <row r="1709">
      <c r="D1709" s="132"/>
      <c r="G1709" s="661"/>
      <c r="J1709" s="471"/>
      <c r="L1709" s="471"/>
    </row>
    <row r="1710">
      <c r="D1710" s="132"/>
      <c r="G1710" s="661"/>
      <c r="J1710" s="471"/>
      <c r="L1710" s="471"/>
    </row>
    <row r="1711">
      <c r="G1711" s="661"/>
      <c r="J1711" s="471"/>
      <c r="L1711" s="471"/>
    </row>
    <row r="1712">
      <c r="D1712" s="132"/>
      <c r="G1712" s="661"/>
      <c r="J1712" s="471"/>
      <c r="L1712" s="471"/>
    </row>
    <row r="1713">
      <c r="G1713" s="661"/>
      <c r="J1713" s="471"/>
      <c r="L1713" s="471"/>
    </row>
    <row r="1714">
      <c r="D1714" s="132"/>
      <c r="G1714" s="661"/>
      <c r="J1714" s="471"/>
      <c r="L1714" s="471"/>
    </row>
    <row r="1715">
      <c r="D1715" s="132"/>
      <c r="G1715" s="661"/>
      <c r="J1715" s="471"/>
      <c r="L1715" s="471"/>
    </row>
    <row r="1716">
      <c r="D1716" s="132"/>
      <c r="G1716" s="661"/>
      <c r="J1716" s="471"/>
      <c r="L1716" s="471"/>
    </row>
    <row r="1717">
      <c r="D1717" s="132"/>
      <c r="G1717" s="661"/>
      <c r="J1717" s="471"/>
      <c r="L1717" s="471"/>
    </row>
    <row r="1718">
      <c r="D1718" s="132"/>
      <c r="G1718" s="661"/>
      <c r="J1718" s="471"/>
      <c r="L1718" s="471"/>
    </row>
    <row r="1719">
      <c r="D1719" s="132"/>
      <c r="G1719" s="661"/>
      <c r="J1719" s="471"/>
      <c r="L1719" s="471"/>
    </row>
    <row r="1720">
      <c r="D1720" s="132"/>
      <c r="G1720" s="661"/>
      <c r="J1720" s="471"/>
      <c r="L1720" s="471"/>
    </row>
    <row r="1721">
      <c r="D1721" s="132"/>
      <c r="G1721" s="661"/>
      <c r="J1721" s="471"/>
      <c r="L1721" s="471"/>
    </row>
    <row r="1722">
      <c r="D1722" s="132"/>
      <c r="G1722" s="661"/>
      <c r="J1722" s="471"/>
      <c r="L1722" s="471"/>
    </row>
    <row r="1723">
      <c r="D1723" s="132"/>
      <c r="G1723" s="661"/>
      <c r="J1723" s="471"/>
      <c r="L1723" s="471"/>
    </row>
    <row r="1724">
      <c r="G1724" s="661"/>
      <c r="J1724" s="471"/>
      <c r="L1724" s="471"/>
    </row>
    <row r="1725">
      <c r="D1725" s="132"/>
      <c r="G1725" s="661"/>
      <c r="J1725" s="471"/>
      <c r="L1725" s="471"/>
    </row>
    <row r="1726">
      <c r="D1726" s="132"/>
      <c r="G1726" s="661"/>
      <c r="J1726" s="471"/>
      <c r="L1726" s="471"/>
    </row>
    <row r="1727">
      <c r="D1727" s="132"/>
      <c r="G1727" s="661"/>
      <c r="J1727" s="471"/>
      <c r="L1727" s="471"/>
    </row>
    <row r="1728">
      <c r="D1728" s="132"/>
      <c r="G1728" s="661"/>
      <c r="J1728" s="471"/>
      <c r="L1728" s="471"/>
    </row>
    <row r="1729">
      <c r="D1729" s="132"/>
      <c r="G1729" s="661"/>
      <c r="J1729" s="471"/>
      <c r="L1729" s="471"/>
    </row>
    <row r="1730">
      <c r="D1730" s="132"/>
      <c r="G1730" s="661"/>
      <c r="J1730" s="471"/>
      <c r="L1730" s="471"/>
    </row>
    <row r="1731">
      <c r="D1731" s="132"/>
      <c r="G1731" s="661"/>
      <c r="J1731" s="471"/>
      <c r="L1731" s="471"/>
    </row>
    <row r="1732">
      <c r="G1732" s="661"/>
      <c r="J1732" s="471"/>
      <c r="L1732" s="471"/>
    </row>
    <row r="1733">
      <c r="D1733" s="132"/>
      <c r="G1733" s="661"/>
      <c r="J1733" s="471"/>
      <c r="L1733" s="471"/>
    </row>
    <row r="1734">
      <c r="D1734" s="132"/>
      <c r="G1734" s="661"/>
      <c r="J1734" s="471"/>
      <c r="L1734" s="471"/>
    </row>
    <row r="1735">
      <c r="G1735" s="661"/>
      <c r="J1735" s="471"/>
      <c r="L1735" s="471"/>
    </row>
    <row r="1736">
      <c r="D1736" s="132"/>
      <c r="G1736" s="661"/>
      <c r="J1736" s="471"/>
      <c r="L1736" s="471"/>
    </row>
    <row r="1737">
      <c r="D1737" s="132"/>
      <c r="G1737" s="661"/>
      <c r="J1737" s="471"/>
      <c r="L1737" s="471"/>
    </row>
    <row r="1738">
      <c r="G1738" s="661"/>
      <c r="J1738" s="471"/>
      <c r="L1738" s="471"/>
    </row>
    <row r="1739">
      <c r="D1739" s="132"/>
      <c r="G1739" s="661"/>
      <c r="J1739" s="471"/>
      <c r="L1739" s="471"/>
    </row>
    <row r="1740">
      <c r="G1740" s="661"/>
      <c r="J1740" s="471"/>
      <c r="L1740" s="471"/>
    </row>
    <row r="1741">
      <c r="D1741" s="132"/>
      <c r="G1741" s="661"/>
      <c r="J1741" s="471"/>
      <c r="L1741" s="471"/>
    </row>
    <row r="1742">
      <c r="D1742" s="132"/>
      <c r="G1742" s="661"/>
      <c r="J1742" s="471"/>
      <c r="L1742" s="471"/>
    </row>
    <row r="1743">
      <c r="D1743" s="132"/>
      <c r="G1743" s="661"/>
      <c r="J1743" s="471"/>
      <c r="L1743" s="471"/>
    </row>
    <row r="1744">
      <c r="D1744" s="132"/>
      <c r="G1744" s="661"/>
      <c r="J1744" s="471"/>
      <c r="L1744" s="471"/>
    </row>
    <row r="1745">
      <c r="D1745" s="132"/>
      <c r="G1745" s="661"/>
      <c r="J1745" s="471"/>
      <c r="L1745" s="471"/>
    </row>
    <row r="1746">
      <c r="G1746" s="661"/>
      <c r="J1746" s="471"/>
      <c r="L1746" s="471"/>
    </row>
    <row r="1747">
      <c r="G1747" s="661"/>
      <c r="J1747" s="471"/>
      <c r="L1747" s="471"/>
    </row>
    <row r="1748">
      <c r="D1748" s="132"/>
      <c r="G1748" s="661"/>
      <c r="J1748" s="471"/>
      <c r="L1748" s="471"/>
    </row>
    <row r="1749">
      <c r="D1749" s="132"/>
      <c r="G1749" s="661"/>
      <c r="J1749" s="471"/>
      <c r="L1749" s="471"/>
    </row>
    <row r="1750">
      <c r="D1750" s="132"/>
      <c r="G1750" s="661"/>
      <c r="J1750" s="471"/>
      <c r="L1750" s="471"/>
    </row>
    <row r="1751">
      <c r="D1751" s="132"/>
      <c r="G1751" s="661"/>
      <c r="J1751" s="471"/>
      <c r="L1751" s="471"/>
    </row>
    <row r="1752">
      <c r="D1752" s="132"/>
      <c r="G1752" s="661"/>
      <c r="J1752" s="471"/>
      <c r="L1752" s="471"/>
    </row>
    <row r="1753">
      <c r="G1753" s="661"/>
      <c r="J1753" s="471"/>
      <c r="L1753" s="471"/>
    </row>
    <row r="1754">
      <c r="D1754" s="132"/>
      <c r="G1754" s="661"/>
      <c r="J1754" s="471"/>
      <c r="L1754" s="471"/>
    </row>
    <row r="1755">
      <c r="D1755" s="132"/>
      <c r="G1755" s="661"/>
      <c r="J1755" s="471"/>
      <c r="L1755" s="471"/>
    </row>
    <row r="1756">
      <c r="D1756" s="132"/>
      <c r="G1756" s="661"/>
      <c r="J1756" s="471"/>
      <c r="L1756" s="471"/>
    </row>
    <row r="1757">
      <c r="D1757" s="132"/>
      <c r="G1757" s="661"/>
      <c r="J1757" s="471"/>
      <c r="L1757" s="471"/>
    </row>
    <row r="1758">
      <c r="D1758" s="132"/>
      <c r="G1758" s="661"/>
      <c r="J1758" s="471"/>
      <c r="L1758" s="471"/>
    </row>
    <row r="1759">
      <c r="D1759" s="132"/>
      <c r="G1759" s="661"/>
      <c r="J1759" s="471"/>
      <c r="L1759" s="471"/>
    </row>
    <row r="1760">
      <c r="D1760" s="132"/>
      <c r="G1760" s="661"/>
      <c r="J1760" s="471"/>
      <c r="L1760" s="471"/>
    </row>
    <row r="1761">
      <c r="D1761" s="132"/>
      <c r="G1761" s="661"/>
      <c r="J1761" s="471"/>
      <c r="L1761" s="471"/>
    </row>
    <row r="1762">
      <c r="D1762" s="132"/>
      <c r="G1762" s="661"/>
      <c r="J1762" s="471"/>
      <c r="L1762" s="471"/>
    </row>
    <row r="1763">
      <c r="D1763" s="132"/>
      <c r="G1763" s="661"/>
      <c r="J1763" s="471"/>
      <c r="L1763" s="471"/>
    </row>
    <row r="1764">
      <c r="D1764" s="132"/>
      <c r="G1764" s="661"/>
      <c r="J1764" s="471"/>
      <c r="L1764" s="471"/>
    </row>
    <row r="1765">
      <c r="D1765" s="132"/>
      <c r="G1765" s="661"/>
      <c r="J1765" s="471"/>
      <c r="L1765" s="471"/>
    </row>
    <row r="1766">
      <c r="G1766" s="661"/>
      <c r="J1766" s="471"/>
      <c r="L1766" s="471"/>
    </row>
    <row r="1767">
      <c r="D1767" s="132"/>
      <c r="G1767" s="661"/>
      <c r="J1767" s="471"/>
      <c r="L1767" s="471"/>
    </row>
    <row r="1768">
      <c r="G1768" s="661"/>
      <c r="J1768" s="471"/>
      <c r="L1768" s="471"/>
    </row>
    <row r="1769">
      <c r="D1769" s="132"/>
      <c r="G1769" s="661"/>
      <c r="J1769" s="471"/>
      <c r="L1769" s="471"/>
    </row>
    <row r="1770">
      <c r="D1770" s="132"/>
      <c r="G1770" s="661"/>
      <c r="J1770" s="471"/>
      <c r="L1770" s="471"/>
    </row>
    <row r="1771">
      <c r="D1771" s="132"/>
      <c r="G1771" s="661"/>
      <c r="J1771" s="471"/>
      <c r="L1771" s="471"/>
    </row>
    <row r="1772">
      <c r="D1772" s="132"/>
      <c r="G1772" s="661"/>
      <c r="J1772" s="471"/>
      <c r="L1772" s="471"/>
    </row>
    <row r="1773">
      <c r="D1773" s="132"/>
      <c r="G1773" s="661"/>
      <c r="J1773" s="471"/>
      <c r="L1773" s="471"/>
    </row>
    <row r="1774">
      <c r="D1774" s="132"/>
      <c r="G1774" s="661"/>
      <c r="J1774" s="471"/>
      <c r="L1774" s="471"/>
    </row>
    <row r="1775">
      <c r="D1775" s="149"/>
      <c r="G1775" s="661"/>
      <c r="J1775" s="471"/>
      <c r="L1775" s="471"/>
    </row>
    <row r="1776">
      <c r="G1776" s="661"/>
      <c r="J1776" s="471"/>
      <c r="L1776" s="471"/>
    </row>
    <row r="1777">
      <c r="G1777" s="661"/>
      <c r="J1777" s="471"/>
      <c r="L1777" s="471"/>
    </row>
    <row r="1778">
      <c r="D1778" s="132"/>
      <c r="G1778" s="661"/>
      <c r="J1778" s="471"/>
      <c r="L1778" s="471"/>
    </row>
    <row r="1779">
      <c r="D1779" s="132"/>
      <c r="G1779" s="661"/>
      <c r="J1779" s="471"/>
      <c r="L1779" s="471"/>
    </row>
    <row r="1780">
      <c r="D1780" s="132"/>
      <c r="G1780" s="661"/>
      <c r="J1780" s="471"/>
      <c r="L1780" s="471"/>
    </row>
    <row r="1781">
      <c r="D1781" s="132"/>
      <c r="G1781" s="661"/>
      <c r="J1781" s="471"/>
      <c r="L1781" s="471"/>
    </row>
    <row r="1782">
      <c r="D1782" s="132"/>
      <c r="G1782" s="661"/>
      <c r="J1782" s="471"/>
      <c r="L1782" s="471"/>
    </row>
    <row r="1783">
      <c r="D1783" s="132"/>
      <c r="G1783" s="661"/>
      <c r="J1783" s="471"/>
      <c r="L1783" s="471"/>
    </row>
    <row r="1784">
      <c r="D1784" s="132"/>
      <c r="G1784" s="661"/>
      <c r="J1784" s="471"/>
      <c r="L1784" s="471"/>
    </row>
    <row r="1785">
      <c r="D1785" s="132"/>
      <c r="G1785" s="661"/>
      <c r="J1785" s="471"/>
      <c r="L1785" s="471"/>
    </row>
    <row r="1786">
      <c r="G1786" s="661"/>
      <c r="J1786" s="471"/>
      <c r="L1786" s="471"/>
    </row>
    <row r="1787">
      <c r="D1787" s="132"/>
      <c r="G1787" s="661"/>
      <c r="J1787" s="471"/>
      <c r="L1787" s="471"/>
    </row>
    <row r="1788">
      <c r="D1788" s="313"/>
      <c r="G1788" s="661"/>
      <c r="J1788" s="471"/>
      <c r="L1788" s="471"/>
    </row>
    <row r="1789">
      <c r="D1789" s="132"/>
      <c r="G1789" s="661"/>
      <c r="J1789" s="471"/>
      <c r="L1789" s="471"/>
    </row>
    <row r="1790">
      <c r="D1790" s="132"/>
      <c r="G1790" s="661"/>
      <c r="J1790" s="471"/>
      <c r="L1790" s="471"/>
    </row>
    <row r="1791">
      <c r="D1791" s="132"/>
      <c r="G1791" s="661"/>
      <c r="J1791" s="471"/>
      <c r="L1791" s="471"/>
    </row>
    <row r="1792">
      <c r="D1792" s="132"/>
      <c r="G1792" s="661"/>
      <c r="J1792" s="471"/>
      <c r="L1792" s="471"/>
    </row>
    <row r="1793">
      <c r="D1793" s="132"/>
      <c r="G1793" s="661"/>
      <c r="J1793" s="471"/>
      <c r="L1793" s="471"/>
    </row>
    <row r="1794">
      <c r="D1794" s="132"/>
      <c r="G1794" s="661"/>
      <c r="J1794" s="471"/>
      <c r="L1794" s="471"/>
    </row>
    <row r="1795">
      <c r="D1795" s="132"/>
      <c r="G1795" s="661"/>
      <c r="J1795" s="471"/>
      <c r="L1795" s="471"/>
    </row>
    <row r="1796">
      <c r="G1796" s="661"/>
      <c r="J1796" s="471"/>
      <c r="L1796" s="471"/>
    </row>
    <row r="1797">
      <c r="D1797" s="132"/>
      <c r="G1797" s="661"/>
      <c r="J1797" s="471"/>
      <c r="L1797" s="471"/>
    </row>
    <row r="1798">
      <c r="D1798" s="132"/>
      <c r="G1798" s="661"/>
      <c r="J1798" s="471"/>
      <c r="L1798" s="471"/>
    </row>
    <row r="1799">
      <c r="D1799" s="132"/>
      <c r="G1799" s="661"/>
      <c r="J1799" s="471"/>
      <c r="L1799" s="471"/>
    </row>
    <row r="1800">
      <c r="G1800" s="661"/>
      <c r="J1800" s="471"/>
      <c r="L1800" s="471"/>
    </row>
    <row r="1801">
      <c r="D1801" s="149"/>
      <c r="G1801" s="661"/>
      <c r="J1801" s="471"/>
      <c r="L1801" s="471"/>
    </row>
    <row r="1802">
      <c r="D1802" s="132"/>
      <c r="G1802" s="661"/>
      <c r="J1802" s="471"/>
      <c r="L1802" s="471"/>
    </row>
    <row r="1803">
      <c r="D1803" s="149"/>
      <c r="G1803" s="661"/>
      <c r="J1803" s="471"/>
      <c r="L1803" s="471"/>
    </row>
    <row r="1804">
      <c r="D1804" s="132"/>
      <c r="G1804" s="661"/>
      <c r="J1804" s="471"/>
      <c r="L1804" s="471"/>
    </row>
    <row r="1805">
      <c r="D1805" s="132"/>
      <c r="G1805" s="661"/>
      <c r="J1805" s="471"/>
      <c r="L1805" s="471"/>
    </row>
    <row r="1806">
      <c r="D1806" s="132"/>
      <c r="G1806" s="661"/>
      <c r="J1806" s="471"/>
      <c r="L1806" s="471"/>
    </row>
    <row r="1807">
      <c r="D1807" s="132"/>
      <c r="G1807" s="661"/>
      <c r="J1807" s="471"/>
      <c r="L1807" s="471"/>
    </row>
    <row r="1808">
      <c r="D1808" s="132"/>
      <c r="G1808" s="661"/>
      <c r="J1808" s="471"/>
      <c r="L1808" s="471"/>
    </row>
    <row r="1809">
      <c r="D1809" s="132"/>
      <c r="G1809" s="661"/>
      <c r="J1809" s="471"/>
      <c r="L1809" s="471"/>
    </row>
    <row r="1810">
      <c r="D1810" s="270"/>
      <c r="G1810" s="661"/>
      <c r="J1810" s="471"/>
      <c r="L1810" s="471"/>
    </row>
    <row r="1811">
      <c r="D1811" s="132"/>
      <c r="G1811" s="661"/>
      <c r="J1811" s="471"/>
      <c r="L1811" s="471"/>
    </row>
    <row r="1812">
      <c r="D1812" s="132"/>
      <c r="G1812" s="661"/>
      <c r="J1812" s="471"/>
      <c r="L1812" s="471"/>
    </row>
    <row r="1813">
      <c r="G1813" s="661"/>
      <c r="J1813" s="471"/>
      <c r="L1813" s="471"/>
    </row>
    <row r="1814">
      <c r="D1814" s="132"/>
      <c r="G1814" s="661"/>
      <c r="J1814" s="471"/>
      <c r="L1814" s="471"/>
    </row>
    <row r="1815">
      <c r="G1815" s="661"/>
      <c r="J1815" s="471"/>
      <c r="L1815" s="471"/>
    </row>
    <row r="1816">
      <c r="G1816" s="661"/>
      <c r="J1816" s="471"/>
      <c r="L1816" s="471"/>
    </row>
    <row r="1817">
      <c r="D1817" s="132"/>
      <c r="G1817" s="661"/>
      <c r="J1817" s="471"/>
      <c r="L1817" s="471"/>
    </row>
    <row r="1818">
      <c r="G1818" s="661"/>
      <c r="J1818" s="471"/>
      <c r="L1818" s="471"/>
    </row>
    <row r="1819">
      <c r="D1819" s="132"/>
      <c r="G1819" s="661"/>
      <c r="J1819" s="471"/>
      <c r="L1819" s="471"/>
    </row>
    <row r="1820">
      <c r="G1820" s="661"/>
      <c r="J1820" s="471"/>
      <c r="L1820" s="471"/>
    </row>
    <row r="1821">
      <c r="D1821" s="132"/>
      <c r="G1821" s="661"/>
      <c r="J1821" s="471"/>
      <c r="L1821" s="471"/>
    </row>
    <row r="1822">
      <c r="G1822" s="661"/>
      <c r="J1822" s="471"/>
      <c r="L1822" s="471"/>
    </row>
    <row r="1823">
      <c r="G1823" s="661"/>
      <c r="J1823" s="471"/>
      <c r="L1823" s="471"/>
    </row>
    <row r="1824">
      <c r="D1824" s="132"/>
      <c r="G1824" s="661"/>
      <c r="J1824" s="471"/>
      <c r="L1824" s="471"/>
    </row>
    <row r="1825">
      <c r="D1825" s="132"/>
      <c r="G1825" s="661"/>
      <c r="J1825" s="471"/>
      <c r="L1825" s="471"/>
    </row>
    <row r="1826">
      <c r="D1826" s="132"/>
      <c r="G1826" s="661"/>
      <c r="J1826" s="471"/>
      <c r="L1826" s="471"/>
    </row>
    <row r="1827">
      <c r="D1827" s="132"/>
      <c r="G1827" s="661"/>
      <c r="J1827" s="471"/>
      <c r="L1827" s="471"/>
    </row>
    <row r="1828">
      <c r="D1828" s="132"/>
      <c r="G1828" s="661"/>
      <c r="J1828" s="471"/>
      <c r="L1828" s="471"/>
    </row>
    <row r="1829">
      <c r="G1829" s="661"/>
      <c r="J1829" s="471"/>
      <c r="L1829" s="471"/>
    </row>
    <row r="1830">
      <c r="G1830" s="661"/>
      <c r="J1830" s="471"/>
      <c r="L1830" s="657" t="s">
        <v>2576</v>
      </c>
    </row>
    <row r="1831">
      <c r="D1831" s="132"/>
      <c r="G1831" s="661"/>
      <c r="J1831" s="471"/>
      <c r="L1831" s="660">
        <v>0.013</v>
      </c>
    </row>
    <row r="1832">
      <c r="D1832" s="132"/>
      <c r="G1832" s="661"/>
      <c r="J1832" s="471"/>
      <c r="L1832" s="153"/>
    </row>
    <row r="1833">
      <c r="D1833" s="132"/>
      <c r="G1833" s="661"/>
      <c r="J1833" s="471"/>
      <c r="L1833" s="663"/>
    </row>
    <row r="1834">
      <c r="G1834" s="661"/>
      <c r="J1834" s="471"/>
      <c r="L1834" s="665"/>
    </row>
    <row r="1835">
      <c r="G1835" s="661"/>
      <c r="J1835" s="471"/>
      <c r="L1835" s="665"/>
    </row>
    <row r="1836">
      <c r="G1836" s="661"/>
      <c r="J1836" s="471"/>
      <c r="L1836" s="665"/>
    </row>
    <row r="1837">
      <c r="D1837" s="132"/>
      <c r="G1837" s="661"/>
      <c r="J1837" s="471"/>
      <c r="L1837" s="665"/>
    </row>
    <row r="1838">
      <c r="D1838" s="132"/>
      <c r="G1838" s="661"/>
      <c r="J1838" s="471"/>
      <c r="L1838" s="471"/>
    </row>
    <row r="1839">
      <c r="D1839" s="132"/>
      <c r="G1839" s="661"/>
      <c r="J1839" s="471"/>
      <c r="L1839" s="471"/>
    </row>
    <row r="1840">
      <c r="D1840" s="132"/>
      <c r="G1840" s="661"/>
      <c r="J1840" s="471"/>
      <c r="L1840" s="665"/>
    </row>
    <row r="1841">
      <c r="D1841" s="132"/>
      <c r="G1841" s="661"/>
      <c r="J1841" s="471"/>
      <c r="L1841" s="665"/>
    </row>
    <row r="1842">
      <c r="D1842" s="132"/>
      <c r="G1842" s="661"/>
      <c r="J1842" s="471"/>
      <c r="L1842" s="665"/>
    </row>
    <row r="1843">
      <c r="D1843" s="132"/>
      <c r="G1843" s="661"/>
      <c r="J1843" s="471"/>
      <c r="L1843" s="665"/>
    </row>
    <row r="1844">
      <c r="D1844" s="132"/>
      <c r="G1844" s="661"/>
      <c r="J1844" s="471"/>
      <c r="L1844" s="665"/>
    </row>
    <row r="1845">
      <c r="D1845" s="132"/>
      <c r="G1845" s="661"/>
      <c r="J1845" s="471"/>
      <c r="L1845" s="665"/>
    </row>
    <row r="1846">
      <c r="G1846" s="661"/>
      <c r="J1846" s="471"/>
      <c r="L1846" s="665"/>
    </row>
    <row r="1847">
      <c r="G1847" s="661"/>
      <c r="J1847" s="471"/>
      <c r="L1847" s="665"/>
    </row>
    <row r="1848">
      <c r="D1848" s="134"/>
      <c r="G1848" s="661"/>
      <c r="J1848" s="471"/>
      <c r="L1848" s="663"/>
    </row>
    <row r="1849">
      <c r="D1849" s="124"/>
      <c r="G1849" s="661"/>
      <c r="J1849" s="471"/>
      <c r="L1849" s="663"/>
    </row>
    <row r="1850">
      <c r="D1850" s="124"/>
      <c r="G1850" s="661"/>
      <c r="J1850" s="471"/>
      <c r="L1850" s="665"/>
    </row>
    <row r="1851">
      <c r="D1851" s="312"/>
      <c r="G1851" s="661"/>
      <c r="J1851" s="471"/>
      <c r="L1851" s="665"/>
    </row>
    <row r="1852">
      <c r="D1852" s="132"/>
      <c r="G1852" s="661"/>
      <c r="J1852" s="471"/>
      <c r="L1852" s="665"/>
    </row>
    <row r="1853">
      <c r="D1853" s="132"/>
      <c r="G1853" s="661"/>
      <c r="J1853" s="471"/>
      <c r="L1853" s="665"/>
    </row>
    <row r="1854">
      <c r="D1854" s="132"/>
      <c r="G1854" s="661"/>
      <c r="J1854" s="471"/>
      <c r="L1854" s="665"/>
    </row>
    <row r="1855">
      <c r="D1855" s="132"/>
      <c r="G1855" s="661"/>
      <c r="J1855" s="471"/>
      <c r="L1855" s="665"/>
    </row>
    <row r="1856">
      <c r="D1856" s="149"/>
      <c r="G1856" s="661"/>
      <c r="J1856" s="471"/>
      <c r="L1856" s="665"/>
    </row>
    <row r="1857">
      <c r="G1857" s="661"/>
      <c r="J1857" s="471"/>
      <c r="L1857" s="665"/>
    </row>
    <row r="1858">
      <c r="D1858" s="132"/>
      <c r="G1858" s="661"/>
      <c r="J1858" s="471"/>
      <c r="L1858" s="665"/>
    </row>
    <row r="1859">
      <c r="G1859" s="661"/>
      <c r="J1859" s="471"/>
      <c r="L1859" s="665"/>
    </row>
    <row r="1860">
      <c r="D1860" s="132"/>
      <c r="G1860" s="661"/>
      <c r="J1860" s="471"/>
      <c r="L1860" s="665"/>
    </row>
    <row r="1861">
      <c r="D1861" s="132"/>
      <c r="G1861" s="661"/>
      <c r="J1861" s="471"/>
      <c r="L1861" s="665"/>
    </row>
    <row r="1862">
      <c r="D1862" s="132"/>
      <c r="G1862" s="661"/>
      <c r="J1862" s="471"/>
      <c r="L1862" s="471"/>
    </row>
    <row r="1863">
      <c r="D1863" s="132"/>
      <c r="G1863" s="661"/>
      <c r="J1863" s="471"/>
      <c r="L1863" s="663"/>
      <c r="M1863" s="118" t="s">
        <v>2204</v>
      </c>
      <c r="N1863" s="118" t="s">
        <v>2579</v>
      </c>
      <c r="O1863" s="118" t="s">
        <v>2205</v>
      </c>
      <c r="P1863" s="118" t="s">
        <v>41</v>
      </c>
    </row>
    <row r="1864">
      <c r="D1864" s="132"/>
      <c r="G1864" s="661"/>
      <c r="J1864" s="471"/>
      <c r="L1864" s="665"/>
      <c r="M1864" s="204"/>
      <c r="N1864" s="204"/>
      <c r="O1864" s="204">
        <f>SUM(O1866:O1962)</f>
        <v>15425</v>
      </c>
      <c r="P1864" s="417" t="str">
        <f>O1864/(H1864/100)</f>
        <v>#DIV/0!</v>
      </c>
      <c r="Q1864" s="121"/>
    </row>
    <row r="1865">
      <c r="D1865" s="149"/>
      <c r="G1865" s="661"/>
      <c r="J1865" s="471"/>
      <c r="L1865" s="665"/>
      <c r="M1865" s="139"/>
      <c r="N1865" s="139"/>
      <c r="O1865" s="139"/>
      <c r="P1865" s="166"/>
      <c r="Q1865" s="129"/>
    </row>
    <row r="1866">
      <c r="G1866" s="661"/>
      <c r="J1866" s="471"/>
      <c r="L1866" s="665"/>
      <c r="M1866" s="627" t="s">
        <v>2581</v>
      </c>
      <c r="N1866" s="650">
        <v>44434.0</v>
      </c>
      <c r="O1866" s="474">
        <v>150.0</v>
      </c>
      <c r="P1866" s="125">
        <f>SUM(O1866:O1875)</f>
        <v>900</v>
      </c>
      <c r="Q1866" s="128" t="s">
        <v>2582</v>
      </c>
    </row>
    <row r="1867">
      <c r="D1867" s="132"/>
      <c r="G1867" s="661"/>
      <c r="J1867" s="471"/>
      <c r="L1867" s="665"/>
      <c r="M1867" s="627" t="s">
        <v>2584</v>
      </c>
      <c r="N1867" s="650">
        <v>44434.0</v>
      </c>
      <c r="O1867" s="474">
        <v>75.0</v>
      </c>
      <c r="Q1867" s="129"/>
    </row>
    <row r="1868">
      <c r="D1868" s="149"/>
      <c r="G1868" s="661"/>
      <c r="J1868" s="471"/>
      <c r="L1868" s="665"/>
      <c r="M1868" s="627" t="s">
        <v>2581</v>
      </c>
      <c r="N1868" s="650">
        <v>44435.0</v>
      </c>
      <c r="O1868" s="474">
        <v>100.0</v>
      </c>
      <c r="Q1868" s="128"/>
    </row>
    <row r="1869">
      <c r="G1869" s="661"/>
      <c r="J1869" s="471"/>
      <c r="L1869" s="665"/>
      <c r="M1869" s="627" t="s">
        <v>2584</v>
      </c>
      <c r="N1869" s="650">
        <v>44435.0</v>
      </c>
      <c r="O1869" s="474">
        <v>75.0</v>
      </c>
      <c r="P1869" s="130"/>
      <c r="Q1869" s="129"/>
    </row>
    <row r="1870">
      <c r="G1870" s="661"/>
      <c r="J1870" s="471"/>
      <c r="L1870" s="665"/>
      <c r="M1870" s="627" t="s">
        <v>2581</v>
      </c>
      <c r="N1870" s="650">
        <v>44436.0</v>
      </c>
      <c r="O1870" s="474">
        <v>125.0</v>
      </c>
    </row>
    <row r="1871">
      <c r="D1871" s="132"/>
      <c r="G1871" s="661"/>
      <c r="J1871" s="471"/>
      <c r="L1871" s="665"/>
      <c r="M1871" s="627" t="s">
        <v>2584</v>
      </c>
      <c r="N1871" s="650">
        <v>44436.0</v>
      </c>
      <c r="O1871" s="474">
        <v>-50.0</v>
      </c>
      <c r="P1871" s="130"/>
      <c r="Q1871" s="128"/>
    </row>
    <row r="1872">
      <c r="D1872" s="132"/>
      <c r="G1872" s="661"/>
      <c r="J1872" s="471"/>
      <c r="L1872" s="665"/>
      <c r="M1872" s="627" t="s">
        <v>2581</v>
      </c>
      <c r="N1872" s="650">
        <v>44437.0</v>
      </c>
      <c r="O1872" s="474">
        <v>0.0</v>
      </c>
      <c r="P1872" s="125"/>
    </row>
    <row r="1873">
      <c r="D1873" s="132"/>
      <c r="G1873" s="661"/>
      <c r="J1873" s="471"/>
      <c r="L1873" s="665"/>
      <c r="M1873" s="627" t="s">
        <v>2584</v>
      </c>
      <c r="N1873" s="650">
        <v>44437.0</v>
      </c>
      <c r="O1873" s="474">
        <v>-100.0</v>
      </c>
      <c r="P1873" s="134"/>
    </row>
    <row r="1874">
      <c r="D1874" s="132"/>
      <c r="G1874" s="661"/>
      <c r="J1874" s="471"/>
      <c r="L1874" s="665"/>
      <c r="M1874" s="627" t="s">
        <v>2588</v>
      </c>
      <c r="N1874" s="650">
        <v>44439.0</v>
      </c>
      <c r="O1874" s="474">
        <v>450.0</v>
      </c>
      <c r="P1874" s="189"/>
      <c r="Q1874" s="122"/>
    </row>
    <row r="1875">
      <c r="D1875" s="132"/>
      <c r="G1875" s="661"/>
      <c r="J1875" s="471"/>
      <c r="L1875" s="665"/>
      <c r="M1875" s="627" t="s">
        <v>2581</v>
      </c>
      <c r="N1875" s="650">
        <v>44439.0</v>
      </c>
      <c r="O1875" s="474">
        <v>75.0</v>
      </c>
      <c r="P1875" s="630"/>
    </row>
    <row r="1876">
      <c r="D1876" s="132"/>
      <c r="G1876" s="661"/>
      <c r="J1876" s="471"/>
      <c r="L1876" s="665"/>
      <c r="M1876" s="627"/>
      <c r="N1876" s="627"/>
      <c r="O1876" s="474"/>
      <c r="P1876" s="631"/>
      <c r="Q1876" s="632"/>
    </row>
    <row r="1877">
      <c r="G1877" s="661"/>
      <c r="J1877" s="471"/>
      <c r="L1877" s="471"/>
      <c r="M1877" s="627" t="s">
        <v>2589</v>
      </c>
      <c r="N1877" s="650">
        <v>44440.0</v>
      </c>
      <c r="O1877" s="474">
        <v>50.0</v>
      </c>
      <c r="P1877" s="125">
        <f>SUM(O1877:O1910)</f>
        <v>8425</v>
      </c>
      <c r="Q1877" s="128" t="s">
        <v>2590</v>
      </c>
    </row>
    <row r="1878">
      <c r="G1878" s="661"/>
      <c r="J1878" s="471"/>
      <c r="L1878" s="663"/>
      <c r="M1878" s="627" t="s">
        <v>2581</v>
      </c>
      <c r="N1878" s="650">
        <v>44440.0</v>
      </c>
      <c r="O1878" s="474">
        <v>95.0</v>
      </c>
      <c r="Q1878" s="129"/>
    </row>
    <row r="1879">
      <c r="D1879" s="132"/>
      <c r="G1879" s="661"/>
      <c r="J1879" s="471"/>
      <c r="L1879" s="665"/>
      <c r="M1879" s="627" t="s">
        <v>2591</v>
      </c>
      <c r="N1879" s="650">
        <v>44440.0</v>
      </c>
      <c r="O1879" s="474">
        <v>185.0</v>
      </c>
      <c r="Q1879" s="128"/>
    </row>
    <row r="1880">
      <c r="G1880" s="661"/>
      <c r="J1880" s="471"/>
      <c r="L1880" s="665"/>
      <c r="M1880" s="627" t="s">
        <v>2592</v>
      </c>
      <c r="N1880" s="650">
        <v>44441.0</v>
      </c>
      <c r="O1880" s="474">
        <v>115.0</v>
      </c>
      <c r="P1880" s="130"/>
      <c r="Q1880" s="129"/>
    </row>
    <row r="1881">
      <c r="D1881" s="132"/>
      <c r="G1881" s="661"/>
      <c r="J1881" s="471"/>
      <c r="L1881" s="665"/>
      <c r="M1881" s="627" t="s">
        <v>2589</v>
      </c>
      <c r="N1881" s="650">
        <v>44442.0</v>
      </c>
      <c r="O1881" s="474">
        <v>25.0</v>
      </c>
    </row>
    <row r="1882">
      <c r="D1882" s="132"/>
      <c r="G1882" s="661"/>
      <c r="J1882" s="471"/>
      <c r="L1882" s="665"/>
      <c r="M1882" s="627" t="s">
        <v>2592</v>
      </c>
      <c r="N1882" s="650">
        <v>44442.0</v>
      </c>
      <c r="O1882" s="474">
        <v>115.0</v>
      </c>
      <c r="P1882" s="130"/>
      <c r="Q1882" s="128"/>
    </row>
    <row r="1883">
      <c r="G1883" s="661"/>
      <c r="J1883" s="471"/>
      <c r="L1883" s="665"/>
      <c r="M1883" s="627" t="s">
        <v>2592</v>
      </c>
      <c r="N1883" s="650">
        <v>44443.0</v>
      </c>
      <c r="O1883" s="474">
        <v>125.0</v>
      </c>
      <c r="P1883" s="125"/>
    </row>
    <row r="1884">
      <c r="G1884" s="661"/>
      <c r="J1884" s="471"/>
      <c r="L1884" s="665"/>
      <c r="M1884" s="627" t="s">
        <v>2592</v>
      </c>
      <c r="N1884" s="650">
        <v>44444.0</v>
      </c>
      <c r="O1884" s="474">
        <v>220.0</v>
      </c>
      <c r="P1884" s="134"/>
    </row>
    <row r="1885">
      <c r="D1885" s="132"/>
      <c r="G1885" s="661"/>
      <c r="J1885" s="471"/>
      <c r="L1885" s="665"/>
      <c r="M1885" s="627" t="s">
        <v>2592</v>
      </c>
      <c r="N1885" s="650">
        <v>44445.0</v>
      </c>
      <c r="O1885" s="474">
        <v>170.0</v>
      </c>
      <c r="P1885" s="189"/>
      <c r="Q1885" s="122"/>
    </row>
    <row r="1886">
      <c r="G1886" s="661"/>
      <c r="J1886" s="471"/>
      <c r="L1886" s="665"/>
      <c r="M1886" s="627" t="s">
        <v>2592</v>
      </c>
      <c r="N1886" s="650">
        <v>44446.0</v>
      </c>
      <c r="O1886" s="474">
        <v>190.0</v>
      </c>
      <c r="P1886" s="630"/>
    </row>
    <row r="1887">
      <c r="G1887" s="661"/>
      <c r="J1887" s="471"/>
      <c r="L1887" s="665"/>
      <c r="M1887" s="627" t="s">
        <v>2592</v>
      </c>
      <c r="N1887" s="650">
        <v>44447.0</v>
      </c>
      <c r="O1887" s="474">
        <v>180.0</v>
      </c>
      <c r="P1887" s="631"/>
      <c r="Q1887" s="632"/>
    </row>
    <row r="1888">
      <c r="G1888" s="661"/>
      <c r="J1888" s="471"/>
      <c r="L1888" s="665"/>
      <c r="M1888" s="627" t="s">
        <v>2592</v>
      </c>
      <c r="N1888" s="650">
        <v>44448.0</v>
      </c>
      <c r="O1888" s="474">
        <v>175.0</v>
      </c>
    </row>
    <row r="1889">
      <c r="D1889" s="132"/>
      <c r="G1889" s="661"/>
      <c r="J1889" s="471"/>
      <c r="L1889" s="663"/>
      <c r="M1889" s="627" t="s">
        <v>2592</v>
      </c>
      <c r="N1889" s="650">
        <v>44449.0</v>
      </c>
      <c r="O1889" s="474">
        <v>195.0</v>
      </c>
    </row>
    <row r="1890">
      <c r="D1890" s="132"/>
      <c r="G1890" s="661"/>
      <c r="J1890" s="471"/>
      <c r="L1890" s="665"/>
      <c r="M1890" s="627" t="s">
        <v>2592</v>
      </c>
      <c r="N1890" s="650">
        <v>44450.0</v>
      </c>
      <c r="O1890" s="474">
        <v>185.0</v>
      </c>
    </row>
    <row r="1891">
      <c r="D1891" s="132"/>
      <c r="G1891" s="661"/>
      <c r="J1891" s="471"/>
      <c r="L1891" s="665"/>
      <c r="M1891" s="627" t="s">
        <v>2592</v>
      </c>
      <c r="N1891" s="650">
        <v>44451.0</v>
      </c>
      <c r="O1891" s="474">
        <v>200.0</v>
      </c>
    </row>
    <row r="1892">
      <c r="G1892" s="661"/>
      <c r="J1892" s="471"/>
      <c r="L1892" s="665"/>
      <c r="M1892" s="627" t="s">
        <v>2592</v>
      </c>
      <c r="N1892" s="650">
        <v>44452.0</v>
      </c>
      <c r="O1892" s="474">
        <v>250.0</v>
      </c>
    </row>
    <row r="1893">
      <c r="D1893" s="132"/>
      <c r="G1893" s="661"/>
      <c r="J1893" s="471"/>
      <c r="L1893" s="665"/>
      <c r="M1893" s="627" t="s">
        <v>2592</v>
      </c>
      <c r="N1893" s="650">
        <v>44453.0</v>
      </c>
      <c r="O1893" s="474">
        <v>250.0</v>
      </c>
    </row>
    <row r="1894">
      <c r="D1894" s="132"/>
      <c r="G1894" s="661"/>
      <c r="J1894" s="471"/>
      <c r="L1894" s="665"/>
      <c r="M1894" s="627" t="s">
        <v>2584</v>
      </c>
      <c r="N1894" s="650">
        <v>44454.0</v>
      </c>
      <c r="O1894" s="474">
        <v>500.0</v>
      </c>
    </row>
    <row r="1895">
      <c r="G1895" s="661"/>
      <c r="J1895" s="471"/>
      <c r="L1895" s="665"/>
      <c r="M1895" s="627" t="s">
        <v>2592</v>
      </c>
      <c r="N1895" s="650">
        <v>44456.0</v>
      </c>
      <c r="O1895" s="474">
        <v>525.0</v>
      </c>
    </row>
    <row r="1896">
      <c r="D1896" s="132"/>
      <c r="G1896" s="661"/>
      <c r="J1896" s="471"/>
      <c r="L1896" s="665"/>
      <c r="M1896" s="627" t="s">
        <v>2592</v>
      </c>
      <c r="N1896" s="650">
        <v>44457.0</v>
      </c>
      <c r="O1896" s="474">
        <v>50.0</v>
      </c>
      <c r="P1896" s="130"/>
      <c r="Q1896" s="128"/>
    </row>
    <row r="1897">
      <c r="D1897" s="132"/>
      <c r="G1897" s="661"/>
      <c r="J1897" s="471"/>
      <c r="L1897" s="665"/>
      <c r="M1897" s="627" t="s">
        <v>2592</v>
      </c>
      <c r="N1897" s="650">
        <v>44457.0</v>
      </c>
      <c r="O1897" s="474">
        <v>225.0</v>
      </c>
      <c r="P1897" s="125"/>
    </row>
    <row r="1898">
      <c r="G1898" s="661"/>
      <c r="J1898" s="471"/>
      <c r="L1898" s="665"/>
      <c r="M1898" s="627" t="s">
        <v>2592</v>
      </c>
      <c r="N1898" s="650">
        <v>44458.0</v>
      </c>
      <c r="O1898" s="474">
        <v>215.0</v>
      </c>
      <c r="P1898" s="134"/>
    </row>
    <row r="1899">
      <c r="G1899" s="661"/>
      <c r="J1899" s="471"/>
      <c r="L1899" s="665"/>
      <c r="M1899" s="627" t="s">
        <v>2592</v>
      </c>
      <c r="N1899" s="650">
        <v>44459.0</v>
      </c>
      <c r="O1899" s="474">
        <v>175.0</v>
      </c>
      <c r="P1899" s="189"/>
      <c r="Q1899" s="122"/>
    </row>
    <row r="1900">
      <c r="G1900" s="661"/>
      <c r="J1900" s="471"/>
      <c r="L1900" s="471"/>
      <c r="M1900" s="627" t="s">
        <v>2592</v>
      </c>
      <c r="N1900" s="650">
        <v>44460.0</v>
      </c>
      <c r="O1900" s="474">
        <v>185.0</v>
      </c>
      <c r="P1900" s="630"/>
    </row>
    <row r="1901">
      <c r="D1901" s="132"/>
      <c r="G1901" s="661"/>
      <c r="J1901" s="471"/>
      <c r="L1901" s="663"/>
      <c r="M1901" s="627" t="s">
        <v>2592</v>
      </c>
      <c r="N1901" s="650">
        <v>44461.0</v>
      </c>
      <c r="O1901" s="474">
        <v>185.0</v>
      </c>
      <c r="P1901" s="631"/>
      <c r="Q1901" s="632"/>
    </row>
    <row r="1902">
      <c r="D1902" s="132"/>
      <c r="G1902" s="661"/>
      <c r="J1902" s="471"/>
      <c r="L1902" s="665"/>
      <c r="M1902" s="627" t="s">
        <v>2592</v>
      </c>
      <c r="N1902" s="650">
        <v>44462.0</v>
      </c>
      <c r="O1902" s="474">
        <v>255.0</v>
      </c>
    </row>
    <row r="1903">
      <c r="D1903" s="132"/>
      <c r="G1903" s="661"/>
      <c r="J1903" s="471"/>
      <c r="L1903" s="665"/>
      <c r="M1903" s="627" t="s">
        <v>2592</v>
      </c>
      <c r="N1903" s="650">
        <v>44463.0</v>
      </c>
      <c r="O1903" s="474">
        <v>260.0</v>
      </c>
    </row>
    <row r="1904">
      <c r="D1904" s="132"/>
      <c r="G1904" s="661"/>
      <c r="J1904" s="471"/>
      <c r="L1904" s="665"/>
      <c r="M1904" s="627" t="s">
        <v>2592</v>
      </c>
      <c r="N1904" s="650">
        <v>44464.0</v>
      </c>
      <c r="O1904" s="474">
        <v>270.0</v>
      </c>
    </row>
    <row r="1905">
      <c r="D1905" s="132"/>
      <c r="G1905" s="661"/>
      <c r="J1905" s="471"/>
      <c r="L1905" s="665"/>
      <c r="M1905" s="627" t="s">
        <v>2592</v>
      </c>
      <c r="N1905" s="650">
        <v>44465.0</v>
      </c>
      <c r="O1905" s="474">
        <v>295.0</v>
      </c>
      <c r="P1905" s="634"/>
    </row>
    <row r="1906">
      <c r="D1906" s="132"/>
      <c r="G1906" s="661"/>
      <c r="J1906" s="471"/>
      <c r="L1906" s="665"/>
      <c r="M1906" s="627" t="s">
        <v>2592</v>
      </c>
      <c r="N1906" s="650">
        <v>44466.0</v>
      </c>
      <c r="O1906" s="474">
        <v>285.0</v>
      </c>
      <c r="P1906" s="635"/>
    </row>
    <row r="1907">
      <c r="D1907" s="132"/>
      <c r="G1907" s="661"/>
      <c r="J1907" s="471"/>
      <c r="L1907" s="665"/>
      <c r="M1907" s="627" t="s">
        <v>2592</v>
      </c>
      <c r="N1907" s="650">
        <v>44467.0</v>
      </c>
      <c r="O1907" s="474">
        <v>300.0</v>
      </c>
      <c r="P1907" s="635"/>
    </row>
    <row r="1908">
      <c r="D1908" s="132"/>
      <c r="G1908" s="661"/>
      <c r="J1908" s="471"/>
      <c r="L1908" s="665"/>
      <c r="M1908" s="627" t="s">
        <v>2592</v>
      </c>
      <c r="N1908" s="650">
        <v>44468.0</v>
      </c>
      <c r="O1908" s="474">
        <v>450.0</v>
      </c>
      <c r="P1908" s="635"/>
    </row>
    <row r="1909">
      <c r="D1909" s="132"/>
      <c r="G1909" s="661"/>
      <c r="J1909" s="471"/>
      <c r="L1909" s="665"/>
      <c r="M1909" s="627" t="s">
        <v>2584</v>
      </c>
      <c r="N1909" s="650">
        <v>44468.0</v>
      </c>
      <c r="O1909" s="474">
        <v>1100.0</v>
      </c>
      <c r="P1909" s="634"/>
    </row>
    <row r="1910">
      <c r="D1910" s="132"/>
      <c r="G1910" s="661"/>
      <c r="J1910" s="471"/>
      <c r="L1910" s="665"/>
      <c r="M1910" s="627" t="s">
        <v>2592</v>
      </c>
      <c r="N1910" s="650">
        <v>44469.0</v>
      </c>
      <c r="O1910" s="474">
        <v>425.0</v>
      </c>
    </row>
    <row r="1911">
      <c r="D1911" s="132"/>
      <c r="G1911" s="661"/>
      <c r="J1911" s="471"/>
      <c r="L1911" s="665"/>
      <c r="M1911" s="130"/>
      <c r="N1911" s="130"/>
      <c r="O1911" s="124"/>
      <c r="P1911" s="130"/>
      <c r="Q1911" s="128"/>
    </row>
    <row r="1912">
      <c r="D1912" s="132"/>
      <c r="G1912" s="661"/>
      <c r="J1912" s="471"/>
      <c r="L1912" s="665"/>
      <c r="M1912" s="627" t="s">
        <v>2592</v>
      </c>
      <c r="N1912" s="650">
        <v>44470.0</v>
      </c>
      <c r="O1912" s="474">
        <v>425.0</v>
      </c>
      <c r="P1912" s="125">
        <f>SUM(O1912:O1945)</f>
        <v>6100</v>
      </c>
      <c r="Q1912" s="128" t="s">
        <v>2593</v>
      </c>
    </row>
    <row r="1913">
      <c r="D1913" s="132"/>
      <c r="G1913" s="661"/>
      <c r="J1913" s="471"/>
      <c r="L1913" s="665"/>
      <c r="M1913" s="627" t="s">
        <v>2592</v>
      </c>
      <c r="N1913" s="650">
        <v>44471.0</v>
      </c>
      <c r="O1913" s="474">
        <v>400.0</v>
      </c>
      <c r="P1913" s="134"/>
    </row>
    <row r="1914">
      <c r="G1914" s="661"/>
      <c r="J1914" s="471"/>
      <c r="L1914" s="665"/>
      <c r="M1914" s="627" t="s">
        <v>2592</v>
      </c>
      <c r="N1914" s="650">
        <v>44472.0</v>
      </c>
      <c r="O1914" s="474">
        <v>400.0</v>
      </c>
      <c r="P1914" s="189"/>
      <c r="Q1914" s="122"/>
    </row>
    <row r="1915">
      <c r="D1915" s="132"/>
      <c r="G1915" s="661"/>
      <c r="J1915" s="471"/>
      <c r="L1915" s="665"/>
      <c r="M1915" s="627" t="s">
        <v>2592</v>
      </c>
      <c r="N1915" s="650">
        <v>44473.0</v>
      </c>
      <c r="O1915" s="474">
        <v>425.0</v>
      </c>
      <c r="P1915" s="630"/>
    </row>
    <row r="1916">
      <c r="G1916" s="661"/>
      <c r="J1916" s="471"/>
      <c r="L1916" s="665"/>
      <c r="M1916" s="627" t="s">
        <v>2592</v>
      </c>
      <c r="N1916" s="650">
        <v>44474.0</v>
      </c>
      <c r="O1916" s="474">
        <v>350.0</v>
      </c>
      <c r="P1916" s="631"/>
      <c r="Q1916" s="632"/>
    </row>
    <row r="1917">
      <c r="D1917" s="132"/>
      <c r="G1917" s="661"/>
      <c r="J1917" s="471"/>
      <c r="L1917" s="665"/>
      <c r="M1917" s="627" t="s">
        <v>2592</v>
      </c>
      <c r="N1917" s="650">
        <v>44475.0</v>
      </c>
      <c r="O1917" s="474">
        <v>425.0</v>
      </c>
    </row>
    <row r="1918">
      <c r="G1918" s="661"/>
      <c r="J1918" s="471"/>
      <c r="L1918" s="471"/>
      <c r="M1918" s="627" t="s">
        <v>2592</v>
      </c>
      <c r="N1918" s="650">
        <v>44476.0</v>
      </c>
      <c r="O1918" s="474">
        <v>175.0</v>
      </c>
    </row>
    <row r="1919">
      <c r="G1919" s="661"/>
      <c r="J1919" s="471"/>
      <c r="L1919" s="663"/>
      <c r="M1919" s="627" t="s">
        <v>2592</v>
      </c>
      <c r="N1919" s="650">
        <v>44477.0</v>
      </c>
      <c r="O1919" s="474">
        <v>175.0</v>
      </c>
    </row>
    <row r="1920">
      <c r="G1920" s="661"/>
      <c r="J1920" s="471"/>
      <c r="L1920" s="665"/>
      <c r="M1920" s="627" t="s">
        <v>2592</v>
      </c>
      <c r="N1920" s="650">
        <v>44478.0</v>
      </c>
      <c r="O1920" s="474">
        <v>175.0</v>
      </c>
    </row>
    <row r="1921">
      <c r="D1921" s="132"/>
      <c r="G1921" s="661"/>
      <c r="J1921" s="471"/>
      <c r="L1921" s="665"/>
      <c r="M1921" s="627" t="s">
        <v>2592</v>
      </c>
      <c r="N1921" s="650">
        <v>44479.0</v>
      </c>
      <c r="O1921" s="474">
        <v>250.0</v>
      </c>
    </row>
    <row r="1922">
      <c r="D1922" s="132"/>
      <c r="G1922" s="661"/>
      <c r="J1922" s="471"/>
      <c r="L1922" s="665"/>
      <c r="M1922" s="627" t="s">
        <v>2592</v>
      </c>
      <c r="N1922" s="650">
        <v>44480.0</v>
      </c>
      <c r="O1922" s="474">
        <v>250.0</v>
      </c>
      <c r="P1922" s="130"/>
      <c r="Q1922" s="128"/>
    </row>
    <row r="1923">
      <c r="D1923" s="132"/>
      <c r="G1923" s="661"/>
      <c r="J1923" s="471"/>
      <c r="L1923" s="665"/>
      <c r="M1923" s="627" t="s">
        <v>2592</v>
      </c>
      <c r="N1923" s="650">
        <v>44481.0</v>
      </c>
      <c r="O1923" s="474">
        <v>225.0</v>
      </c>
      <c r="P1923" s="125"/>
    </row>
    <row r="1924">
      <c r="D1924" s="132"/>
      <c r="G1924" s="661"/>
      <c r="J1924" s="471"/>
      <c r="L1924" s="665"/>
      <c r="M1924" s="627" t="s">
        <v>2592</v>
      </c>
      <c r="N1924" s="650">
        <v>44482.0</v>
      </c>
      <c r="O1924" s="474">
        <v>225.0</v>
      </c>
      <c r="P1924" s="134"/>
    </row>
    <row r="1925">
      <c r="D1925" s="132"/>
      <c r="G1925" s="661"/>
      <c r="J1925" s="471"/>
      <c r="L1925" s="665"/>
      <c r="M1925" s="627" t="s">
        <v>2592</v>
      </c>
      <c r="N1925" s="650">
        <v>44483.0</v>
      </c>
      <c r="O1925" s="474">
        <v>225.0</v>
      </c>
      <c r="P1925" s="189"/>
      <c r="Q1925" s="122"/>
    </row>
    <row r="1926">
      <c r="G1926" s="661"/>
      <c r="J1926" s="471"/>
      <c r="L1926" s="665"/>
      <c r="M1926" s="627" t="s">
        <v>2592</v>
      </c>
      <c r="N1926" s="650">
        <v>44483.0</v>
      </c>
      <c r="O1926" s="474">
        <v>225.0</v>
      </c>
      <c r="P1926" s="630"/>
    </row>
    <row r="1927">
      <c r="D1927" s="132"/>
      <c r="G1927" s="661"/>
      <c r="J1927" s="471"/>
      <c r="L1927" s="665"/>
      <c r="M1927" s="627" t="s">
        <v>2594</v>
      </c>
      <c r="N1927" s="650">
        <v>44487.0</v>
      </c>
      <c r="O1927" s="474">
        <v>150.0</v>
      </c>
      <c r="P1927" s="631"/>
      <c r="Q1927" s="632"/>
    </row>
    <row r="1928">
      <c r="G1928" s="661"/>
      <c r="J1928" s="471"/>
      <c r="L1928" s="665"/>
      <c r="M1928" s="627" t="s">
        <v>2594</v>
      </c>
      <c r="N1928" s="650">
        <v>44488.0</v>
      </c>
      <c r="O1928" s="474">
        <v>225.0</v>
      </c>
    </row>
    <row r="1929">
      <c r="D1929" s="132"/>
      <c r="G1929" s="661"/>
      <c r="J1929" s="471"/>
      <c r="L1929" s="665"/>
      <c r="M1929" s="627" t="s">
        <v>2594</v>
      </c>
      <c r="N1929" s="650">
        <v>44489.0</v>
      </c>
      <c r="O1929" s="474">
        <v>175.0</v>
      </c>
    </row>
    <row r="1930">
      <c r="D1930" s="132"/>
      <c r="G1930" s="661"/>
      <c r="J1930" s="471"/>
      <c r="L1930" s="665"/>
      <c r="M1930" s="627" t="s">
        <v>2594</v>
      </c>
      <c r="N1930" s="650">
        <v>44490.0</v>
      </c>
      <c r="O1930" s="474">
        <v>175.0</v>
      </c>
    </row>
    <row r="1931">
      <c r="D1931" s="392"/>
      <c r="G1931" s="661"/>
      <c r="J1931" s="471"/>
      <c r="L1931" s="665"/>
      <c r="M1931" s="627" t="s">
        <v>2595</v>
      </c>
      <c r="N1931" s="650">
        <v>44490.0</v>
      </c>
      <c r="O1931" s="474">
        <v>50.0</v>
      </c>
    </row>
    <row r="1932">
      <c r="G1932" s="661"/>
      <c r="J1932" s="471"/>
      <c r="L1932" s="665"/>
      <c r="M1932" s="627" t="s">
        <v>2594</v>
      </c>
      <c r="N1932" s="650">
        <v>44491.0</v>
      </c>
      <c r="O1932" s="474">
        <v>250.0</v>
      </c>
    </row>
    <row r="1933">
      <c r="G1933" s="661"/>
      <c r="J1933" s="471"/>
      <c r="L1933" s="665"/>
      <c r="M1933" s="627" t="s">
        <v>2595</v>
      </c>
      <c r="N1933" s="650">
        <v>44491.0</v>
      </c>
      <c r="O1933" s="474">
        <v>50.0</v>
      </c>
    </row>
    <row r="1934">
      <c r="G1934" s="661"/>
      <c r="J1934" s="471"/>
      <c r="L1934" s="665"/>
      <c r="M1934" s="627" t="s">
        <v>2594</v>
      </c>
      <c r="N1934" s="650">
        <v>44492.0</v>
      </c>
      <c r="O1934" s="474">
        <v>275.0</v>
      </c>
      <c r="P1934" s="130"/>
      <c r="Q1934" s="128"/>
    </row>
    <row r="1935">
      <c r="G1935" s="661"/>
      <c r="J1935" s="471"/>
      <c r="L1935" s="665"/>
      <c r="M1935" s="627" t="s">
        <v>2595</v>
      </c>
      <c r="N1935" s="650">
        <v>44492.0</v>
      </c>
      <c r="O1935" s="474">
        <v>50.0</v>
      </c>
      <c r="P1935" s="125"/>
    </row>
    <row r="1936">
      <c r="G1936" s="661"/>
      <c r="J1936" s="471"/>
      <c r="L1936" s="471"/>
      <c r="M1936" s="627" t="s">
        <v>2594</v>
      </c>
      <c r="N1936" s="650">
        <v>44493.0</v>
      </c>
      <c r="O1936" s="474">
        <v>300.0</v>
      </c>
      <c r="P1936" s="134"/>
    </row>
    <row r="1937">
      <c r="D1937" s="132"/>
      <c r="G1937" s="661"/>
      <c r="J1937" s="471"/>
      <c r="L1937" s="471"/>
      <c r="M1937" s="627" t="s">
        <v>2595</v>
      </c>
      <c r="N1937" s="650">
        <v>44493.0</v>
      </c>
      <c r="O1937" s="474">
        <v>50.0</v>
      </c>
      <c r="P1937" s="189"/>
      <c r="Q1937" s="122"/>
    </row>
    <row r="1938">
      <c r="G1938" s="661"/>
      <c r="J1938" s="471"/>
      <c r="L1938" s="471"/>
      <c r="M1938" s="627"/>
      <c r="N1938" s="627"/>
      <c r="O1938" s="474"/>
      <c r="P1938" s="630"/>
    </row>
    <row r="1939">
      <c r="G1939" s="661"/>
      <c r="J1939" s="471"/>
      <c r="L1939" s="471"/>
      <c r="M1939" s="627"/>
      <c r="N1939" s="627"/>
      <c r="O1939" s="474"/>
      <c r="P1939" s="631"/>
      <c r="Q1939" s="632"/>
    </row>
    <row r="1940">
      <c r="D1940" s="132"/>
      <c r="G1940" s="661"/>
      <c r="J1940" s="471"/>
      <c r="L1940" s="471"/>
      <c r="M1940" s="627"/>
      <c r="N1940" s="627"/>
      <c r="O1940" s="474"/>
    </row>
    <row r="1941">
      <c r="D1941" s="132"/>
      <c r="G1941" s="661"/>
      <c r="J1941" s="471"/>
      <c r="L1941" s="471"/>
      <c r="M1941" s="627"/>
      <c r="N1941" s="627"/>
      <c r="O1941" s="474"/>
    </row>
    <row r="1942">
      <c r="D1942" s="132"/>
      <c r="G1942" s="661"/>
      <c r="J1942" s="471"/>
      <c r="L1942" s="471"/>
      <c r="M1942" s="627"/>
      <c r="N1942" s="627"/>
      <c r="O1942" s="474"/>
    </row>
    <row r="1943">
      <c r="G1943" s="661"/>
      <c r="J1943" s="471"/>
      <c r="L1943" s="471"/>
      <c r="M1943" s="627"/>
      <c r="N1943" s="627"/>
      <c r="O1943" s="474"/>
    </row>
    <row r="1944">
      <c r="G1944" s="661"/>
      <c r="J1944" s="471"/>
      <c r="L1944" s="471"/>
      <c r="M1944" s="627"/>
      <c r="N1944" s="627"/>
      <c r="O1944" s="474"/>
    </row>
    <row r="1945">
      <c r="G1945" s="661"/>
      <c r="J1945" s="471"/>
      <c r="L1945" s="471"/>
      <c r="M1945" s="627"/>
      <c r="N1945" s="627"/>
      <c r="O1945" s="474"/>
    </row>
    <row r="1946">
      <c r="G1946" s="661"/>
      <c r="J1946" s="471"/>
      <c r="L1946" s="471"/>
      <c r="M1946" s="627"/>
      <c r="N1946" s="627"/>
      <c r="O1946" s="474"/>
    </row>
    <row r="1947">
      <c r="G1947" s="661"/>
      <c r="J1947" s="471"/>
      <c r="L1947" s="471"/>
      <c r="M1947" s="627"/>
      <c r="N1947" s="627"/>
      <c r="O1947" s="474"/>
    </row>
    <row r="1948">
      <c r="G1948" s="661"/>
      <c r="J1948" s="471"/>
      <c r="L1948" s="471"/>
      <c r="M1948" s="627"/>
      <c r="N1948" s="627"/>
      <c r="O1948" s="474"/>
    </row>
    <row r="1949">
      <c r="D1949" s="132"/>
      <c r="G1949" s="661"/>
      <c r="J1949" s="471"/>
      <c r="L1949" s="471"/>
      <c r="M1949" s="627"/>
      <c r="N1949" s="627"/>
      <c r="O1949" s="474"/>
    </row>
    <row r="1950">
      <c r="D1950" s="132"/>
      <c r="G1950" s="661"/>
      <c r="J1950" s="471"/>
      <c r="L1950" s="471"/>
      <c r="M1950" s="627"/>
      <c r="N1950" s="627"/>
      <c r="O1950" s="474"/>
    </row>
    <row r="1951">
      <c r="D1951" s="132"/>
      <c r="G1951" s="661"/>
      <c r="J1951" s="471"/>
      <c r="L1951" s="471"/>
    </row>
    <row r="1952">
      <c r="G1952" s="661"/>
      <c r="J1952" s="471"/>
      <c r="L1952" s="471"/>
      <c r="M1952" s="130"/>
      <c r="N1952" s="130"/>
      <c r="O1952" s="124"/>
      <c r="P1952" s="130"/>
      <c r="Q1952" s="128"/>
    </row>
    <row r="1953">
      <c r="G1953" s="661"/>
      <c r="J1953" s="471"/>
      <c r="L1953" s="471"/>
      <c r="M1953" s="627"/>
      <c r="N1953" s="627"/>
      <c r="O1953" s="474"/>
      <c r="P1953" s="125"/>
    </row>
    <row r="1954">
      <c r="G1954" s="661"/>
      <c r="J1954" s="471"/>
      <c r="L1954" s="471"/>
      <c r="M1954" s="627"/>
      <c r="N1954" s="627"/>
      <c r="O1954" s="474"/>
      <c r="P1954" s="134"/>
    </row>
    <row r="1955">
      <c r="G1955" s="661"/>
      <c r="J1955" s="471"/>
      <c r="L1955" s="471"/>
      <c r="M1955" s="627"/>
      <c r="N1955" s="627"/>
      <c r="O1955" s="474"/>
      <c r="P1955" s="189"/>
      <c r="Q1955" s="122"/>
    </row>
    <row r="1956">
      <c r="G1956" s="661"/>
      <c r="J1956" s="471"/>
      <c r="L1956" s="471"/>
      <c r="M1956" s="627"/>
      <c r="N1956" s="627"/>
      <c r="O1956" s="474"/>
      <c r="P1956" s="630"/>
    </row>
    <row r="1957">
      <c r="D1957" s="132"/>
      <c r="G1957" s="661"/>
      <c r="J1957" s="471"/>
      <c r="L1957" s="471"/>
      <c r="M1957" s="627"/>
      <c r="N1957" s="627"/>
      <c r="O1957" s="474"/>
      <c r="P1957" s="631"/>
      <c r="Q1957" s="632"/>
    </row>
    <row r="1958">
      <c r="G1958" s="661"/>
      <c r="J1958" s="471"/>
      <c r="L1958" s="471"/>
      <c r="M1958" s="627"/>
      <c r="N1958" s="627"/>
      <c r="O1958" s="474"/>
    </row>
    <row r="1959">
      <c r="G1959" s="661"/>
      <c r="J1959" s="471"/>
      <c r="L1959" s="471"/>
      <c r="M1959" s="627"/>
      <c r="N1959" s="627"/>
      <c r="O1959" s="474"/>
    </row>
    <row r="1960">
      <c r="D1960" s="134"/>
      <c r="G1960" s="661"/>
      <c r="J1960" s="471"/>
      <c r="L1960" s="471"/>
      <c r="M1960" s="627"/>
      <c r="N1960" s="627"/>
      <c r="O1960" s="474"/>
    </row>
    <row r="1961">
      <c r="D1961" s="124"/>
      <c r="G1961" s="661"/>
      <c r="J1961" s="471"/>
      <c r="L1961" s="471"/>
      <c r="M1961" s="627"/>
      <c r="N1961" s="627"/>
      <c r="O1961" s="474"/>
    </row>
    <row r="1962">
      <c r="D1962" s="124"/>
      <c r="G1962" s="661"/>
      <c r="J1962" s="471"/>
      <c r="L1962" s="471"/>
      <c r="M1962" s="627"/>
      <c r="N1962" s="627"/>
      <c r="O1962" s="474"/>
    </row>
    <row r="1963">
      <c r="D1963" s="312"/>
      <c r="G1963" s="661"/>
      <c r="J1963" s="471"/>
      <c r="L1963" s="471"/>
      <c r="M1963" s="627"/>
      <c r="N1963" s="627"/>
      <c r="O1963" s="474"/>
    </row>
    <row r="1964">
      <c r="G1964" s="661"/>
      <c r="J1964" s="471"/>
      <c r="L1964" s="471"/>
      <c r="M1964" s="627"/>
      <c r="N1964" s="627"/>
      <c r="O1964" s="474"/>
    </row>
    <row r="1965">
      <c r="D1965" s="132"/>
      <c r="G1965" s="661"/>
      <c r="J1965" s="471"/>
      <c r="L1965" s="471"/>
      <c r="M1965" s="627"/>
      <c r="N1965" s="627"/>
      <c r="O1965" s="474"/>
    </row>
    <row r="1966">
      <c r="D1966" s="132"/>
      <c r="G1966" s="661"/>
      <c r="J1966" s="471"/>
      <c r="L1966" s="471"/>
      <c r="M1966" s="627"/>
      <c r="N1966" s="627"/>
      <c r="O1966" s="474"/>
    </row>
    <row r="1967">
      <c r="D1967" s="132"/>
      <c r="G1967" s="661"/>
      <c r="J1967" s="471"/>
      <c r="L1967" s="471"/>
      <c r="M1967" s="627"/>
      <c r="N1967" s="627"/>
      <c r="O1967" s="474"/>
    </row>
    <row r="1968">
      <c r="G1968" s="661"/>
      <c r="J1968" s="471"/>
      <c r="L1968" s="471"/>
      <c r="M1968" s="627"/>
      <c r="N1968" s="627"/>
      <c r="O1968" s="474"/>
    </row>
    <row r="1969">
      <c r="G1969" s="661"/>
      <c r="J1969" s="471"/>
      <c r="L1969" s="471"/>
    </row>
    <row r="1970">
      <c r="D1970" s="132"/>
      <c r="G1970" s="661"/>
      <c r="J1970" s="471"/>
      <c r="L1970" s="471"/>
    </row>
    <row r="1971">
      <c r="G1971" s="661"/>
      <c r="J1971" s="471"/>
      <c r="L1971" s="471"/>
    </row>
    <row r="1972">
      <c r="G1972" s="661"/>
      <c r="J1972" s="471"/>
      <c r="L1972" s="471"/>
    </row>
    <row r="1973">
      <c r="G1973" s="661"/>
      <c r="J1973" s="471"/>
      <c r="L1973" s="471"/>
    </row>
    <row r="1974">
      <c r="D1974" s="132"/>
      <c r="G1974" s="661"/>
      <c r="J1974" s="471"/>
      <c r="L1974" s="471"/>
    </row>
    <row r="1975">
      <c r="G1975" s="661"/>
      <c r="J1975" s="471"/>
      <c r="L1975" s="471"/>
    </row>
    <row r="1976">
      <c r="D1976" s="132"/>
      <c r="G1976" s="661"/>
      <c r="J1976" s="471"/>
      <c r="L1976" s="471"/>
    </row>
    <row r="1977">
      <c r="G1977" s="661"/>
      <c r="J1977" s="471"/>
      <c r="L1977" s="471"/>
    </row>
    <row r="1978">
      <c r="D1978" s="132"/>
      <c r="G1978" s="661"/>
      <c r="J1978" s="471"/>
      <c r="L1978" s="471"/>
    </row>
    <row r="1979">
      <c r="D1979" s="132"/>
      <c r="G1979" s="661"/>
      <c r="J1979" s="471"/>
      <c r="L1979" s="471"/>
    </row>
    <row r="1980">
      <c r="G1980" s="661"/>
      <c r="J1980" s="471"/>
      <c r="L1980" s="471"/>
    </row>
    <row r="1981">
      <c r="D1981" s="132"/>
      <c r="G1981" s="661"/>
      <c r="J1981" s="471"/>
      <c r="L1981" s="471"/>
    </row>
    <row r="1982">
      <c r="D1982" s="132"/>
      <c r="G1982" s="661"/>
      <c r="J1982" s="471"/>
      <c r="L1982" s="471"/>
    </row>
    <row r="1983">
      <c r="D1983" s="132"/>
      <c r="G1983" s="661"/>
      <c r="J1983" s="471"/>
      <c r="L1983" s="471"/>
    </row>
    <row r="1984">
      <c r="D1984" s="313"/>
      <c r="G1984" s="661"/>
      <c r="J1984" s="471"/>
      <c r="L1984" s="471"/>
    </row>
    <row r="1985">
      <c r="D1985" s="132"/>
      <c r="G1985" s="661"/>
      <c r="J1985" s="471"/>
      <c r="L1985" s="471"/>
    </row>
    <row r="1986">
      <c r="G1986" s="661"/>
      <c r="J1986" s="471"/>
      <c r="L1986" s="471"/>
    </row>
    <row r="1987">
      <c r="D1987" s="132"/>
      <c r="G1987" s="661"/>
      <c r="J1987" s="471"/>
      <c r="L1987" s="471"/>
    </row>
    <row r="1988">
      <c r="G1988" s="661"/>
      <c r="J1988" s="471"/>
      <c r="L1988" s="471"/>
    </row>
    <row r="1989">
      <c r="G1989" s="661"/>
      <c r="J1989" s="471"/>
      <c r="L1989" s="471"/>
    </row>
    <row r="1990">
      <c r="G1990" s="661"/>
      <c r="J1990" s="471"/>
      <c r="L1990" s="471"/>
    </row>
    <row r="1991">
      <c r="G1991" s="661"/>
      <c r="J1991" s="471"/>
      <c r="L1991" s="471"/>
    </row>
    <row r="1992">
      <c r="D1992" s="132"/>
      <c r="G1992" s="661"/>
      <c r="J1992" s="471"/>
      <c r="L1992" s="471"/>
    </row>
    <row r="1993">
      <c r="D1993" s="132"/>
      <c r="G1993" s="661"/>
      <c r="J1993" s="471"/>
      <c r="L1993" s="471"/>
    </row>
    <row r="1994">
      <c r="G1994" s="661"/>
      <c r="J1994" s="471"/>
      <c r="L1994" s="471"/>
    </row>
    <row r="1995">
      <c r="D1995" s="132"/>
      <c r="G1995" s="661"/>
      <c r="J1995" s="471"/>
      <c r="L1995" s="471"/>
    </row>
    <row r="1996">
      <c r="D1996" s="132"/>
      <c r="G1996" s="661"/>
      <c r="J1996" s="471"/>
      <c r="L1996" s="471"/>
    </row>
    <row r="1997">
      <c r="G1997" s="661"/>
      <c r="J1997" s="471"/>
      <c r="L1997" s="471"/>
    </row>
    <row r="1998">
      <c r="G1998" s="661"/>
      <c r="J1998" s="471"/>
      <c r="L1998" s="471"/>
    </row>
    <row r="1999">
      <c r="G1999" s="661"/>
      <c r="J1999" s="471"/>
      <c r="L1999" s="471"/>
    </row>
    <row r="2000">
      <c r="D2000" s="132"/>
      <c r="G2000" s="661"/>
      <c r="J2000" s="471"/>
      <c r="L2000" s="471"/>
    </row>
    <row r="2001">
      <c r="G2001" s="661"/>
      <c r="J2001" s="471"/>
      <c r="L2001" s="471"/>
    </row>
    <row r="2002">
      <c r="G2002" s="661"/>
      <c r="J2002" s="471"/>
      <c r="L2002" s="471"/>
    </row>
    <row r="2003">
      <c r="G2003" s="661"/>
      <c r="J2003" s="471"/>
      <c r="L2003" s="471"/>
    </row>
    <row r="2004">
      <c r="D2004" s="132"/>
      <c r="G2004" s="661"/>
      <c r="J2004" s="471"/>
      <c r="L2004" s="471"/>
    </row>
    <row r="2005">
      <c r="G2005" s="661"/>
      <c r="J2005" s="471"/>
      <c r="L2005" s="471"/>
    </row>
    <row r="2006">
      <c r="G2006" s="661"/>
      <c r="J2006" s="471"/>
      <c r="L2006" s="471"/>
    </row>
    <row r="2007">
      <c r="D2007" s="209"/>
      <c r="G2007" s="661"/>
      <c r="J2007" s="471"/>
      <c r="L2007" s="471"/>
    </row>
    <row r="2008">
      <c r="G2008" s="661"/>
      <c r="J2008" s="471"/>
      <c r="L2008" s="471"/>
    </row>
    <row r="2009">
      <c r="D2009" s="132"/>
      <c r="G2009" s="661"/>
      <c r="J2009" s="471"/>
      <c r="L2009" s="471"/>
    </row>
    <row r="2010">
      <c r="G2010" s="661"/>
      <c r="J2010" s="471"/>
      <c r="L2010" s="471"/>
    </row>
    <row r="2011">
      <c r="G2011" s="661"/>
      <c r="J2011" s="471"/>
      <c r="L2011" s="471"/>
    </row>
    <row r="2012">
      <c r="G2012" s="661"/>
      <c r="J2012" s="471"/>
      <c r="L2012" s="471"/>
    </row>
    <row r="2013">
      <c r="G2013" s="661"/>
      <c r="J2013" s="471"/>
      <c r="L2013" s="471"/>
    </row>
    <row r="2014">
      <c r="G2014" s="661"/>
      <c r="J2014" s="471"/>
      <c r="L2014" s="471"/>
    </row>
    <row r="2015">
      <c r="G2015" s="661"/>
      <c r="J2015" s="471"/>
      <c r="L2015" s="471"/>
    </row>
    <row r="2016">
      <c r="G2016" s="661"/>
      <c r="J2016" s="471"/>
      <c r="L2016" s="471"/>
    </row>
    <row r="2017">
      <c r="D2017" s="132"/>
      <c r="G2017" s="661"/>
      <c r="J2017" s="471"/>
      <c r="L2017" s="471"/>
    </row>
    <row r="2018">
      <c r="G2018" s="661"/>
      <c r="J2018" s="471"/>
      <c r="L2018" s="471"/>
    </row>
    <row r="2019">
      <c r="D2019" s="132"/>
      <c r="G2019" s="661"/>
      <c r="J2019" s="471"/>
      <c r="L2019" s="471"/>
    </row>
    <row r="2020">
      <c r="D2020" s="132"/>
      <c r="G2020" s="661"/>
      <c r="J2020" s="471"/>
      <c r="L2020" s="471"/>
    </row>
    <row r="2021">
      <c r="D2021" s="132"/>
      <c r="G2021" s="661"/>
      <c r="J2021" s="471"/>
      <c r="L2021" s="471"/>
    </row>
    <row r="2022">
      <c r="G2022" s="661"/>
      <c r="J2022" s="471"/>
      <c r="L2022" s="471"/>
    </row>
    <row r="2023">
      <c r="G2023" s="661"/>
      <c r="J2023" s="471"/>
      <c r="L2023" s="471"/>
    </row>
    <row r="2024">
      <c r="G2024" s="661"/>
      <c r="J2024" s="471"/>
      <c r="L2024" s="471"/>
    </row>
    <row r="2025">
      <c r="G2025" s="661"/>
      <c r="J2025" s="471"/>
      <c r="L2025" s="471"/>
    </row>
    <row r="2026">
      <c r="G2026" s="661"/>
      <c r="J2026" s="471"/>
      <c r="L2026" s="471"/>
    </row>
    <row r="2027">
      <c r="G2027" s="661"/>
      <c r="J2027" s="471"/>
      <c r="L2027" s="471"/>
    </row>
    <row r="2028">
      <c r="G2028" s="661"/>
      <c r="J2028" s="471"/>
      <c r="L2028" s="471"/>
    </row>
    <row r="2029">
      <c r="G2029" s="661"/>
      <c r="J2029" s="471"/>
      <c r="L2029" s="471"/>
    </row>
    <row r="2030">
      <c r="D2030" s="270"/>
      <c r="G2030" s="661"/>
      <c r="J2030" s="471"/>
      <c r="L2030" s="471"/>
    </row>
    <row r="2031">
      <c r="D2031" s="132"/>
      <c r="G2031" s="661"/>
      <c r="J2031" s="471"/>
      <c r="L2031" s="471"/>
    </row>
    <row r="2032">
      <c r="D2032" s="132"/>
      <c r="G2032" s="661"/>
      <c r="J2032" s="471"/>
      <c r="L2032" s="471"/>
    </row>
    <row r="2033">
      <c r="D2033" s="132"/>
      <c r="G2033" s="661"/>
      <c r="J2033" s="471"/>
      <c r="L2033" s="471"/>
    </row>
    <row r="2034">
      <c r="G2034" s="661"/>
      <c r="J2034" s="471"/>
      <c r="L2034" s="471"/>
    </row>
    <row r="2035">
      <c r="G2035" s="661"/>
      <c r="J2035" s="471"/>
      <c r="L2035" s="471"/>
    </row>
    <row r="2036">
      <c r="G2036" s="661"/>
      <c r="J2036" s="471"/>
      <c r="L2036" s="471"/>
    </row>
    <row r="2037">
      <c r="G2037" s="661"/>
      <c r="J2037" s="471"/>
      <c r="L2037" s="471"/>
    </row>
    <row r="2038">
      <c r="G2038" s="661"/>
      <c r="J2038" s="471"/>
      <c r="L2038" s="471"/>
    </row>
    <row r="2039">
      <c r="G2039" s="661"/>
      <c r="J2039" s="471"/>
      <c r="L2039" s="471"/>
    </row>
    <row r="2040">
      <c r="G2040" s="661"/>
      <c r="J2040" s="471"/>
      <c r="L2040" s="471"/>
    </row>
    <row r="2041">
      <c r="G2041" s="661"/>
      <c r="J2041" s="471"/>
      <c r="L2041" s="471"/>
    </row>
    <row r="2042">
      <c r="D2042" s="132"/>
      <c r="G2042" s="661"/>
      <c r="J2042" s="471"/>
      <c r="L2042" s="471"/>
    </row>
    <row r="2043">
      <c r="D2043" s="132"/>
      <c r="G2043" s="661"/>
      <c r="J2043" s="471"/>
      <c r="L2043" s="471"/>
    </row>
    <row r="2044">
      <c r="D2044" s="132"/>
      <c r="G2044" s="661"/>
      <c r="J2044" s="471"/>
      <c r="L2044" s="471"/>
    </row>
    <row r="2045">
      <c r="G2045" s="661"/>
      <c r="J2045" s="471"/>
      <c r="L2045" s="471"/>
    </row>
    <row r="2046">
      <c r="D2046" s="132"/>
      <c r="G2046" s="661"/>
      <c r="J2046" s="471"/>
      <c r="L2046" s="471"/>
    </row>
    <row r="2047">
      <c r="D2047" s="132"/>
      <c r="G2047" s="661"/>
      <c r="J2047" s="471"/>
      <c r="L2047" s="471"/>
    </row>
    <row r="2048">
      <c r="D2048" s="132"/>
      <c r="G2048" s="661"/>
      <c r="J2048" s="471"/>
      <c r="L2048" s="471"/>
    </row>
    <row r="2049">
      <c r="D2049" s="132"/>
      <c r="G2049" s="661"/>
      <c r="J2049" s="471"/>
      <c r="L2049" s="471"/>
    </row>
    <row r="2050">
      <c r="G2050" s="661"/>
      <c r="J2050" s="471"/>
      <c r="L2050" s="471"/>
    </row>
    <row r="2051">
      <c r="D2051" s="132"/>
      <c r="G2051" s="661"/>
      <c r="J2051" s="471"/>
      <c r="L2051" s="471"/>
    </row>
    <row r="2052">
      <c r="D2052" s="132"/>
      <c r="G2052" s="661"/>
      <c r="J2052" s="471"/>
      <c r="L2052" s="471"/>
    </row>
    <row r="2053">
      <c r="D2053" s="132"/>
      <c r="G2053" s="661"/>
      <c r="J2053" s="471"/>
      <c r="L2053" s="471"/>
    </row>
    <row r="2054">
      <c r="D2054" s="132"/>
      <c r="G2054" s="661"/>
      <c r="J2054" s="471"/>
      <c r="L2054" s="471"/>
    </row>
    <row r="2055">
      <c r="D2055" s="132"/>
      <c r="G2055" s="661"/>
      <c r="J2055" s="471"/>
      <c r="L2055" s="471"/>
    </row>
    <row r="2056">
      <c r="G2056" s="661"/>
      <c r="J2056" s="471"/>
      <c r="L2056" s="471"/>
    </row>
    <row r="2057">
      <c r="D2057" s="132"/>
      <c r="G2057" s="661"/>
      <c r="J2057" s="471"/>
      <c r="L2057" s="471"/>
    </row>
    <row r="2058">
      <c r="D2058" s="132"/>
      <c r="G2058" s="661"/>
      <c r="J2058" s="471"/>
      <c r="L2058" s="471"/>
    </row>
    <row r="2059">
      <c r="D2059" s="132"/>
      <c r="G2059" s="661"/>
      <c r="J2059" s="471"/>
      <c r="L2059" s="471"/>
    </row>
    <row r="2060">
      <c r="D2060" s="132"/>
      <c r="G2060" s="661"/>
      <c r="J2060" s="471"/>
      <c r="L2060" s="471"/>
    </row>
    <row r="2061">
      <c r="G2061" s="661"/>
      <c r="J2061" s="471"/>
      <c r="L2061" s="471"/>
    </row>
    <row r="2062">
      <c r="D2062" s="132"/>
      <c r="G2062" s="661"/>
      <c r="J2062" s="471"/>
      <c r="L2062" s="471"/>
    </row>
    <row r="2063">
      <c r="G2063" s="661"/>
      <c r="J2063" s="471"/>
      <c r="L2063" s="471"/>
    </row>
    <row r="2064">
      <c r="G2064" s="661"/>
      <c r="J2064" s="471"/>
      <c r="L2064" s="471"/>
    </row>
    <row r="2065">
      <c r="D2065" s="132"/>
      <c r="G2065" s="661"/>
      <c r="J2065" s="471"/>
      <c r="L2065" s="471"/>
    </row>
    <row r="2066">
      <c r="D2066" s="132"/>
      <c r="G2066" s="661"/>
      <c r="J2066" s="471"/>
      <c r="L2066" s="471"/>
    </row>
    <row r="2067">
      <c r="D2067" s="132"/>
      <c r="G2067" s="661"/>
      <c r="J2067" s="471"/>
      <c r="L2067" s="471"/>
    </row>
    <row r="2068">
      <c r="D2068" s="132"/>
      <c r="G2068" s="661"/>
      <c r="J2068" s="471"/>
      <c r="L2068" s="471"/>
    </row>
    <row r="2069">
      <c r="D2069" s="132"/>
      <c r="G2069" s="661"/>
      <c r="J2069" s="471"/>
      <c r="L2069" s="471"/>
    </row>
    <row r="2070">
      <c r="D2070" s="132"/>
      <c r="G2070" s="661"/>
      <c r="J2070" s="471"/>
      <c r="L2070" s="471"/>
    </row>
    <row r="2071">
      <c r="D2071" s="132"/>
      <c r="G2071" s="661"/>
      <c r="J2071" s="471"/>
      <c r="L2071" s="471"/>
    </row>
    <row r="2072">
      <c r="G2072" s="661"/>
      <c r="J2072" s="471"/>
      <c r="L2072" s="471"/>
    </row>
    <row r="2073">
      <c r="D2073" s="132"/>
      <c r="G2073" s="661"/>
      <c r="J2073" s="471"/>
      <c r="L2073" s="471"/>
    </row>
    <row r="2074">
      <c r="D2074" s="132"/>
      <c r="G2074" s="661"/>
      <c r="J2074" s="471"/>
      <c r="L2074" s="471"/>
    </row>
    <row r="2075">
      <c r="G2075" s="661"/>
      <c r="J2075" s="471"/>
      <c r="L2075" s="471"/>
    </row>
    <row r="2076">
      <c r="G2076" s="661"/>
      <c r="J2076" s="471"/>
      <c r="L2076" s="471"/>
    </row>
    <row r="2077">
      <c r="D2077" s="132"/>
      <c r="G2077" s="661"/>
      <c r="J2077" s="471"/>
      <c r="L2077" s="471"/>
    </row>
    <row r="2078">
      <c r="D2078" s="132"/>
      <c r="G2078" s="661"/>
      <c r="J2078" s="471"/>
      <c r="L2078" s="471"/>
    </row>
    <row r="2079">
      <c r="D2079" s="132"/>
      <c r="G2079" s="661"/>
      <c r="J2079" s="471"/>
      <c r="L2079" s="471"/>
    </row>
    <row r="2080">
      <c r="D2080" s="132"/>
      <c r="G2080" s="661"/>
      <c r="J2080" s="471"/>
      <c r="L2080" s="471"/>
    </row>
    <row r="2081">
      <c r="D2081" s="132"/>
      <c r="G2081" s="661"/>
      <c r="J2081" s="471"/>
      <c r="L2081" s="471"/>
    </row>
    <row r="2082">
      <c r="D2082" s="132"/>
      <c r="G2082" s="661"/>
      <c r="J2082" s="471"/>
      <c r="L2082" s="471"/>
    </row>
    <row r="2083">
      <c r="D2083" s="132"/>
      <c r="G2083" s="661"/>
      <c r="J2083" s="471"/>
      <c r="L2083" s="471"/>
    </row>
    <row r="2084">
      <c r="D2084" s="132"/>
      <c r="G2084" s="661"/>
      <c r="J2084" s="471"/>
      <c r="L2084" s="471"/>
    </row>
    <row r="2085">
      <c r="D2085" s="132"/>
      <c r="G2085" s="661"/>
      <c r="J2085" s="471"/>
      <c r="L2085" s="471"/>
    </row>
    <row r="2086">
      <c r="D2086" s="132"/>
      <c r="G2086" s="661"/>
      <c r="J2086" s="471"/>
      <c r="L2086" s="471"/>
    </row>
    <row r="2087">
      <c r="D2087" s="132"/>
      <c r="G2087" s="661"/>
      <c r="J2087" s="471"/>
      <c r="L2087" s="471"/>
    </row>
    <row r="2088">
      <c r="D2088" s="132"/>
      <c r="G2088" s="661"/>
      <c r="J2088" s="471"/>
      <c r="L2088" s="471"/>
    </row>
    <row r="2089">
      <c r="D2089" s="132"/>
      <c r="G2089" s="661"/>
      <c r="J2089" s="471"/>
      <c r="L2089" s="471"/>
    </row>
    <row r="2090">
      <c r="D2090" s="132"/>
      <c r="G2090" s="661"/>
      <c r="J2090" s="471"/>
      <c r="L2090" s="471"/>
    </row>
    <row r="2091">
      <c r="G2091" s="661"/>
      <c r="J2091" s="471"/>
      <c r="L2091" s="471"/>
    </row>
    <row r="2092">
      <c r="D2092" s="134"/>
      <c r="G2092" s="661"/>
      <c r="J2092" s="471"/>
      <c r="L2092" s="471"/>
    </row>
    <row r="2093">
      <c r="D2093" s="124"/>
      <c r="G2093" s="661"/>
      <c r="J2093" s="471"/>
      <c r="L2093" s="471"/>
    </row>
    <row r="2094">
      <c r="D2094" s="124"/>
      <c r="G2094" s="661"/>
      <c r="J2094" s="471"/>
      <c r="L2094" s="471"/>
    </row>
    <row r="2095">
      <c r="G2095" s="661"/>
      <c r="J2095" s="471"/>
      <c r="L2095" s="471"/>
    </row>
    <row r="2096">
      <c r="D2096" s="132"/>
      <c r="G2096" s="661"/>
      <c r="J2096" s="471"/>
      <c r="L2096" s="471"/>
    </row>
    <row r="2097">
      <c r="G2097" s="661"/>
      <c r="J2097" s="471"/>
      <c r="L2097" s="471"/>
    </row>
    <row r="2098">
      <c r="D2098" s="132"/>
      <c r="G2098" s="661"/>
      <c r="J2098" s="471"/>
      <c r="L2098" s="471"/>
    </row>
    <row r="2099">
      <c r="D2099" s="132"/>
      <c r="G2099" s="661"/>
      <c r="J2099" s="471"/>
      <c r="L2099" s="471"/>
    </row>
    <row r="2100">
      <c r="G2100" s="661"/>
      <c r="J2100" s="471"/>
      <c r="L2100" s="471"/>
    </row>
    <row r="2101">
      <c r="D2101" s="132"/>
      <c r="G2101" s="661"/>
      <c r="J2101" s="471"/>
      <c r="L2101" s="471"/>
    </row>
    <row r="2102">
      <c r="D2102" s="132"/>
      <c r="G2102" s="661"/>
      <c r="J2102" s="471"/>
      <c r="L2102" s="471"/>
    </row>
    <row r="2103">
      <c r="G2103" s="661"/>
      <c r="J2103" s="471"/>
      <c r="L2103" s="471"/>
    </row>
    <row r="2104">
      <c r="D2104" s="313"/>
      <c r="G2104" s="661"/>
      <c r="J2104" s="471"/>
      <c r="L2104" s="471"/>
    </row>
    <row r="2105">
      <c r="D2105" s="132"/>
      <c r="G2105" s="661"/>
      <c r="J2105" s="471"/>
      <c r="L2105" s="471"/>
    </row>
    <row r="2106">
      <c r="D2106" s="132"/>
      <c r="G2106" s="661"/>
      <c r="J2106" s="471"/>
      <c r="L2106" s="471"/>
    </row>
    <row r="2107">
      <c r="D2107" s="132"/>
      <c r="G2107" s="661"/>
      <c r="J2107" s="471"/>
      <c r="L2107" s="471"/>
    </row>
    <row r="2108">
      <c r="G2108" s="661"/>
      <c r="J2108" s="471"/>
      <c r="L2108" s="471"/>
    </row>
    <row r="2109">
      <c r="D2109" s="132"/>
      <c r="G2109" s="661"/>
      <c r="J2109" s="471"/>
      <c r="L2109" s="471"/>
    </row>
    <row r="2110">
      <c r="G2110" s="661"/>
      <c r="J2110" s="471"/>
      <c r="L2110" s="471"/>
    </row>
    <row r="2111">
      <c r="D2111" s="132"/>
      <c r="G2111" s="661"/>
      <c r="J2111" s="471"/>
      <c r="L2111" s="471"/>
    </row>
    <row r="2112">
      <c r="D2112" s="132"/>
      <c r="G2112" s="661"/>
      <c r="J2112" s="471"/>
      <c r="L2112" s="471"/>
    </row>
    <row r="2113">
      <c r="D2113" s="313"/>
      <c r="G2113" s="661"/>
      <c r="J2113" s="471"/>
      <c r="L2113" s="471"/>
    </row>
    <row r="2114">
      <c r="D2114" s="149"/>
      <c r="G2114" s="661"/>
      <c r="J2114" s="471"/>
      <c r="L2114" s="471"/>
    </row>
    <row r="2115">
      <c r="D2115" s="132"/>
      <c r="G2115" s="661"/>
      <c r="J2115" s="471"/>
      <c r="L2115" s="471"/>
    </row>
    <row r="2116">
      <c r="G2116" s="661"/>
      <c r="J2116" s="471"/>
      <c r="L2116" s="471"/>
    </row>
    <row r="2117">
      <c r="D2117" s="132"/>
      <c r="G2117" s="661"/>
      <c r="J2117" s="471"/>
      <c r="L2117" s="471"/>
    </row>
    <row r="2118">
      <c r="G2118" s="661"/>
      <c r="J2118" s="471"/>
      <c r="L2118" s="471"/>
    </row>
    <row r="2119">
      <c r="G2119" s="661"/>
      <c r="J2119" s="471"/>
      <c r="L2119" s="471"/>
    </row>
    <row r="2120">
      <c r="D2120" s="132"/>
      <c r="G2120" s="661"/>
      <c r="J2120" s="471"/>
      <c r="L2120" s="471"/>
    </row>
    <row r="2121">
      <c r="G2121" s="661"/>
      <c r="J2121" s="471"/>
      <c r="L2121" s="471"/>
    </row>
    <row r="2122">
      <c r="G2122" s="661"/>
      <c r="J2122" s="471"/>
      <c r="L2122" s="471"/>
    </row>
    <row r="2123">
      <c r="D2123" s="132"/>
      <c r="G2123" s="661"/>
      <c r="J2123" s="471"/>
      <c r="L2123" s="471"/>
    </row>
    <row r="2124">
      <c r="D2124" s="132"/>
      <c r="G2124" s="661"/>
      <c r="J2124" s="471"/>
      <c r="L2124" s="471"/>
    </row>
    <row r="2125">
      <c r="D2125" s="132"/>
      <c r="G2125" s="661"/>
      <c r="J2125" s="471"/>
      <c r="L2125" s="471"/>
    </row>
    <row r="2126">
      <c r="G2126" s="661"/>
      <c r="J2126" s="471"/>
      <c r="L2126" s="471"/>
    </row>
    <row r="2127">
      <c r="D2127" s="132"/>
      <c r="G2127" s="661"/>
      <c r="J2127" s="471"/>
      <c r="L2127" s="471"/>
    </row>
    <row r="2128">
      <c r="G2128" s="661"/>
      <c r="J2128" s="471"/>
      <c r="L2128" s="471"/>
    </row>
    <row r="2129">
      <c r="G2129" s="661"/>
      <c r="J2129" s="471"/>
      <c r="L2129" s="471"/>
    </row>
    <row r="2130">
      <c r="D2130" s="132"/>
      <c r="G2130" s="661"/>
      <c r="J2130" s="471"/>
      <c r="L2130" s="471"/>
    </row>
    <row r="2131">
      <c r="D2131" s="132"/>
      <c r="G2131" s="661"/>
      <c r="J2131" s="471"/>
      <c r="L2131" s="471"/>
    </row>
    <row r="2132">
      <c r="D2132" s="132"/>
      <c r="G2132" s="661"/>
      <c r="J2132" s="471"/>
      <c r="L2132" s="471"/>
    </row>
    <row r="2133">
      <c r="D2133" s="132"/>
      <c r="G2133" s="661"/>
      <c r="J2133" s="471"/>
      <c r="L2133" s="471"/>
    </row>
    <row r="2134">
      <c r="D2134" s="132"/>
      <c r="G2134" s="661"/>
      <c r="J2134" s="471"/>
      <c r="L2134" s="471"/>
    </row>
    <row r="2135">
      <c r="G2135" s="661"/>
      <c r="J2135" s="471"/>
      <c r="L2135" s="471"/>
    </row>
    <row r="2136">
      <c r="D2136" s="132"/>
      <c r="G2136" s="661"/>
      <c r="J2136" s="471"/>
      <c r="L2136" s="471"/>
    </row>
    <row r="2137">
      <c r="D2137" s="132"/>
      <c r="G2137" s="661"/>
      <c r="J2137" s="471"/>
      <c r="L2137" s="471"/>
    </row>
    <row r="2138">
      <c r="D2138" s="132"/>
      <c r="G2138" s="661"/>
      <c r="J2138" s="471"/>
      <c r="L2138" s="471"/>
    </row>
    <row r="2139">
      <c r="D2139" s="132"/>
      <c r="G2139" s="661"/>
      <c r="J2139" s="471"/>
      <c r="L2139" s="471"/>
    </row>
    <row r="2140">
      <c r="G2140" s="661"/>
      <c r="J2140" s="471"/>
      <c r="L2140" s="471"/>
    </row>
    <row r="2141">
      <c r="G2141" s="661"/>
      <c r="J2141" s="471"/>
      <c r="L2141" s="471"/>
    </row>
    <row r="2142">
      <c r="D2142" s="132"/>
      <c r="G2142" s="661"/>
      <c r="J2142" s="471"/>
      <c r="L2142" s="471"/>
    </row>
    <row r="2143">
      <c r="G2143" s="661"/>
      <c r="J2143" s="471"/>
      <c r="L2143" s="471"/>
    </row>
    <row r="2144">
      <c r="G2144" s="661"/>
      <c r="J2144" s="471"/>
      <c r="L2144" s="471"/>
    </row>
    <row r="2145">
      <c r="D2145" s="313"/>
      <c r="G2145" s="661"/>
      <c r="J2145" s="471"/>
      <c r="L2145" s="471"/>
    </row>
    <row r="2146">
      <c r="D2146" s="313"/>
      <c r="G2146" s="661"/>
      <c r="J2146" s="471"/>
      <c r="L2146" s="471"/>
    </row>
    <row r="2147">
      <c r="D2147" s="132"/>
      <c r="G2147" s="661"/>
      <c r="J2147" s="471"/>
      <c r="L2147" s="471"/>
    </row>
    <row r="2148">
      <c r="D2148" s="313"/>
      <c r="G2148" s="661"/>
      <c r="J2148" s="471"/>
      <c r="L2148" s="471"/>
    </row>
    <row r="2149">
      <c r="D2149" s="132"/>
      <c r="G2149" s="661"/>
      <c r="J2149" s="471"/>
      <c r="L2149" s="471"/>
    </row>
    <row r="2150">
      <c r="G2150" s="661"/>
      <c r="J2150" s="471"/>
      <c r="L2150" s="471"/>
    </row>
    <row r="2151">
      <c r="G2151" s="661"/>
      <c r="J2151" s="471"/>
      <c r="L2151" s="471"/>
    </row>
    <row r="2152">
      <c r="G2152" s="661"/>
      <c r="J2152" s="471"/>
      <c r="L2152" s="471"/>
    </row>
    <row r="2153">
      <c r="G2153" s="661"/>
      <c r="J2153" s="471"/>
      <c r="L2153" s="471"/>
    </row>
    <row r="2154">
      <c r="G2154" s="661"/>
      <c r="J2154" s="471"/>
      <c r="L2154" s="471"/>
    </row>
    <row r="2155">
      <c r="G2155" s="661"/>
      <c r="J2155" s="471"/>
      <c r="L2155" s="471"/>
    </row>
    <row r="2156">
      <c r="G2156" s="661"/>
      <c r="J2156" s="471"/>
      <c r="L2156" s="471"/>
    </row>
    <row r="2157">
      <c r="G2157" s="661"/>
      <c r="J2157" s="471"/>
      <c r="L2157" s="471"/>
    </row>
    <row r="2158">
      <c r="D2158" s="132"/>
      <c r="G2158" s="661"/>
      <c r="J2158" s="471"/>
      <c r="L2158" s="471"/>
    </row>
    <row r="2159">
      <c r="G2159" s="661"/>
      <c r="J2159" s="471"/>
      <c r="L2159" s="471"/>
    </row>
    <row r="2160">
      <c r="D2160" s="132"/>
      <c r="G2160" s="661"/>
      <c r="J2160" s="471"/>
      <c r="L2160" s="471"/>
    </row>
    <row r="2161">
      <c r="D2161" s="132"/>
      <c r="G2161" s="661"/>
      <c r="J2161" s="471"/>
      <c r="L2161" s="471"/>
    </row>
    <row r="2162">
      <c r="G2162" s="661"/>
      <c r="J2162" s="471"/>
      <c r="L2162" s="471"/>
    </row>
    <row r="2163">
      <c r="G2163" s="661"/>
      <c r="J2163" s="471"/>
      <c r="L2163" s="471"/>
    </row>
    <row r="2164">
      <c r="D2164" s="132"/>
      <c r="G2164" s="661"/>
      <c r="J2164" s="471"/>
      <c r="L2164" s="471"/>
    </row>
    <row r="2165">
      <c r="D2165" s="132"/>
      <c r="G2165" s="661"/>
      <c r="J2165" s="471"/>
      <c r="L2165" s="471"/>
    </row>
    <row r="2166">
      <c r="D2166" s="132"/>
      <c r="G2166" s="661"/>
      <c r="J2166" s="471"/>
      <c r="L2166" s="471"/>
    </row>
    <row r="2167">
      <c r="D2167" s="132"/>
      <c r="G2167" s="661"/>
      <c r="J2167" s="471"/>
      <c r="L2167" s="471"/>
    </row>
    <row r="2168">
      <c r="G2168" s="661"/>
      <c r="J2168" s="471"/>
      <c r="L2168" s="471"/>
    </row>
    <row r="2169">
      <c r="D2169" s="132"/>
      <c r="G2169" s="661"/>
      <c r="J2169" s="471"/>
      <c r="L2169" s="471"/>
    </row>
    <row r="2170">
      <c r="D2170" s="132"/>
      <c r="G2170" s="661"/>
      <c r="J2170" s="471"/>
      <c r="L2170" s="471"/>
    </row>
    <row r="2171">
      <c r="G2171" s="661"/>
      <c r="J2171" s="471"/>
      <c r="L2171" s="471"/>
    </row>
    <row r="2172">
      <c r="D2172" s="132"/>
      <c r="G2172" s="661"/>
      <c r="J2172" s="471"/>
      <c r="L2172" s="471"/>
    </row>
    <row r="2173">
      <c r="D2173" s="313"/>
      <c r="G2173" s="661"/>
      <c r="J2173" s="471"/>
      <c r="L2173" s="471"/>
    </row>
    <row r="2174">
      <c r="G2174" s="661"/>
      <c r="J2174" s="471"/>
      <c r="L2174" s="471"/>
    </row>
    <row r="2175">
      <c r="D2175" s="132"/>
      <c r="G2175" s="661"/>
      <c r="J2175" s="471"/>
      <c r="L2175" s="471"/>
    </row>
    <row r="2176">
      <c r="G2176" s="661"/>
      <c r="J2176" s="471"/>
      <c r="L2176" s="471"/>
    </row>
    <row r="2177">
      <c r="G2177" s="661"/>
      <c r="J2177" s="471"/>
      <c r="L2177" s="471"/>
    </row>
    <row r="2178">
      <c r="G2178" s="661"/>
      <c r="J2178" s="471"/>
      <c r="L2178" s="471"/>
    </row>
    <row r="2179">
      <c r="G2179" s="661"/>
      <c r="J2179" s="471"/>
      <c r="L2179" s="471"/>
    </row>
    <row r="2180">
      <c r="D2180" s="313"/>
      <c r="G2180" s="661"/>
      <c r="J2180" s="471"/>
      <c r="L2180" s="471"/>
    </row>
    <row r="2181">
      <c r="G2181" s="661"/>
      <c r="J2181" s="471"/>
      <c r="L2181" s="471"/>
    </row>
    <row r="2182">
      <c r="G2182" s="661"/>
      <c r="J2182" s="471"/>
      <c r="L2182" s="471"/>
    </row>
    <row r="2183">
      <c r="G2183" s="661"/>
      <c r="J2183" s="471"/>
      <c r="L2183" s="471"/>
    </row>
    <row r="2184">
      <c r="D2184" s="132"/>
      <c r="G2184" s="661"/>
      <c r="J2184" s="471"/>
      <c r="L2184" s="471"/>
    </row>
    <row r="2185">
      <c r="G2185" s="661"/>
      <c r="J2185" s="471"/>
      <c r="L2185" s="471"/>
    </row>
    <row r="2186">
      <c r="G2186" s="661"/>
      <c r="J2186" s="471"/>
      <c r="L2186" s="471"/>
    </row>
    <row r="2187">
      <c r="D2187" s="132"/>
      <c r="G2187" s="661"/>
      <c r="J2187" s="471"/>
      <c r="L2187" s="471"/>
    </row>
    <row r="2188">
      <c r="D2188" s="132"/>
      <c r="G2188" s="661"/>
      <c r="J2188" s="471"/>
      <c r="L2188" s="471"/>
    </row>
    <row r="2189">
      <c r="G2189" s="661"/>
      <c r="J2189" s="471"/>
      <c r="L2189" s="471"/>
    </row>
    <row r="2190">
      <c r="G2190" s="661"/>
      <c r="J2190" s="471"/>
      <c r="L2190" s="471"/>
    </row>
    <row r="2191">
      <c r="D2191" s="132"/>
      <c r="G2191" s="661"/>
      <c r="J2191" s="471"/>
      <c r="L2191" s="471"/>
    </row>
    <row r="2192">
      <c r="G2192" s="661"/>
      <c r="J2192" s="471"/>
      <c r="L2192" s="471"/>
    </row>
    <row r="2193">
      <c r="G2193" s="661"/>
      <c r="J2193" s="471"/>
      <c r="L2193" s="471"/>
    </row>
    <row r="2194">
      <c r="G2194" s="661"/>
      <c r="J2194" s="471"/>
      <c r="L2194" s="471"/>
    </row>
    <row r="2195">
      <c r="G2195" s="661"/>
      <c r="J2195" s="471"/>
      <c r="L2195" s="471"/>
    </row>
    <row r="2196">
      <c r="D2196" s="313"/>
      <c r="G2196" s="661"/>
      <c r="J2196" s="471"/>
      <c r="L2196" s="471"/>
    </row>
    <row r="2197">
      <c r="D2197" s="313"/>
      <c r="G2197" s="661"/>
      <c r="J2197" s="471"/>
      <c r="L2197" s="471"/>
    </row>
    <row r="2198">
      <c r="G2198" s="661"/>
      <c r="J2198" s="471"/>
      <c r="L2198" s="471"/>
    </row>
    <row r="2199">
      <c r="D2199" s="313"/>
      <c r="G2199" s="661"/>
      <c r="J2199" s="471"/>
      <c r="L2199" s="471"/>
    </row>
    <row r="2200">
      <c r="G2200" s="661"/>
      <c r="J2200" s="471"/>
      <c r="L2200" s="471"/>
    </row>
    <row r="2201">
      <c r="D2201" s="313"/>
      <c r="G2201" s="661"/>
      <c r="J2201" s="471"/>
      <c r="L2201" s="471"/>
    </row>
    <row r="2202">
      <c r="D2202" s="313"/>
      <c r="G2202" s="661"/>
      <c r="J2202" s="471"/>
      <c r="L2202" s="471"/>
    </row>
    <row r="2203">
      <c r="D2203" s="313"/>
      <c r="G2203" s="661"/>
      <c r="J2203" s="471"/>
      <c r="L2203" s="471"/>
    </row>
    <row r="2204">
      <c r="D2204" s="313"/>
      <c r="G2204" s="661"/>
      <c r="J2204" s="471"/>
      <c r="L2204" s="471"/>
    </row>
    <row r="2205">
      <c r="D2205" s="313"/>
      <c r="G2205" s="661"/>
      <c r="J2205" s="471"/>
      <c r="L2205" s="471"/>
    </row>
    <row r="2206">
      <c r="D2206" s="132"/>
      <c r="G2206" s="661"/>
      <c r="J2206" s="471"/>
      <c r="L2206" s="471"/>
    </row>
    <row r="2207">
      <c r="G2207" s="661"/>
      <c r="J2207" s="471"/>
      <c r="L2207" s="471"/>
    </row>
    <row r="2208">
      <c r="D2208" s="134"/>
      <c r="G2208" s="661"/>
      <c r="J2208" s="471"/>
      <c r="L2208" s="471"/>
    </row>
    <row r="2209">
      <c r="D2209" s="124"/>
      <c r="G2209" s="661"/>
      <c r="J2209" s="471"/>
      <c r="L2209" s="471"/>
    </row>
    <row r="2210">
      <c r="D2210" s="124"/>
      <c r="G2210" s="661"/>
      <c r="J2210" s="471"/>
      <c r="L2210" s="471"/>
    </row>
    <row r="2211">
      <c r="G2211" s="661"/>
      <c r="J2211" s="471"/>
      <c r="L2211" s="471"/>
    </row>
    <row r="2212">
      <c r="G2212" s="661"/>
      <c r="J2212" s="471"/>
      <c r="L2212" s="471"/>
    </row>
    <row r="2213">
      <c r="G2213" s="661"/>
      <c r="J2213" s="471"/>
      <c r="L2213" s="471"/>
    </row>
    <row r="2214">
      <c r="D2214" s="132"/>
      <c r="G2214" s="661"/>
      <c r="J2214" s="471"/>
      <c r="L2214" s="471"/>
    </row>
    <row r="2215">
      <c r="G2215" s="661"/>
      <c r="J2215" s="471"/>
      <c r="L2215" s="471"/>
    </row>
    <row r="2216">
      <c r="D2216" s="313"/>
      <c r="G2216" s="661"/>
      <c r="J2216" s="471"/>
      <c r="L2216" s="471"/>
    </row>
    <row r="2217">
      <c r="D2217" s="313"/>
      <c r="G2217" s="661"/>
      <c r="J2217" s="471"/>
      <c r="L2217" s="471"/>
    </row>
    <row r="2218">
      <c r="G2218" s="661"/>
      <c r="J2218" s="471"/>
      <c r="L2218" s="471"/>
    </row>
    <row r="2219">
      <c r="D2219" s="313"/>
      <c r="G2219" s="661"/>
      <c r="J2219" s="471"/>
      <c r="L2219" s="471"/>
    </row>
    <row r="2220">
      <c r="G2220" s="661"/>
      <c r="J2220" s="471"/>
      <c r="L2220" s="471"/>
    </row>
    <row r="2221">
      <c r="G2221" s="661"/>
      <c r="J2221" s="471"/>
      <c r="L2221" s="471"/>
    </row>
    <row r="2222">
      <c r="G2222" s="661"/>
      <c r="J2222" s="471"/>
      <c r="L2222" s="471"/>
    </row>
    <row r="2223">
      <c r="G2223" s="661"/>
      <c r="J2223" s="471"/>
      <c r="L2223" s="471"/>
    </row>
    <row r="2224">
      <c r="G2224" s="661"/>
      <c r="J2224" s="471"/>
      <c r="L2224" s="471"/>
    </row>
    <row r="2225">
      <c r="G2225" s="661"/>
      <c r="J2225" s="471"/>
      <c r="L2225" s="471"/>
    </row>
    <row r="2226">
      <c r="G2226" s="661"/>
      <c r="J2226" s="471"/>
      <c r="L2226" s="471"/>
    </row>
    <row r="2227">
      <c r="D2227" s="270"/>
      <c r="G2227" s="661"/>
      <c r="J2227" s="471"/>
      <c r="L2227" s="471"/>
    </row>
    <row r="2228">
      <c r="D2228" s="313"/>
      <c r="G2228" s="661"/>
      <c r="J2228" s="471"/>
      <c r="L2228" s="471"/>
    </row>
    <row r="2229">
      <c r="G2229" s="661"/>
      <c r="J2229" s="471"/>
      <c r="L2229" s="471"/>
    </row>
    <row r="2230">
      <c r="D2230" s="132"/>
      <c r="G2230" s="661"/>
      <c r="J2230" s="471"/>
      <c r="L2230" s="471"/>
    </row>
    <row r="2231">
      <c r="G2231" s="661"/>
      <c r="J2231" s="471"/>
      <c r="L2231" s="471"/>
    </row>
    <row r="2232">
      <c r="D2232" s="132"/>
      <c r="G2232" s="661"/>
      <c r="J2232" s="471"/>
      <c r="L2232" s="471"/>
    </row>
    <row r="2233">
      <c r="D2233" s="132"/>
      <c r="G2233" s="661"/>
      <c r="J2233" s="471"/>
      <c r="L2233" s="471"/>
    </row>
    <row r="2234">
      <c r="D2234" s="313"/>
      <c r="G2234" s="661"/>
      <c r="J2234" s="471"/>
      <c r="L2234" s="471"/>
    </row>
    <row r="2235">
      <c r="D2235" s="132"/>
      <c r="G2235" s="661"/>
      <c r="J2235" s="471"/>
      <c r="L2235" s="471"/>
    </row>
    <row r="2236">
      <c r="G2236" s="661"/>
      <c r="J2236" s="471"/>
      <c r="L2236" s="471"/>
    </row>
    <row r="2237">
      <c r="G2237" s="661"/>
      <c r="J2237" s="471"/>
      <c r="L2237" s="471"/>
    </row>
    <row r="2238">
      <c r="G2238" s="661"/>
      <c r="J2238" s="471"/>
      <c r="L2238" s="471"/>
    </row>
    <row r="2239">
      <c r="G2239" s="661"/>
      <c r="J2239" s="471"/>
      <c r="L2239" s="471"/>
    </row>
    <row r="2240">
      <c r="G2240" s="661"/>
      <c r="J2240" s="471"/>
      <c r="L2240" s="471"/>
    </row>
    <row r="2241">
      <c r="G2241" s="661"/>
      <c r="J2241" s="471"/>
      <c r="L2241" s="471"/>
    </row>
    <row r="2242">
      <c r="G2242" s="661"/>
      <c r="J2242" s="471"/>
      <c r="L2242" s="471"/>
    </row>
    <row r="2243">
      <c r="D2243" s="313"/>
      <c r="G2243" s="661"/>
      <c r="J2243" s="471"/>
      <c r="L2243" s="471"/>
    </row>
    <row r="2244">
      <c r="D2244" s="313"/>
      <c r="G2244" s="661"/>
      <c r="J2244" s="471"/>
      <c r="L2244" s="471"/>
    </row>
    <row r="2245">
      <c r="G2245" s="661"/>
      <c r="J2245" s="471"/>
      <c r="L2245" s="471"/>
    </row>
    <row r="2246">
      <c r="D2246" s="313"/>
      <c r="G2246" s="661"/>
      <c r="J2246" s="471"/>
      <c r="L2246" s="471"/>
    </row>
    <row r="2247">
      <c r="D2247" s="313"/>
      <c r="G2247" s="661"/>
      <c r="J2247" s="471"/>
      <c r="L2247" s="471"/>
    </row>
    <row r="2248">
      <c r="D2248" s="132"/>
      <c r="G2248" s="661"/>
      <c r="J2248" s="471"/>
      <c r="L2248" s="471"/>
    </row>
    <row r="2249">
      <c r="G2249" s="661"/>
      <c r="J2249" s="471"/>
      <c r="L2249" s="471"/>
    </row>
    <row r="2250">
      <c r="G2250" s="661"/>
      <c r="J2250" s="471"/>
      <c r="L2250" s="471"/>
    </row>
    <row r="2251">
      <c r="G2251" s="661"/>
      <c r="J2251" s="471"/>
      <c r="L2251" s="471"/>
    </row>
    <row r="2252">
      <c r="G2252" s="661"/>
      <c r="J2252" s="471"/>
      <c r="L2252" s="471"/>
    </row>
    <row r="2253">
      <c r="D2253" s="313"/>
      <c r="G2253" s="661"/>
      <c r="J2253" s="471"/>
      <c r="L2253" s="471"/>
    </row>
    <row r="2254">
      <c r="G2254" s="661"/>
      <c r="J2254" s="471"/>
      <c r="L2254" s="471"/>
    </row>
    <row r="2255">
      <c r="D2255" s="313"/>
      <c r="G2255" s="661"/>
      <c r="J2255" s="471"/>
      <c r="L2255" s="471"/>
    </row>
    <row r="2256">
      <c r="G2256" s="661"/>
      <c r="J2256" s="471"/>
      <c r="L2256" s="471"/>
    </row>
    <row r="2257">
      <c r="G2257" s="661"/>
      <c r="J2257" s="471"/>
      <c r="L2257" s="471"/>
    </row>
    <row r="2258">
      <c r="D2258" s="313"/>
      <c r="G2258" s="661"/>
      <c r="J2258" s="471"/>
      <c r="L2258" s="471"/>
    </row>
    <row r="2259">
      <c r="D2259" s="313"/>
      <c r="G2259" s="661"/>
      <c r="J2259" s="471"/>
      <c r="L2259" s="471"/>
    </row>
    <row r="2260">
      <c r="D2260" s="313"/>
      <c r="G2260" s="661"/>
      <c r="J2260" s="471"/>
      <c r="L2260" s="471"/>
    </row>
    <row r="2261">
      <c r="D2261" s="132"/>
      <c r="G2261" s="661"/>
      <c r="J2261" s="471"/>
      <c r="L2261" s="471"/>
    </row>
    <row r="2262">
      <c r="G2262" s="661"/>
      <c r="J2262" s="471"/>
      <c r="L2262" s="471"/>
    </row>
    <row r="2263">
      <c r="D2263" s="132"/>
      <c r="G2263" s="661"/>
      <c r="J2263" s="471"/>
      <c r="L2263" s="471"/>
    </row>
    <row r="2264">
      <c r="D2264" s="313"/>
      <c r="G2264" s="661"/>
      <c r="J2264" s="471"/>
      <c r="L2264" s="471"/>
    </row>
    <row r="2265">
      <c r="D2265" s="313"/>
      <c r="G2265" s="661"/>
      <c r="J2265" s="471"/>
      <c r="L2265" s="471"/>
    </row>
    <row r="2266">
      <c r="D2266" s="313"/>
      <c r="G2266" s="661"/>
      <c r="J2266" s="471"/>
      <c r="L2266" s="471"/>
    </row>
    <row r="2267">
      <c r="D2267" s="313"/>
      <c r="G2267" s="661"/>
      <c r="J2267" s="471"/>
      <c r="L2267" s="471"/>
    </row>
    <row r="2268">
      <c r="D2268" s="313"/>
      <c r="G2268" s="661"/>
      <c r="J2268" s="471"/>
      <c r="L2268" s="471"/>
    </row>
    <row r="2269">
      <c r="D2269" s="313"/>
      <c r="G2269" s="661"/>
      <c r="J2269" s="471"/>
      <c r="L2269" s="471"/>
    </row>
    <row r="2270">
      <c r="D2270" s="313"/>
      <c r="G2270" s="661"/>
      <c r="J2270" s="471"/>
      <c r="L2270" s="471"/>
    </row>
    <row r="2271">
      <c r="G2271" s="661"/>
      <c r="J2271" s="471"/>
      <c r="L2271" s="471"/>
    </row>
    <row r="2272">
      <c r="D2272" s="134"/>
      <c r="G2272" s="661"/>
      <c r="J2272" s="471"/>
      <c r="L2272" s="471"/>
    </row>
    <row r="2273">
      <c r="D2273" s="124"/>
      <c r="G2273" s="661"/>
      <c r="J2273" s="471"/>
      <c r="L2273" s="471"/>
    </row>
    <row r="2274">
      <c r="D2274" s="124"/>
      <c r="G2274" s="661"/>
      <c r="J2274" s="471"/>
      <c r="L2274" s="471"/>
    </row>
    <row r="2275">
      <c r="G2275" s="661"/>
      <c r="J2275" s="471"/>
      <c r="L2275" s="471"/>
    </row>
    <row r="2276">
      <c r="G2276" s="661"/>
      <c r="J2276" s="471"/>
      <c r="L2276" s="471"/>
    </row>
    <row r="2277">
      <c r="G2277" s="661"/>
      <c r="J2277" s="471"/>
      <c r="L2277" s="471"/>
    </row>
    <row r="2278">
      <c r="D2278" s="132"/>
      <c r="G2278" s="661"/>
      <c r="J2278" s="471"/>
      <c r="L2278" s="471"/>
    </row>
    <row r="2279">
      <c r="G2279" s="661"/>
      <c r="J2279" s="471"/>
      <c r="L2279" s="471"/>
    </row>
    <row r="2280">
      <c r="G2280" s="661"/>
      <c r="J2280" s="471"/>
      <c r="L2280" s="471"/>
    </row>
    <row r="2281">
      <c r="D2281" s="149"/>
      <c r="G2281" s="661"/>
      <c r="J2281" s="471"/>
      <c r="L2281" s="471"/>
    </row>
    <row r="2282">
      <c r="G2282" s="661"/>
      <c r="J2282" s="471"/>
      <c r="L2282" s="471"/>
    </row>
    <row r="2283">
      <c r="G2283" s="661"/>
      <c r="J2283" s="471"/>
      <c r="L2283" s="471"/>
    </row>
    <row r="2284">
      <c r="G2284" s="661"/>
      <c r="J2284" s="471"/>
      <c r="L2284" s="471"/>
    </row>
    <row r="2285">
      <c r="G2285" s="661"/>
      <c r="J2285" s="471"/>
      <c r="L2285" s="471"/>
    </row>
    <row r="2286">
      <c r="G2286" s="661"/>
      <c r="J2286" s="471"/>
      <c r="L2286" s="471"/>
    </row>
    <row r="2287">
      <c r="G2287" s="661"/>
      <c r="J2287" s="471"/>
      <c r="L2287" s="471"/>
    </row>
    <row r="2288">
      <c r="G2288" s="661"/>
      <c r="J2288" s="471"/>
      <c r="L2288" s="471"/>
    </row>
    <row r="2289">
      <c r="G2289" s="661"/>
      <c r="J2289" s="471"/>
      <c r="L2289" s="471"/>
    </row>
    <row r="2290">
      <c r="G2290" s="661"/>
      <c r="J2290" s="471"/>
      <c r="L2290" s="471"/>
    </row>
    <row r="2291">
      <c r="G2291" s="661"/>
      <c r="J2291" s="471"/>
      <c r="L2291" s="471"/>
    </row>
    <row r="2292">
      <c r="D2292" s="132"/>
      <c r="G2292" s="661"/>
      <c r="J2292" s="471"/>
      <c r="L2292" s="471"/>
    </row>
    <row r="2293">
      <c r="G2293" s="661"/>
      <c r="J2293" s="471"/>
      <c r="L2293" s="471"/>
    </row>
    <row r="2294">
      <c r="G2294" s="661"/>
      <c r="J2294" s="471"/>
      <c r="L2294" s="471"/>
    </row>
    <row r="2295">
      <c r="G2295" s="661"/>
      <c r="J2295" s="471"/>
      <c r="L2295" s="471"/>
    </row>
    <row r="2296">
      <c r="D2296" s="149"/>
      <c r="G2296" s="661"/>
      <c r="J2296" s="471"/>
      <c r="L2296" s="471"/>
    </row>
    <row r="2297">
      <c r="G2297" s="661"/>
      <c r="J2297" s="471"/>
      <c r="L2297" s="471"/>
    </row>
    <row r="2298">
      <c r="D2298" s="132"/>
      <c r="G2298" s="661"/>
      <c r="J2298" s="471"/>
      <c r="L2298" s="471"/>
    </row>
    <row r="2299">
      <c r="G2299" s="661"/>
      <c r="J2299" s="471"/>
      <c r="L2299" s="471"/>
    </row>
    <row r="2300">
      <c r="G2300" s="661"/>
      <c r="J2300" s="471"/>
      <c r="L2300" s="471"/>
    </row>
    <row r="2301">
      <c r="G2301" s="661"/>
      <c r="J2301" s="471"/>
      <c r="L2301" s="471"/>
    </row>
    <row r="2302">
      <c r="D2302" s="134"/>
      <c r="G2302" s="661"/>
      <c r="J2302" s="471"/>
      <c r="L2302" s="471"/>
    </row>
    <row r="2303">
      <c r="G2303" s="661"/>
      <c r="J2303" s="471"/>
      <c r="L2303" s="471"/>
    </row>
    <row r="2304">
      <c r="D2304" s="124"/>
      <c r="G2304" s="661"/>
      <c r="J2304" s="471"/>
      <c r="L2304" s="471"/>
    </row>
    <row r="2305">
      <c r="D2305" s="124"/>
      <c r="G2305" s="661"/>
      <c r="J2305" s="471"/>
      <c r="L2305" s="471"/>
    </row>
    <row r="2306">
      <c r="G2306" s="661"/>
      <c r="J2306" s="471"/>
      <c r="L2306" s="471"/>
    </row>
    <row r="2307">
      <c r="G2307" s="661"/>
      <c r="J2307" s="471"/>
      <c r="L2307" s="471"/>
    </row>
    <row r="2308">
      <c r="G2308" s="661"/>
      <c r="J2308" s="471"/>
      <c r="L2308" s="471"/>
    </row>
    <row r="2309">
      <c r="G2309" s="661"/>
      <c r="J2309" s="471"/>
      <c r="L2309" s="471"/>
    </row>
    <row r="2310">
      <c r="G2310" s="661"/>
      <c r="J2310" s="471"/>
      <c r="L2310" s="471"/>
    </row>
    <row r="2311">
      <c r="G2311" s="661"/>
      <c r="J2311" s="471"/>
      <c r="L2311" s="471"/>
    </row>
    <row r="2312">
      <c r="G2312" s="661"/>
      <c r="J2312" s="471"/>
      <c r="L2312" s="471"/>
    </row>
    <row r="2313">
      <c r="G2313" s="661"/>
      <c r="J2313" s="471"/>
      <c r="L2313" s="471"/>
    </row>
    <row r="2314">
      <c r="G2314" s="661"/>
      <c r="J2314" s="471"/>
      <c r="L2314" s="471"/>
    </row>
    <row r="2315">
      <c r="G2315" s="661"/>
      <c r="J2315" s="471"/>
      <c r="L2315" s="471"/>
    </row>
    <row r="2316">
      <c r="G2316" s="661"/>
      <c r="J2316" s="471"/>
      <c r="L2316" s="471"/>
    </row>
    <row r="2317">
      <c r="G2317" s="661"/>
      <c r="J2317" s="471"/>
      <c r="L2317" s="471"/>
    </row>
    <row r="2318">
      <c r="G2318" s="661"/>
      <c r="J2318" s="471"/>
      <c r="L2318" s="471"/>
    </row>
    <row r="2319">
      <c r="G2319" s="661"/>
      <c r="J2319" s="471"/>
      <c r="L2319" s="471"/>
    </row>
    <row r="2320">
      <c r="G2320" s="661"/>
      <c r="J2320" s="471"/>
      <c r="L2320" s="471"/>
    </row>
    <row r="2321">
      <c r="G2321" s="661"/>
      <c r="J2321" s="471"/>
      <c r="L2321" s="471"/>
    </row>
    <row r="2322">
      <c r="G2322" s="661"/>
      <c r="J2322" s="471"/>
      <c r="L2322" s="471"/>
    </row>
    <row r="2323">
      <c r="G2323" s="661"/>
      <c r="J2323" s="471"/>
      <c r="L2323" s="471"/>
    </row>
    <row r="2324">
      <c r="G2324" s="661"/>
      <c r="J2324" s="471"/>
      <c r="L2324" s="471"/>
    </row>
    <row r="2325">
      <c r="G2325" s="661"/>
      <c r="J2325" s="471"/>
      <c r="L2325" s="471"/>
    </row>
    <row r="2326">
      <c r="G2326" s="661"/>
      <c r="J2326" s="471"/>
      <c r="L2326" s="471"/>
    </row>
    <row r="2327">
      <c r="G2327" s="661"/>
      <c r="J2327" s="471"/>
      <c r="L2327" s="471"/>
    </row>
    <row r="2328">
      <c r="G2328" s="661"/>
      <c r="J2328" s="471"/>
      <c r="L2328" s="471"/>
    </row>
    <row r="2329">
      <c r="G2329" s="661"/>
      <c r="J2329" s="471"/>
      <c r="L2329" s="471"/>
    </row>
    <row r="2330">
      <c r="G2330" s="661"/>
      <c r="J2330" s="471"/>
      <c r="L2330" s="471"/>
    </row>
    <row r="2331">
      <c r="G2331" s="661"/>
      <c r="J2331" s="471"/>
      <c r="L2331" s="471"/>
    </row>
    <row r="2332">
      <c r="G2332" s="661"/>
      <c r="J2332" s="471"/>
      <c r="L2332" s="471"/>
    </row>
    <row r="2333">
      <c r="D2333" s="134"/>
      <c r="G2333" s="661"/>
      <c r="J2333" s="471"/>
      <c r="L2333" s="471"/>
    </row>
    <row r="2334">
      <c r="G2334" s="661"/>
      <c r="J2334" s="471"/>
      <c r="L2334" s="471"/>
    </row>
    <row r="2335">
      <c r="D2335" s="134"/>
      <c r="G2335" s="661"/>
      <c r="J2335" s="471"/>
      <c r="L2335" s="471"/>
    </row>
    <row r="2336">
      <c r="G2336" s="661"/>
      <c r="J2336" s="471"/>
      <c r="L2336" s="471"/>
    </row>
    <row r="2337">
      <c r="D2337" s="369"/>
      <c r="G2337" s="661"/>
      <c r="J2337" s="471"/>
      <c r="L2337" s="471"/>
    </row>
    <row r="2338">
      <c r="G2338" s="661"/>
      <c r="J2338" s="471"/>
      <c r="L2338" s="471"/>
    </row>
    <row r="2339">
      <c r="D2339" s="124"/>
      <c r="G2339" s="661"/>
      <c r="J2339" s="471"/>
      <c r="L2339" s="471"/>
    </row>
    <row r="2340">
      <c r="D2340" s="124"/>
      <c r="G2340" s="661"/>
      <c r="J2340" s="471"/>
      <c r="L2340" s="471"/>
    </row>
    <row r="2341">
      <c r="D2341" s="124"/>
      <c r="G2341" s="661"/>
      <c r="J2341" s="471"/>
      <c r="L2341" s="471"/>
    </row>
    <row r="2342">
      <c r="D2342" s="124"/>
      <c r="G2342" s="661"/>
      <c r="J2342" s="471"/>
      <c r="L2342" s="471"/>
    </row>
    <row r="2343">
      <c r="D2343" s="124"/>
      <c r="G2343" s="661"/>
      <c r="J2343" s="471"/>
      <c r="L2343" s="471"/>
    </row>
    <row r="2344">
      <c r="D2344" s="124"/>
      <c r="G2344" s="661"/>
      <c r="J2344" s="471"/>
      <c r="L2344" s="471"/>
    </row>
    <row r="2345">
      <c r="D2345" s="124"/>
      <c r="G2345" s="661"/>
      <c r="J2345" s="471"/>
      <c r="L2345" s="471"/>
    </row>
    <row r="2346">
      <c r="D2346" s="124"/>
      <c r="G2346" s="661"/>
      <c r="J2346" s="471"/>
      <c r="L2346" s="471"/>
    </row>
    <row r="2347">
      <c r="D2347" s="386"/>
      <c r="G2347" s="661"/>
      <c r="J2347" s="471"/>
      <c r="L2347" s="471"/>
    </row>
    <row r="2348">
      <c r="D2348" s="386"/>
      <c r="G2348" s="661"/>
      <c r="J2348" s="471"/>
      <c r="L2348" s="471"/>
    </row>
    <row r="2349">
      <c r="D2349" s="386"/>
      <c r="G2349" s="661"/>
      <c r="J2349" s="471"/>
      <c r="L2349" s="471"/>
    </row>
    <row r="2350">
      <c r="D2350" s="386"/>
      <c r="G2350" s="661"/>
      <c r="J2350" s="471"/>
      <c r="L2350" s="471"/>
    </row>
    <row r="2351">
      <c r="G2351" s="661"/>
      <c r="J2351" s="471"/>
      <c r="L2351" s="471"/>
    </row>
    <row r="2352">
      <c r="G2352" s="661"/>
      <c r="J2352" s="471"/>
      <c r="L2352" s="471"/>
    </row>
    <row r="2353">
      <c r="G2353" s="661"/>
      <c r="J2353" s="471"/>
      <c r="L2353" s="471"/>
    </row>
    <row r="2354">
      <c r="D2354" s="369"/>
      <c r="G2354" s="661"/>
      <c r="J2354" s="471"/>
      <c r="L2354" s="471"/>
    </row>
    <row r="2355">
      <c r="D2355" s="124"/>
      <c r="G2355" s="661"/>
      <c r="J2355" s="471"/>
      <c r="L2355" s="471"/>
    </row>
    <row r="2356">
      <c r="D2356" s="386"/>
      <c r="G2356" s="661"/>
      <c r="J2356" s="471"/>
      <c r="L2356" s="471"/>
    </row>
    <row r="2357">
      <c r="G2357" s="661"/>
      <c r="J2357" s="471"/>
      <c r="L2357" s="471"/>
    </row>
    <row r="2358">
      <c r="G2358" s="661"/>
      <c r="J2358" s="471"/>
      <c r="L2358" s="471"/>
    </row>
    <row r="2359">
      <c r="G2359" s="661"/>
      <c r="J2359" s="471"/>
      <c r="L2359" s="471"/>
    </row>
    <row r="2360">
      <c r="G2360" s="661"/>
      <c r="J2360" s="471"/>
      <c r="L2360" s="471"/>
    </row>
    <row r="2361">
      <c r="G2361" s="661"/>
      <c r="J2361" s="471"/>
      <c r="L2361" s="471"/>
    </row>
    <row r="2362">
      <c r="G2362" s="661"/>
      <c r="J2362" s="471"/>
      <c r="L2362" s="471"/>
    </row>
    <row r="2363">
      <c r="G2363" s="661"/>
      <c r="J2363" s="471"/>
      <c r="L2363" s="471"/>
    </row>
    <row r="2364">
      <c r="G2364" s="661"/>
      <c r="J2364" s="471"/>
      <c r="L2364" s="471"/>
    </row>
    <row r="2365">
      <c r="G2365" s="661"/>
      <c r="J2365" s="471"/>
      <c r="L2365" s="471"/>
    </row>
    <row r="2366">
      <c r="G2366" s="661"/>
      <c r="J2366" s="471"/>
      <c r="L2366" s="471"/>
    </row>
    <row r="2367">
      <c r="G2367" s="661"/>
      <c r="J2367" s="471"/>
      <c r="L2367" s="471"/>
    </row>
    <row r="2368">
      <c r="G2368" s="661"/>
      <c r="J2368" s="471"/>
      <c r="L2368" s="471"/>
    </row>
    <row r="2369">
      <c r="G2369" s="661"/>
      <c r="J2369" s="471"/>
      <c r="L2369" s="471"/>
    </row>
    <row r="2370">
      <c r="G2370" s="661"/>
      <c r="J2370" s="471"/>
      <c r="L2370" s="471"/>
    </row>
    <row r="2371">
      <c r="G2371" s="661"/>
      <c r="J2371" s="471"/>
      <c r="L2371" s="471"/>
    </row>
    <row r="2372">
      <c r="G2372" s="661"/>
      <c r="J2372" s="471"/>
      <c r="L2372" s="471"/>
    </row>
    <row r="2373">
      <c r="G2373" s="661"/>
      <c r="J2373" s="471"/>
      <c r="L2373" s="471"/>
    </row>
    <row r="2374">
      <c r="G2374" s="661"/>
      <c r="J2374" s="471"/>
      <c r="L2374" s="471"/>
    </row>
    <row r="2375">
      <c r="G2375" s="661"/>
      <c r="J2375" s="471"/>
      <c r="L2375" s="471"/>
    </row>
    <row r="2376">
      <c r="G2376" s="661"/>
      <c r="J2376" s="471"/>
      <c r="L2376" s="471"/>
    </row>
    <row r="2377">
      <c r="G2377" s="661"/>
      <c r="J2377" s="471"/>
      <c r="L2377" s="471"/>
    </row>
    <row r="2378">
      <c r="G2378" s="661"/>
      <c r="J2378" s="471"/>
      <c r="L2378" s="471"/>
    </row>
    <row r="2379">
      <c r="G2379" s="661"/>
      <c r="J2379" s="471"/>
      <c r="L2379" s="471"/>
    </row>
    <row r="2380">
      <c r="G2380" s="661"/>
      <c r="J2380" s="471"/>
      <c r="L2380" s="471"/>
    </row>
    <row r="2381">
      <c r="G2381" s="661"/>
      <c r="J2381" s="471"/>
      <c r="L2381" s="471"/>
    </row>
    <row r="2382">
      <c r="G2382" s="661"/>
      <c r="J2382" s="471"/>
      <c r="L2382" s="471"/>
    </row>
    <row r="2383">
      <c r="G2383" s="661"/>
      <c r="J2383" s="471"/>
      <c r="L2383" s="471"/>
    </row>
    <row r="2384">
      <c r="G2384" s="661"/>
      <c r="J2384" s="471"/>
      <c r="L2384" s="471"/>
    </row>
    <row r="2385">
      <c r="G2385" s="661"/>
      <c r="J2385" s="471"/>
      <c r="L2385" s="471"/>
    </row>
    <row r="2386">
      <c r="G2386" s="661"/>
      <c r="J2386" s="471"/>
      <c r="L2386" s="471"/>
    </row>
    <row r="2387">
      <c r="G2387" s="661"/>
      <c r="J2387" s="471"/>
      <c r="L2387" s="471"/>
    </row>
    <row r="2388">
      <c r="G2388" s="661"/>
      <c r="J2388" s="471"/>
      <c r="L2388" s="471"/>
    </row>
    <row r="2389">
      <c r="G2389" s="661"/>
      <c r="J2389" s="471"/>
      <c r="L2389" s="471"/>
    </row>
    <row r="2390">
      <c r="G2390" s="661"/>
      <c r="J2390" s="471"/>
      <c r="L2390" s="471"/>
    </row>
    <row r="2391">
      <c r="G2391" s="661"/>
      <c r="J2391" s="471"/>
      <c r="L2391" s="471"/>
    </row>
    <row r="2392">
      <c r="G2392" s="661"/>
      <c r="J2392" s="471"/>
      <c r="L2392" s="471"/>
    </row>
    <row r="2393">
      <c r="G2393" s="661"/>
      <c r="J2393" s="471"/>
      <c r="L2393" s="471"/>
    </row>
    <row r="2394">
      <c r="G2394" s="661"/>
      <c r="J2394" s="471"/>
      <c r="L2394" s="471"/>
    </row>
    <row r="2395">
      <c r="G2395" s="661"/>
      <c r="J2395" s="471"/>
      <c r="L2395" s="471"/>
    </row>
    <row r="2396">
      <c r="G2396" s="661"/>
      <c r="J2396" s="471"/>
      <c r="L2396" s="471"/>
    </row>
    <row r="2397">
      <c r="G2397" s="661"/>
      <c r="J2397" s="471"/>
      <c r="L2397" s="471"/>
    </row>
    <row r="2398">
      <c r="G2398" s="661"/>
      <c r="J2398" s="471"/>
      <c r="L2398" s="471"/>
    </row>
    <row r="2399">
      <c r="G2399" s="661"/>
      <c r="J2399" s="471"/>
      <c r="L2399" s="471"/>
    </row>
    <row r="2400">
      <c r="G2400" s="661"/>
      <c r="J2400" s="471"/>
      <c r="L2400" s="471"/>
    </row>
    <row r="2401">
      <c r="G2401" s="661"/>
      <c r="J2401" s="471"/>
      <c r="L2401" s="471"/>
    </row>
    <row r="2402">
      <c r="G2402" s="661"/>
      <c r="J2402" s="471"/>
      <c r="L2402" s="471"/>
    </row>
    <row r="2403">
      <c r="G2403" s="661"/>
      <c r="J2403" s="471"/>
      <c r="L2403" s="471"/>
    </row>
    <row r="2404">
      <c r="G2404" s="661"/>
      <c r="J2404" s="471"/>
      <c r="L2404" s="471"/>
    </row>
    <row r="2405">
      <c r="G2405" s="661"/>
      <c r="J2405" s="471"/>
      <c r="L2405" s="471"/>
    </row>
    <row r="2406">
      <c r="G2406" s="661"/>
      <c r="J2406" s="471"/>
      <c r="L2406" s="471"/>
    </row>
    <row r="2407">
      <c r="G2407" s="661"/>
      <c r="J2407" s="471"/>
      <c r="L2407" s="471"/>
    </row>
    <row r="2408">
      <c r="G2408" s="661"/>
      <c r="J2408" s="471"/>
      <c r="L2408" s="471"/>
    </row>
    <row r="2409">
      <c r="G2409" s="661"/>
      <c r="J2409" s="471"/>
      <c r="L2409" s="471"/>
    </row>
    <row r="2410">
      <c r="G2410" s="661"/>
      <c r="J2410" s="471"/>
      <c r="L2410" s="471"/>
    </row>
    <row r="2411">
      <c r="G2411" s="661"/>
      <c r="J2411" s="471"/>
      <c r="L2411" s="471"/>
    </row>
    <row r="2412">
      <c r="G2412" s="661"/>
      <c r="J2412" s="471"/>
      <c r="L2412" s="471"/>
    </row>
    <row r="2413">
      <c r="G2413" s="661"/>
      <c r="J2413" s="471"/>
      <c r="L2413" s="471"/>
    </row>
    <row r="2414">
      <c r="G2414" s="661"/>
      <c r="J2414" s="471"/>
      <c r="L2414" s="471"/>
    </row>
    <row r="2415">
      <c r="G2415" s="661"/>
      <c r="J2415" s="471"/>
      <c r="L2415" s="471"/>
    </row>
    <row r="2416">
      <c r="G2416" s="661"/>
      <c r="J2416" s="471"/>
      <c r="L2416" s="471"/>
    </row>
    <row r="2417">
      <c r="D2417" s="130"/>
      <c r="G2417" s="661"/>
      <c r="J2417" s="471"/>
      <c r="L2417" s="471"/>
    </row>
    <row r="2418">
      <c r="D2418" s="140"/>
      <c r="G2418" s="661"/>
      <c r="J2418" s="471"/>
      <c r="L2418" s="471"/>
    </row>
    <row r="2419">
      <c r="D2419" s="140"/>
      <c r="G2419" s="661"/>
      <c r="J2419" s="471"/>
      <c r="L2419" s="471"/>
    </row>
    <row r="2420">
      <c r="D2420" s="185"/>
      <c r="G2420" s="661"/>
      <c r="J2420" s="471"/>
      <c r="L2420" s="471"/>
    </row>
    <row r="2421">
      <c r="D2421" s="189"/>
      <c r="G2421" s="661"/>
      <c r="J2421" s="471"/>
      <c r="L2421" s="471"/>
    </row>
    <row r="2422">
      <c r="D2422" s="386"/>
      <c r="G2422" s="661"/>
      <c r="J2422" s="471"/>
      <c r="L2422" s="471"/>
    </row>
    <row r="2423">
      <c r="D2423" s="421"/>
      <c r="G2423" s="661"/>
      <c r="J2423" s="471"/>
      <c r="L2423" s="471"/>
    </row>
    <row r="2424">
      <c r="D2424" s="196"/>
      <c r="G2424" s="661"/>
      <c r="J2424" s="471"/>
      <c r="L2424" s="471"/>
    </row>
    <row r="2425">
      <c r="D2425" s="196"/>
      <c r="G2425" s="661"/>
      <c r="J2425" s="471"/>
      <c r="L2425" s="471"/>
    </row>
    <row r="2426">
      <c r="D2426" s="421"/>
      <c r="G2426" s="661"/>
      <c r="J2426" s="471"/>
      <c r="L2426" s="471"/>
    </row>
    <row r="2427">
      <c r="D2427" s="421"/>
      <c r="G2427" s="661"/>
      <c r="J2427" s="471"/>
      <c r="L2427" s="471"/>
    </row>
    <row r="2428">
      <c r="D2428" s="421"/>
      <c r="G2428" s="661"/>
      <c r="J2428" s="471"/>
      <c r="L2428" s="471"/>
    </row>
    <row r="2429">
      <c r="D2429" s="185"/>
      <c r="G2429" s="661"/>
      <c r="J2429" s="471"/>
      <c r="L2429" s="471"/>
    </row>
    <row r="2430">
      <c r="D2430" s="199"/>
      <c r="G2430" s="661"/>
      <c r="J2430" s="471"/>
      <c r="L2430" s="471"/>
    </row>
    <row r="2431">
      <c r="G2431" s="661"/>
      <c r="J2431" s="471"/>
      <c r="L2431" s="471"/>
    </row>
    <row r="2432">
      <c r="D2432" s="130"/>
      <c r="G2432" s="661"/>
      <c r="J2432" s="471"/>
      <c r="L2432" s="471"/>
    </row>
    <row r="2433">
      <c r="D2433" s="140"/>
      <c r="G2433" s="661"/>
      <c r="J2433" s="471"/>
      <c r="L2433" s="471"/>
    </row>
    <row r="2434">
      <c r="D2434" s="140"/>
      <c r="G2434" s="661"/>
      <c r="J2434" s="471"/>
      <c r="L2434" s="471"/>
    </row>
    <row r="2435">
      <c r="D2435" s="185"/>
      <c r="G2435" s="661"/>
      <c r="J2435" s="471"/>
      <c r="L2435" s="471"/>
    </row>
    <row r="2436">
      <c r="D2436" s="189"/>
      <c r="G2436" s="661"/>
      <c r="J2436" s="471"/>
      <c r="L2436" s="471"/>
    </row>
    <row r="2437">
      <c r="D2437" s="386"/>
      <c r="G2437" s="661"/>
      <c r="J2437" s="471"/>
      <c r="L2437" s="471"/>
    </row>
    <row r="2438">
      <c r="D2438" s="386"/>
      <c r="G2438" s="661"/>
      <c r="J2438" s="471"/>
      <c r="L2438" s="471"/>
    </row>
    <row r="2439">
      <c r="D2439" s="196"/>
      <c r="G2439" s="661"/>
      <c r="J2439" s="471"/>
      <c r="L2439" s="471"/>
    </row>
    <row r="2440">
      <c r="D2440" s="196"/>
      <c r="G2440" s="661"/>
      <c r="J2440" s="471"/>
      <c r="L2440" s="471"/>
    </row>
    <row r="2441">
      <c r="D2441" s="421"/>
      <c r="G2441" s="661"/>
      <c r="J2441" s="471"/>
      <c r="L2441" s="471"/>
    </row>
    <row r="2442">
      <c r="D2442" s="421"/>
      <c r="G2442" s="661"/>
      <c r="J2442" s="471"/>
      <c r="L2442" s="471"/>
    </row>
    <row r="2443">
      <c r="D2443" s="421"/>
      <c r="G2443" s="661"/>
      <c r="J2443" s="471"/>
      <c r="L2443" s="471"/>
    </row>
    <row r="2444">
      <c r="D2444" s="185"/>
      <c r="G2444" s="661"/>
      <c r="J2444" s="471"/>
      <c r="L2444" s="471"/>
    </row>
    <row r="2445">
      <c r="D2445" s="199"/>
      <c r="G2445" s="661"/>
      <c r="J2445" s="471"/>
      <c r="L2445" s="471"/>
    </row>
    <row r="2446">
      <c r="G2446" s="661"/>
      <c r="J2446" s="471"/>
      <c r="L2446" s="471"/>
    </row>
    <row r="2447">
      <c r="G2447" s="661"/>
      <c r="J2447" s="471"/>
      <c r="L2447" s="471"/>
    </row>
    <row r="2448">
      <c r="G2448" s="661"/>
      <c r="J2448" s="471"/>
      <c r="L2448" s="471"/>
    </row>
    <row r="2449">
      <c r="G2449" s="661"/>
      <c r="J2449" s="471"/>
      <c r="L2449" s="471"/>
    </row>
    <row r="2450">
      <c r="D2450" s="369"/>
      <c r="G2450" s="661"/>
      <c r="J2450" s="471"/>
      <c r="L2450" s="471"/>
    </row>
    <row r="2451">
      <c r="D2451" s="124"/>
      <c r="G2451" s="661"/>
      <c r="J2451" s="471"/>
      <c r="L2451" s="471"/>
    </row>
    <row r="2452">
      <c r="D2452" s="124"/>
      <c r="G2452" s="661"/>
      <c r="J2452" s="471"/>
      <c r="L2452" s="471"/>
    </row>
    <row r="2453">
      <c r="D2453" s="124"/>
      <c r="G2453" s="661"/>
      <c r="J2453" s="471"/>
      <c r="L2453" s="471"/>
    </row>
    <row r="2454">
      <c r="D2454" s="124"/>
      <c r="G2454" s="661"/>
      <c r="J2454" s="471"/>
      <c r="L2454" s="471"/>
    </row>
    <row r="2455">
      <c r="D2455" s="124"/>
      <c r="G2455" s="661"/>
      <c r="J2455" s="471"/>
      <c r="L2455" s="471"/>
    </row>
    <row r="2456">
      <c r="D2456" s="124"/>
      <c r="G2456" s="661"/>
      <c r="J2456" s="471"/>
      <c r="L2456" s="471"/>
    </row>
    <row r="2457">
      <c r="D2457" s="124"/>
      <c r="G2457" s="661"/>
      <c r="J2457" s="471"/>
      <c r="L2457" s="471"/>
    </row>
    <row r="2458">
      <c r="D2458" s="124"/>
      <c r="G2458" s="661"/>
      <c r="J2458" s="471"/>
      <c r="L2458" s="471"/>
    </row>
    <row r="2459">
      <c r="D2459" s="124"/>
      <c r="G2459" s="661"/>
      <c r="J2459" s="471"/>
      <c r="L2459" s="471"/>
    </row>
    <row r="2460">
      <c r="D2460" s="124"/>
      <c r="G2460" s="661"/>
      <c r="J2460" s="471"/>
      <c r="L2460" s="471"/>
    </row>
    <row r="2461">
      <c r="D2461" s="124"/>
      <c r="G2461" s="661"/>
      <c r="J2461" s="471"/>
      <c r="L2461" s="471"/>
    </row>
    <row r="2462">
      <c r="D2462" s="124"/>
      <c r="G2462" s="661"/>
      <c r="J2462" s="471"/>
      <c r="L2462" s="471"/>
    </row>
    <row r="2463">
      <c r="D2463" s="124"/>
      <c r="G2463" s="661"/>
      <c r="J2463" s="471"/>
      <c r="L2463" s="471"/>
    </row>
    <row r="2464">
      <c r="D2464" s="124"/>
      <c r="G2464" s="661"/>
      <c r="J2464" s="471"/>
      <c r="L2464" s="471"/>
    </row>
    <row r="2465">
      <c r="D2465" s="124"/>
      <c r="G2465" s="661"/>
      <c r="J2465" s="471"/>
      <c r="L2465" s="471"/>
    </row>
    <row r="2466">
      <c r="D2466" s="124"/>
      <c r="G2466" s="661"/>
      <c r="J2466" s="471"/>
      <c r="L2466" s="471"/>
    </row>
    <row r="2467">
      <c r="G2467" s="661"/>
      <c r="J2467" s="471"/>
      <c r="L2467" s="471"/>
    </row>
    <row r="2468">
      <c r="G2468" s="661"/>
      <c r="J2468" s="471"/>
      <c r="L2468" s="471"/>
    </row>
    <row r="2469">
      <c r="D2469" s="124"/>
      <c r="G2469" s="661"/>
      <c r="J2469" s="471"/>
      <c r="L2469" s="471"/>
    </row>
    <row r="2470">
      <c r="D2470" s="124"/>
      <c r="G2470" s="661"/>
      <c r="J2470" s="471"/>
      <c r="L2470" s="471"/>
    </row>
    <row r="2471">
      <c r="D2471" s="124"/>
      <c r="G2471" s="661"/>
      <c r="J2471" s="471"/>
      <c r="L2471" s="471"/>
    </row>
    <row r="2472">
      <c r="G2472" s="661"/>
      <c r="J2472" s="471"/>
      <c r="L2472" s="471"/>
    </row>
    <row r="2473">
      <c r="G2473" s="661"/>
      <c r="J2473" s="471"/>
      <c r="L2473" s="471"/>
    </row>
    <row r="2474">
      <c r="G2474" s="661"/>
      <c r="J2474" s="471"/>
      <c r="L2474" s="471"/>
    </row>
    <row r="2475">
      <c r="G2475" s="661"/>
      <c r="J2475" s="471"/>
      <c r="L2475" s="471"/>
    </row>
    <row r="2476">
      <c r="G2476" s="661"/>
      <c r="J2476" s="471"/>
      <c r="L2476" s="471"/>
    </row>
    <row r="2477">
      <c r="G2477" s="661"/>
      <c r="J2477" s="471"/>
      <c r="L2477" s="471"/>
    </row>
    <row r="2478">
      <c r="G2478" s="661"/>
      <c r="J2478" s="471"/>
      <c r="L2478" s="471"/>
    </row>
    <row r="2479">
      <c r="G2479" s="661"/>
      <c r="J2479" s="471"/>
      <c r="L2479" s="471"/>
    </row>
    <row r="2480">
      <c r="G2480" s="661"/>
      <c r="J2480" s="471"/>
      <c r="L2480" s="471"/>
    </row>
    <row r="2481">
      <c r="G2481" s="661"/>
      <c r="J2481" s="471"/>
      <c r="L2481" s="471"/>
    </row>
    <row r="2482">
      <c r="G2482" s="661"/>
      <c r="J2482" s="471"/>
      <c r="L2482" s="471"/>
    </row>
    <row r="2483">
      <c r="G2483" s="661"/>
      <c r="J2483" s="471"/>
      <c r="L2483" s="471"/>
    </row>
    <row r="2484">
      <c r="G2484" s="661"/>
      <c r="J2484" s="471"/>
      <c r="L2484" s="471"/>
    </row>
    <row r="2485">
      <c r="G2485" s="661"/>
      <c r="J2485" s="471"/>
      <c r="L2485" s="471"/>
    </row>
    <row r="2486">
      <c r="G2486" s="661"/>
      <c r="J2486" s="471"/>
      <c r="L2486" s="471"/>
    </row>
    <row r="2487">
      <c r="G2487" s="661"/>
      <c r="J2487" s="471"/>
      <c r="L2487" s="471"/>
    </row>
    <row r="2488">
      <c r="G2488" s="661"/>
      <c r="J2488" s="471"/>
      <c r="L2488" s="471"/>
    </row>
    <row r="2489">
      <c r="G2489" s="661"/>
      <c r="J2489" s="471"/>
      <c r="L2489" s="471"/>
    </row>
    <row r="2490">
      <c r="G2490" s="661"/>
      <c r="J2490" s="471"/>
      <c r="L2490" s="471"/>
    </row>
    <row r="2491">
      <c r="G2491" s="661"/>
      <c r="J2491" s="471"/>
      <c r="L2491" s="471"/>
    </row>
    <row r="2492">
      <c r="G2492" s="661"/>
      <c r="J2492" s="471"/>
      <c r="L2492" s="471"/>
    </row>
    <row r="2493">
      <c r="G2493" s="661"/>
      <c r="J2493" s="471"/>
      <c r="L2493" s="471"/>
    </row>
    <row r="2494">
      <c r="G2494" s="661"/>
      <c r="J2494" s="471"/>
      <c r="L2494" s="471"/>
    </row>
    <row r="2495">
      <c r="G2495" s="661"/>
      <c r="J2495" s="471"/>
      <c r="L2495" s="471"/>
    </row>
    <row r="2496">
      <c r="G2496" s="661"/>
      <c r="J2496" s="471"/>
      <c r="L2496" s="471"/>
    </row>
    <row r="2497">
      <c r="G2497" s="661"/>
      <c r="J2497" s="471"/>
      <c r="L2497" s="471"/>
    </row>
    <row r="2498">
      <c r="G2498" s="661"/>
      <c r="J2498" s="471"/>
      <c r="L2498" s="471"/>
    </row>
    <row r="2499">
      <c r="G2499" s="661"/>
      <c r="J2499" s="471"/>
      <c r="L2499" s="471"/>
    </row>
    <row r="2500">
      <c r="G2500" s="661"/>
      <c r="J2500" s="471"/>
      <c r="L2500" s="471"/>
    </row>
    <row r="2501">
      <c r="G2501" s="661"/>
      <c r="J2501" s="471"/>
      <c r="L2501" s="471"/>
    </row>
    <row r="2502">
      <c r="G2502" s="661"/>
      <c r="J2502" s="471"/>
      <c r="L2502" s="471"/>
    </row>
    <row r="2503">
      <c r="G2503" s="661"/>
      <c r="J2503" s="471"/>
      <c r="L2503" s="471"/>
    </row>
    <row r="2504">
      <c r="G2504" s="661"/>
      <c r="J2504" s="471"/>
      <c r="L2504" s="471"/>
    </row>
    <row r="2505">
      <c r="G2505" s="661"/>
      <c r="J2505" s="471"/>
      <c r="L2505" s="471"/>
    </row>
    <row r="2506">
      <c r="G2506" s="661"/>
      <c r="J2506" s="471"/>
      <c r="L2506" s="471"/>
    </row>
    <row r="2507">
      <c r="G2507" s="661"/>
      <c r="J2507" s="471"/>
      <c r="L2507" s="471"/>
    </row>
    <row r="2508">
      <c r="G2508" s="661"/>
      <c r="J2508" s="471"/>
      <c r="L2508" s="471"/>
    </row>
    <row r="2509">
      <c r="G2509" s="661"/>
      <c r="J2509" s="471"/>
      <c r="L2509" s="471"/>
    </row>
    <row r="2510">
      <c r="G2510" s="661"/>
      <c r="J2510" s="471"/>
      <c r="L2510" s="471"/>
    </row>
    <row r="2511">
      <c r="G2511" s="661"/>
      <c r="J2511" s="471"/>
      <c r="L2511" s="471"/>
    </row>
    <row r="2512">
      <c r="G2512" s="661"/>
      <c r="J2512" s="471"/>
      <c r="L2512" s="471"/>
    </row>
    <row r="2513">
      <c r="G2513" s="661"/>
      <c r="J2513" s="471"/>
      <c r="L2513" s="471"/>
    </row>
    <row r="2514">
      <c r="G2514" s="661"/>
      <c r="J2514" s="471"/>
      <c r="L2514" s="471"/>
    </row>
    <row r="2515">
      <c r="G2515" s="661"/>
      <c r="J2515" s="471"/>
      <c r="L2515" s="471"/>
    </row>
    <row r="2516">
      <c r="G2516" s="661"/>
      <c r="J2516" s="471"/>
      <c r="L2516" s="471"/>
    </row>
    <row r="2517">
      <c r="G2517" s="661"/>
      <c r="J2517" s="471"/>
      <c r="L2517" s="471"/>
    </row>
    <row r="2518">
      <c r="G2518" s="661"/>
      <c r="J2518" s="471"/>
      <c r="L2518" s="471"/>
    </row>
    <row r="2519">
      <c r="G2519" s="661"/>
      <c r="J2519" s="471"/>
      <c r="L2519" s="471"/>
    </row>
    <row r="2520">
      <c r="G2520" s="661"/>
      <c r="J2520" s="471"/>
      <c r="L2520" s="471"/>
    </row>
    <row r="2521">
      <c r="G2521" s="661"/>
      <c r="J2521" s="471"/>
      <c r="L2521" s="471"/>
    </row>
    <row r="2522">
      <c r="G2522" s="661"/>
      <c r="J2522" s="471"/>
      <c r="L2522" s="471"/>
    </row>
    <row r="2523">
      <c r="G2523" s="661"/>
      <c r="J2523" s="471"/>
      <c r="L2523" s="471"/>
    </row>
    <row r="2524">
      <c r="G2524" s="661"/>
      <c r="J2524" s="471"/>
      <c r="L2524" s="471"/>
    </row>
    <row r="2525">
      <c r="G2525" s="661"/>
      <c r="J2525" s="471"/>
      <c r="L2525" s="471"/>
    </row>
    <row r="2526">
      <c r="G2526" s="661"/>
      <c r="J2526" s="471"/>
      <c r="L2526" s="471"/>
    </row>
    <row r="2527">
      <c r="G2527" s="661"/>
      <c r="J2527" s="471"/>
      <c r="L2527" s="471"/>
    </row>
    <row r="2528">
      <c r="G2528" s="661"/>
      <c r="J2528" s="471"/>
      <c r="L2528" s="471"/>
    </row>
    <row r="2529">
      <c r="G2529" s="661"/>
      <c r="J2529" s="471"/>
      <c r="L2529" s="471"/>
    </row>
    <row r="2530">
      <c r="G2530" s="661"/>
      <c r="J2530" s="471"/>
      <c r="L2530" s="471"/>
    </row>
    <row r="2531">
      <c r="G2531" s="661"/>
      <c r="J2531" s="471"/>
      <c r="L2531" s="471"/>
    </row>
    <row r="2532">
      <c r="G2532" s="661"/>
      <c r="J2532" s="471"/>
      <c r="L2532" s="471"/>
    </row>
    <row r="2533">
      <c r="G2533" s="661"/>
      <c r="J2533" s="471"/>
      <c r="L2533" s="471"/>
    </row>
    <row r="2534">
      <c r="G2534" s="661"/>
      <c r="J2534" s="471"/>
      <c r="L2534" s="471"/>
    </row>
    <row r="2535">
      <c r="G2535" s="661"/>
      <c r="J2535" s="471"/>
      <c r="L2535" s="471"/>
    </row>
    <row r="2536">
      <c r="G2536" s="661"/>
      <c r="J2536" s="471"/>
      <c r="L2536" s="471"/>
    </row>
    <row r="2537">
      <c r="G2537" s="661"/>
      <c r="J2537" s="471"/>
      <c r="L2537" s="471"/>
    </row>
    <row r="2538">
      <c r="G2538" s="661"/>
      <c r="J2538" s="471"/>
      <c r="L2538" s="471"/>
    </row>
    <row r="2539">
      <c r="G2539" s="661"/>
      <c r="J2539" s="471"/>
      <c r="L2539" s="471"/>
    </row>
    <row r="2540">
      <c r="G2540" s="661"/>
      <c r="J2540" s="471"/>
      <c r="L2540" s="471"/>
    </row>
    <row r="2541">
      <c r="G2541" s="661"/>
      <c r="J2541" s="471"/>
      <c r="L2541" s="471"/>
    </row>
    <row r="2542">
      <c r="G2542" s="661"/>
      <c r="J2542" s="471"/>
      <c r="L2542" s="471"/>
    </row>
    <row r="2543">
      <c r="G2543" s="661"/>
      <c r="J2543" s="471"/>
      <c r="L2543" s="471"/>
    </row>
    <row r="2544">
      <c r="G2544" s="661"/>
      <c r="J2544" s="471"/>
      <c r="L2544" s="471"/>
    </row>
    <row r="2545">
      <c r="G2545" s="661"/>
      <c r="J2545" s="471"/>
      <c r="L2545" s="471"/>
    </row>
    <row r="2546">
      <c r="G2546" s="661"/>
      <c r="J2546" s="471"/>
      <c r="L2546" s="471"/>
    </row>
    <row r="2547">
      <c r="G2547" s="661"/>
      <c r="J2547" s="471"/>
      <c r="L2547" s="471"/>
    </row>
    <row r="2548">
      <c r="G2548" s="661"/>
      <c r="J2548" s="471"/>
      <c r="L2548" s="471"/>
    </row>
    <row r="2549">
      <c r="G2549" s="661"/>
      <c r="J2549" s="471"/>
      <c r="L2549" s="471"/>
    </row>
    <row r="2550">
      <c r="G2550" s="661"/>
      <c r="J2550" s="471"/>
      <c r="L2550" s="471"/>
    </row>
    <row r="2551">
      <c r="G2551" s="661"/>
      <c r="J2551" s="471"/>
      <c r="L2551" s="471"/>
    </row>
    <row r="2552">
      <c r="G2552" s="661"/>
      <c r="J2552" s="471"/>
      <c r="L2552" s="471"/>
    </row>
    <row r="2553">
      <c r="G2553" s="661"/>
      <c r="J2553" s="471"/>
      <c r="L2553" s="471"/>
    </row>
    <row r="2554">
      <c r="G2554" s="661"/>
      <c r="J2554" s="471"/>
      <c r="L2554" s="471"/>
    </row>
    <row r="2555">
      <c r="G2555" s="661"/>
      <c r="J2555" s="471"/>
      <c r="L2555" s="471"/>
    </row>
    <row r="2556">
      <c r="G2556" s="661"/>
      <c r="J2556" s="471"/>
      <c r="L2556" s="471"/>
    </row>
    <row r="2557">
      <c r="G2557" s="661"/>
      <c r="J2557" s="471"/>
      <c r="L2557" s="471"/>
    </row>
    <row r="2558">
      <c r="G2558" s="661"/>
      <c r="J2558" s="471"/>
      <c r="L2558" s="471"/>
    </row>
    <row r="2559">
      <c r="G2559" s="661"/>
      <c r="J2559" s="471"/>
      <c r="L2559" s="471"/>
    </row>
    <row r="2560">
      <c r="G2560" s="661"/>
      <c r="J2560" s="471"/>
      <c r="L2560" s="471"/>
    </row>
    <row r="2561">
      <c r="G2561" s="661"/>
      <c r="J2561" s="471"/>
      <c r="L2561" s="471"/>
    </row>
    <row r="2562">
      <c r="G2562" s="661"/>
      <c r="J2562" s="471"/>
      <c r="L2562" s="471"/>
    </row>
    <row r="2563">
      <c r="G2563" s="661"/>
      <c r="J2563" s="471"/>
      <c r="L2563" s="471"/>
    </row>
    <row r="2564">
      <c r="G2564" s="661"/>
      <c r="J2564" s="471"/>
      <c r="L2564" s="471"/>
    </row>
    <row r="2565">
      <c r="G2565" s="661"/>
      <c r="J2565" s="471"/>
      <c r="L2565" s="471"/>
    </row>
    <row r="2566">
      <c r="G2566" s="661"/>
      <c r="J2566" s="471"/>
      <c r="L2566" s="471"/>
    </row>
    <row r="2567">
      <c r="G2567" s="661"/>
      <c r="J2567" s="471"/>
      <c r="L2567" s="471"/>
    </row>
    <row r="2568">
      <c r="G2568" s="661"/>
      <c r="J2568" s="471"/>
      <c r="L2568" s="471"/>
    </row>
    <row r="2569">
      <c r="G2569" s="661"/>
      <c r="J2569" s="471"/>
      <c r="L2569" s="471"/>
    </row>
    <row r="2570">
      <c r="G2570" s="661"/>
      <c r="J2570" s="471"/>
      <c r="L2570" s="471"/>
    </row>
    <row r="2571">
      <c r="G2571" s="661"/>
      <c r="J2571" s="471"/>
      <c r="L2571" s="471"/>
    </row>
    <row r="2572">
      <c r="G2572" s="661"/>
      <c r="J2572" s="471"/>
      <c r="L2572" s="471"/>
    </row>
    <row r="2573">
      <c r="G2573" s="661"/>
      <c r="J2573" s="471"/>
      <c r="L2573" s="471"/>
    </row>
    <row r="2574">
      <c r="G2574" s="661"/>
      <c r="J2574" s="471"/>
      <c r="L2574" s="471"/>
    </row>
    <row r="2575">
      <c r="G2575" s="661"/>
      <c r="J2575" s="471"/>
      <c r="L2575" s="471"/>
    </row>
    <row r="2576">
      <c r="G2576" s="661"/>
      <c r="J2576" s="471"/>
      <c r="L2576" s="471"/>
    </row>
    <row r="2577">
      <c r="G2577" s="661"/>
      <c r="J2577" s="471"/>
      <c r="L2577" s="471"/>
    </row>
    <row r="2578">
      <c r="G2578" s="661"/>
      <c r="J2578" s="471"/>
      <c r="L2578" s="471"/>
    </row>
    <row r="2579">
      <c r="G2579" s="661"/>
      <c r="J2579" s="471"/>
      <c r="L2579" s="471"/>
    </row>
    <row r="2580">
      <c r="G2580" s="661"/>
      <c r="J2580" s="471"/>
      <c r="L2580" s="471"/>
    </row>
    <row r="2581">
      <c r="G2581" s="661"/>
      <c r="J2581" s="471"/>
      <c r="L2581" s="471"/>
    </row>
    <row r="2582">
      <c r="G2582" s="661"/>
      <c r="J2582" s="471"/>
      <c r="L2582" s="471"/>
    </row>
    <row r="2583">
      <c r="G2583" s="661"/>
      <c r="J2583" s="471"/>
      <c r="L2583" s="471"/>
    </row>
    <row r="2584">
      <c r="G2584" s="661"/>
      <c r="J2584" s="471"/>
      <c r="L2584" s="471"/>
    </row>
    <row r="2585">
      <c r="G2585" s="661"/>
      <c r="J2585" s="471"/>
      <c r="L2585" s="471"/>
    </row>
    <row r="2586">
      <c r="G2586" s="661"/>
      <c r="J2586" s="471"/>
      <c r="L2586" s="471"/>
    </row>
    <row r="2587">
      <c r="G2587" s="661"/>
      <c r="J2587" s="471"/>
      <c r="L2587" s="471"/>
    </row>
    <row r="2588">
      <c r="G2588" s="661"/>
      <c r="J2588" s="471"/>
      <c r="L2588" s="471"/>
    </row>
    <row r="2589">
      <c r="G2589" s="661"/>
      <c r="J2589" s="471"/>
      <c r="L2589" s="471"/>
    </row>
    <row r="2590">
      <c r="G2590" s="661"/>
      <c r="J2590" s="471"/>
      <c r="L2590" s="471"/>
    </row>
    <row r="2591">
      <c r="G2591" s="661"/>
      <c r="J2591" s="471"/>
      <c r="L2591" s="471"/>
    </row>
    <row r="2592">
      <c r="G2592" s="661"/>
      <c r="J2592" s="471"/>
      <c r="L2592" s="471"/>
    </row>
    <row r="2593">
      <c r="G2593" s="661"/>
      <c r="J2593" s="471"/>
      <c r="L2593" s="471"/>
    </row>
    <row r="2594">
      <c r="G2594" s="661"/>
      <c r="J2594" s="471"/>
      <c r="L2594" s="471"/>
    </row>
    <row r="2595">
      <c r="G2595" s="661"/>
      <c r="J2595" s="471"/>
      <c r="L2595" s="471"/>
    </row>
    <row r="2596">
      <c r="G2596" s="661"/>
      <c r="J2596" s="471"/>
      <c r="L2596" s="471"/>
    </row>
    <row r="2597">
      <c r="G2597" s="661"/>
      <c r="J2597" s="471"/>
      <c r="L2597" s="471"/>
    </row>
    <row r="2598">
      <c r="G2598" s="661"/>
      <c r="J2598" s="471"/>
      <c r="L2598" s="471"/>
    </row>
    <row r="2599">
      <c r="G2599" s="661"/>
      <c r="J2599" s="471"/>
      <c r="L2599" s="471"/>
    </row>
    <row r="2600">
      <c r="G2600" s="661"/>
      <c r="J2600" s="471"/>
      <c r="L2600" s="471"/>
    </row>
    <row r="2601">
      <c r="G2601" s="661"/>
      <c r="J2601" s="471"/>
      <c r="L2601" s="471"/>
    </row>
    <row r="2602">
      <c r="G2602" s="661"/>
      <c r="J2602" s="471"/>
      <c r="L2602" s="471"/>
    </row>
    <row r="2603">
      <c r="G2603" s="661"/>
      <c r="J2603" s="471"/>
      <c r="L2603" s="471"/>
    </row>
    <row r="2604">
      <c r="G2604" s="661"/>
      <c r="J2604" s="471"/>
      <c r="L2604" s="471"/>
    </row>
    <row r="2605">
      <c r="G2605" s="661"/>
      <c r="J2605" s="471"/>
      <c r="L2605" s="471"/>
    </row>
    <row r="2606">
      <c r="G2606" s="661"/>
      <c r="J2606" s="471"/>
      <c r="L2606" s="471"/>
    </row>
    <row r="2607">
      <c r="G2607" s="661"/>
      <c r="J2607" s="471"/>
      <c r="L2607" s="471"/>
    </row>
    <row r="2608">
      <c r="G2608" s="661"/>
      <c r="J2608" s="471"/>
      <c r="L2608" s="471"/>
    </row>
    <row r="2609">
      <c r="G2609" s="661"/>
      <c r="J2609" s="471"/>
      <c r="L2609" s="471"/>
    </row>
    <row r="2610">
      <c r="G2610" s="661"/>
      <c r="J2610" s="471"/>
      <c r="L2610" s="471"/>
    </row>
    <row r="2611">
      <c r="G2611" s="661"/>
      <c r="J2611" s="471"/>
      <c r="L2611" s="471"/>
    </row>
    <row r="2612">
      <c r="G2612" s="661"/>
      <c r="J2612" s="471"/>
      <c r="L2612" s="471"/>
    </row>
    <row r="2613">
      <c r="G2613" s="661"/>
      <c r="J2613" s="471"/>
      <c r="L2613" s="471"/>
    </row>
    <row r="2614">
      <c r="G2614" s="661"/>
      <c r="J2614" s="471"/>
      <c r="L2614" s="471"/>
    </row>
    <row r="2615">
      <c r="G2615" s="661"/>
      <c r="J2615" s="471"/>
      <c r="L2615" s="471"/>
    </row>
    <row r="2616">
      <c r="G2616" s="661"/>
      <c r="J2616" s="471"/>
      <c r="L2616" s="471"/>
    </row>
    <row r="2617">
      <c r="G2617" s="661"/>
      <c r="J2617" s="471"/>
      <c r="L2617" s="471"/>
    </row>
    <row r="2618">
      <c r="G2618" s="661"/>
      <c r="J2618" s="471"/>
      <c r="L2618" s="471"/>
    </row>
    <row r="2619">
      <c r="G2619" s="661"/>
      <c r="J2619" s="471"/>
      <c r="L2619" s="471"/>
    </row>
    <row r="2620">
      <c r="G2620" s="661"/>
      <c r="J2620" s="471"/>
      <c r="L2620" s="471"/>
    </row>
    <row r="2621">
      <c r="G2621" s="661"/>
      <c r="J2621" s="471"/>
      <c r="L2621" s="471"/>
    </row>
    <row r="2622">
      <c r="G2622" s="661"/>
      <c r="J2622" s="471"/>
      <c r="L2622" s="471"/>
    </row>
    <row r="2623">
      <c r="G2623" s="661"/>
      <c r="J2623" s="471"/>
      <c r="L2623" s="471"/>
    </row>
    <row r="2624">
      <c r="G2624" s="661"/>
      <c r="J2624" s="471"/>
      <c r="L2624" s="471"/>
    </row>
    <row r="2625">
      <c r="G2625" s="661"/>
      <c r="J2625" s="471"/>
      <c r="L2625" s="471"/>
    </row>
    <row r="2626">
      <c r="G2626" s="661"/>
      <c r="J2626" s="471"/>
      <c r="L2626" s="471"/>
    </row>
    <row r="2627">
      <c r="G2627" s="661"/>
      <c r="J2627" s="471"/>
      <c r="L2627" s="471"/>
    </row>
    <row r="2628">
      <c r="G2628" s="661"/>
      <c r="J2628" s="471"/>
      <c r="L2628" s="471"/>
    </row>
    <row r="2629">
      <c r="G2629" s="661"/>
      <c r="J2629" s="471"/>
      <c r="L2629" s="471"/>
    </row>
    <row r="2630">
      <c r="G2630" s="661"/>
      <c r="J2630" s="471"/>
      <c r="L2630" s="471"/>
    </row>
    <row r="2631">
      <c r="G2631" s="661"/>
      <c r="J2631" s="471"/>
      <c r="L2631" s="471"/>
    </row>
    <row r="2632">
      <c r="G2632" s="661"/>
      <c r="J2632" s="471"/>
      <c r="L2632" s="471"/>
    </row>
    <row r="2633">
      <c r="G2633" s="661"/>
      <c r="J2633" s="471"/>
      <c r="L2633" s="471"/>
    </row>
    <row r="2634">
      <c r="G2634" s="661"/>
      <c r="J2634" s="471"/>
      <c r="L2634" s="471"/>
    </row>
    <row r="2635">
      <c r="G2635" s="661"/>
      <c r="J2635" s="471"/>
      <c r="L2635" s="471"/>
    </row>
    <row r="2636">
      <c r="G2636" s="661"/>
      <c r="J2636" s="471"/>
      <c r="L2636" s="471"/>
    </row>
    <row r="2637">
      <c r="G2637" s="661"/>
      <c r="J2637" s="471"/>
      <c r="L2637" s="471"/>
    </row>
    <row r="2638">
      <c r="G2638" s="661"/>
      <c r="J2638" s="471"/>
      <c r="L2638" s="471"/>
    </row>
    <row r="2639">
      <c r="G2639" s="661"/>
      <c r="J2639" s="471"/>
      <c r="L2639" s="471"/>
    </row>
    <row r="2640">
      <c r="G2640" s="661"/>
      <c r="J2640" s="471"/>
      <c r="L2640" s="471"/>
    </row>
    <row r="2641">
      <c r="G2641" s="661"/>
      <c r="J2641" s="471"/>
      <c r="L2641" s="471"/>
    </row>
    <row r="2642">
      <c r="G2642" s="661"/>
      <c r="J2642" s="471"/>
      <c r="L2642" s="471"/>
    </row>
    <row r="2643">
      <c r="G2643" s="661"/>
      <c r="J2643" s="471"/>
      <c r="L2643" s="471"/>
    </row>
    <row r="2644">
      <c r="G2644" s="661"/>
      <c r="J2644" s="471"/>
      <c r="L2644" s="471"/>
    </row>
    <row r="2645">
      <c r="G2645" s="661"/>
      <c r="J2645" s="471"/>
      <c r="L2645" s="471"/>
    </row>
    <row r="2646">
      <c r="G2646" s="661"/>
      <c r="J2646" s="471"/>
      <c r="L2646" s="471"/>
    </row>
    <row r="2647">
      <c r="G2647" s="661"/>
      <c r="J2647" s="471"/>
      <c r="L2647" s="471"/>
    </row>
    <row r="2648">
      <c r="G2648" s="661"/>
      <c r="J2648" s="471"/>
      <c r="L2648" s="471"/>
    </row>
    <row r="2649">
      <c r="G2649" s="661"/>
      <c r="J2649" s="471"/>
      <c r="L2649" s="471"/>
    </row>
    <row r="2650">
      <c r="G2650" s="661"/>
      <c r="J2650" s="471"/>
      <c r="L2650" s="471"/>
    </row>
    <row r="2651">
      <c r="G2651" s="661"/>
      <c r="J2651" s="471"/>
      <c r="L2651" s="471"/>
    </row>
    <row r="2652">
      <c r="G2652" s="661"/>
      <c r="J2652" s="471"/>
      <c r="L2652" s="471"/>
    </row>
    <row r="2653">
      <c r="G2653" s="661"/>
      <c r="J2653" s="471"/>
      <c r="L2653" s="471"/>
    </row>
    <row r="2654">
      <c r="G2654" s="661"/>
      <c r="J2654" s="471"/>
      <c r="L2654" s="471"/>
    </row>
    <row r="2655">
      <c r="G2655" s="661"/>
      <c r="J2655" s="471"/>
      <c r="L2655" s="471"/>
    </row>
    <row r="2656">
      <c r="G2656" s="661"/>
      <c r="J2656" s="471"/>
      <c r="L2656" s="471"/>
    </row>
    <row r="2657">
      <c r="G2657" s="661"/>
      <c r="J2657" s="471"/>
      <c r="L2657" s="471"/>
    </row>
    <row r="2658">
      <c r="G2658" s="661"/>
      <c r="J2658" s="471"/>
      <c r="L2658" s="471"/>
    </row>
    <row r="2659">
      <c r="G2659" s="661"/>
      <c r="J2659" s="471"/>
      <c r="L2659" s="471"/>
    </row>
    <row r="2660">
      <c r="G2660" s="661"/>
      <c r="J2660" s="471"/>
      <c r="L2660" s="471"/>
    </row>
    <row r="2661">
      <c r="G2661" s="661"/>
      <c r="J2661" s="471"/>
      <c r="L2661" s="471"/>
    </row>
    <row r="2662">
      <c r="G2662" s="661"/>
      <c r="J2662" s="471"/>
      <c r="L2662" s="471"/>
    </row>
    <row r="2663">
      <c r="G2663" s="661"/>
      <c r="J2663" s="471"/>
      <c r="L2663" s="471"/>
    </row>
    <row r="2664">
      <c r="G2664" s="661"/>
      <c r="J2664" s="471"/>
      <c r="L2664" s="471"/>
    </row>
    <row r="2665">
      <c r="G2665" s="661"/>
      <c r="J2665" s="471"/>
      <c r="L2665" s="471"/>
    </row>
    <row r="2666">
      <c r="G2666" s="661"/>
      <c r="J2666" s="471"/>
      <c r="L2666" s="471"/>
    </row>
    <row r="2667">
      <c r="G2667" s="661"/>
      <c r="J2667" s="471"/>
      <c r="L2667" s="471"/>
    </row>
    <row r="2668">
      <c r="G2668" s="661"/>
      <c r="J2668" s="471"/>
      <c r="L2668" s="471"/>
    </row>
    <row r="2669">
      <c r="G2669" s="661"/>
      <c r="J2669" s="471"/>
      <c r="L2669" s="471"/>
    </row>
    <row r="2670">
      <c r="G2670" s="661"/>
      <c r="J2670" s="471"/>
      <c r="L2670" s="471"/>
    </row>
    <row r="2671">
      <c r="G2671" s="661"/>
      <c r="J2671" s="471"/>
      <c r="L2671" s="471"/>
    </row>
    <row r="2672">
      <c r="G2672" s="661"/>
      <c r="J2672" s="471"/>
      <c r="L2672" s="471"/>
    </row>
    <row r="2673">
      <c r="G2673" s="661"/>
      <c r="J2673" s="471"/>
      <c r="L2673" s="471"/>
    </row>
    <row r="2674">
      <c r="G2674" s="661"/>
      <c r="J2674" s="471"/>
      <c r="L2674" s="471"/>
    </row>
    <row r="2675">
      <c r="G2675" s="661"/>
      <c r="J2675" s="471"/>
      <c r="L2675" s="471"/>
    </row>
    <row r="2676">
      <c r="G2676" s="661"/>
      <c r="J2676" s="471"/>
      <c r="L2676" s="471"/>
    </row>
    <row r="2677">
      <c r="G2677" s="661"/>
      <c r="J2677" s="471"/>
      <c r="L2677" s="471"/>
    </row>
    <row r="2678">
      <c r="G2678" s="661"/>
      <c r="J2678" s="471"/>
      <c r="L2678" s="471"/>
    </row>
    <row r="2679">
      <c r="G2679" s="661"/>
      <c r="J2679" s="471"/>
      <c r="L2679" s="471"/>
    </row>
    <row r="2680">
      <c r="G2680" s="661"/>
      <c r="J2680" s="471"/>
      <c r="L2680" s="471"/>
    </row>
    <row r="2681">
      <c r="G2681" s="661"/>
      <c r="J2681" s="471"/>
      <c r="L2681" s="471"/>
    </row>
    <row r="2682">
      <c r="G2682" s="661"/>
      <c r="J2682" s="471"/>
      <c r="L2682" s="471"/>
    </row>
    <row r="2683">
      <c r="G2683" s="661"/>
      <c r="J2683" s="471"/>
      <c r="L2683" s="471"/>
    </row>
    <row r="2684">
      <c r="G2684" s="661"/>
      <c r="J2684" s="471"/>
      <c r="L2684" s="471"/>
    </row>
    <row r="2685">
      <c r="G2685" s="661"/>
      <c r="J2685" s="471"/>
      <c r="L2685" s="471"/>
    </row>
    <row r="2686">
      <c r="G2686" s="661"/>
      <c r="J2686" s="471"/>
      <c r="L2686" s="471"/>
    </row>
    <row r="2687">
      <c r="G2687" s="661"/>
      <c r="J2687" s="471"/>
      <c r="L2687" s="471"/>
    </row>
    <row r="2688">
      <c r="G2688" s="661"/>
      <c r="J2688" s="471"/>
      <c r="L2688" s="471"/>
    </row>
    <row r="2689">
      <c r="G2689" s="661"/>
      <c r="J2689" s="471"/>
      <c r="L2689" s="471"/>
    </row>
    <row r="2690">
      <c r="G2690" s="661"/>
      <c r="J2690" s="471"/>
      <c r="L2690" s="471"/>
    </row>
    <row r="2691">
      <c r="G2691" s="661"/>
      <c r="J2691" s="471"/>
      <c r="L2691" s="471"/>
    </row>
    <row r="2692">
      <c r="G2692" s="661"/>
      <c r="J2692" s="471"/>
      <c r="L2692" s="471"/>
    </row>
    <row r="2693">
      <c r="G2693" s="661"/>
      <c r="J2693" s="471"/>
      <c r="L2693" s="471"/>
    </row>
    <row r="2694">
      <c r="G2694" s="661"/>
      <c r="J2694" s="471"/>
      <c r="L2694" s="471"/>
    </row>
    <row r="2695">
      <c r="G2695" s="661"/>
      <c r="J2695" s="471"/>
      <c r="L2695" s="471"/>
    </row>
    <row r="2696">
      <c r="G2696" s="661"/>
      <c r="J2696" s="471"/>
      <c r="L2696" s="471"/>
    </row>
    <row r="2697">
      <c r="G2697" s="661"/>
      <c r="J2697" s="471"/>
      <c r="L2697" s="471"/>
    </row>
    <row r="2698">
      <c r="G2698" s="661"/>
      <c r="J2698" s="471"/>
      <c r="L2698" s="471"/>
    </row>
    <row r="2699">
      <c r="G2699" s="661"/>
      <c r="J2699" s="471"/>
      <c r="L2699" s="471"/>
    </row>
    <row r="2700">
      <c r="G2700" s="661"/>
      <c r="J2700" s="471"/>
      <c r="L2700" s="471"/>
    </row>
    <row r="2701">
      <c r="G2701" s="661"/>
      <c r="J2701" s="471"/>
      <c r="L2701" s="471"/>
    </row>
    <row r="2702">
      <c r="G2702" s="661"/>
      <c r="J2702" s="471"/>
      <c r="L2702" s="471"/>
    </row>
    <row r="2703">
      <c r="G2703" s="661"/>
      <c r="J2703" s="471"/>
      <c r="L2703" s="471"/>
    </row>
    <row r="2704">
      <c r="G2704" s="661"/>
      <c r="J2704" s="471"/>
      <c r="L2704" s="471"/>
    </row>
    <row r="2705">
      <c r="G2705" s="661"/>
      <c r="J2705" s="471"/>
      <c r="L2705" s="471"/>
    </row>
    <row r="2706">
      <c r="G2706" s="661"/>
      <c r="J2706" s="471"/>
      <c r="L2706" s="471"/>
    </row>
    <row r="2707">
      <c r="G2707" s="661"/>
      <c r="J2707" s="471"/>
      <c r="L2707" s="471"/>
    </row>
    <row r="2708">
      <c r="G2708" s="661"/>
      <c r="J2708" s="471"/>
      <c r="L2708" s="471"/>
    </row>
    <row r="2709">
      <c r="G2709" s="661"/>
      <c r="J2709" s="471"/>
      <c r="L2709" s="471"/>
    </row>
    <row r="2710">
      <c r="G2710" s="661"/>
      <c r="J2710" s="471"/>
      <c r="L2710" s="471"/>
    </row>
    <row r="2711">
      <c r="G2711" s="661"/>
      <c r="J2711" s="471"/>
      <c r="L2711" s="471"/>
    </row>
    <row r="2712">
      <c r="G2712" s="661"/>
      <c r="J2712" s="471"/>
      <c r="L2712" s="471"/>
    </row>
    <row r="2713">
      <c r="G2713" s="661"/>
      <c r="J2713" s="471"/>
      <c r="L2713" s="471"/>
    </row>
    <row r="2714">
      <c r="G2714" s="661"/>
      <c r="J2714" s="471"/>
      <c r="L2714" s="471"/>
    </row>
    <row r="2715">
      <c r="G2715" s="661"/>
      <c r="J2715" s="471"/>
      <c r="L2715" s="471"/>
    </row>
    <row r="2716">
      <c r="G2716" s="661"/>
      <c r="J2716" s="471"/>
      <c r="L2716" s="471"/>
    </row>
    <row r="2717">
      <c r="G2717" s="661"/>
      <c r="J2717" s="471"/>
      <c r="L2717" s="471"/>
    </row>
    <row r="2718">
      <c r="G2718" s="661"/>
      <c r="J2718" s="471"/>
      <c r="L2718" s="471"/>
    </row>
    <row r="2719">
      <c r="G2719" s="661"/>
      <c r="J2719" s="471"/>
      <c r="L2719" s="471"/>
    </row>
    <row r="2720">
      <c r="G2720" s="661"/>
      <c r="J2720" s="471"/>
      <c r="L2720" s="471"/>
    </row>
    <row r="2721">
      <c r="G2721" s="661"/>
      <c r="J2721" s="471"/>
      <c r="L2721" s="471"/>
    </row>
    <row r="2722">
      <c r="G2722" s="661"/>
      <c r="J2722" s="471"/>
      <c r="L2722" s="471"/>
    </row>
    <row r="2723">
      <c r="G2723" s="661"/>
      <c r="J2723" s="471"/>
      <c r="L2723" s="471"/>
    </row>
    <row r="2724">
      <c r="G2724" s="661"/>
      <c r="J2724" s="471"/>
      <c r="L2724" s="471"/>
    </row>
    <row r="2725">
      <c r="G2725" s="661"/>
      <c r="J2725" s="471"/>
      <c r="L2725" s="471"/>
    </row>
    <row r="2726">
      <c r="G2726" s="661"/>
      <c r="J2726" s="471"/>
      <c r="L2726" s="471"/>
    </row>
    <row r="2727">
      <c r="G2727" s="661"/>
      <c r="J2727" s="471"/>
      <c r="L2727" s="471"/>
    </row>
    <row r="2728">
      <c r="G2728" s="661"/>
      <c r="J2728" s="471"/>
      <c r="L2728" s="471"/>
    </row>
    <row r="2729">
      <c r="G2729" s="661"/>
      <c r="J2729" s="471"/>
      <c r="L2729" s="471"/>
    </row>
    <row r="2730">
      <c r="G2730" s="661"/>
      <c r="J2730" s="471"/>
      <c r="L2730" s="471"/>
    </row>
    <row r="2731">
      <c r="G2731" s="661"/>
      <c r="J2731" s="471"/>
      <c r="L2731" s="471"/>
    </row>
    <row r="2732">
      <c r="G2732" s="661"/>
      <c r="J2732" s="471"/>
      <c r="L2732" s="471"/>
    </row>
    <row r="2733">
      <c r="G2733" s="661"/>
      <c r="J2733" s="471"/>
      <c r="L2733" s="471"/>
    </row>
    <row r="2734">
      <c r="G2734" s="661"/>
      <c r="J2734" s="471"/>
      <c r="L2734" s="471"/>
    </row>
    <row r="2735">
      <c r="G2735" s="661"/>
      <c r="J2735" s="471"/>
      <c r="L2735" s="471"/>
    </row>
    <row r="2736">
      <c r="G2736" s="661"/>
      <c r="J2736" s="471"/>
      <c r="L2736" s="471"/>
    </row>
    <row r="2737">
      <c r="G2737" s="661"/>
      <c r="J2737" s="471"/>
      <c r="L2737" s="471"/>
    </row>
    <row r="2738">
      <c r="G2738" s="661"/>
      <c r="J2738" s="471"/>
      <c r="L2738" s="471"/>
    </row>
    <row r="2739">
      <c r="G2739" s="661"/>
      <c r="J2739" s="471"/>
      <c r="L2739" s="471"/>
    </row>
    <row r="2740">
      <c r="G2740" s="661"/>
      <c r="J2740" s="471"/>
      <c r="L2740" s="471"/>
    </row>
    <row r="2741">
      <c r="G2741" s="661"/>
      <c r="J2741" s="471"/>
      <c r="L2741" s="471"/>
    </row>
    <row r="2742">
      <c r="G2742" s="661"/>
      <c r="J2742" s="471"/>
      <c r="L2742" s="471"/>
    </row>
    <row r="2743">
      <c r="G2743" s="661"/>
      <c r="J2743" s="471"/>
      <c r="L2743" s="471"/>
    </row>
    <row r="2744">
      <c r="G2744" s="661"/>
      <c r="J2744" s="471"/>
      <c r="L2744" s="471"/>
    </row>
    <row r="2745">
      <c r="G2745" s="661"/>
      <c r="J2745" s="471"/>
      <c r="L2745" s="471"/>
    </row>
    <row r="2746">
      <c r="G2746" s="661"/>
      <c r="J2746" s="471"/>
      <c r="L2746" s="471"/>
    </row>
    <row r="2747">
      <c r="G2747" s="661"/>
      <c r="J2747" s="471"/>
      <c r="L2747" s="471"/>
    </row>
    <row r="2748">
      <c r="G2748" s="661"/>
      <c r="J2748" s="471"/>
      <c r="L2748" s="471"/>
    </row>
    <row r="2749">
      <c r="G2749" s="661"/>
      <c r="J2749" s="471"/>
      <c r="L2749" s="471"/>
    </row>
    <row r="2750">
      <c r="G2750" s="661"/>
      <c r="J2750" s="471"/>
      <c r="L2750" s="471"/>
    </row>
    <row r="2751">
      <c r="G2751" s="661"/>
      <c r="J2751" s="471"/>
      <c r="L2751" s="471"/>
    </row>
    <row r="2752">
      <c r="G2752" s="661"/>
      <c r="J2752" s="471"/>
      <c r="L2752" s="471"/>
    </row>
    <row r="2753">
      <c r="G2753" s="661"/>
      <c r="J2753" s="471"/>
      <c r="L2753" s="471"/>
    </row>
    <row r="2754">
      <c r="G2754" s="661"/>
      <c r="J2754" s="471"/>
      <c r="L2754" s="471"/>
    </row>
    <row r="2755">
      <c r="G2755" s="661"/>
      <c r="J2755" s="471"/>
      <c r="L2755" s="471"/>
    </row>
    <row r="2756">
      <c r="G2756" s="661"/>
      <c r="J2756" s="471"/>
      <c r="L2756" s="471"/>
    </row>
    <row r="2757">
      <c r="G2757" s="661"/>
      <c r="J2757" s="471"/>
      <c r="L2757" s="471"/>
    </row>
    <row r="2758">
      <c r="G2758" s="661"/>
      <c r="J2758" s="471"/>
      <c r="L2758" s="471"/>
    </row>
    <row r="2759">
      <c r="G2759" s="661"/>
      <c r="J2759" s="471"/>
      <c r="L2759" s="471"/>
    </row>
    <row r="2760">
      <c r="G2760" s="661"/>
      <c r="J2760" s="471"/>
      <c r="L2760" s="471"/>
    </row>
    <row r="2761">
      <c r="G2761" s="661"/>
      <c r="J2761" s="471"/>
      <c r="L2761" s="471"/>
    </row>
    <row r="2762">
      <c r="G2762" s="661"/>
      <c r="J2762" s="471"/>
      <c r="L2762" s="471"/>
    </row>
    <row r="2763">
      <c r="G2763" s="661"/>
      <c r="J2763" s="471"/>
      <c r="L2763" s="471"/>
    </row>
    <row r="2764">
      <c r="G2764" s="661"/>
      <c r="J2764" s="471"/>
      <c r="L2764" s="471"/>
    </row>
    <row r="2765">
      <c r="G2765" s="661"/>
      <c r="J2765" s="471"/>
      <c r="L2765" s="471"/>
    </row>
    <row r="2766">
      <c r="G2766" s="661"/>
      <c r="J2766" s="471"/>
      <c r="L2766" s="471"/>
    </row>
    <row r="2767">
      <c r="G2767" s="661"/>
      <c r="J2767" s="471"/>
      <c r="L2767" s="471"/>
    </row>
    <row r="2768">
      <c r="G2768" s="661"/>
      <c r="J2768" s="471"/>
      <c r="L2768" s="471"/>
    </row>
    <row r="2769">
      <c r="G2769" s="661"/>
      <c r="J2769" s="471"/>
      <c r="L2769" s="471"/>
    </row>
    <row r="2770">
      <c r="G2770" s="661"/>
      <c r="J2770" s="471"/>
      <c r="L2770" s="471"/>
    </row>
    <row r="2771">
      <c r="G2771" s="661"/>
      <c r="J2771" s="471"/>
      <c r="L2771" s="471"/>
    </row>
    <row r="2772">
      <c r="G2772" s="661"/>
      <c r="J2772" s="471"/>
      <c r="L2772" s="471"/>
    </row>
    <row r="2773">
      <c r="G2773" s="661"/>
      <c r="J2773" s="471"/>
      <c r="L2773" s="471"/>
    </row>
    <row r="2774">
      <c r="G2774" s="661"/>
      <c r="J2774" s="471"/>
      <c r="L2774" s="471"/>
    </row>
    <row r="2775">
      <c r="G2775" s="661"/>
      <c r="J2775" s="471"/>
      <c r="L2775" s="471"/>
    </row>
    <row r="2776">
      <c r="G2776" s="661"/>
      <c r="J2776" s="471"/>
      <c r="L2776" s="471"/>
    </row>
    <row r="2777">
      <c r="G2777" s="661"/>
      <c r="J2777" s="471"/>
      <c r="L2777" s="471"/>
    </row>
    <row r="2778">
      <c r="G2778" s="661"/>
      <c r="J2778" s="471"/>
      <c r="L2778" s="471"/>
    </row>
    <row r="2779">
      <c r="G2779" s="661"/>
      <c r="J2779" s="471"/>
      <c r="L2779" s="471"/>
    </row>
    <row r="2780">
      <c r="G2780" s="661"/>
      <c r="J2780" s="471"/>
      <c r="L2780" s="471"/>
    </row>
    <row r="2781">
      <c r="G2781" s="661"/>
      <c r="J2781" s="471"/>
      <c r="L2781" s="471"/>
    </row>
    <row r="2782">
      <c r="G2782" s="661"/>
      <c r="J2782" s="471"/>
      <c r="L2782" s="471"/>
    </row>
    <row r="2783">
      <c r="G2783" s="661"/>
      <c r="J2783" s="471"/>
      <c r="L2783" s="471"/>
    </row>
    <row r="2784">
      <c r="G2784" s="661"/>
      <c r="J2784" s="471"/>
      <c r="L2784" s="471"/>
    </row>
    <row r="2785">
      <c r="G2785" s="661"/>
      <c r="J2785" s="471"/>
      <c r="L2785" s="471"/>
    </row>
    <row r="2786">
      <c r="G2786" s="661"/>
      <c r="J2786" s="471"/>
      <c r="L2786" s="471"/>
    </row>
    <row r="2787">
      <c r="G2787" s="661"/>
      <c r="J2787" s="471"/>
      <c r="L2787" s="471"/>
    </row>
    <row r="2788">
      <c r="G2788" s="661"/>
      <c r="J2788" s="471"/>
      <c r="L2788" s="471"/>
    </row>
    <row r="2789">
      <c r="G2789" s="661"/>
      <c r="J2789" s="471"/>
      <c r="L2789" s="471"/>
    </row>
    <row r="2790">
      <c r="G2790" s="661"/>
      <c r="J2790" s="471"/>
      <c r="L2790" s="471"/>
    </row>
    <row r="2791">
      <c r="G2791" s="661"/>
      <c r="J2791" s="471"/>
      <c r="L2791" s="471"/>
    </row>
    <row r="2792">
      <c r="G2792" s="661"/>
      <c r="J2792" s="471"/>
      <c r="L2792" s="471"/>
    </row>
    <row r="2793">
      <c r="G2793" s="661"/>
      <c r="J2793" s="471"/>
      <c r="L2793" s="471"/>
    </row>
    <row r="2794">
      <c r="G2794" s="661"/>
      <c r="J2794" s="471"/>
      <c r="L2794" s="471"/>
    </row>
    <row r="2795">
      <c r="G2795" s="661"/>
      <c r="J2795" s="471"/>
      <c r="L2795" s="471"/>
    </row>
    <row r="2796">
      <c r="G2796" s="661"/>
      <c r="J2796" s="471"/>
      <c r="L2796" s="471"/>
    </row>
    <row r="2797">
      <c r="G2797" s="661"/>
      <c r="J2797" s="471"/>
      <c r="L2797" s="471"/>
    </row>
    <row r="2798">
      <c r="G2798" s="661"/>
      <c r="J2798" s="471"/>
      <c r="L2798" s="471"/>
    </row>
    <row r="2799">
      <c r="G2799" s="661"/>
      <c r="J2799" s="471"/>
      <c r="L2799" s="471"/>
    </row>
    <row r="2800">
      <c r="G2800" s="661"/>
      <c r="J2800" s="471"/>
      <c r="L2800" s="471"/>
    </row>
    <row r="2801">
      <c r="G2801" s="661"/>
      <c r="J2801" s="471"/>
      <c r="L2801" s="471"/>
    </row>
    <row r="2802">
      <c r="G2802" s="661"/>
      <c r="J2802" s="471"/>
      <c r="L2802" s="471"/>
    </row>
    <row r="2803">
      <c r="G2803" s="661"/>
      <c r="J2803" s="471"/>
      <c r="L2803" s="471"/>
    </row>
    <row r="2804">
      <c r="G2804" s="661"/>
      <c r="J2804" s="471"/>
      <c r="L2804" s="471"/>
    </row>
    <row r="2805">
      <c r="G2805" s="661"/>
      <c r="J2805" s="471"/>
      <c r="L2805" s="471"/>
    </row>
    <row r="2806">
      <c r="G2806" s="661"/>
      <c r="J2806" s="471"/>
      <c r="L2806" s="471"/>
    </row>
    <row r="2807">
      <c r="G2807" s="661"/>
      <c r="J2807" s="471"/>
      <c r="L2807" s="471"/>
    </row>
    <row r="2808">
      <c r="G2808" s="661"/>
      <c r="J2808" s="471"/>
      <c r="L2808" s="471"/>
    </row>
    <row r="2809">
      <c r="G2809" s="661"/>
      <c r="J2809" s="471"/>
      <c r="L2809" s="471"/>
    </row>
    <row r="2810">
      <c r="G2810" s="661"/>
      <c r="J2810" s="471"/>
      <c r="L2810" s="471"/>
    </row>
    <row r="2811">
      <c r="G2811" s="661"/>
      <c r="J2811" s="471"/>
      <c r="L2811" s="471"/>
    </row>
    <row r="2812">
      <c r="G2812" s="661"/>
      <c r="J2812" s="471"/>
      <c r="L2812" s="471"/>
    </row>
    <row r="2813">
      <c r="G2813" s="661"/>
      <c r="J2813" s="471"/>
      <c r="L2813" s="471"/>
    </row>
    <row r="2814">
      <c r="G2814" s="661"/>
      <c r="J2814" s="471"/>
      <c r="L2814" s="471"/>
    </row>
    <row r="2815">
      <c r="G2815" s="661"/>
      <c r="J2815" s="471"/>
      <c r="L2815" s="471"/>
    </row>
    <row r="2816">
      <c r="G2816" s="661"/>
      <c r="J2816" s="471"/>
      <c r="L2816" s="471"/>
    </row>
    <row r="2817">
      <c r="G2817" s="661"/>
      <c r="J2817" s="471"/>
      <c r="L2817" s="471"/>
    </row>
    <row r="2818">
      <c r="G2818" s="661"/>
      <c r="J2818" s="471"/>
      <c r="L2818" s="471"/>
    </row>
    <row r="2819">
      <c r="G2819" s="661"/>
      <c r="J2819" s="471"/>
      <c r="L2819" s="471"/>
    </row>
    <row r="2820">
      <c r="G2820" s="661"/>
      <c r="J2820" s="471"/>
      <c r="L2820" s="471"/>
    </row>
    <row r="2821">
      <c r="G2821" s="661"/>
      <c r="J2821" s="471"/>
      <c r="L2821" s="471"/>
    </row>
    <row r="2822">
      <c r="G2822" s="661"/>
      <c r="J2822" s="471"/>
      <c r="L2822" s="471"/>
    </row>
    <row r="2823">
      <c r="G2823" s="661"/>
      <c r="J2823" s="471"/>
      <c r="L2823" s="471"/>
    </row>
    <row r="2824">
      <c r="G2824" s="661"/>
      <c r="J2824" s="471"/>
      <c r="L2824" s="471"/>
    </row>
    <row r="2825">
      <c r="G2825" s="661"/>
      <c r="J2825" s="471"/>
      <c r="L2825" s="471"/>
    </row>
    <row r="2826">
      <c r="G2826" s="661"/>
      <c r="J2826" s="471"/>
      <c r="L2826" s="471"/>
    </row>
    <row r="2827">
      <c r="G2827" s="661"/>
      <c r="J2827" s="471"/>
      <c r="L2827" s="471"/>
    </row>
    <row r="2828">
      <c r="G2828" s="661"/>
      <c r="J2828" s="471"/>
      <c r="L2828" s="471"/>
    </row>
    <row r="2829">
      <c r="G2829" s="661"/>
      <c r="J2829" s="471"/>
      <c r="L2829" s="471"/>
    </row>
    <row r="2830">
      <c r="G2830" s="661"/>
      <c r="J2830" s="471"/>
      <c r="L2830" s="471"/>
    </row>
    <row r="2831">
      <c r="G2831" s="661"/>
      <c r="J2831" s="471"/>
      <c r="L2831" s="471"/>
    </row>
    <row r="2832">
      <c r="G2832" s="661"/>
      <c r="J2832" s="471"/>
      <c r="L2832" s="471"/>
    </row>
    <row r="2833">
      <c r="G2833" s="661"/>
      <c r="J2833" s="471"/>
      <c r="L2833" s="471"/>
    </row>
    <row r="2834">
      <c r="G2834" s="661"/>
      <c r="J2834" s="471"/>
      <c r="L2834" s="471"/>
    </row>
    <row r="2835">
      <c r="G2835" s="661"/>
      <c r="J2835" s="471"/>
      <c r="L2835" s="471"/>
    </row>
    <row r="2836">
      <c r="G2836" s="661"/>
      <c r="J2836" s="471"/>
      <c r="L2836" s="471"/>
    </row>
    <row r="2837">
      <c r="G2837" s="661"/>
      <c r="J2837" s="471"/>
      <c r="L2837" s="471"/>
    </row>
    <row r="2838">
      <c r="G2838" s="661"/>
      <c r="J2838" s="471"/>
      <c r="L2838" s="471"/>
    </row>
    <row r="2839">
      <c r="G2839" s="661"/>
      <c r="J2839" s="471"/>
      <c r="L2839" s="471"/>
    </row>
    <row r="2840">
      <c r="G2840" s="661"/>
      <c r="J2840" s="471"/>
      <c r="L2840" s="471"/>
    </row>
    <row r="2841">
      <c r="G2841" s="661"/>
      <c r="J2841" s="471"/>
      <c r="L2841" s="471"/>
    </row>
    <row r="2842">
      <c r="G2842" s="661"/>
      <c r="J2842" s="471"/>
      <c r="L2842" s="471"/>
    </row>
    <row r="2843">
      <c r="G2843" s="661"/>
      <c r="J2843" s="471"/>
      <c r="L2843" s="471"/>
    </row>
    <row r="2844">
      <c r="G2844" s="661"/>
      <c r="J2844" s="471"/>
      <c r="L2844" s="471"/>
    </row>
    <row r="2845">
      <c r="G2845" s="661"/>
      <c r="J2845" s="471"/>
      <c r="L2845" s="471"/>
    </row>
    <row r="2846">
      <c r="G2846" s="661"/>
      <c r="J2846" s="471"/>
      <c r="L2846" s="471"/>
    </row>
    <row r="2847">
      <c r="G2847" s="661"/>
      <c r="J2847" s="471"/>
      <c r="L2847" s="471"/>
    </row>
    <row r="2848">
      <c r="G2848" s="661"/>
      <c r="J2848" s="471"/>
      <c r="L2848" s="471"/>
    </row>
    <row r="2849">
      <c r="G2849" s="661"/>
      <c r="J2849" s="471"/>
      <c r="L2849" s="471"/>
    </row>
    <row r="2850">
      <c r="G2850" s="661"/>
      <c r="J2850" s="471"/>
      <c r="L2850" s="471"/>
    </row>
    <row r="2851">
      <c r="G2851" s="661"/>
      <c r="J2851" s="471"/>
      <c r="L2851" s="471"/>
    </row>
    <row r="2852">
      <c r="G2852" s="661"/>
      <c r="J2852" s="471"/>
      <c r="L2852" s="471"/>
    </row>
    <row r="2853">
      <c r="G2853" s="661"/>
      <c r="J2853" s="471"/>
      <c r="L2853" s="471"/>
    </row>
    <row r="2854">
      <c r="G2854" s="661"/>
      <c r="J2854" s="471"/>
      <c r="L2854" s="471"/>
    </row>
    <row r="2855">
      <c r="G2855" s="661"/>
      <c r="J2855" s="471"/>
      <c r="L2855" s="471"/>
    </row>
    <row r="2856">
      <c r="G2856" s="661"/>
      <c r="J2856" s="471"/>
      <c r="L2856" s="471"/>
    </row>
    <row r="2857">
      <c r="G2857" s="661"/>
      <c r="J2857" s="471"/>
      <c r="L2857" s="471"/>
    </row>
    <row r="2858">
      <c r="G2858" s="661"/>
      <c r="J2858" s="471"/>
      <c r="L2858" s="471"/>
    </row>
    <row r="2859">
      <c r="G2859" s="661"/>
      <c r="J2859" s="471"/>
      <c r="L2859" s="471"/>
    </row>
    <row r="2860">
      <c r="G2860" s="661"/>
      <c r="J2860" s="471"/>
      <c r="L2860" s="471"/>
    </row>
    <row r="2861">
      <c r="G2861" s="661"/>
      <c r="J2861" s="471"/>
      <c r="L2861" s="471"/>
    </row>
    <row r="2862">
      <c r="G2862" s="661"/>
      <c r="J2862" s="471"/>
      <c r="L2862" s="471"/>
    </row>
    <row r="2863">
      <c r="G2863" s="661"/>
      <c r="J2863" s="471"/>
      <c r="L2863" s="471"/>
    </row>
    <row r="2864">
      <c r="G2864" s="661"/>
      <c r="J2864" s="471"/>
      <c r="L2864" s="471"/>
    </row>
    <row r="2865">
      <c r="G2865" s="661"/>
      <c r="J2865" s="471"/>
      <c r="L2865" s="471"/>
    </row>
    <row r="2866">
      <c r="G2866" s="661"/>
      <c r="J2866" s="471"/>
      <c r="L2866" s="471"/>
    </row>
    <row r="2867">
      <c r="G2867" s="661"/>
      <c r="J2867" s="471"/>
      <c r="L2867" s="471"/>
    </row>
    <row r="2868">
      <c r="G2868" s="661"/>
      <c r="J2868" s="471"/>
      <c r="L2868" s="471"/>
    </row>
    <row r="2869">
      <c r="G2869" s="661"/>
      <c r="J2869" s="471"/>
      <c r="L2869" s="471"/>
    </row>
    <row r="2870">
      <c r="G2870" s="661"/>
      <c r="J2870" s="471"/>
      <c r="L2870" s="471"/>
    </row>
    <row r="2871">
      <c r="G2871" s="661"/>
      <c r="J2871" s="471"/>
      <c r="L2871" s="471"/>
    </row>
    <row r="2872">
      <c r="G2872" s="661"/>
      <c r="J2872" s="471"/>
      <c r="L2872" s="471"/>
    </row>
    <row r="2873">
      <c r="G2873" s="661"/>
      <c r="J2873" s="471"/>
      <c r="L2873" s="471"/>
    </row>
    <row r="2874">
      <c r="G2874" s="661"/>
      <c r="J2874" s="471"/>
      <c r="L2874" s="471"/>
    </row>
    <row r="2875">
      <c r="G2875" s="661"/>
      <c r="J2875" s="471"/>
      <c r="L2875" s="471"/>
    </row>
    <row r="2876">
      <c r="G2876" s="661"/>
      <c r="J2876" s="471"/>
      <c r="L2876" s="471"/>
    </row>
    <row r="2877">
      <c r="G2877" s="661"/>
      <c r="J2877" s="471"/>
      <c r="L2877" s="471"/>
    </row>
    <row r="2878">
      <c r="G2878" s="661"/>
      <c r="J2878" s="471"/>
      <c r="L2878" s="471"/>
    </row>
    <row r="2879">
      <c r="G2879" s="661"/>
      <c r="J2879" s="471"/>
      <c r="L2879" s="471"/>
    </row>
    <row r="2880">
      <c r="G2880" s="661"/>
      <c r="J2880" s="471"/>
      <c r="L2880" s="471"/>
    </row>
    <row r="2881">
      <c r="G2881" s="661"/>
      <c r="J2881" s="471"/>
      <c r="L2881" s="471"/>
    </row>
    <row r="2882">
      <c r="G2882" s="661"/>
      <c r="J2882" s="471"/>
      <c r="L2882" s="471"/>
    </row>
    <row r="2883">
      <c r="G2883" s="661"/>
      <c r="J2883" s="471"/>
      <c r="L2883" s="471"/>
    </row>
    <row r="2884">
      <c r="G2884" s="661"/>
      <c r="J2884" s="471"/>
      <c r="L2884" s="471"/>
    </row>
    <row r="2885">
      <c r="G2885" s="661"/>
      <c r="J2885" s="471"/>
      <c r="L2885" s="471"/>
    </row>
    <row r="2886">
      <c r="G2886" s="661"/>
      <c r="J2886" s="471"/>
      <c r="L2886" s="471"/>
    </row>
    <row r="2887">
      <c r="G2887" s="661"/>
      <c r="J2887" s="471"/>
      <c r="L2887" s="471"/>
    </row>
    <row r="2888">
      <c r="G2888" s="661"/>
      <c r="J2888" s="471"/>
      <c r="L2888" s="471"/>
    </row>
    <row r="2889">
      <c r="G2889" s="661"/>
      <c r="J2889" s="471"/>
      <c r="L2889" s="471"/>
    </row>
    <row r="2890">
      <c r="G2890" s="661"/>
      <c r="J2890" s="471"/>
      <c r="L2890" s="471"/>
    </row>
    <row r="2891">
      <c r="G2891" s="661"/>
      <c r="J2891" s="471"/>
      <c r="L2891" s="471"/>
    </row>
    <row r="2892">
      <c r="G2892" s="661"/>
      <c r="J2892" s="471"/>
      <c r="L2892" s="471"/>
    </row>
    <row r="2893">
      <c r="G2893" s="661"/>
      <c r="J2893" s="471"/>
      <c r="L2893" s="471"/>
    </row>
    <row r="2894">
      <c r="G2894" s="661"/>
      <c r="J2894" s="471"/>
      <c r="L2894" s="471"/>
    </row>
    <row r="2895">
      <c r="G2895" s="661"/>
      <c r="J2895" s="471"/>
      <c r="L2895" s="471"/>
    </row>
    <row r="2896">
      <c r="G2896" s="661"/>
      <c r="J2896" s="471"/>
      <c r="L2896" s="471"/>
    </row>
    <row r="2897">
      <c r="G2897" s="661"/>
      <c r="J2897" s="471"/>
      <c r="L2897" s="471"/>
    </row>
    <row r="2898">
      <c r="G2898" s="661"/>
      <c r="J2898" s="471"/>
      <c r="L2898" s="471"/>
    </row>
    <row r="2899">
      <c r="G2899" s="661"/>
      <c r="J2899" s="471"/>
      <c r="L2899" s="471"/>
    </row>
    <row r="2900">
      <c r="G2900" s="661"/>
      <c r="J2900" s="471"/>
      <c r="L2900" s="471"/>
    </row>
    <row r="2901">
      <c r="G2901" s="661"/>
      <c r="J2901" s="471"/>
      <c r="L2901" s="471"/>
    </row>
    <row r="2902">
      <c r="G2902" s="661"/>
      <c r="J2902" s="471"/>
      <c r="L2902" s="471"/>
    </row>
    <row r="2903">
      <c r="G2903" s="661"/>
      <c r="J2903" s="471"/>
      <c r="L2903" s="471"/>
    </row>
    <row r="2904">
      <c r="G2904" s="661"/>
      <c r="J2904" s="471"/>
      <c r="L2904" s="471"/>
    </row>
    <row r="2905">
      <c r="G2905" s="661"/>
      <c r="J2905" s="471"/>
      <c r="L2905" s="471"/>
    </row>
    <row r="2906">
      <c r="G2906" s="661"/>
      <c r="J2906" s="471"/>
      <c r="L2906" s="471"/>
    </row>
    <row r="2907">
      <c r="G2907" s="661"/>
      <c r="J2907" s="471"/>
      <c r="L2907" s="471"/>
    </row>
    <row r="2908">
      <c r="G2908" s="661"/>
      <c r="J2908" s="471"/>
      <c r="L2908" s="471"/>
    </row>
    <row r="2909">
      <c r="G2909" s="661"/>
      <c r="J2909" s="471"/>
      <c r="L2909" s="471"/>
    </row>
    <row r="2910">
      <c r="G2910" s="661"/>
      <c r="J2910" s="471"/>
      <c r="L2910" s="471"/>
    </row>
    <row r="2911">
      <c r="G2911" s="661"/>
      <c r="J2911" s="471"/>
      <c r="L2911" s="471"/>
    </row>
    <row r="2912">
      <c r="G2912" s="661"/>
      <c r="J2912" s="471"/>
      <c r="L2912" s="471"/>
    </row>
    <row r="2913">
      <c r="G2913" s="661"/>
      <c r="J2913" s="471"/>
      <c r="L2913" s="471"/>
    </row>
    <row r="2914">
      <c r="G2914" s="661"/>
      <c r="J2914" s="471"/>
      <c r="L2914" s="471"/>
    </row>
    <row r="2915">
      <c r="G2915" s="661"/>
      <c r="J2915" s="471"/>
      <c r="L2915" s="471"/>
    </row>
    <row r="2916">
      <c r="G2916" s="661"/>
      <c r="J2916" s="471"/>
      <c r="L2916" s="471"/>
    </row>
    <row r="2917">
      <c r="G2917" s="661"/>
      <c r="J2917" s="471"/>
      <c r="L2917" s="471"/>
    </row>
    <row r="2918">
      <c r="G2918" s="661"/>
      <c r="J2918" s="471"/>
      <c r="L2918" s="471"/>
    </row>
    <row r="2919">
      <c r="G2919" s="661"/>
      <c r="J2919" s="471"/>
      <c r="L2919" s="471"/>
    </row>
    <row r="2920">
      <c r="G2920" s="661"/>
      <c r="J2920" s="471"/>
      <c r="L2920" s="471"/>
    </row>
    <row r="2921">
      <c r="G2921" s="661"/>
      <c r="J2921" s="471"/>
      <c r="L2921" s="471"/>
    </row>
    <row r="2922">
      <c r="G2922" s="661"/>
      <c r="J2922" s="471"/>
      <c r="L2922" s="471"/>
    </row>
    <row r="2923">
      <c r="G2923" s="661"/>
      <c r="J2923" s="471"/>
      <c r="L2923" s="471"/>
    </row>
    <row r="2924">
      <c r="G2924" s="661"/>
      <c r="J2924" s="471"/>
      <c r="L2924" s="471"/>
    </row>
    <row r="2925">
      <c r="G2925" s="661"/>
      <c r="J2925" s="471"/>
      <c r="L2925" s="471"/>
    </row>
    <row r="2926">
      <c r="G2926" s="661"/>
      <c r="J2926" s="471"/>
      <c r="L2926" s="471"/>
    </row>
    <row r="2927">
      <c r="G2927" s="661"/>
      <c r="J2927" s="471"/>
      <c r="L2927" s="471"/>
    </row>
    <row r="2928">
      <c r="G2928" s="661"/>
      <c r="J2928" s="471"/>
      <c r="L2928" s="471"/>
    </row>
    <row r="2929">
      <c r="G2929" s="661"/>
      <c r="J2929" s="471"/>
      <c r="L2929" s="471"/>
    </row>
    <row r="2930">
      <c r="G2930" s="661"/>
      <c r="J2930" s="471"/>
      <c r="L2930" s="471"/>
    </row>
    <row r="2931">
      <c r="G2931" s="661"/>
      <c r="J2931" s="471"/>
      <c r="L2931" s="471"/>
    </row>
    <row r="2932">
      <c r="G2932" s="661"/>
      <c r="J2932" s="471"/>
      <c r="L2932" s="471"/>
    </row>
    <row r="2933">
      <c r="G2933" s="661"/>
      <c r="J2933" s="471"/>
      <c r="L2933" s="471"/>
    </row>
    <row r="2934">
      <c r="G2934" s="661"/>
      <c r="J2934" s="471"/>
      <c r="L2934" s="471"/>
    </row>
    <row r="2935">
      <c r="G2935" s="661"/>
      <c r="J2935" s="471"/>
      <c r="L2935" s="471"/>
    </row>
    <row r="2936">
      <c r="G2936" s="661"/>
      <c r="J2936" s="471"/>
      <c r="L2936" s="471"/>
    </row>
    <row r="2937">
      <c r="G2937" s="661"/>
      <c r="J2937" s="471"/>
      <c r="L2937" s="471"/>
    </row>
    <row r="2938">
      <c r="G2938" s="661"/>
      <c r="J2938" s="471"/>
      <c r="L2938" s="471"/>
    </row>
    <row r="2939">
      <c r="G2939" s="661"/>
      <c r="J2939" s="471"/>
      <c r="L2939" s="471"/>
    </row>
    <row r="2940">
      <c r="G2940" s="661"/>
      <c r="J2940" s="471"/>
      <c r="L2940" s="471"/>
    </row>
    <row r="2941">
      <c r="G2941" s="661"/>
      <c r="J2941" s="471"/>
      <c r="L2941" s="471"/>
    </row>
    <row r="2942">
      <c r="G2942" s="661"/>
      <c r="J2942" s="471"/>
      <c r="L2942" s="471"/>
    </row>
    <row r="2943">
      <c r="G2943" s="661"/>
      <c r="J2943" s="471"/>
      <c r="L2943" s="471"/>
    </row>
    <row r="2944">
      <c r="G2944" s="661"/>
      <c r="J2944" s="471"/>
      <c r="L2944" s="471"/>
    </row>
    <row r="2945">
      <c r="G2945" s="661"/>
      <c r="J2945" s="471"/>
      <c r="L2945" s="471"/>
    </row>
    <row r="2946">
      <c r="G2946" s="661"/>
      <c r="J2946" s="471"/>
      <c r="L2946" s="471"/>
    </row>
    <row r="2947">
      <c r="G2947" s="661"/>
      <c r="J2947" s="471"/>
      <c r="L2947" s="471"/>
    </row>
    <row r="2948">
      <c r="G2948" s="661"/>
      <c r="J2948" s="471"/>
      <c r="L2948" s="471"/>
    </row>
    <row r="2949">
      <c r="G2949" s="661"/>
      <c r="J2949" s="471"/>
      <c r="L2949" s="471"/>
    </row>
    <row r="2950">
      <c r="G2950" s="661"/>
      <c r="J2950" s="471"/>
      <c r="L2950" s="471"/>
    </row>
    <row r="2951">
      <c r="G2951" s="661"/>
      <c r="J2951" s="471"/>
      <c r="L2951" s="471"/>
    </row>
    <row r="2952">
      <c r="G2952" s="661"/>
      <c r="J2952" s="471"/>
      <c r="L2952" s="471"/>
    </row>
    <row r="2953">
      <c r="G2953" s="661"/>
      <c r="J2953" s="471"/>
      <c r="L2953" s="471"/>
    </row>
    <row r="2954">
      <c r="G2954" s="661"/>
      <c r="J2954" s="471"/>
      <c r="L2954" s="471"/>
    </row>
    <row r="2955">
      <c r="G2955" s="661"/>
      <c r="J2955" s="471"/>
      <c r="L2955" s="471"/>
    </row>
    <row r="2956">
      <c r="G2956" s="661"/>
      <c r="J2956" s="471"/>
      <c r="L2956" s="471"/>
    </row>
    <row r="2957">
      <c r="G2957" s="661"/>
      <c r="J2957" s="471"/>
      <c r="L2957" s="471"/>
    </row>
    <row r="2958">
      <c r="G2958" s="661"/>
      <c r="J2958" s="471"/>
      <c r="L2958" s="471"/>
    </row>
    <row r="2959">
      <c r="G2959" s="661"/>
      <c r="J2959" s="471"/>
      <c r="L2959" s="471"/>
    </row>
    <row r="2960">
      <c r="G2960" s="661"/>
      <c r="J2960" s="471"/>
      <c r="L2960" s="471"/>
    </row>
    <row r="2961">
      <c r="G2961" s="661"/>
      <c r="J2961" s="471"/>
      <c r="L2961" s="471"/>
    </row>
    <row r="2962">
      <c r="G2962" s="661"/>
      <c r="J2962" s="471"/>
      <c r="L2962" s="471"/>
    </row>
    <row r="2963">
      <c r="G2963" s="661"/>
      <c r="J2963" s="471"/>
      <c r="L2963" s="471"/>
    </row>
    <row r="2964">
      <c r="G2964" s="661"/>
      <c r="J2964" s="471"/>
      <c r="L2964" s="471"/>
    </row>
    <row r="2965">
      <c r="G2965" s="661"/>
      <c r="J2965" s="471"/>
      <c r="L2965" s="471"/>
    </row>
    <row r="2966">
      <c r="G2966" s="661"/>
      <c r="J2966" s="471"/>
      <c r="L2966" s="471"/>
    </row>
    <row r="2967">
      <c r="G2967" s="661"/>
      <c r="J2967" s="471"/>
      <c r="L2967" s="471"/>
    </row>
    <row r="2968">
      <c r="G2968" s="661"/>
      <c r="J2968" s="471"/>
      <c r="L2968" s="471"/>
    </row>
    <row r="2969">
      <c r="G2969" s="661"/>
      <c r="J2969" s="471"/>
      <c r="L2969" s="471"/>
    </row>
    <row r="2970">
      <c r="G2970" s="661"/>
      <c r="J2970" s="471"/>
      <c r="L2970" s="471"/>
    </row>
    <row r="2971">
      <c r="G2971" s="661"/>
      <c r="J2971" s="471"/>
      <c r="L2971" s="471"/>
    </row>
    <row r="2972">
      <c r="G2972" s="661"/>
      <c r="J2972" s="471"/>
      <c r="L2972" s="471"/>
    </row>
    <row r="2973">
      <c r="G2973" s="661"/>
      <c r="J2973" s="471"/>
      <c r="L2973" s="471"/>
    </row>
    <row r="2974">
      <c r="G2974" s="661"/>
      <c r="J2974" s="471"/>
      <c r="L2974" s="471"/>
    </row>
    <row r="2975">
      <c r="G2975" s="661"/>
      <c r="J2975" s="471"/>
      <c r="L2975" s="471"/>
    </row>
    <row r="2976">
      <c r="G2976" s="661"/>
      <c r="J2976" s="471"/>
      <c r="L2976" s="471"/>
    </row>
    <row r="2977">
      <c r="G2977" s="661"/>
      <c r="J2977" s="471"/>
      <c r="L2977" s="471"/>
    </row>
    <row r="2978">
      <c r="G2978" s="661"/>
      <c r="J2978" s="471"/>
      <c r="L2978" s="471"/>
    </row>
    <row r="2979">
      <c r="G2979" s="661"/>
      <c r="J2979" s="471"/>
      <c r="L2979" s="471"/>
    </row>
    <row r="2980">
      <c r="G2980" s="661"/>
      <c r="J2980" s="471"/>
      <c r="L2980" s="471"/>
    </row>
    <row r="2981">
      <c r="G2981" s="661"/>
      <c r="J2981" s="471"/>
      <c r="L2981" s="471"/>
    </row>
    <row r="2982">
      <c r="G2982" s="661"/>
      <c r="J2982" s="471"/>
      <c r="L2982" s="471"/>
    </row>
    <row r="2983">
      <c r="G2983" s="661"/>
      <c r="J2983" s="471"/>
      <c r="L2983" s="471"/>
    </row>
    <row r="2984">
      <c r="G2984" s="661"/>
      <c r="J2984" s="471"/>
      <c r="L2984" s="471"/>
    </row>
    <row r="2985">
      <c r="G2985" s="661"/>
      <c r="J2985" s="471"/>
      <c r="L2985" s="471"/>
    </row>
    <row r="2986">
      <c r="G2986" s="661"/>
      <c r="J2986" s="471"/>
      <c r="L2986" s="471"/>
    </row>
    <row r="2987">
      <c r="G2987" s="661"/>
      <c r="J2987" s="471"/>
      <c r="L2987" s="471"/>
    </row>
    <row r="2988">
      <c r="G2988" s="661"/>
      <c r="J2988" s="471"/>
      <c r="L2988" s="471"/>
    </row>
    <row r="2989">
      <c r="G2989" s="661"/>
      <c r="J2989" s="471"/>
      <c r="L2989" s="471"/>
    </row>
    <row r="2990">
      <c r="G2990" s="661"/>
      <c r="J2990" s="471"/>
      <c r="L2990" s="471"/>
    </row>
    <row r="2991">
      <c r="G2991" s="661"/>
      <c r="J2991" s="471"/>
      <c r="L2991" s="471"/>
    </row>
    <row r="2992">
      <c r="G2992" s="661"/>
      <c r="J2992" s="471"/>
      <c r="L2992" s="471"/>
    </row>
    <row r="2993">
      <c r="G2993" s="661"/>
      <c r="J2993" s="471"/>
      <c r="L2993" s="471"/>
    </row>
    <row r="2994">
      <c r="G2994" s="661"/>
      <c r="J2994" s="471"/>
      <c r="L2994" s="471"/>
    </row>
    <row r="2995">
      <c r="G2995" s="661"/>
      <c r="J2995" s="471"/>
      <c r="L2995" s="471"/>
    </row>
    <row r="2996">
      <c r="G2996" s="661"/>
      <c r="J2996" s="471"/>
      <c r="L2996" s="471"/>
    </row>
    <row r="2997">
      <c r="G2997" s="661"/>
      <c r="J2997" s="471"/>
      <c r="L2997" s="471"/>
    </row>
    <row r="2998">
      <c r="G2998" s="661"/>
      <c r="J2998" s="471"/>
      <c r="L2998" s="471"/>
    </row>
    <row r="2999">
      <c r="G2999" s="661"/>
      <c r="J2999" s="471"/>
      <c r="L2999" s="471"/>
    </row>
    <row r="3000">
      <c r="G3000" s="661"/>
      <c r="J3000" s="471"/>
      <c r="L3000" s="471"/>
    </row>
    <row r="3001">
      <c r="G3001" s="661"/>
      <c r="J3001" s="471"/>
      <c r="L3001" s="471"/>
    </row>
    <row r="3002">
      <c r="G3002" s="661"/>
      <c r="J3002" s="471"/>
      <c r="L3002" s="471"/>
    </row>
    <row r="3003">
      <c r="G3003" s="661"/>
      <c r="J3003" s="471"/>
      <c r="L3003" s="471"/>
    </row>
    <row r="3004">
      <c r="G3004" s="661"/>
      <c r="J3004" s="471"/>
      <c r="L3004" s="471"/>
    </row>
    <row r="3005">
      <c r="G3005" s="661"/>
      <c r="J3005" s="471"/>
      <c r="L3005" s="471"/>
    </row>
    <row r="3006">
      <c r="G3006" s="661"/>
      <c r="J3006" s="471"/>
      <c r="L3006" s="471"/>
    </row>
    <row r="3007">
      <c r="G3007" s="661"/>
      <c r="J3007" s="471"/>
      <c r="L3007" s="471"/>
    </row>
    <row r="3008">
      <c r="G3008" s="661"/>
      <c r="J3008" s="471"/>
      <c r="L3008" s="471"/>
    </row>
    <row r="3009">
      <c r="G3009" s="661"/>
      <c r="J3009" s="471"/>
      <c r="L3009" s="471"/>
    </row>
    <row r="3010">
      <c r="G3010" s="661"/>
      <c r="J3010" s="471"/>
      <c r="L3010" s="471"/>
    </row>
    <row r="3011">
      <c r="G3011" s="661"/>
      <c r="J3011" s="471"/>
      <c r="L3011" s="471"/>
    </row>
    <row r="3012">
      <c r="G3012" s="661"/>
      <c r="J3012" s="471"/>
      <c r="L3012" s="471"/>
    </row>
    <row r="3013">
      <c r="G3013" s="661"/>
      <c r="J3013" s="471"/>
      <c r="L3013" s="471"/>
    </row>
    <row r="3014">
      <c r="G3014" s="661"/>
      <c r="J3014" s="471"/>
      <c r="L3014" s="471"/>
    </row>
    <row r="3015">
      <c r="G3015" s="661"/>
      <c r="J3015" s="471"/>
      <c r="L3015" s="471"/>
    </row>
    <row r="3016">
      <c r="G3016" s="661"/>
      <c r="J3016" s="471"/>
      <c r="L3016" s="471"/>
    </row>
    <row r="3017">
      <c r="G3017" s="661"/>
      <c r="J3017" s="471"/>
      <c r="L3017" s="471"/>
    </row>
    <row r="3018">
      <c r="G3018" s="661"/>
      <c r="J3018" s="471"/>
      <c r="L3018" s="471"/>
    </row>
    <row r="3019">
      <c r="G3019" s="661"/>
      <c r="J3019" s="471"/>
      <c r="L3019" s="471"/>
    </row>
    <row r="3020">
      <c r="G3020" s="661"/>
      <c r="J3020" s="471"/>
      <c r="L3020" s="471"/>
    </row>
    <row r="3021">
      <c r="G3021" s="661"/>
      <c r="J3021" s="471"/>
      <c r="L3021" s="471"/>
    </row>
    <row r="3022">
      <c r="G3022" s="661"/>
      <c r="J3022" s="471"/>
      <c r="L3022" s="471"/>
    </row>
    <row r="3023">
      <c r="G3023" s="661"/>
      <c r="J3023" s="471"/>
      <c r="L3023" s="471"/>
    </row>
    <row r="3024">
      <c r="G3024" s="661"/>
      <c r="J3024" s="471"/>
      <c r="L3024" s="471"/>
    </row>
    <row r="3025">
      <c r="G3025" s="661"/>
      <c r="J3025" s="471"/>
      <c r="L3025" s="471"/>
    </row>
    <row r="3026">
      <c r="G3026" s="661"/>
      <c r="J3026" s="471"/>
      <c r="L3026" s="471"/>
    </row>
    <row r="3027">
      <c r="G3027" s="661"/>
      <c r="J3027" s="471"/>
      <c r="L3027" s="471"/>
    </row>
    <row r="3028">
      <c r="G3028" s="661"/>
      <c r="J3028" s="471"/>
      <c r="L3028" s="471"/>
    </row>
    <row r="3029">
      <c r="G3029" s="661"/>
      <c r="J3029" s="471"/>
      <c r="L3029" s="471"/>
    </row>
    <row r="3030">
      <c r="G3030" s="661"/>
      <c r="J3030" s="471"/>
      <c r="L3030" s="471"/>
    </row>
    <row r="3031">
      <c r="G3031" s="661"/>
      <c r="J3031" s="471"/>
      <c r="L3031" s="471"/>
    </row>
    <row r="3032">
      <c r="G3032" s="661"/>
      <c r="J3032" s="471"/>
      <c r="L3032" s="471"/>
    </row>
    <row r="3033">
      <c r="G3033" s="661"/>
      <c r="J3033" s="471"/>
      <c r="L3033" s="471"/>
    </row>
    <row r="3034">
      <c r="G3034" s="661"/>
      <c r="J3034" s="471"/>
      <c r="L3034" s="471"/>
    </row>
    <row r="3035">
      <c r="G3035" s="661"/>
      <c r="J3035" s="471"/>
      <c r="L3035" s="471"/>
    </row>
    <row r="3036">
      <c r="G3036" s="661"/>
      <c r="J3036" s="471"/>
      <c r="L3036" s="471"/>
    </row>
    <row r="3037">
      <c r="G3037" s="661"/>
      <c r="J3037" s="471"/>
      <c r="L3037" s="471"/>
    </row>
    <row r="3038">
      <c r="G3038" s="661"/>
      <c r="J3038" s="471"/>
      <c r="L3038" s="471"/>
    </row>
    <row r="3039">
      <c r="G3039" s="661"/>
      <c r="J3039" s="471"/>
      <c r="L3039" s="471"/>
    </row>
    <row r="3040">
      <c r="G3040" s="661"/>
      <c r="J3040" s="471"/>
      <c r="L3040" s="471"/>
    </row>
    <row r="3041">
      <c r="G3041" s="661"/>
      <c r="J3041" s="471"/>
      <c r="L3041" s="471"/>
    </row>
    <row r="3042">
      <c r="G3042" s="661"/>
      <c r="J3042" s="471"/>
      <c r="L3042" s="471"/>
    </row>
    <row r="3043">
      <c r="G3043" s="661"/>
      <c r="J3043" s="471"/>
      <c r="L3043" s="471"/>
    </row>
    <row r="3044">
      <c r="G3044" s="661"/>
      <c r="J3044" s="471"/>
      <c r="L3044" s="471"/>
    </row>
    <row r="3045">
      <c r="G3045" s="661"/>
      <c r="J3045" s="471"/>
      <c r="L3045" s="471"/>
    </row>
    <row r="3046">
      <c r="G3046" s="661"/>
      <c r="J3046" s="471"/>
      <c r="L3046" s="471"/>
    </row>
    <row r="3047">
      <c r="G3047" s="661"/>
      <c r="J3047" s="471"/>
      <c r="L3047" s="471"/>
    </row>
    <row r="3048">
      <c r="G3048" s="661"/>
      <c r="J3048" s="471"/>
      <c r="L3048" s="471"/>
    </row>
    <row r="3049">
      <c r="G3049" s="661"/>
      <c r="J3049" s="471"/>
      <c r="L3049" s="471"/>
    </row>
    <row r="3050">
      <c r="G3050" s="661"/>
      <c r="J3050" s="471"/>
      <c r="L3050" s="471"/>
    </row>
    <row r="3051">
      <c r="G3051" s="661"/>
      <c r="J3051" s="471"/>
      <c r="L3051" s="471"/>
    </row>
    <row r="3052">
      <c r="G3052" s="661"/>
      <c r="J3052" s="471"/>
      <c r="L3052" s="471"/>
    </row>
    <row r="3053">
      <c r="G3053" s="661"/>
      <c r="J3053" s="471"/>
      <c r="L3053" s="471"/>
    </row>
    <row r="3054">
      <c r="G3054" s="661"/>
      <c r="J3054" s="471"/>
      <c r="L3054" s="471"/>
    </row>
    <row r="3055">
      <c r="G3055" s="661"/>
      <c r="J3055" s="471"/>
      <c r="L3055" s="471"/>
    </row>
    <row r="3056">
      <c r="G3056" s="661"/>
      <c r="J3056" s="471"/>
      <c r="L3056" s="471"/>
    </row>
    <row r="3057">
      <c r="G3057" s="661"/>
      <c r="J3057" s="471"/>
      <c r="L3057" s="471"/>
    </row>
    <row r="3058">
      <c r="G3058" s="661"/>
      <c r="J3058" s="471"/>
      <c r="L3058" s="471"/>
    </row>
    <row r="3059">
      <c r="G3059" s="661"/>
      <c r="J3059" s="471"/>
      <c r="L3059" s="471"/>
    </row>
    <row r="3060">
      <c r="G3060" s="661"/>
      <c r="J3060" s="471"/>
      <c r="L3060" s="471"/>
    </row>
    <row r="3061">
      <c r="G3061" s="661"/>
      <c r="J3061" s="471"/>
      <c r="L3061" s="471"/>
    </row>
    <row r="3062">
      <c r="G3062" s="661"/>
      <c r="J3062" s="471"/>
      <c r="L3062" s="471"/>
    </row>
    <row r="3063">
      <c r="G3063" s="661"/>
      <c r="J3063" s="471"/>
      <c r="L3063" s="471"/>
    </row>
    <row r="3064">
      <c r="G3064" s="661"/>
      <c r="J3064" s="471"/>
      <c r="L3064" s="471"/>
    </row>
    <row r="3065">
      <c r="G3065" s="661"/>
      <c r="J3065" s="471"/>
      <c r="L3065" s="471"/>
    </row>
    <row r="3066">
      <c r="G3066" s="661"/>
      <c r="J3066" s="471"/>
      <c r="L3066" s="471"/>
    </row>
    <row r="3067">
      <c r="G3067" s="661"/>
      <c r="J3067" s="471"/>
      <c r="L3067" s="471"/>
    </row>
    <row r="3068">
      <c r="G3068" s="661"/>
      <c r="J3068" s="471"/>
      <c r="L3068" s="471"/>
    </row>
    <row r="3069">
      <c r="G3069" s="661"/>
      <c r="J3069" s="471"/>
      <c r="L3069" s="471"/>
    </row>
    <row r="3070">
      <c r="G3070" s="661"/>
      <c r="J3070" s="471"/>
      <c r="L3070" s="471"/>
    </row>
    <row r="3071">
      <c r="G3071" s="661"/>
      <c r="J3071" s="471"/>
      <c r="L3071" s="471"/>
    </row>
    <row r="3072">
      <c r="G3072" s="661"/>
      <c r="J3072" s="471"/>
      <c r="L3072" s="471"/>
    </row>
    <row r="3073">
      <c r="G3073" s="661"/>
      <c r="J3073" s="471"/>
      <c r="L3073" s="471"/>
    </row>
    <row r="3074">
      <c r="G3074" s="661"/>
      <c r="J3074" s="471"/>
      <c r="L3074" s="471"/>
    </row>
    <row r="3075">
      <c r="G3075" s="661"/>
      <c r="J3075" s="471"/>
      <c r="L3075" s="471"/>
    </row>
    <row r="3076">
      <c r="G3076" s="661"/>
      <c r="J3076" s="471"/>
      <c r="L3076" s="471"/>
    </row>
    <row r="3077">
      <c r="G3077" s="661"/>
      <c r="J3077" s="471"/>
      <c r="L3077" s="471"/>
    </row>
    <row r="3078">
      <c r="G3078" s="661"/>
      <c r="J3078" s="471"/>
      <c r="L3078" s="471"/>
    </row>
    <row r="3079">
      <c r="G3079" s="661"/>
      <c r="J3079" s="471"/>
      <c r="L3079" s="471"/>
    </row>
    <row r="3080">
      <c r="G3080" s="661"/>
      <c r="J3080" s="471"/>
      <c r="L3080" s="471"/>
    </row>
    <row r="3081">
      <c r="G3081" s="661"/>
      <c r="J3081" s="471"/>
      <c r="L3081" s="471"/>
    </row>
    <row r="3082">
      <c r="G3082" s="661"/>
      <c r="J3082" s="471"/>
      <c r="L3082" s="471"/>
    </row>
    <row r="3083">
      <c r="G3083" s="661"/>
      <c r="J3083" s="471"/>
      <c r="L3083" s="471"/>
    </row>
    <row r="3084">
      <c r="G3084" s="661"/>
      <c r="J3084" s="471"/>
      <c r="L3084" s="471"/>
    </row>
    <row r="3085">
      <c r="G3085" s="661"/>
      <c r="J3085" s="471"/>
      <c r="L3085" s="471"/>
    </row>
    <row r="3086">
      <c r="G3086" s="661"/>
      <c r="J3086" s="471"/>
      <c r="L3086" s="471"/>
    </row>
    <row r="3087">
      <c r="G3087" s="661"/>
      <c r="J3087" s="471"/>
      <c r="L3087" s="471"/>
    </row>
    <row r="3088">
      <c r="G3088" s="661"/>
      <c r="J3088" s="471"/>
      <c r="L3088" s="471"/>
    </row>
    <row r="3089">
      <c r="G3089" s="661"/>
      <c r="J3089" s="471"/>
      <c r="L3089" s="471"/>
    </row>
    <row r="3090">
      <c r="G3090" s="661"/>
      <c r="J3090" s="471"/>
      <c r="L3090" s="471"/>
    </row>
    <row r="3091">
      <c r="G3091" s="661"/>
      <c r="J3091" s="471"/>
      <c r="L3091" s="471"/>
    </row>
    <row r="3092">
      <c r="G3092" s="661"/>
      <c r="J3092" s="471"/>
      <c r="L3092" s="471"/>
    </row>
    <row r="3093">
      <c r="G3093" s="661"/>
      <c r="J3093" s="471"/>
      <c r="L3093" s="471"/>
    </row>
    <row r="3094">
      <c r="G3094" s="661"/>
      <c r="J3094" s="471"/>
      <c r="L3094" s="471"/>
    </row>
    <row r="3095">
      <c r="G3095" s="661"/>
      <c r="J3095" s="471"/>
      <c r="L3095" s="471"/>
    </row>
    <row r="3096">
      <c r="G3096" s="661"/>
      <c r="J3096" s="471"/>
      <c r="L3096" s="471"/>
    </row>
    <row r="3097">
      <c r="G3097" s="661"/>
      <c r="J3097" s="471"/>
      <c r="L3097" s="471"/>
    </row>
    <row r="3098">
      <c r="G3098" s="661"/>
      <c r="J3098" s="471"/>
      <c r="L3098" s="471"/>
    </row>
    <row r="3099">
      <c r="G3099" s="661"/>
      <c r="J3099" s="471"/>
      <c r="L3099" s="471"/>
    </row>
    <row r="3100">
      <c r="G3100" s="661"/>
      <c r="J3100" s="471"/>
      <c r="L3100" s="471"/>
    </row>
    <row r="3101">
      <c r="G3101" s="661"/>
      <c r="J3101" s="471"/>
      <c r="L3101" s="471"/>
    </row>
    <row r="3102">
      <c r="G3102" s="661"/>
      <c r="J3102" s="471"/>
      <c r="L3102" s="471"/>
    </row>
    <row r="3103">
      <c r="G3103" s="661"/>
      <c r="J3103" s="471"/>
      <c r="L3103" s="471"/>
    </row>
    <row r="3104">
      <c r="G3104" s="661"/>
      <c r="J3104" s="471"/>
      <c r="L3104" s="471"/>
    </row>
    <row r="3105">
      <c r="G3105" s="661"/>
      <c r="J3105" s="471"/>
      <c r="L3105" s="471"/>
    </row>
    <row r="3106">
      <c r="G3106" s="661"/>
      <c r="J3106" s="471"/>
      <c r="L3106" s="471"/>
    </row>
    <row r="3107">
      <c r="G3107" s="661"/>
      <c r="J3107" s="471"/>
      <c r="L3107" s="471"/>
    </row>
    <row r="3108">
      <c r="G3108" s="661"/>
      <c r="J3108" s="471"/>
      <c r="L3108" s="471"/>
    </row>
    <row r="3109">
      <c r="G3109" s="661"/>
      <c r="J3109" s="471"/>
      <c r="L3109" s="471"/>
    </row>
    <row r="3110">
      <c r="G3110" s="661"/>
      <c r="J3110" s="471"/>
      <c r="L3110" s="471"/>
    </row>
    <row r="3111">
      <c r="G3111" s="661"/>
      <c r="J3111" s="471"/>
      <c r="L3111" s="471"/>
    </row>
    <row r="3112">
      <c r="G3112" s="661"/>
      <c r="J3112" s="471"/>
      <c r="L3112" s="471"/>
    </row>
    <row r="3113">
      <c r="G3113" s="661"/>
      <c r="J3113" s="471"/>
      <c r="L3113" s="471"/>
    </row>
    <row r="3114">
      <c r="G3114" s="661"/>
      <c r="J3114" s="471"/>
      <c r="L3114" s="471"/>
    </row>
    <row r="3115">
      <c r="G3115" s="661"/>
      <c r="J3115" s="471"/>
      <c r="L3115" s="471"/>
    </row>
    <row r="3116">
      <c r="G3116" s="661"/>
      <c r="J3116" s="471"/>
      <c r="L3116" s="471"/>
    </row>
    <row r="3117">
      <c r="G3117" s="661"/>
      <c r="J3117" s="471"/>
      <c r="L3117" s="471"/>
    </row>
    <row r="3118">
      <c r="G3118" s="661"/>
      <c r="J3118" s="471"/>
      <c r="L3118" s="471"/>
    </row>
    <row r="3119">
      <c r="G3119" s="661"/>
      <c r="J3119" s="471"/>
      <c r="L3119" s="471"/>
    </row>
    <row r="3120">
      <c r="G3120" s="661"/>
      <c r="J3120" s="471"/>
      <c r="L3120" s="471"/>
    </row>
    <row r="3121">
      <c r="G3121" s="661"/>
      <c r="J3121" s="471"/>
      <c r="L3121" s="471"/>
    </row>
    <row r="3122">
      <c r="G3122" s="661"/>
      <c r="J3122" s="471"/>
      <c r="L3122" s="471"/>
    </row>
    <row r="3123">
      <c r="G3123" s="661"/>
      <c r="J3123" s="471"/>
      <c r="L3123" s="471"/>
    </row>
    <row r="3124">
      <c r="G3124" s="661"/>
      <c r="J3124" s="471"/>
      <c r="L3124" s="471"/>
    </row>
    <row r="3125">
      <c r="G3125" s="661"/>
      <c r="J3125" s="471"/>
      <c r="L3125" s="471"/>
    </row>
    <row r="3126">
      <c r="G3126" s="661"/>
      <c r="J3126" s="471"/>
      <c r="L3126" s="471"/>
    </row>
    <row r="3127">
      <c r="G3127" s="661"/>
      <c r="J3127" s="471"/>
      <c r="L3127" s="471"/>
    </row>
    <row r="3128">
      <c r="G3128" s="661"/>
      <c r="J3128" s="471"/>
      <c r="L3128" s="471"/>
    </row>
    <row r="3129">
      <c r="G3129" s="661"/>
      <c r="J3129" s="471"/>
      <c r="L3129" s="471"/>
    </row>
    <row r="3130">
      <c r="G3130" s="661"/>
      <c r="J3130" s="471"/>
      <c r="L3130" s="471"/>
    </row>
    <row r="3131">
      <c r="G3131" s="661"/>
      <c r="J3131" s="471"/>
      <c r="L3131" s="471"/>
    </row>
    <row r="3132">
      <c r="G3132" s="661"/>
      <c r="J3132" s="471"/>
      <c r="L3132" s="471"/>
    </row>
    <row r="3133">
      <c r="G3133" s="661"/>
      <c r="J3133" s="471"/>
      <c r="L3133" s="471"/>
    </row>
    <row r="3134">
      <c r="G3134" s="661"/>
      <c r="J3134" s="471"/>
      <c r="L3134" s="471"/>
    </row>
    <row r="3135">
      <c r="G3135" s="661"/>
      <c r="J3135" s="471"/>
      <c r="L3135" s="471"/>
    </row>
    <row r="3136">
      <c r="G3136" s="661"/>
      <c r="J3136" s="471"/>
      <c r="L3136" s="471"/>
    </row>
    <row r="3137">
      <c r="G3137" s="661"/>
      <c r="J3137" s="471"/>
      <c r="L3137" s="471"/>
    </row>
    <row r="3138">
      <c r="G3138" s="661"/>
      <c r="J3138" s="471"/>
      <c r="L3138" s="471"/>
    </row>
    <row r="3139">
      <c r="G3139" s="661"/>
      <c r="J3139" s="471"/>
      <c r="L3139" s="471"/>
    </row>
    <row r="3140">
      <c r="G3140" s="661"/>
      <c r="J3140" s="471"/>
      <c r="L3140" s="471"/>
    </row>
    <row r="3141">
      <c r="G3141" s="661"/>
      <c r="J3141" s="471"/>
      <c r="L3141" s="471"/>
    </row>
    <row r="3142">
      <c r="G3142" s="661"/>
      <c r="J3142" s="471"/>
      <c r="L3142" s="471"/>
    </row>
    <row r="3143">
      <c r="G3143" s="661"/>
      <c r="J3143" s="471"/>
      <c r="L3143" s="471"/>
    </row>
    <row r="3144">
      <c r="G3144" s="661"/>
      <c r="J3144" s="471"/>
      <c r="L3144" s="471"/>
    </row>
    <row r="3145">
      <c r="G3145" s="661"/>
      <c r="J3145" s="471"/>
      <c r="L3145" s="471"/>
    </row>
    <row r="3146">
      <c r="G3146" s="661"/>
      <c r="J3146" s="471"/>
      <c r="L3146" s="471"/>
    </row>
    <row r="3147">
      <c r="G3147" s="661"/>
      <c r="J3147" s="471"/>
      <c r="L3147" s="471"/>
    </row>
    <row r="3148">
      <c r="G3148" s="661"/>
      <c r="J3148" s="471"/>
      <c r="L3148" s="471"/>
    </row>
    <row r="3149">
      <c r="G3149" s="661"/>
      <c r="J3149" s="471"/>
      <c r="L3149" s="471"/>
    </row>
    <row r="3150">
      <c r="G3150" s="661"/>
      <c r="J3150" s="471"/>
      <c r="L3150" s="471"/>
    </row>
    <row r="3151">
      <c r="G3151" s="661"/>
      <c r="J3151" s="471"/>
      <c r="L3151" s="471"/>
    </row>
    <row r="3152">
      <c r="G3152" s="661"/>
      <c r="J3152" s="471"/>
      <c r="L3152" s="471"/>
    </row>
    <row r="3153">
      <c r="G3153" s="661"/>
      <c r="J3153" s="471"/>
      <c r="L3153" s="471"/>
    </row>
    <row r="3154">
      <c r="G3154" s="661"/>
      <c r="J3154" s="471"/>
      <c r="L3154" s="471"/>
    </row>
    <row r="3155">
      <c r="G3155" s="661"/>
      <c r="J3155" s="471"/>
      <c r="L3155" s="471"/>
    </row>
    <row r="3156">
      <c r="G3156" s="661"/>
      <c r="J3156" s="471"/>
      <c r="L3156" s="471"/>
    </row>
    <row r="3157">
      <c r="G3157" s="661"/>
      <c r="J3157" s="471"/>
      <c r="L3157" s="471"/>
    </row>
    <row r="3158">
      <c r="G3158" s="661"/>
      <c r="J3158" s="471"/>
      <c r="L3158" s="471"/>
    </row>
    <row r="3159">
      <c r="G3159" s="661"/>
      <c r="J3159" s="471"/>
      <c r="L3159" s="471"/>
    </row>
    <row r="3160">
      <c r="G3160" s="661"/>
      <c r="J3160" s="471"/>
      <c r="L3160" s="471"/>
    </row>
    <row r="3161">
      <c r="G3161" s="661"/>
      <c r="J3161" s="471"/>
      <c r="L3161" s="471"/>
    </row>
    <row r="3162">
      <c r="G3162" s="661"/>
      <c r="J3162" s="471"/>
      <c r="L3162" s="471"/>
    </row>
    <row r="3163">
      <c r="G3163" s="661"/>
      <c r="J3163" s="471"/>
      <c r="L3163" s="471"/>
    </row>
    <row r="3164">
      <c r="G3164" s="661"/>
      <c r="J3164" s="471"/>
      <c r="L3164" s="471"/>
    </row>
    <row r="3165">
      <c r="G3165" s="661"/>
      <c r="J3165" s="471"/>
      <c r="L3165" s="471"/>
    </row>
    <row r="3166">
      <c r="G3166" s="661"/>
      <c r="J3166" s="471"/>
      <c r="L3166" s="471"/>
    </row>
    <row r="3167">
      <c r="G3167" s="661"/>
      <c r="J3167" s="471"/>
      <c r="L3167" s="471"/>
    </row>
    <row r="3168">
      <c r="G3168" s="661"/>
      <c r="J3168" s="471"/>
      <c r="L3168" s="471"/>
    </row>
    <row r="3169">
      <c r="G3169" s="661"/>
      <c r="J3169" s="471"/>
      <c r="L3169" s="471"/>
    </row>
    <row r="3170">
      <c r="G3170" s="661"/>
      <c r="J3170" s="471"/>
      <c r="L3170" s="471"/>
    </row>
    <row r="3171">
      <c r="G3171" s="661"/>
      <c r="J3171" s="471"/>
      <c r="L3171" s="471"/>
    </row>
    <row r="3172">
      <c r="G3172" s="661"/>
      <c r="J3172" s="471"/>
      <c r="L3172" s="471"/>
    </row>
    <row r="3173">
      <c r="G3173" s="661"/>
      <c r="J3173" s="471"/>
      <c r="L3173" s="471"/>
    </row>
    <row r="3174">
      <c r="G3174" s="661"/>
      <c r="J3174" s="471"/>
      <c r="L3174" s="471"/>
    </row>
    <row r="3175">
      <c r="G3175" s="661"/>
      <c r="J3175" s="471"/>
      <c r="L3175" s="471"/>
    </row>
    <row r="3176">
      <c r="G3176" s="661"/>
      <c r="J3176" s="471"/>
      <c r="L3176" s="471"/>
    </row>
    <row r="3177">
      <c r="G3177" s="661"/>
      <c r="J3177" s="471"/>
      <c r="L3177" s="471"/>
    </row>
    <row r="3178">
      <c r="G3178" s="661"/>
      <c r="J3178" s="471"/>
      <c r="L3178" s="471"/>
    </row>
    <row r="3179">
      <c r="G3179" s="661"/>
      <c r="J3179" s="471"/>
      <c r="L3179" s="471"/>
    </row>
    <row r="3180">
      <c r="G3180" s="661"/>
      <c r="J3180" s="471"/>
      <c r="L3180" s="471"/>
    </row>
    <row r="3181">
      <c r="G3181" s="661"/>
      <c r="J3181" s="471"/>
      <c r="L3181" s="471"/>
    </row>
    <row r="3182">
      <c r="G3182" s="661"/>
      <c r="J3182" s="471"/>
      <c r="L3182" s="471"/>
    </row>
    <row r="3183">
      <c r="G3183" s="661"/>
      <c r="J3183" s="471"/>
      <c r="L3183" s="471"/>
    </row>
    <row r="3184">
      <c r="G3184" s="661"/>
      <c r="J3184" s="471"/>
      <c r="L3184" s="471"/>
    </row>
    <row r="3185">
      <c r="G3185" s="661"/>
      <c r="J3185" s="471"/>
      <c r="L3185" s="471"/>
    </row>
    <row r="3186">
      <c r="G3186" s="661"/>
      <c r="J3186" s="471"/>
      <c r="L3186" s="471"/>
    </row>
    <row r="3187">
      <c r="G3187" s="661"/>
      <c r="J3187" s="471"/>
      <c r="L3187" s="471"/>
    </row>
    <row r="3188">
      <c r="G3188" s="661"/>
      <c r="J3188" s="471"/>
      <c r="L3188" s="471"/>
    </row>
    <row r="3189">
      <c r="G3189" s="661"/>
      <c r="J3189" s="471"/>
      <c r="L3189" s="471"/>
    </row>
    <row r="3190">
      <c r="G3190" s="661"/>
      <c r="J3190" s="471"/>
      <c r="L3190" s="471"/>
    </row>
    <row r="3191">
      <c r="G3191" s="661"/>
      <c r="J3191" s="471"/>
      <c r="L3191" s="471"/>
    </row>
    <row r="3192">
      <c r="G3192" s="661"/>
      <c r="J3192" s="471"/>
      <c r="L3192" s="471"/>
    </row>
    <row r="3193">
      <c r="G3193" s="661"/>
      <c r="J3193" s="471"/>
      <c r="L3193" s="471"/>
    </row>
    <row r="3194">
      <c r="G3194" s="661"/>
      <c r="J3194" s="471"/>
      <c r="L3194" s="471"/>
    </row>
    <row r="3195">
      <c r="G3195" s="661"/>
      <c r="J3195" s="471"/>
      <c r="L3195" s="471"/>
    </row>
    <row r="3196">
      <c r="G3196" s="661"/>
      <c r="J3196" s="471"/>
      <c r="L3196" s="471"/>
    </row>
    <row r="3197">
      <c r="G3197" s="661"/>
      <c r="J3197" s="471"/>
      <c r="L3197" s="471"/>
    </row>
  </sheetData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31.38"/>
    <col customWidth="1" min="2" max="4" width="12.63"/>
    <col customWidth="1" min="6" max="7" width="12.63"/>
    <col customWidth="1" min="9" max="10" width="12.63"/>
    <col customWidth="1" min="12" max="16" width="12.63"/>
    <col customWidth="1" min="17" max="17" width="31.38"/>
  </cols>
  <sheetData>
    <row r="1">
      <c r="A1" s="648" t="s">
        <v>37</v>
      </c>
      <c r="B1" s="118" t="s">
        <v>2575</v>
      </c>
      <c r="C1" s="118" t="s">
        <v>2622</v>
      </c>
      <c r="D1" s="118" t="s">
        <v>40</v>
      </c>
      <c r="F1" s="118" t="s">
        <v>2623</v>
      </c>
      <c r="G1" s="656" t="s">
        <v>2639</v>
      </c>
      <c r="I1" s="669" t="s">
        <v>2574</v>
      </c>
      <c r="J1" s="670"/>
      <c r="K1" s="471"/>
      <c r="L1" s="671" t="s">
        <v>2640</v>
      </c>
      <c r="M1" s="118" t="s">
        <v>2204</v>
      </c>
      <c r="N1" s="118" t="s">
        <v>2579</v>
      </c>
      <c r="O1" s="118" t="s">
        <v>2205</v>
      </c>
      <c r="P1" s="118" t="s">
        <v>41</v>
      </c>
    </row>
    <row r="2">
      <c r="A2" s="205" t="s">
        <v>2641</v>
      </c>
      <c r="B2" s="145">
        <f t="shared" ref="B2:C2" si="1">SUM(B4:B58)</f>
        <v>32340</v>
      </c>
      <c r="C2" s="145">
        <f t="shared" si="1"/>
        <v>4324.32</v>
      </c>
      <c r="D2" s="135">
        <f>SUM(D4:D150)</f>
        <v>-28015.68</v>
      </c>
      <c r="E2" s="129"/>
      <c r="F2" s="145">
        <f t="shared" ref="F2:G2" si="2">SUM(F4:F62)</f>
        <v>131.04</v>
      </c>
      <c r="G2" s="658">
        <f t="shared" si="2"/>
        <v>43.68</v>
      </c>
      <c r="H2" s="129"/>
      <c r="I2" s="145">
        <f>SUM(I4:I62)</f>
        <v>980</v>
      </c>
      <c r="J2" s="672"/>
      <c r="K2" s="153"/>
      <c r="L2" s="673">
        <v>3.0</v>
      </c>
      <c r="M2" s="204"/>
      <c r="N2" s="204"/>
      <c r="O2" s="204">
        <f>SUM(O5:O95)</f>
        <v>101500</v>
      </c>
      <c r="P2" s="417">
        <f>O2/(B2/100)</f>
        <v>313.8528139</v>
      </c>
      <c r="Q2" s="121"/>
      <c r="R2" s="129"/>
      <c r="S2" s="129"/>
      <c r="T2" s="129"/>
    </row>
    <row r="3">
      <c r="A3" s="122" t="s">
        <v>1999</v>
      </c>
      <c r="E3" s="129"/>
      <c r="G3" s="661"/>
      <c r="H3" s="129"/>
      <c r="I3" s="125"/>
      <c r="J3" s="674"/>
      <c r="K3" s="153"/>
      <c r="L3" s="675"/>
      <c r="M3" s="139"/>
      <c r="N3" s="139"/>
      <c r="O3" s="139"/>
      <c r="P3" s="166"/>
      <c r="Q3" s="129"/>
      <c r="R3" s="129"/>
      <c r="S3" s="129"/>
      <c r="T3" s="129"/>
    </row>
    <row r="4">
      <c r="A4" s="122" t="s">
        <v>1228</v>
      </c>
      <c r="E4" s="129"/>
      <c r="G4" s="661"/>
      <c r="H4" s="129"/>
      <c r="I4" s="125"/>
      <c r="J4" s="674"/>
      <c r="K4" s="153"/>
      <c r="L4" s="675"/>
      <c r="M4" s="139"/>
      <c r="N4" s="139"/>
      <c r="O4" s="139"/>
      <c r="P4" s="166"/>
      <c r="Q4" s="129"/>
      <c r="R4" s="129"/>
      <c r="S4" s="129"/>
      <c r="T4" s="129"/>
    </row>
    <row r="5">
      <c r="B5" s="124"/>
      <c r="C5" s="124"/>
      <c r="E5" s="129"/>
      <c r="G5" s="662"/>
      <c r="J5" s="676"/>
      <c r="K5" s="153"/>
      <c r="L5" s="677"/>
      <c r="M5" s="627" t="s">
        <v>1232</v>
      </c>
      <c r="N5" s="650">
        <v>44494.0</v>
      </c>
      <c r="O5" s="474">
        <v>2000.0</v>
      </c>
      <c r="P5" s="125">
        <f>SUM(O5:O12)</f>
        <v>8475</v>
      </c>
      <c r="Q5" s="128" t="s">
        <v>2593</v>
      </c>
      <c r="R5" s="129"/>
      <c r="S5" s="129"/>
      <c r="T5" s="129"/>
    </row>
    <row r="6">
      <c r="A6" s="123" t="s">
        <v>1249</v>
      </c>
      <c r="B6" s="124">
        <f t="shared" ref="B6:B15" si="3">I6*33</f>
        <v>2640</v>
      </c>
      <c r="C6" s="124">
        <f t="shared" ref="C6:C15" si="4">F6*33</f>
        <v>345.51</v>
      </c>
      <c r="D6" s="125">
        <f t="shared" ref="D6:D15" si="5">C6-B6</f>
        <v>-2294.49</v>
      </c>
      <c r="E6" s="129"/>
      <c r="F6" s="123">
        <f>G6*L2</f>
        <v>10.47</v>
      </c>
      <c r="G6" s="662">
        <v>3.49</v>
      </c>
      <c r="H6" s="129"/>
      <c r="I6" s="124">
        <v>80.0</v>
      </c>
      <c r="J6" s="676"/>
      <c r="K6" s="165"/>
      <c r="L6" s="677"/>
      <c r="M6" s="627" t="s">
        <v>1232</v>
      </c>
      <c r="N6" s="650">
        <v>44496.0</v>
      </c>
      <c r="O6" s="474">
        <v>1300.0</v>
      </c>
      <c r="Q6" s="129"/>
      <c r="R6" s="129"/>
      <c r="S6" s="129"/>
      <c r="T6" s="129"/>
    </row>
    <row r="7">
      <c r="A7" s="123" t="s">
        <v>2642</v>
      </c>
      <c r="B7" s="124">
        <f t="shared" si="3"/>
        <v>2640</v>
      </c>
      <c r="C7" s="124">
        <f t="shared" si="4"/>
        <v>345.51</v>
      </c>
      <c r="D7" s="125">
        <f t="shared" si="5"/>
        <v>-2294.49</v>
      </c>
      <c r="E7" s="129"/>
      <c r="F7" s="123">
        <f>G7*L2</f>
        <v>10.47</v>
      </c>
      <c r="G7" s="662">
        <v>3.49</v>
      </c>
      <c r="H7" s="129"/>
      <c r="I7" s="124">
        <v>80.0</v>
      </c>
      <c r="J7" s="676"/>
      <c r="K7" s="165"/>
      <c r="L7" s="677"/>
      <c r="M7" s="627" t="s">
        <v>1232</v>
      </c>
      <c r="N7" s="650">
        <v>44497.0</v>
      </c>
      <c r="O7" s="474">
        <v>1400.0</v>
      </c>
      <c r="Q7" s="128"/>
      <c r="R7" s="129"/>
      <c r="S7" s="129"/>
      <c r="T7" s="129"/>
    </row>
    <row r="8">
      <c r="A8" s="123" t="s">
        <v>1244</v>
      </c>
      <c r="B8" s="124">
        <f t="shared" si="3"/>
        <v>2640</v>
      </c>
      <c r="C8" s="124">
        <f t="shared" si="4"/>
        <v>345.51</v>
      </c>
      <c r="D8" s="125">
        <f t="shared" si="5"/>
        <v>-2294.49</v>
      </c>
      <c r="E8" s="129"/>
      <c r="F8" s="123">
        <f>G8*L2</f>
        <v>10.47</v>
      </c>
      <c r="G8" s="662">
        <v>3.49</v>
      </c>
      <c r="I8" s="124">
        <v>80.0</v>
      </c>
      <c r="J8" s="674"/>
      <c r="K8" s="153"/>
      <c r="L8" s="678"/>
      <c r="M8" s="627" t="s">
        <v>2643</v>
      </c>
      <c r="N8" s="650">
        <v>44498.0</v>
      </c>
      <c r="O8" s="474">
        <v>1000.0</v>
      </c>
      <c r="P8" s="130"/>
      <c r="Q8" s="129"/>
      <c r="R8" s="129"/>
      <c r="S8" s="129"/>
      <c r="T8" s="129"/>
    </row>
    <row r="9">
      <c r="A9" s="123" t="s">
        <v>2644</v>
      </c>
      <c r="B9" s="124">
        <f t="shared" si="3"/>
        <v>2640</v>
      </c>
      <c r="C9" s="124">
        <f t="shared" si="4"/>
        <v>345.51</v>
      </c>
      <c r="D9" s="125">
        <f t="shared" si="5"/>
        <v>-2294.49</v>
      </c>
      <c r="E9" s="129"/>
      <c r="F9" s="123">
        <f>G9*L2</f>
        <v>10.47</v>
      </c>
      <c r="G9" s="662">
        <v>3.49</v>
      </c>
      <c r="H9" s="129"/>
      <c r="I9" s="124">
        <v>80.0</v>
      </c>
      <c r="J9" s="674"/>
      <c r="K9" s="471"/>
      <c r="L9" s="678"/>
      <c r="M9" s="627" t="s">
        <v>2643</v>
      </c>
      <c r="N9" s="650">
        <v>44499.0</v>
      </c>
      <c r="O9" s="474">
        <v>925.0</v>
      </c>
      <c r="R9" s="129"/>
      <c r="S9" s="129"/>
      <c r="T9" s="129"/>
    </row>
    <row r="10">
      <c r="A10" s="123" t="s">
        <v>2645</v>
      </c>
      <c r="B10" s="124">
        <f t="shared" si="3"/>
        <v>2640</v>
      </c>
      <c r="C10" s="124">
        <f t="shared" si="4"/>
        <v>345.51</v>
      </c>
      <c r="D10" s="125">
        <f t="shared" si="5"/>
        <v>-2294.49</v>
      </c>
      <c r="E10" s="129"/>
      <c r="F10" s="123">
        <f>G10*L2</f>
        <v>10.47</v>
      </c>
      <c r="G10" s="662">
        <v>3.49</v>
      </c>
      <c r="H10" s="129"/>
      <c r="I10" s="124">
        <v>80.0</v>
      </c>
      <c r="J10" s="674"/>
      <c r="K10" s="471"/>
      <c r="M10" s="627" t="s">
        <v>1999</v>
      </c>
      <c r="N10" s="650">
        <v>44499.0</v>
      </c>
      <c r="O10" s="474">
        <v>750.0</v>
      </c>
      <c r="P10" s="130"/>
      <c r="Q10" s="128"/>
      <c r="R10" s="129"/>
      <c r="S10" s="129"/>
      <c r="T10" s="129"/>
    </row>
    <row r="11">
      <c r="A11" s="123" t="s">
        <v>2646</v>
      </c>
      <c r="B11" s="124">
        <f t="shared" si="3"/>
        <v>2640</v>
      </c>
      <c r="C11" s="124">
        <f t="shared" si="4"/>
        <v>345.51</v>
      </c>
      <c r="D11" s="125">
        <f t="shared" si="5"/>
        <v>-2294.49</v>
      </c>
      <c r="E11" s="129"/>
      <c r="F11" s="123">
        <f>G11*L2</f>
        <v>10.47</v>
      </c>
      <c r="G11" s="662">
        <v>3.49</v>
      </c>
      <c r="H11" s="129"/>
      <c r="I11" s="124">
        <v>80.0</v>
      </c>
      <c r="J11" s="674"/>
      <c r="K11" s="679"/>
      <c r="M11" s="627" t="s">
        <v>2643</v>
      </c>
      <c r="N11" s="650">
        <v>44500.0</v>
      </c>
      <c r="O11" s="474">
        <v>1100.0</v>
      </c>
      <c r="P11" s="125"/>
      <c r="R11" s="129"/>
      <c r="S11" s="129"/>
      <c r="T11" s="129"/>
    </row>
    <row r="12">
      <c r="A12" s="123" t="s">
        <v>2647</v>
      </c>
      <c r="B12" s="124">
        <f t="shared" si="3"/>
        <v>2640</v>
      </c>
      <c r="C12" s="124">
        <f t="shared" si="4"/>
        <v>345.51</v>
      </c>
      <c r="D12" s="125">
        <f t="shared" si="5"/>
        <v>-2294.49</v>
      </c>
      <c r="E12" s="129"/>
      <c r="F12" s="123">
        <f>G12*L2</f>
        <v>10.47</v>
      </c>
      <c r="G12" s="662">
        <v>3.49</v>
      </c>
      <c r="H12" s="129"/>
      <c r="I12" s="124">
        <v>80.0</v>
      </c>
      <c r="J12" s="674"/>
      <c r="K12" s="471"/>
      <c r="M12" s="627" t="s">
        <v>1999</v>
      </c>
      <c r="N12" s="650">
        <v>44500.0</v>
      </c>
      <c r="O12" s="474">
        <v>0.0</v>
      </c>
      <c r="P12" s="134"/>
      <c r="R12" s="129"/>
      <c r="S12" s="129"/>
      <c r="T12" s="129"/>
    </row>
    <row r="13">
      <c r="A13" s="123" t="s">
        <v>2648</v>
      </c>
      <c r="B13" s="124">
        <f t="shared" si="3"/>
        <v>2640</v>
      </c>
      <c r="C13" s="124">
        <f t="shared" si="4"/>
        <v>345.51</v>
      </c>
      <c r="D13" s="125">
        <f t="shared" si="5"/>
        <v>-2294.49</v>
      </c>
      <c r="E13" s="129"/>
      <c r="F13" s="123">
        <f>G13*L2</f>
        <v>10.47</v>
      </c>
      <c r="G13" s="662">
        <v>3.49</v>
      </c>
      <c r="H13" s="129"/>
      <c r="I13" s="124">
        <v>80.0</v>
      </c>
      <c r="P13" s="189"/>
      <c r="Q13" s="122"/>
      <c r="R13" s="129"/>
      <c r="S13" s="129"/>
      <c r="T13" s="129"/>
    </row>
    <row r="14">
      <c r="A14" s="123" t="s">
        <v>2649</v>
      </c>
      <c r="B14" s="124">
        <f t="shared" si="3"/>
        <v>2640</v>
      </c>
      <c r="C14" s="124">
        <f t="shared" si="4"/>
        <v>345.51</v>
      </c>
      <c r="D14" s="125">
        <f t="shared" si="5"/>
        <v>-2294.49</v>
      </c>
      <c r="E14" s="129"/>
      <c r="F14" s="123">
        <f>G14*L2</f>
        <v>10.47</v>
      </c>
      <c r="G14" s="662">
        <v>3.49</v>
      </c>
      <c r="H14" s="129"/>
      <c r="I14" s="124">
        <v>80.0</v>
      </c>
      <c r="M14" s="627" t="s">
        <v>2643</v>
      </c>
      <c r="N14" s="650">
        <v>44501.0</v>
      </c>
      <c r="O14" s="474">
        <v>1100.0</v>
      </c>
      <c r="P14" s="125">
        <f>SUM(O14:O69)</f>
        <v>52025</v>
      </c>
      <c r="Q14" s="128" t="s">
        <v>2597</v>
      </c>
      <c r="R14" s="129"/>
      <c r="S14" s="129"/>
      <c r="T14" s="129"/>
    </row>
    <row r="15">
      <c r="A15" s="123" t="s">
        <v>2650</v>
      </c>
      <c r="B15" s="124">
        <f t="shared" si="3"/>
        <v>2640</v>
      </c>
      <c r="C15" s="124">
        <f t="shared" si="4"/>
        <v>345.51</v>
      </c>
      <c r="D15" s="125">
        <f t="shared" si="5"/>
        <v>-2294.49</v>
      </c>
      <c r="E15" s="129"/>
      <c r="F15" s="123">
        <f>G15*L2</f>
        <v>10.47</v>
      </c>
      <c r="G15" s="662">
        <v>3.49</v>
      </c>
      <c r="H15" s="129"/>
      <c r="I15" s="124">
        <v>80.0</v>
      </c>
      <c r="J15" s="674"/>
      <c r="K15" s="471"/>
      <c r="M15" s="627" t="s">
        <v>1999</v>
      </c>
      <c r="N15" s="650">
        <v>44501.0</v>
      </c>
      <c r="O15" s="474">
        <v>1250.0</v>
      </c>
      <c r="Q15" s="129"/>
      <c r="R15" s="129"/>
      <c r="S15" s="129"/>
      <c r="T15" s="129"/>
    </row>
    <row r="16">
      <c r="G16" s="283"/>
      <c r="M16" s="627" t="s">
        <v>1999</v>
      </c>
      <c r="N16" s="650">
        <v>44502.0</v>
      </c>
      <c r="O16" s="474">
        <v>2025.0</v>
      </c>
      <c r="P16" s="130"/>
      <c r="Q16" s="129"/>
      <c r="R16" s="129"/>
      <c r="S16" s="129"/>
      <c r="T16" s="129"/>
    </row>
    <row r="17">
      <c r="A17" s="123"/>
      <c r="B17" s="124"/>
      <c r="C17" s="124"/>
      <c r="E17" s="129"/>
      <c r="F17" s="123"/>
      <c r="G17" s="662"/>
      <c r="H17" s="129"/>
      <c r="I17" s="123"/>
      <c r="M17" s="627" t="s">
        <v>1999</v>
      </c>
      <c r="N17" s="650">
        <v>44503.0</v>
      </c>
      <c r="O17" s="474">
        <v>1400.0</v>
      </c>
      <c r="P17" s="130"/>
      <c r="Q17" s="129"/>
      <c r="R17" s="129"/>
      <c r="S17" s="129"/>
      <c r="T17" s="129"/>
    </row>
    <row r="18">
      <c r="A18" s="123" t="s">
        <v>2651</v>
      </c>
      <c r="B18" s="124">
        <f t="shared" ref="B18:B19" si="6">I18*33</f>
        <v>2970</v>
      </c>
      <c r="C18" s="124">
        <f t="shared" ref="C18:C19" si="7">F18*33</f>
        <v>434.61</v>
      </c>
      <c r="D18" s="125">
        <f t="shared" ref="D18:D19" si="8">C18-B18</f>
        <v>-2535.39</v>
      </c>
      <c r="E18" s="129"/>
      <c r="F18" s="123">
        <f>G18*L2</f>
        <v>13.17</v>
      </c>
      <c r="G18" s="662">
        <v>4.39</v>
      </c>
      <c r="I18" s="123">
        <v>90.0</v>
      </c>
      <c r="K18" s="471"/>
      <c r="M18" s="627" t="s">
        <v>1999</v>
      </c>
      <c r="N18" s="650">
        <v>44504.0</v>
      </c>
      <c r="O18" s="474">
        <v>2850.0</v>
      </c>
      <c r="P18" s="130"/>
      <c r="Q18" s="129"/>
      <c r="R18" s="129"/>
      <c r="S18" s="129"/>
      <c r="T18" s="129"/>
    </row>
    <row r="19">
      <c r="A19" s="123" t="s">
        <v>2651</v>
      </c>
      <c r="B19" s="124">
        <f t="shared" si="6"/>
        <v>2970</v>
      </c>
      <c r="C19" s="124">
        <f t="shared" si="7"/>
        <v>434.61</v>
      </c>
      <c r="D19" s="125">
        <f t="shared" si="8"/>
        <v>-2535.39</v>
      </c>
      <c r="E19" s="129"/>
      <c r="F19" s="123">
        <f>G19*L2</f>
        <v>13.17</v>
      </c>
      <c r="G19" s="662">
        <v>4.39</v>
      </c>
      <c r="H19" s="129"/>
      <c r="I19" s="123">
        <v>90.0</v>
      </c>
      <c r="J19" s="674"/>
      <c r="M19" s="627" t="s">
        <v>1999</v>
      </c>
      <c r="N19" s="650">
        <v>44504.0</v>
      </c>
      <c r="O19" s="474">
        <v>-1850.0</v>
      </c>
      <c r="P19" s="130"/>
      <c r="Q19" s="129"/>
      <c r="R19" s="129"/>
      <c r="S19" s="129"/>
      <c r="T19" s="129"/>
    </row>
    <row r="20">
      <c r="G20" s="283"/>
      <c r="M20" s="627" t="s">
        <v>1999</v>
      </c>
      <c r="N20" s="650">
        <v>44505.0</v>
      </c>
      <c r="O20" s="474">
        <v>2775.0</v>
      </c>
      <c r="P20" s="130"/>
      <c r="Q20" s="129"/>
      <c r="R20" s="129"/>
      <c r="S20" s="129"/>
      <c r="T20" s="129"/>
    </row>
    <row r="21">
      <c r="G21" s="283"/>
      <c r="M21" s="627" t="s">
        <v>1999</v>
      </c>
      <c r="N21" s="650">
        <v>44506.0</v>
      </c>
      <c r="O21" s="474">
        <v>2750.0</v>
      </c>
      <c r="P21" s="130"/>
      <c r="Q21" s="129"/>
      <c r="R21" s="129"/>
      <c r="S21" s="129"/>
      <c r="T21" s="129"/>
    </row>
    <row r="22">
      <c r="G22" s="283"/>
      <c r="M22" s="627" t="s">
        <v>1999</v>
      </c>
      <c r="N22" s="650">
        <v>44507.0</v>
      </c>
      <c r="O22" s="474">
        <v>2150.0</v>
      </c>
      <c r="R22" s="129"/>
      <c r="S22" s="129"/>
      <c r="T22" s="129"/>
    </row>
    <row r="23">
      <c r="G23" s="283"/>
      <c r="M23" s="627" t="s">
        <v>1999</v>
      </c>
      <c r="N23" s="650">
        <v>44507.0</v>
      </c>
      <c r="O23" s="474">
        <v>-1850.0</v>
      </c>
      <c r="P23" s="125"/>
      <c r="R23" s="129"/>
      <c r="S23" s="129"/>
      <c r="T23" s="129"/>
    </row>
    <row r="24">
      <c r="G24" s="283"/>
      <c r="M24" s="627" t="s">
        <v>1999</v>
      </c>
      <c r="N24" s="650">
        <v>44508.0</v>
      </c>
      <c r="O24" s="474">
        <v>2900.0</v>
      </c>
      <c r="P24" s="134"/>
      <c r="R24" s="129"/>
      <c r="S24" s="129"/>
      <c r="T24" s="129"/>
    </row>
    <row r="25">
      <c r="G25" s="283"/>
      <c r="M25" s="627" t="s">
        <v>1999</v>
      </c>
      <c r="N25" s="650">
        <v>44508.0</v>
      </c>
      <c r="O25" s="474">
        <v>-1850.0</v>
      </c>
      <c r="P25" s="630"/>
      <c r="R25" s="129"/>
      <c r="S25" s="129"/>
      <c r="T25" s="129"/>
    </row>
    <row r="26">
      <c r="G26" s="662"/>
      <c r="M26" s="627" t="s">
        <v>1999</v>
      </c>
      <c r="N26" s="650">
        <v>44509.0</v>
      </c>
      <c r="O26" s="474">
        <v>650.0</v>
      </c>
      <c r="R26" s="129"/>
      <c r="S26" s="129"/>
      <c r="T26" s="129"/>
    </row>
    <row r="27">
      <c r="B27" s="124"/>
      <c r="C27" s="124"/>
      <c r="E27" s="129"/>
      <c r="G27" s="662"/>
      <c r="J27" s="676"/>
      <c r="K27" s="140"/>
      <c r="L27" s="678"/>
      <c r="M27" s="627" t="s">
        <v>1999</v>
      </c>
      <c r="N27" s="650">
        <v>44510.0</v>
      </c>
      <c r="O27" s="474">
        <v>1750.0</v>
      </c>
      <c r="R27" s="129"/>
      <c r="S27" s="129"/>
      <c r="T27" s="129"/>
    </row>
    <row r="28">
      <c r="B28" s="124"/>
      <c r="C28" s="124"/>
      <c r="E28" s="129"/>
      <c r="G28" s="662"/>
      <c r="H28" s="129"/>
      <c r="J28" s="676"/>
      <c r="K28" s="140"/>
      <c r="L28" s="677"/>
      <c r="M28" s="627" t="s">
        <v>1999</v>
      </c>
      <c r="N28" s="650">
        <v>44510.0</v>
      </c>
      <c r="O28" s="474">
        <v>-1075.0</v>
      </c>
    </row>
    <row r="29">
      <c r="B29" s="124"/>
      <c r="C29" s="124"/>
      <c r="E29" s="129"/>
      <c r="G29" s="662"/>
      <c r="H29" s="129"/>
      <c r="J29" s="676"/>
      <c r="K29" s="140"/>
      <c r="L29" s="677"/>
      <c r="M29" s="627" t="s">
        <v>1999</v>
      </c>
      <c r="N29" s="650">
        <v>44510.0</v>
      </c>
      <c r="O29" s="474">
        <v>-1075.0</v>
      </c>
    </row>
    <row r="30">
      <c r="B30" s="124"/>
      <c r="C30" s="124"/>
      <c r="E30" s="129"/>
      <c r="G30" s="662"/>
      <c r="H30" s="129"/>
      <c r="J30" s="676"/>
      <c r="K30" s="140"/>
      <c r="L30" s="677"/>
      <c r="M30" s="627" t="s">
        <v>1999</v>
      </c>
      <c r="N30" s="650">
        <v>44511.0</v>
      </c>
      <c r="O30" s="474">
        <v>4700.0</v>
      </c>
      <c r="P30" s="129"/>
      <c r="Q30" s="129"/>
      <c r="R30" s="129"/>
      <c r="S30" s="129"/>
      <c r="T30" s="129"/>
    </row>
    <row r="31">
      <c r="A31" s="150"/>
      <c r="B31" s="132"/>
      <c r="C31" s="132"/>
      <c r="D31" s="132"/>
      <c r="E31" s="129"/>
      <c r="F31" s="152"/>
      <c r="G31" s="662"/>
      <c r="H31" s="129"/>
      <c r="J31" s="676"/>
      <c r="K31" s="140"/>
      <c r="L31" s="677"/>
      <c r="M31" s="627" t="s">
        <v>1999</v>
      </c>
      <c r="N31" s="650">
        <v>44511.0</v>
      </c>
      <c r="O31" s="474">
        <v>-1350.0</v>
      </c>
    </row>
    <row r="32">
      <c r="B32" s="124"/>
      <c r="C32" s="124"/>
      <c r="E32" s="129"/>
      <c r="G32" s="662"/>
      <c r="H32" s="129"/>
      <c r="J32" s="676"/>
      <c r="K32" s="140"/>
      <c r="L32" s="677"/>
      <c r="M32" s="627" t="s">
        <v>1999</v>
      </c>
      <c r="N32" s="650">
        <v>44512.0</v>
      </c>
      <c r="O32" s="474">
        <v>7625.0</v>
      </c>
    </row>
    <row r="33">
      <c r="B33" s="147"/>
      <c r="C33" s="147"/>
      <c r="D33" s="132"/>
      <c r="F33" s="147"/>
      <c r="G33" s="662"/>
      <c r="H33" s="129"/>
      <c r="I33" s="125"/>
      <c r="J33" s="676"/>
      <c r="K33" s="140"/>
      <c r="L33" s="677"/>
      <c r="M33" s="627" t="s">
        <v>1999</v>
      </c>
      <c r="N33" s="650">
        <v>44512.0</v>
      </c>
      <c r="O33" s="474">
        <v>-7250.0</v>
      </c>
      <c r="P33" s="130"/>
      <c r="Q33" s="128"/>
    </row>
    <row r="34">
      <c r="G34" s="662"/>
      <c r="I34" s="125"/>
      <c r="J34" s="676"/>
      <c r="K34" s="140"/>
      <c r="L34" s="677"/>
      <c r="M34" s="627" t="s">
        <v>1999</v>
      </c>
      <c r="N34" s="650">
        <v>44513.0</v>
      </c>
      <c r="O34" s="474">
        <v>4600.0</v>
      </c>
    </row>
    <row r="35">
      <c r="A35" s="122"/>
      <c r="B35" s="147"/>
      <c r="C35" s="147"/>
      <c r="D35" s="132"/>
      <c r="F35" s="147"/>
      <c r="G35" s="662"/>
      <c r="I35" s="125"/>
      <c r="J35" s="676"/>
      <c r="K35" s="140"/>
      <c r="L35" s="678"/>
      <c r="M35" s="627" t="s">
        <v>1999</v>
      </c>
      <c r="N35" s="650">
        <v>44513.0</v>
      </c>
      <c r="O35" s="474">
        <v>-7500.0</v>
      </c>
    </row>
    <row r="36">
      <c r="B36" s="124"/>
      <c r="C36" s="124"/>
      <c r="E36" s="129"/>
      <c r="G36" s="662"/>
      <c r="I36" s="125"/>
      <c r="J36" s="676"/>
      <c r="K36" s="140"/>
      <c r="L36" s="678"/>
      <c r="M36" s="627" t="s">
        <v>1999</v>
      </c>
      <c r="N36" s="650">
        <v>44514.0</v>
      </c>
      <c r="O36" s="474">
        <v>1800.0</v>
      </c>
      <c r="P36" s="189"/>
      <c r="Q36" s="122"/>
    </row>
    <row r="37">
      <c r="G37" s="662"/>
      <c r="I37" s="124"/>
      <c r="J37" s="676"/>
      <c r="K37" s="140"/>
      <c r="L37" s="678"/>
      <c r="M37" s="627" t="s">
        <v>1999</v>
      </c>
      <c r="N37" s="650">
        <v>44514.0</v>
      </c>
      <c r="O37" s="474">
        <v>-450.0</v>
      </c>
      <c r="P37" s="630"/>
    </row>
    <row r="38">
      <c r="B38" s="124"/>
      <c r="C38" s="124"/>
      <c r="E38" s="129"/>
      <c r="G38" s="662"/>
      <c r="H38" s="129"/>
      <c r="I38" s="125"/>
      <c r="J38" s="676"/>
      <c r="K38" s="140"/>
      <c r="L38" s="678"/>
      <c r="M38" s="627" t="s">
        <v>2652</v>
      </c>
      <c r="N38" s="650">
        <v>44514.0</v>
      </c>
      <c r="O38" s="474">
        <v>1900.0</v>
      </c>
    </row>
    <row r="39">
      <c r="G39" s="661"/>
      <c r="I39" s="125"/>
      <c r="J39" s="676"/>
      <c r="K39" s="140"/>
      <c r="L39" s="677"/>
      <c r="M39" s="627" t="s">
        <v>1999</v>
      </c>
      <c r="N39" s="650">
        <v>44515.0</v>
      </c>
      <c r="O39" s="474">
        <v>3800.0</v>
      </c>
    </row>
    <row r="40">
      <c r="G40" s="661"/>
      <c r="M40" s="627" t="s">
        <v>1999</v>
      </c>
      <c r="N40" s="650">
        <v>44515.0</v>
      </c>
      <c r="O40" s="474">
        <v>1600.0</v>
      </c>
    </row>
    <row r="41">
      <c r="G41" s="661"/>
      <c r="M41" s="627" t="s">
        <v>1999</v>
      </c>
      <c r="N41" s="650">
        <v>44516.0</v>
      </c>
      <c r="O41" s="474">
        <v>5950.0</v>
      </c>
    </row>
    <row r="42">
      <c r="G42" s="661"/>
      <c r="I42" s="125"/>
      <c r="J42" s="674"/>
      <c r="K42" s="471"/>
      <c r="L42" s="677"/>
      <c r="M42" s="627" t="s">
        <v>1999</v>
      </c>
      <c r="N42" s="650">
        <v>44516.0</v>
      </c>
      <c r="O42" s="474">
        <v>-1800.0</v>
      </c>
    </row>
    <row r="43">
      <c r="G43" s="661"/>
      <c r="J43" s="674"/>
      <c r="K43" s="140"/>
      <c r="L43" s="677"/>
      <c r="M43" s="627" t="s">
        <v>1999</v>
      </c>
      <c r="N43" s="650">
        <v>44517.0</v>
      </c>
      <c r="O43" s="474">
        <v>5300.0</v>
      </c>
    </row>
    <row r="44">
      <c r="B44" s="124"/>
      <c r="C44" s="124"/>
      <c r="D44" s="132"/>
      <c r="F44" s="147"/>
      <c r="G44" s="666"/>
      <c r="I44" s="147"/>
      <c r="J44" s="674"/>
      <c r="K44" s="471"/>
      <c r="L44" s="678"/>
      <c r="M44" s="627" t="s">
        <v>1999</v>
      </c>
      <c r="N44" s="650">
        <v>44517.0</v>
      </c>
      <c r="O44" s="474">
        <v>-3875.0</v>
      </c>
      <c r="P44" s="130"/>
      <c r="Q44" s="128"/>
    </row>
    <row r="45">
      <c r="A45" s="142"/>
      <c r="B45" s="147"/>
      <c r="C45" s="147"/>
      <c r="D45" s="132"/>
      <c r="F45" s="147"/>
      <c r="G45" s="666"/>
      <c r="I45" s="147"/>
      <c r="J45" s="680"/>
      <c r="K45" s="471"/>
      <c r="L45" s="677"/>
      <c r="M45" s="627" t="s">
        <v>1999</v>
      </c>
      <c r="N45" s="650">
        <v>44518.0</v>
      </c>
      <c r="O45" s="474">
        <v>6375.0</v>
      </c>
      <c r="P45" s="125"/>
      <c r="Q45" s="128"/>
    </row>
    <row r="46">
      <c r="B46" s="147"/>
      <c r="C46" s="147"/>
      <c r="D46" s="132"/>
      <c r="F46" s="147"/>
      <c r="G46" s="666"/>
      <c r="I46" s="147"/>
      <c r="J46" s="680"/>
      <c r="K46" s="471"/>
      <c r="L46" s="677"/>
      <c r="M46" s="627" t="s">
        <v>1999</v>
      </c>
      <c r="N46" s="650">
        <v>44518.0</v>
      </c>
      <c r="O46" s="474">
        <v>-4300.0</v>
      </c>
      <c r="P46" s="134"/>
    </row>
    <row r="47">
      <c r="B47" s="147"/>
      <c r="C47" s="147"/>
      <c r="D47" s="132"/>
      <c r="G47" s="661"/>
      <c r="I47" s="125"/>
      <c r="J47" s="676"/>
      <c r="K47" s="471"/>
      <c r="L47" s="677"/>
      <c r="M47" s="627" t="s">
        <v>1999</v>
      </c>
      <c r="N47" s="650">
        <v>44519.0</v>
      </c>
      <c r="O47" s="474">
        <v>6675.0</v>
      </c>
      <c r="P47" s="189"/>
      <c r="Q47" s="122"/>
    </row>
    <row r="48">
      <c r="B48" s="147"/>
      <c r="C48" s="147"/>
      <c r="F48" s="124"/>
      <c r="G48" s="662"/>
      <c r="I48" s="124"/>
      <c r="J48" s="676"/>
      <c r="K48" s="471"/>
      <c r="L48" s="677"/>
      <c r="M48" s="627" t="s">
        <v>1999</v>
      </c>
      <c r="N48" s="650">
        <v>44519.0</v>
      </c>
      <c r="O48" s="474">
        <v>-2025.0</v>
      </c>
      <c r="P48" s="630"/>
    </row>
    <row r="49">
      <c r="D49" s="132"/>
      <c r="F49" s="147"/>
      <c r="G49" s="666"/>
      <c r="I49" s="147"/>
      <c r="J49" s="680"/>
      <c r="K49" s="471"/>
      <c r="L49" s="677"/>
      <c r="M49" s="627" t="s">
        <v>1999</v>
      </c>
      <c r="N49" s="650">
        <v>44520.0</v>
      </c>
      <c r="O49" s="474">
        <v>5000.0</v>
      </c>
      <c r="P49" s="631"/>
      <c r="Q49" s="632"/>
    </row>
    <row r="50">
      <c r="B50" s="124"/>
      <c r="C50" s="124"/>
      <c r="D50" s="132"/>
      <c r="F50" s="147"/>
      <c r="G50" s="666"/>
      <c r="I50" s="147"/>
      <c r="J50" s="680"/>
      <c r="K50" s="471"/>
      <c r="L50" s="677"/>
      <c r="M50" s="627" t="s">
        <v>1999</v>
      </c>
      <c r="N50" s="650">
        <v>44520.0</v>
      </c>
      <c r="O50" s="474">
        <v>-5375.0</v>
      </c>
    </row>
    <row r="51">
      <c r="A51" s="159"/>
      <c r="B51" s="147"/>
      <c r="C51" s="147"/>
      <c r="D51" s="132"/>
      <c r="F51" s="147"/>
      <c r="G51" s="666"/>
      <c r="I51" s="147"/>
      <c r="J51" s="680"/>
      <c r="K51" s="471"/>
      <c r="L51" s="678"/>
      <c r="M51" s="627" t="s">
        <v>1999</v>
      </c>
      <c r="N51" s="650">
        <v>44521.0</v>
      </c>
      <c r="O51" s="474">
        <v>4200.0</v>
      </c>
    </row>
    <row r="52">
      <c r="B52" s="147"/>
      <c r="C52" s="147"/>
      <c r="D52" s="132"/>
      <c r="F52" s="147"/>
      <c r="G52" s="666"/>
      <c r="I52" s="147"/>
      <c r="J52" s="680"/>
      <c r="K52" s="471"/>
      <c r="L52" s="677"/>
      <c r="M52" s="627" t="s">
        <v>1999</v>
      </c>
      <c r="N52" s="650">
        <v>44521.0</v>
      </c>
      <c r="O52" s="474">
        <v>-1275.0</v>
      </c>
    </row>
    <row r="53">
      <c r="A53" s="128"/>
      <c r="B53" s="147"/>
      <c r="C53" s="147"/>
      <c r="D53" s="132"/>
      <c r="G53" s="661"/>
      <c r="I53" s="125"/>
      <c r="J53" s="674"/>
      <c r="K53" s="471"/>
      <c r="L53" s="677"/>
      <c r="M53" s="627" t="s">
        <v>1999</v>
      </c>
      <c r="N53" s="650">
        <v>44522.0</v>
      </c>
      <c r="O53" s="474">
        <v>5150.0</v>
      </c>
    </row>
    <row r="54">
      <c r="D54" s="132"/>
      <c r="F54" s="124"/>
      <c r="G54" s="662"/>
      <c r="I54" s="124"/>
      <c r="J54" s="676"/>
      <c r="K54" s="471"/>
      <c r="L54" s="677"/>
      <c r="M54" s="627" t="s">
        <v>1999</v>
      </c>
      <c r="N54" s="650">
        <v>44522.0</v>
      </c>
      <c r="O54" s="474">
        <v>-4475.0</v>
      </c>
    </row>
    <row r="55">
      <c r="B55" s="147"/>
      <c r="C55" s="147"/>
      <c r="D55" s="132"/>
      <c r="F55" s="147"/>
      <c r="G55" s="666"/>
      <c r="I55" s="147"/>
      <c r="J55" s="680"/>
      <c r="K55" s="471"/>
      <c r="L55" s="677"/>
      <c r="M55" s="627" t="s">
        <v>1999</v>
      </c>
      <c r="N55" s="650">
        <v>44523.0</v>
      </c>
      <c r="O55" s="474">
        <v>3250.0</v>
      </c>
      <c r="P55" s="130"/>
      <c r="Q55" s="128"/>
    </row>
    <row r="56">
      <c r="B56" s="147"/>
      <c r="C56" s="147"/>
      <c r="D56" s="132"/>
      <c r="F56" s="147"/>
      <c r="G56" s="666"/>
      <c r="I56" s="147"/>
      <c r="J56" s="680"/>
      <c r="K56" s="471"/>
      <c r="L56" s="677"/>
      <c r="M56" s="627" t="s">
        <v>1999</v>
      </c>
      <c r="N56" s="650">
        <v>44524.0</v>
      </c>
      <c r="O56" s="474">
        <v>4225.0</v>
      </c>
      <c r="P56" s="125"/>
    </row>
    <row r="57">
      <c r="D57" s="132"/>
      <c r="F57" s="147"/>
      <c r="G57" s="666"/>
      <c r="I57" s="147"/>
      <c r="J57" s="680"/>
      <c r="K57" s="471"/>
      <c r="L57" s="677"/>
      <c r="M57" s="627" t="s">
        <v>1999</v>
      </c>
      <c r="N57" s="650">
        <v>44524.0</v>
      </c>
      <c r="O57" s="474">
        <v>-4850.0</v>
      </c>
      <c r="P57" s="134"/>
    </row>
    <row r="58">
      <c r="D58" s="132"/>
      <c r="G58" s="661"/>
      <c r="I58" s="125"/>
      <c r="J58" s="674"/>
      <c r="K58" s="471"/>
      <c r="L58" s="677"/>
      <c r="M58" s="627" t="s">
        <v>1999</v>
      </c>
      <c r="N58" s="650">
        <v>44525.0</v>
      </c>
      <c r="O58" s="474">
        <v>4050.0</v>
      </c>
      <c r="P58" s="189"/>
      <c r="Q58" s="122"/>
    </row>
    <row r="59">
      <c r="D59" s="132"/>
      <c r="F59" s="147"/>
      <c r="G59" s="666"/>
      <c r="I59" s="147"/>
      <c r="J59" s="680"/>
      <c r="K59" s="471"/>
      <c r="L59" s="677"/>
      <c r="M59" s="627" t="s">
        <v>1999</v>
      </c>
      <c r="N59" s="650">
        <v>44525.0</v>
      </c>
      <c r="O59" s="474">
        <v>-1225.0</v>
      </c>
      <c r="P59" s="630"/>
    </row>
    <row r="60">
      <c r="B60" s="641"/>
      <c r="C60" s="641"/>
      <c r="D60" s="132"/>
      <c r="F60" s="147"/>
      <c r="G60" s="666"/>
      <c r="I60" s="147"/>
      <c r="J60" s="680"/>
      <c r="K60" s="471"/>
      <c r="L60" s="677"/>
      <c r="M60" s="627" t="s">
        <v>1999</v>
      </c>
      <c r="N60" s="650">
        <v>44526.0</v>
      </c>
      <c r="O60" s="474">
        <v>4300.0</v>
      </c>
      <c r="P60" s="631"/>
      <c r="Q60" s="632"/>
    </row>
    <row r="61">
      <c r="B61" s="641"/>
      <c r="C61" s="641"/>
      <c r="D61" s="132"/>
      <c r="G61" s="661"/>
      <c r="I61" s="125"/>
      <c r="J61" s="674"/>
      <c r="K61" s="471"/>
      <c r="L61" s="677"/>
      <c r="M61" s="627" t="s">
        <v>1999</v>
      </c>
      <c r="N61" s="650">
        <v>44526.0</v>
      </c>
      <c r="O61" s="474">
        <v>-7450.0</v>
      </c>
    </row>
    <row r="62">
      <c r="B62" s="641"/>
      <c r="C62" s="641"/>
      <c r="D62" s="132"/>
      <c r="G62" s="661"/>
      <c r="I62" s="125"/>
      <c r="J62" s="674"/>
      <c r="K62" s="471"/>
      <c r="L62" s="677"/>
      <c r="M62" s="627" t="s">
        <v>1999</v>
      </c>
      <c r="N62" s="650">
        <v>44527.0</v>
      </c>
      <c r="O62" s="474">
        <v>3250.0</v>
      </c>
    </row>
    <row r="63">
      <c r="D63" s="132"/>
      <c r="G63" s="661"/>
      <c r="I63" s="125"/>
      <c r="J63" s="674"/>
      <c r="K63" s="471"/>
      <c r="L63" s="677"/>
      <c r="M63" s="627" t="s">
        <v>1999</v>
      </c>
      <c r="N63" s="650">
        <v>44527.0</v>
      </c>
      <c r="O63" s="474">
        <v>-400.0</v>
      </c>
    </row>
    <row r="64">
      <c r="D64" s="132"/>
      <c r="F64" s="641"/>
      <c r="G64" s="667"/>
      <c r="I64" s="681"/>
      <c r="J64" s="682"/>
      <c r="K64" s="471"/>
      <c r="L64" s="677"/>
      <c r="M64" s="627" t="s">
        <v>1999</v>
      </c>
      <c r="N64" s="650">
        <v>44528.0</v>
      </c>
      <c r="O64" s="474">
        <v>7300.0</v>
      </c>
    </row>
    <row r="65">
      <c r="D65" s="132"/>
      <c r="F65" s="641"/>
      <c r="G65" s="667"/>
      <c r="I65" s="681"/>
      <c r="J65" s="682"/>
      <c r="K65" s="471"/>
      <c r="L65" s="677"/>
      <c r="M65" s="627" t="s">
        <v>1999</v>
      </c>
      <c r="N65" s="650">
        <v>44528.0</v>
      </c>
      <c r="O65" s="474">
        <v>-2500.0</v>
      </c>
    </row>
    <row r="66">
      <c r="B66" s="641"/>
      <c r="C66" s="641"/>
      <c r="D66" s="132"/>
      <c r="F66" s="641"/>
      <c r="G66" s="667"/>
      <c r="I66" s="681"/>
      <c r="J66" s="682"/>
      <c r="K66" s="471"/>
      <c r="L66" s="677"/>
      <c r="M66" s="627" t="s">
        <v>1999</v>
      </c>
      <c r="N66" s="650">
        <v>44529.0</v>
      </c>
      <c r="O66" s="474">
        <v>5150.0</v>
      </c>
    </row>
    <row r="67">
      <c r="D67" s="132"/>
      <c r="G67" s="661"/>
      <c r="I67" s="125"/>
      <c r="J67" s="674"/>
      <c r="K67" s="471"/>
      <c r="L67" s="677"/>
      <c r="M67" s="627" t="s">
        <v>1999</v>
      </c>
      <c r="N67" s="650">
        <v>44529.0</v>
      </c>
      <c r="O67" s="474">
        <v>-4200.0</v>
      </c>
      <c r="P67" s="130"/>
      <c r="Q67" s="128"/>
    </row>
    <row r="68">
      <c r="D68" s="132"/>
      <c r="G68" s="661"/>
      <c r="I68" s="125"/>
      <c r="J68" s="674"/>
      <c r="K68" s="471"/>
      <c r="L68" s="677"/>
      <c r="M68" s="627" t="s">
        <v>1999</v>
      </c>
      <c r="N68" s="650">
        <v>44530.0</v>
      </c>
      <c r="O68" s="474">
        <v>4125.0</v>
      </c>
      <c r="P68" s="125"/>
    </row>
    <row r="69">
      <c r="A69" s="122"/>
      <c r="B69" s="118"/>
      <c r="C69" s="118"/>
      <c r="D69" s="132"/>
      <c r="G69" s="661"/>
      <c r="I69" s="125"/>
      <c r="J69" s="674"/>
      <c r="K69" s="471"/>
      <c r="L69" s="678"/>
      <c r="M69" s="627" t="s">
        <v>1999</v>
      </c>
      <c r="N69" s="650">
        <v>44530.0</v>
      </c>
      <c r="O69" s="474">
        <v>-1900.0</v>
      </c>
      <c r="P69" s="134"/>
    </row>
    <row r="70">
      <c r="B70" s="124"/>
      <c r="C70" s="124"/>
      <c r="D70" s="132"/>
      <c r="F70" s="641"/>
      <c r="G70" s="667"/>
      <c r="I70" s="681"/>
      <c r="J70" s="682"/>
      <c r="K70" s="471"/>
      <c r="L70" s="678"/>
      <c r="P70" s="189"/>
      <c r="Q70" s="122"/>
    </row>
    <row r="71">
      <c r="B71" s="124"/>
      <c r="C71" s="124"/>
      <c r="D71" s="132"/>
      <c r="G71" s="661"/>
      <c r="I71" s="125"/>
      <c r="J71" s="674"/>
      <c r="K71" s="471"/>
      <c r="L71" s="678"/>
      <c r="M71" s="627" t="s">
        <v>1999</v>
      </c>
      <c r="N71" s="650">
        <v>44531.0</v>
      </c>
      <c r="O71" s="474">
        <v>5000.0</v>
      </c>
      <c r="P71" s="125">
        <f>SUM(O71:O126)</f>
        <v>41000</v>
      </c>
      <c r="Q71" s="128" t="s">
        <v>2598</v>
      </c>
    </row>
    <row r="72">
      <c r="B72" s="124"/>
      <c r="C72" s="124"/>
      <c r="D72" s="132"/>
      <c r="G72" s="661"/>
      <c r="I72" s="125"/>
      <c r="J72" s="674"/>
      <c r="K72" s="471"/>
      <c r="L72" s="678"/>
      <c r="M72" s="627" t="s">
        <v>1999</v>
      </c>
      <c r="N72" s="650">
        <v>44531.0</v>
      </c>
      <c r="O72" s="474">
        <v>-1500.0</v>
      </c>
      <c r="P72" s="631"/>
      <c r="Q72" s="632"/>
    </row>
    <row r="73">
      <c r="B73" s="124"/>
      <c r="C73" s="124"/>
      <c r="D73" s="132"/>
      <c r="F73" s="118"/>
      <c r="G73" s="656"/>
      <c r="I73" s="669"/>
      <c r="J73" s="670"/>
      <c r="K73" s="471"/>
      <c r="L73" s="678"/>
      <c r="M73" s="627" t="s">
        <v>1999</v>
      </c>
      <c r="N73" s="650">
        <v>44532.0</v>
      </c>
      <c r="O73" s="474">
        <v>-5500.0</v>
      </c>
    </row>
    <row r="74">
      <c r="A74" s="122"/>
      <c r="B74" s="118"/>
      <c r="C74" s="118"/>
      <c r="D74" s="313"/>
      <c r="F74" s="124"/>
      <c r="G74" s="662"/>
      <c r="I74" s="124"/>
      <c r="J74" s="676"/>
      <c r="K74" s="471"/>
      <c r="L74" s="678"/>
      <c r="M74" s="627" t="s">
        <v>1999</v>
      </c>
      <c r="N74" s="650">
        <v>44534.0</v>
      </c>
      <c r="O74" s="474">
        <v>4750.0</v>
      </c>
    </row>
    <row r="75">
      <c r="B75" s="124"/>
      <c r="C75" s="124"/>
      <c r="F75" s="124"/>
      <c r="G75" s="662"/>
      <c r="I75" s="124"/>
      <c r="J75" s="676"/>
      <c r="K75" s="471"/>
      <c r="L75" s="678"/>
      <c r="M75" s="627" t="s">
        <v>1999</v>
      </c>
      <c r="N75" s="650">
        <v>44535.0</v>
      </c>
      <c r="O75" s="474">
        <v>-950.0</v>
      </c>
    </row>
    <row r="76">
      <c r="B76" s="124"/>
      <c r="C76" s="124"/>
      <c r="D76" s="132"/>
      <c r="F76" s="124"/>
      <c r="G76" s="662"/>
      <c r="I76" s="124"/>
      <c r="J76" s="676"/>
      <c r="K76" s="471"/>
      <c r="L76" s="678"/>
      <c r="M76" s="627" t="s">
        <v>1999</v>
      </c>
      <c r="N76" s="650">
        <v>44535.0</v>
      </c>
      <c r="O76" s="474">
        <v>11000.0</v>
      </c>
    </row>
    <row r="77">
      <c r="B77" s="124"/>
      <c r="C77" s="124"/>
      <c r="D77" s="132"/>
      <c r="F77" s="124"/>
      <c r="G77" s="662"/>
      <c r="I77" s="124"/>
      <c r="J77" s="676"/>
      <c r="K77" s="471"/>
      <c r="L77" s="678"/>
      <c r="M77" s="627" t="s">
        <v>1999</v>
      </c>
      <c r="N77" s="650">
        <v>44536.0</v>
      </c>
      <c r="O77" s="474">
        <v>8250.0</v>
      </c>
    </row>
    <row r="78">
      <c r="B78" s="124"/>
      <c r="C78" s="124"/>
      <c r="D78" s="132"/>
      <c r="F78" s="118"/>
      <c r="G78" s="656"/>
      <c r="I78" s="669"/>
      <c r="J78" s="670"/>
      <c r="K78" s="471"/>
      <c r="L78" s="678"/>
      <c r="M78" s="627" t="s">
        <v>1999</v>
      </c>
      <c r="N78" s="650">
        <v>44537.0</v>
      </c>
      <c r="O78" s="474">
        <v>19950.0</v>
      </c>
    </row>
    <row r="79">
      <c r="B79" s="124"/>
      <c r="C79" s="124"/>
      <c r="D79" s="149"/>
      <c r="F79" s="124"/>
      <c r="G79" s="662"/>
      <c r="I79" s="124"/>
      <c r="J79" s="676"/>
      <c r="K79" s="471"/>
      <c r="L79" s="678"/>
      <c r="M79" s="627"/>
      <c r="N79" s="627"/>
      <c r="O79" s="474"/>
    </row>
    <row r="80">
      <c r="B80" s="124"/>
      <c r="C80" s="124"/>
      <c r="D80" s="132"/>
      <c r="F80" s="124"/>
      <c r="G80" s="662"/>
      <c r="I80" s="124"/>
      <c r="J80" s="676"/>
      <c r="K80" s="471"/>
      <c r="L80" s="678"/>
      <c r="M80" s="627"/>
      <c r="N80" s="627"/>
      <c r="O80" s="474"/>
    </row>
    <row r="81">
      <c r="B81" s="124"/>
      <c r="C81" s="124"/>
      <c r="D81" s="132"/>
      <c r="F81" s="124"/>
      <c r="G81" s="662"/>
      <c r="I81" s="124"/>
      <c r="J81" s="676"/>
      <c r="K81" s="471"/>
      <c r="L81" s="678"/>
      <c r="M81" s="627"/>
      <c r="N81" s="627"/>
      <c r="O81" s="474"/>
    </row>
    <row r="82">
      <c r="D82" s="132"/>
      <c r="F82" s="124"/>
      <c r="G82" s="662"/>
      <c r="I82" s="124"/>
      <c r="J82" s="676"/>
      <c r="K82" s="471"/>
      <c r="L82" s="678"/>
      <c r="M82" s="627"/>
      <c r="N82" s="627"/>
      <c r="O82" s="474"/>
    </row>
    <row r="83">
      <c r="F83" s="124"/>
      <c r="G83" s="662"/>
      <c r="I83" s="124"/>
      <c r="J83" s="676"/>
      <c r="K83" s="471"/>
      <c r="L83" s="678"/>
      <c r="M83" s="627"/>
      <c r="N83" s="627"/>
      <c r="O83" s="474"/>
    </row>
    <row r="84">
      <c r="D84" s="132"/>
      <c r="F84" s="124"/>
      <c r="G84" s="662"/>
      <c r="I84" s="124"/>
      <c r="J84" s="676"/>
      <c r="K84" s="471"/>
      <c r="L84" s="678"/>
    </row>
    <row r="85">
      <c r="D85" s="132"/>
      <c r="F85" s="124"/>
      <c r="G85" s="662"/>
      <c r="I85" s="124"/>
      <c r="J85" s="676"/>
      <c r="K85" s="471"/>
      <c r="L85" s="678"/>
      <c r="M85" s="130"/>
      <c r="N85" s="130"/>
      <c r="O85" s="124"/>
      <c r="P85" s="130"/>
      <c r="Q85" s="128"/>
    </row>
    <row r="86">
      <c r="D86" s="132"/>
      <c r="G86" s="661"/>
      <c r="I86" s="125"/>
      <c r="J86" s="674"/>
      <c r="K86" s="471"/>
      <c r="L86" s="678"/>
      <c r="M86" s="627"/>
      <c r="N86" s="627"/>
      <c r="O86" s="474"/>
      <c r="P86" s="125"/>
    </row>
    <row r="87">
      <c r="D87" s="132"/>
      <c r="G87" s="661"/>
      <c r="I87" s="125"/>
      <c r="J87" s="674"/>
      <c r="K87" s="471"/>
      <c r="L87" s="678"/>
      <c r="M87" s="627"/>
      <c r="N87" s="627"/>
      <c r="O87" s="474"/>
      <c r="P87" s="134"/>
    </row>
    <row r="88">
      <c r="A88" s="122"/>
      <c r="B88" s="118"/>
      <c r="C88" s="118"/>
      <c r="D88" s="132"/>
      <c r="G88" s="661"/>
      <c r="I88" s="125"/>
      <c r="J88" s="674"/>
      <c r="K88" s="471"/>
      <c r="L88" s="678"/>
      <c r="M88" s="627"/>
      <c r="N88" s="627"/>
      <c r="O88" s="474"/>
      <c r="P88" s="189"/>
      <c r="Q88" s="122"/>
    </row>
    <row r="89">
      <c r="B89" s="124"/>
      <c r="C89" s="124"/>
      <c r="D89" s="132"/>
      <c r="G89" s="661"/>
      <c r="I89" s="125"/>
      <c r="J89" s="674"/>
      <c r="K89" s="471"/>
      <c r="L89" s="678"/>
      <c r="M89" s="627"/>
      <c r="N89" s="627"/>
      <c r="O89" s="474"/>
      <c r="P89" s="630"/>
    </row>
    <row r="90">
      <c r="B90" s="124"/>
      <c r="C90" s="124"/>
      <c r="D90" s="132"/>
      <c r="G90" s="661"/>
      <c r="I90" s="125"/>
      <c r="J90" s="674"/>
      <c r="K90" s="471"/>
      <c r="L90" s="678"/>
      <c r="M90" s="627"/>
      <c r="N90" s="627"/>
      <c r="O90" s="474"/>
      <c r="P90" s="631"/>
      <c r="Q90" s="632"/>
    </row>
    <row r="91">
      <c r="B91" s="124"/>
      <c r="C91" s="124"/>
      <c r="G91" s="661"/>
      <c r="I91" s="125"/>
      <c r="J91" s="674"/>
      <c r="K91" s="471"/>
      <c r="L91" s="678"/>
      <c r="M91" s="627"/>
      <c r="N91" s="627"/>
      <c r="O91" s="474"/>
    </row>
    <row r="92">
      <c r="B92" s="124"/>
      <c r="C92" s="124"/>
      <c r="D92" s="132"/>
      <c r="F92" s="118"/>
      <c r="G92" s="656"/>
      <c r="I92" s="669"/>
      <c r="J92" s="670"/>
      <c r="K92" s="471"/>
      <c r="L92" s="678"/>
      <c r="M92" s="627"/>
      <c r="N92" s="627"/>
      <c r="O92" s="474"/>
    </row>
    <row r="93">
      <c r="A93" s="122"/>
      <c r="B93" s="118"/>
      <c r="C93" s="118"/>
      <c r="D93" s="132"/>
      <c r="F93" s="124"/>
      <c r="G93" s="662"/>
      <c r="I93" s="124"/>
      <c r="J93" s="676"/>
      <c r="K93" s="471"/>
      <c r="L93" s="678"/>
      <c r="M93" s="627"/>
      <c r="N93" s="627"/>
      <c r="O93" s="474"/>
    </row>
    <row r="94">
      <c r="B94" s="124"/>
      <c r="C94" s="124"/>
      <c r="D94" s="132"/>
      <c r="F94" s="124"/>
      <c r="G94" s="662"/>
      <c r="I94" s="124"/>
      <c r="J94" s="676"/>
      <c r="K94" s="471"/>
      <c r="L94" s="678"/>
      <c r="M94" s="627"/>
      <c r="N94" s="627"/>
      <c r="O94" s="474"/>
    </row>
    <row r="95">
      <c r="B95" s="124"/>
      <c r="C95" s="124"/>
      <c r="D95" s="132"/>
      <c r="F95" s="124"/>
      <c r="G95" s="662"/>
      <c r="I95" s="124"/>
      <c r="J95" s="676"/>
      <c r="K95" s="471"/>
      <c r="L95" s="678"/>
      <c r="M95" s="627"/>
      <c r="N95" s="627"/>
      <c r="O95" s="474"/>
    </row>
    <row r="96">
      <c r="B96" s="124"/>
      <c r="C96" s="124"/>
      <c r="D96" s="132"/>
      <c r="F96" s="124"/>
      <c r="G96" s="662"/>
      <c r="I96" s="124"/>
      <c r="J96" s="676"/>
      <c r="K96" s="471"/>
      <c r="L96" s="678"/>
      <c r="M96" s="627"/>
      <c r="N96" s="627"/>
      <c r="O96" s="474"/>
    </row>
    <row r="97">
      <c r="B97" s="124"/>
      <c r="C97" s="124"/>
      <c r="D97" s="132"/>
      <c r="F97" s="118"/>
      <c r="G97" s="656"/>
      <c r="I97" s="669"/>
      <c r="J97" s="670"/>
      <c r="K97" s="471"/>
      <c r="L97" s="678"/>
      <c r="M97" s="627"/>
      <c r="N97" s="627"/>
      <c r="O97" s="474"/>
    </row>
    <row r="98">
      <c r="B98" s="124"/>
      <c r="C98" s="124"/>
      <c r="D98" s="132"/>
      <c r="F98" s="124"/>
      <c r="G98" s="662"/>
      <c r="I98" s="124"/>
      <c r="J98" s="676"/>
      <c r="K98" s="471"/>
      <c r="L98" s="678"/>
      <c r="M98" s="627"/>
      <c r="N98" s="627"/>
      <c r="O98" s="474"/>
    </row>
    <row r="99">
      <c r="B99" s="124"/>
      <c r="C99" s="124"/>
      <c r="D99" s="132"/>
      <c r="F99" s="124"/>
      <c r="G99" s="662"/>
      <c r="I99" s="124"/>
      <c r="J99" s="676"/>
      <c r="K99" s="471"/>
      <c r="L99" s="678"/>
      <c r="M99" s="627"/>
      <c r="N99" s="627"/>
      <c r="O99" s="474"/>
    </row>
    <row r="100">
      <c r="B100" s="124"/>
      <c r="C100" s="124"/>
      <c r="D100" s="132"/>
      <c r="F100" s="124"/>
      <c r="G100" s="662"/>
      <c r="I100" s="124"/>
      <c r="J100" s="676"/>
      <c r="K100" s="471"/>
      <c r="L100" s="678"/>
      <c r="M100" s="627"/>
      <c r="N100" s="627"/>
      <c r="O100" s="474"/>
    </row>
    <row r="101">
      <c r="D101" s="132"/>
      <c r="F101" s="124"/>
      <c r="G101" s="662"/>
      <c r="I101" s="124"/>
      <c r="J101" s="676"/>
      <c r="K101" s="471"/>
      <c r="L101" s="678"/>
      <c r="M101" s="627"/>
      <c r="N101" s="627"/>
      <c r="O101" s="474"/>
    </row>
    <row r="102">
      <c r="D102" s="132"/>
      <c r="F102" s="124"/>
      <c r="G102" s="662"/>
      <c r="I102" s="124"/>
      <c r="J102" s="676"/>
      <c r="K102" s="471"/>
      <c r="L102" s="678"/>
    </row>
    <row r="103">
      <c r="D103" s="132"/>
      <c r="F103" s="124"/>
      <c r="G103" s="662"/>
      <c r="I103" s="124"/>
      <c r="J103" s="676"/>
      <c r="K103" s="471"/>
      <c r="L103" s="678"/>
    </row>
    <row r="104">
      <c r="D104" s="132"/>
      <c r="F104" s="124"/>
      <c r="G104" s="662"/>
      <c r="I104" s="124"/>
      <c r="J104" s="676"/>
      <c r="K104" s="471"/>
      <c r="L104" s="678"/>
    </row>
    <row r="105">
      <c r="D105" s="132"/>
      <c r="G105" s="661"/>
      <c r="I105" s="125"/>
      <c r="J105" s="674"/>
      <c r="K105" s="471"/>
      <c r="L105" s="678"/>
    </row>
    <row r="106">
      <c r="D106" s="132"/>
      <c r="G106" s="661"/>
      <c r="I106" s="125"/>
      <c r="J106" s="674"/>
      <c r="K106" s="471"/>
      <c r="L106" s="678"/>
    </row>
    <row r="107">
      <c r="D107" s="132"/>
      <c r="G107" s="661"/>
      <c r="I107" s="125"/>
      <c r="J107" s="674"/>
      <c r="K107" s="471"/>
      <c r="L107" s="678"/>
    </row>
    <row r="108">
      <c r="D108" s="312"/>
      <c r="G108" s="661"/>
      <c r="I108" s="125"/>
      <c r="J108" s="674"/>
      <c r="K108" s="471"/>
      <c r="L108" s="678"/>
    </row>
    <row r="109">
      <c r="G109" s="661"/>
      <c r="I109" s="125"/>
      <c r="J109" s="674"/>
      <c r="K109" s="471"/>
      <c r="L109" s="678"/>
    </row>
    <row r="110">
      <c r="G110" s="661"/>
      <c r="I110" s="125"/>
      <c r="J110" s="674"/>
      <c r="K110" s="471"/>
      <c r="L110" s="678"/>
    </row>
    <row r="111">
      <c r="G111" s="661"/>
      <c r="I111" s="125"/>
      <c r="J111" s="674"/>
      <c r="K111" s="471"/>
      <c r="L111" s="678"/>
    </row>
    <row r="112">
      <c r="G112" s="661"/>
      <c r="I112" s="125"/>
      <c r="J112" s="674"/>
      <c r="K112" s="471"/>
      <c r="L112" s="678"/>
    </row>
    <row r="113">
      <c r="G113" s="661"/>
      <c r="I113" s="125"/>
      <c r="J113" s="674"/>
      <c r="K113" s="471"/>
      <c r="L113" s="678"/>
    </row>
    <row r="114">
      <c r="D114" s="170"/>
      <c r="G114" s="661"/>
      <c r="I114" s="125"/>
      <c r="J114" s="674"/>
      <c r="K114" s="471"/>
      <c r="L114" s="678"/>
    </row>
    <row r="115">
      <c r="D115" s="170"/>
      <c r="G115" s="661"/>
      <c r="I115" s="125"/>
      <c r="J115" s="674"/>
      <c r="K115" s="471"/>
      <c r="L115" s="678"/>
    </row>
    <row r="116">
      <c r="D116" s="132"/>
      <c r="G116" s="661"/>
      <c r="I116" s="125"/>
      <c r="J116" s="674"/>
      <c r="K116" s="471"/>
      <c r="L116" s="678"/>
    </row>
    <row r="117">
      <c r="D117" s="132"/>
      <c r="G117" s="661"/>
      <c r="I117" s="125"/>
      <c r="J117" s="674"/>
      <c r="K117" s="471"/>
      <c r="L117" s="678"/>
    </row>
    <row r="118">
      <c r="D118" s="132"/>
      <c r="G118" s="661"/>
      <c r="I118" s="125"/>
      <c r="J118" s="674"/>
      <c r="K118" s="471"/>
      <c r="L118" s="678"/>
    </row>
    <row r="119">
      <c r="D119" s="132"/>
      <c r="G119" s="661"/>
      <c r="I119" s="125"/>
      <c r="J119" s="674"/>
      <c r="K119" s="471"/>
      <c r="L119" s="678"/>
    </row>
    <row r="120">
      <c r="D120" s="132"/>
      <c r="G120" s="661"/>
      <c r="I120" s="125"/>
      <c r="J120" s="674"/>
      <c r="K120" s="471"/>
      <c r="L120" s="678"/>
    </row>
    <row r="121">
      <c r="D121" s="132"/>
      <c r="G121" s="661"/>
      <c r="I121" s="125"/>
      <c r="J121" s="674"/>
      <c r="K121" s="471"/>
      <c r="L121" s="678"/>
    </row>
    <row r="122">
      <c r="D122" s="132"/>
      <c r="G122" s="661"/>
      <c r="I122" s="125"/>
      <c r="J122" s="674"/>
      <c r="K122" s="471"/>
      <c r="L122" s="678"/>
    </row>
    <row r="123">
      <c r="D123" s="132"/>
      <c r="G123" s="661"/>
      <c r="I123" s="125"/>
      <c r="J123" s="674"/>
      <c r="K123" s="471"/>
      <c r="L123" s="678"/>
    </row>
    <row r="124">
      <c r="D124" s="132"/>
      <c r="G124" s="661"/>
      <c r="I124" s="125"/>
      <c r="J124" s="674"/>
      <c r="K124" s="471"/>
      <c r="L124" s="678"/>
    </row>
    <row r="125">
      <c r="D125" s="132"/>
      <c r="G125" s="661"/>
      <c r="I125" s="125"/>
      <c r="J125" s="674"/>
      <c r="K125" s="471"/>
      <c r="L125" s="678"/>
    </row>
    <row r="126">
      <c r="D126" s="132"/>
      <c r="G126" s="661"/>
      <c r="I126" s="125"/>
      <c r="J126" s="674"/>
      <c r="K126" s="471"/>
      <c r="L126" s="678"/>
    </row>
    <row r="127">
      <c r="D127" s="132"/>
      <c r="G127" s="661"/>
      <c r="I127" s="125"/>
      <c r="J127" s="674"/>
      <c r="K127" s="471"/>
      <c r="L127" s="678"/>
    </row>
    <row r="128">
      <c r="D128" s="132"/>
      <c r="G128" s="661"/>
      <c r="I128" s="125"/>
      <c r="J128" s="674"/>
      <c r="K128" s="471"/>
      <c r="L128" s="678"/>
    </row>
    <row r="129">
      <c r="D129" s="132"/>
      <c r="G129" s="661"/>
      <c r="I129" s="125"/>
      <c r="J129" s="674"/>
      <c r="K129" s="471"/>
      <c r="L129" s="678"/>
    </row>
    <row r="130">
      <c r="D130" s="132"/>
      <c r="G130" s="661"/>
      <c r="I130" s="125"/>
      <c r="J130" s="674"/>
      <c r="K130" s="471"/>
      <c r="L130" s="678"/>
    </row>
    <row r="131">
      <c r="D131" s="132"/>
      <c r="G131" s="661"/>
      <c r="I131" s="125"/>
      <c r="J131" s="674"/>
      <c r="K131" s="471"/>
      <c r="L131" s="678"/>
    </row>
    <row r="132">
      <c r="D132" s="132"/>
      <c r="G132" s="661"/>
      <c r="I132" s="125"/>
      <c r="J132" s="674"/>
      <c r="K132" s="471"/>
      <c r="L132" s="678"/>
    </row>
    <row r="133">
      <c r="D133" s="132"/>
      <c r="G133" s="661"/>
      <c r="I133" s="125"/>
      <c r="J133" s="674"/>
      <c r="K133" s="471"/>
      <c r="L133" s="678"/>
    </row>
    <row r="134">
      <c r="D134" s="132"/>
      <c r="G134" s="661"/>
      <c r="I134" s="125"/>
      <c r="J134" s="674"/>
      <c r="K134" s="471"/>
      <c r="L134" s="678"/>
    </row>
    <row r="135">
      <c r="D135" s="132"/>
      <c r="G135" s="661"/>
      <c r="I135" s="125"/>
      <c r="J135" s="674"/>
      <c r="K135" s="471"/>
      <c r="L135" s="678"/>
    </row>
    <row r="136">
      <c r="G136" s="661"/>
      <c r="I136" s="125"/>
      <c r="J136" s="674"/>
      <c r="K136" s="471"/>
      <c r="L136" s="678"/>
    </row>
    <row r="137">
      <c r="D137" s="132"/>
      <c r="G137" s="661"/>
      <c r="I137" s="125"/>
      <c r="J137" s="674"/>
      <c r="K137" s="471"/>
      <c r="L137" s="678"/>
    </row>
    <row r="138">
      <c r="D138" s="132"/>
      <c r="G138" s="661"/>
      <c r="I138" s="125"/>
      <c r="J138" s="674"/>
      <c r="K138" s="471"/>
      <c r="L138" s="678"/>
    </row>
    <row r="139">
      <c r="G139" s="661"/>
      <c r="I139" s="125"/>
      <c r="J139" s="674"/>
      <c r="K139" s="471"/>
      <c r="L139" s="678"/>
    </row>
    <row r="140">
      <c r="D140" s="134"/>
      <c r="G140" s="661"/>
      <c r="I140" s="125"/>
      <c r="J140" s="674"/>
      <c r="K140" s="471"/>
      <c r="L140" s="678"/>
    </row>
    <row r="141">
      <c r="G141" s="661"/>
      <c r="I141" s="125"/>
      <c r="J141" s="674"/>
      <c r="K141" s="471"/>
      <c r="L141" s="678"/>
    </row>
    <row r="142">
      <c r="G142" s="661"/>
      <c r="I142" s="125"/>
      <c r="J142" s="674"/>
      <c r="K142" s="471"/>
      <c r="L142" s="678"/>
    </row>
    <row r="143">
      <c r="D143" s="132"/>
      <c r="G143" s="661"/>
      <c r="I143" s="125"/>
      <c r="J143" s="674"/>
      <c r="K143" s="471"/>
      <c r="L143" s="678"/>
    </row>
    <row r="144">
      <c r="D144" s="312"/>
      <c r="G144" s="661"/>
      <c r="I144" s="125"/>
      <c r="J144" s="674"/>
      <c r="K144" s="471"/>
      <c r="L144" s="678"/>
    </row>
    <row r="145">
      <c r="G145" s="661"/>
      <c r="I145" s="125"/>
      <c r="J145" s="674"/>
      <c r="K145" s="471"/>
      <c r="L145" s="678"/>
    </row>
    <row r="146">
      <c r="G146" s="661"/>
      <c r="I146" s="125"/>
      <c r="J146" s="674"/>
      <c r="K146" s="471"/>
      <c r="L146" s="678"/>
    </row>
    <row r="147">
      <c r="D147" s="132"/>
      <c r="G147" s="661"/>
      <c r="I147" s="125"/>
      <c r="J147" s="674"/>
      <c r="K147" s="471"/>
      <c r="L147" s="678"/>
    </row>
    <row r="148">
      <c r="G148" s="661"/>
      <c r="I148" s="125"/>
      <c r="J148" s="674"/>
      <c r="K148" s="471"/>
      <c r="L148" s="678"/>
    </row>
    <row r="149">
      <c r="G149" s="661"/>
      <c r="I149" s="125"/>
      <c r="J149" s="674"/>
      <c r="K149" s="471"/>
      <c r="L149" s="678"/>
    </row>
    <row r="150">
      <c r="D150" s="312"/>
      <c r="G150" s="661"/>
      <c r="I150" s="125"/>
      <c r="J150" s="674"/>
      <c r="K150" s="471"/>
      <c r="L150" s="678"/>
    </row>
    <row r="151">
      <c r="D151" s="136"/>
      <c r="G151" s="661"/>
      <c r="I151" s="125"/>
      <c r="J151" s="674"/>
      <c r="K151" s="471"/>
      <c r="L151" s="678"/>
    </row>
    <row r="152">
      <c r="D152" s="139"/>
      <c r="G152" s="661"/>
      <c r="I152" s="125"/>
      <c r="J152" s="674"/>
      <c r="K152" s="471"/>
      <c r="L152" s="678"/>
    </row>
    <row r="153">
      <c r="D153" s="139"/>
      <c r="G153" s="661"/>
      <c r="I153" s="125"/>
      <c r="J153" s="674"/>
      <c r="K153" s="471"/>
      <c r="L153" s="678"/>
    </row>
    <row r="154">
      <c r="D154" s="139"/>
      <c r="G154" s="661"/>
      <c r="I154" s="125"/>
      <c r="J154" s="674"/>
      <c r="K154" s="471"/>
      <c r="L154" s="678"/>
    </row>
    <row r="155">
      <c r="D155" s="132"/>
      <c r="G155" s="661"/>
      <c r="I155" s="125"/>
      <c r="J155" s="674"/>
      <c r="K155" s="471"/>
      <c r="L155" s="678"/>
    </row>
    <row r="156">
      <c r="D156" s="139"/>
      <c r="G156" s="661"/>
      <c r="I156" s="125"/>
      <c r="J156" s="674"/>
      <c r="K156" s="471"/>
      <c r="L156" s="678"/>
    </row>
    <row r="157">
      <c r="D157" s="145"/>
      <c r="G157" s="661"/>
      <c r="I157" s="125"/>
      <c r="J157" s="674"/>
      <c r="K157" s="471"/>
      <c r="L157" s="678"/>
    </row>
    <row r="158">
      <c r="D158" s="139"/>
      <c r="G158" s="661"/>
      <c r="I158" s="125"/>
      <c r="J158" s="674"/>
      <c r="K158" s="471"/>
      <c r="L158" s="678"/>
    </row>
    <row r="159">
      <c r="D159" s="139"/>
      <c r="G159" s="661"/>
      <c r="I159" s="125"/>
      <c r="J159" s="674"/>
      <c r="K159" s="471"/>
      <c r="L159" s="678"/>
    </row>
    <row r="160">
      <c r="D160" s="132"/>
      <c r="G160" s="661"/>
      <c r="I160" s="125"/>
      <c r="J160" s="674"/>
      <c r="K160" s="471"/>
      <c r="L160" s="678"/>
    </row>
    <row r="161">
      <c r="D161" s="132"/>
      <c r="G161" s="661"/>
      <c r="I161" s="125"/>
      <c r="J161" s="674"/>
      <c r="K161" s="471"/>
      <c r="L161" s="678"/>
    </row>
    <row r="162">
      <c r="D162" s="132"/>
      <c r="G162" s="661"/>
      <c r="I162" s="125"/>
      <c r="J162" s="674"/>
      <c r="K162" s="471"/>
      <c r="L162" s="678"/>
    </row>
    <row r="163">
      <c r="G163" s="661"/>
      <c r="I163" s="125"/>
      <c r="J163" s="674"/>
      <c r="K163" s="471"/>
      <c r="L163" s="678"/>
    </row>
    <row r="164">
      <c r="G164" s="661"/>
      <c r="I164" s="125"/>
      <c r="J164" s="674"/>
      <c r="K164" s="471"/>
      <c r="L164" s="678"/>
    </row>
    <row r="165">
      <c r="G165" s="661"/>
      <c r="I165" s="125"/>
      <c r="J165" s="674"/>
      <c r="K165" s="471"/>
      <c r="L165" s="678"/>
    </row>
    <row r="166">
      <c r="G166" s="661"/>
      <c r="I166" s="125"/>
      <c r="J166" s="674"/>
      <c r="K166" s="471"/>
      <c r="L166" s="678"/>
    </row>
    <row r="167">
      <c r="D167" s="132"/>
      <c r="G167" s="661"/>
      <c r="I167" s="125"/>
      <c r="J167" s="674"/>
      <c r="K167" s="471"/>
      <c r="L167" s="678"/>
    </row>
    <row r="168">
      <c r="D168" s="132"/>
      <c r="G168" s="661"/>
      <c r="I168" s="125"/>
      <c r="J168" s="674"/>
      <c r="K168" s="471"/>
      <c r="L168" s="678"/>
    </row>
    <row r="169">
      <c r="D169" s="132"/>
      <c r="G169" s="661"/>
      <c r="I169" s="125"/>
      <c r="J169" s="674"/>
      <c r="K169" s="471"/>
      <c r="L169" s="678"/>
    </row>
    <row r="170">
      <c r="D170" s="132"/>
      <c r="G170" s="661"/>
      <c r="I170" s="125"/>
      <c r="J170" s="674"/>
      <c r="K170" s="471"/>
      <c r="L170" s="678"/>
    </row>
    <row r="171">
      <c r="G171" s="661"/>
      <c r="I171" s="125"/>
      <c r="J171" s="674"/>
      <c r="K171" s="471"/>
      <c r="L171" s="678"/>
    </row>
    <row r="172">
      <c r="D172" s="132"/>
      <c r="G172" s="661"/>
      <c r="I172" s="125"/>
      <c r="J172" s="674"/>
      <c r="K172" s="471"/>
      <c r="L172" s="678"/>
    </row>
    <row r="173">
      <c r="D173" s="132"/>
      <c r="G173" s="661"/>
      <c r="I173" s="125"/>
      <c r="J173" s="674"/>
      <c r="K173" s="471"/>
      <c r="L173" s="678"/>
    </row>
    <row r="174">
      <c r="D174" s="132"/>
      <c r="G174" s="661"/>
      <c r="I174" s="125"/>
      <c r="J174" s="674"/>
      <c r="K174" s="471"/>
      <c r="L174" s="678"/>
    </row>
    <row r="175">
      <c r="D175" s="132"/>
      <c r="G175" s="661"/>
      <c r="I175" s="125"/>
      <c r="J175" s="674"/>
      <c r="K175" s="471"/>
      <c r="L175" s="678"/>
    </row>
    <row r="176">
      <c r="D176" s="132"/>
      <c r="G176" s="661"/>
      <c r="I176" s="125"/>
      <c r="J176" s="674"/>
      <c r="K176" s="471"/>
      <c r="L176" s="678"/>
    </row>
    <row r="177">
      <c r="G177" s="661"/>
      <c r="I177" s="125"/>
      <c r="J177" s="674"/>
      <c r="K177" s="471"/>
      <c r="L177" s="678"/>
    </row>
    <row r="178">
      <c r="D178" s="132"/>
      <c r="G178" s="661"/>
      <c r="I178" s="125"/>
      <c r="J178" s="674"/>
      <c r="K178" s="471"/>
      <c r="L178" s="678"/>
    </row>
    <row r="179">
      <c r="D179" s="132"/>
      <c r="G179" s="661"/>
      <c r="I179" s="125"/>
      <c r="J179" s="674"/>
      <c r="K179" s="471"/>
      <c r="L179" s="678"/>
    </row>
    <row r="180">
      <c r="G180" s="661"/>
      <c r="I180" s="125"/>
      <c r="J180" s="674"/>
      <c r="K180" s="471"/>
      <c r="L180" s="678"/>
    </row>
    <row r="181">
      <c r="D181" s="132"/>
      <c r="G181" s="661"/>
      <c r="I181" s="125"/>
      <c r="J181" s="674"/>
      <c r="K181" s="471"/>
      <c r="L181" s="678"/>
    </row>
    <row r="182">
      <c r="D182" s="132"/>
      <c r="G182" s="661"/>
      <c r="I182" s="125"/>
      <c r="J182" s="674"/>
      <c r="K182" s="471"/>
      <c r="L182" s="678"/>
    </row>
    <row r="183">
      <c r="D183" s="132"/>
      <c r="G183" s="661"/>
      <c r="I183" s="125"/>
      <c r="J183" s="674"/>
      <c r="K183" s="471"/>
      <c r="L183" s="678"/>
    </row>
    <row r="184">
      <c r="D184" s="168"/>
      <c r="G184" s="661"/>
      <c r="I184" s="125"/>
      <c r="J184" s="674"/>
      <c r="K184" s="471"/>
      <c r="L184" s="678"/>
    </row>
    <row r="185">
      <c r="D185" s="132"/>
      <c r="G185" s="661"/>
      <c r="I185" s="125"/>
      <c r="J185" s="674"/>
      <c r="K185" s="471"/>
      <c r="L185" s="678"/>
    </row>
    <row r="186">
      <c r="D186" s="132"/>
      <c r="G186" s="661"/>
      <c r="I186" s="125"/>
      <c r="J186" s="674"/>
      <c r="K186" s="471"/>
      <c r="L186" s="678"/>
    </row>
    <row r="187">
      <c r="D187" s="132"/>
      <c r="G187" s="661"/>
      <c r="I187" s="125"/>
      <c r="J187" s="674"/>
      <c r="K187" s="471"/>
      <c r="L187" s="678"/>
    </row>
    <row r="188">
      <c r="D188" s="132"/>
      <c r="G188" s="661"/>
      <c r="I188" s="125"/>
      <c r="J188" s="674"/>
      <c r="K188" s="471"/>
      <c r="L188" s="678"/>
    </row>
    <row r="189">
      <c r="D189" s="132"/>
      <c r="G189" s="661"/>
      <c r="I189" s="125"/>
      <c r="J189" s="674"/>
      <c r="K189" s="471"/>
      <c r="L189" s="678"/>
    </row>
    <row r="190">
      <c r="D190" s="132"/>
      <c r="G190" s="661"/>
      <c r="I190" s="125"/>
      <c r="J190" s="674"/>
      <c r="K190" s="471"/>
      <c r="L190" s="678"/>
    </row>
    <row r="191">
      <c r="D191" s="132"/>
      <c r="G191" s="661"/>
      <c r="I191" s="125"/>
      <c r="J191" s="674"/>
      <c r="K191" s="471"/>
      <c r="L191" s="678"/>
    </row>
    <row r="192">
      <c r="G192" s="661"/>
      <c r="I192" s="125"/>
      <c r="J192" s="674"/>
      <c r="K192" s="471"/>
      <c r="L192" s="678"/>
    </row>
    <row r="193">
      <c r="D193" s="132"/>
      <c r="G193" s="661"/>
      <c r="I193" s="125"/>
      <c r="J193" s="674"/>
      <c r="K193" s="471"/>
      <c r="L193" s="678"/>
    </row>
    <row r="194">
      <c r="D194" s="168"/>
      <c r="G194" s="661"/>
      <c r="I194" s="125"/>
      <c r="J194" s="674"/>
      <c r="K194" s="471"/>
      <c r="L194" s="678"/>
    </row>
    <row r="195">
      <c r="G195" s="661"/>
      <c r="I195" s="125"/>
      <c r="J195" s="674"/>
      <c r="K195" s="471"/>
      <c r="L195" s="678"/>
    </row>
    <row r="196">
      <c r="D196" s="132"/>
      <c r="G196" s="661"/>
      <c r="I196" s="125"/>
      <c r="J196" s="674"/>
      <c r="K196" s="471"/>
      <c r="L196" s="678"/>
    </row>
    <row r="197">
      <c r="D197" s="132"/>
      <c r="G197" s="661"/>
      <c r="I197" s="125"/>
      <c r="J197" s="674"/>
      <c r="K197" s="471"/>
      <c r="L197" s="678"/>
    </row>
    <row r="198">
      <c r="D198" s="132"/>
      <c r="G198" s="661"/>
      <c r="I198" s="125"/>
      <c r="J198" s="674"/>
      <c r="K198" s="471"/>
      <c r="L198" s="678"/>
    </row>
    <row r="199">
      <c r="D199" s="132"/>
      <c r="G199" s="661"/>
      <c r="I199" s="125"/>
      <c r="J199" s="674"/>
      <c r="K199" s="471"/>
      <c r="L199" s="678"/>
    </row>
    <row r="200">
      <c r="G200" s="661"/>
      <c r="I200" s="125"/>
      <c r="J200" s="674"/>
      <c r="K200" s="471"/>
      <c r="L200" s="678"/>
    </row>
    <row r="201">
      <c r="D201" s="139"/>
      <c r="G201" s="661"/>
      <c r="I201" s="125"/>
      <c r="J201" s="674"/>
      <c r="K201" s="471"/>
      <c r="L201" s="678"/>
    </row>
    <row r="202">
      <c r="D202" s="145"/>
      <c r="G202" s="661"/>
      <c r="I202" s="125"/>
      <c r="J202" s="674"/>
      <c r="K202" s="471"/>
      <c r="L202" s="678"/>
    </row>
    <row r="203">
      <c r="D203" s="124"/>
      <c r="G203" s="661"/>
      <c r="I203" s="125"/>
      <c r="J203" s="674"/>
      <c r="K203" s="471"/>
      <c r="L203" s="678"/>
    </row>
    <row r="204">
      <c r="D204" s="124"/>
      <c r="G204" s="661"/>
      <c r="I204" s="125"/>
      <c r="J204" s="674"/>
      <c r="K204" s="471"/>
      <c r="L204" s="678"/>
    </row>
    <row r="205">
      <c r="G205" s="661"/>
      <c r="I205" s="125"/>
      <c r="J205" s="674"/>
      <c r="K205" s="471"/>
      <c r="L205" s="678"/>
    </row>
    <row r="206">
      <c r="D206" s="132"/>
      <c r="G206" s="661"/>
      <c r="I206" s="125"/>
      <c r="J206" s="674"/>
      <c r="K206" s="471"/>
      <c r="L206" s="678"/>
    </row>
    <row r="207">
      <c r="G207" s="661"/>
      <c r="I207" s="125"/>
      <c r="J207" s="674"/>
      <c r="K207" s="471"/>
      <c r="L207" s="678"/>
    </row>
    <row r="208">
      <c r="G208" s="661"/>
      <c r="I208" s="125"/>
      <c r="J208" s="674"/>
      <c r="K208" s="471"/>
      <c r="L208" s="678"/>
    </row>
    <row r="209">
      <c r="D209" s="132"/>
      <c r="G209" s="661"/>
      <c r="I209" s="125"/>
      <c r="J209" s="674"/>
      <c r="K209" s="471"/>
      <c r="L209" s="678"/>
    </row>
    <row r="210">
      <c r="D210" s="170"/>
      <c r="G210" s="661"/>
      <c r="I210" s="125"/>
      <c r="J210" s="674"/>
      <c r="K210" s="471"/>
      <c r="L210" s="678"/>
    </row>
    <row r="211">
      <c r="D211" s="132"/>
      <c r="G211" s="661"/>
      <c r="I211" s="125"/>
      <c r="J211" s="674"/>
      <c r="K211" s="471"/>
      <c r="L211" s="678"/>
    </row>
    <row r="212">
      <c r="D212" s="132"/>
      <c r="G212" s="661"/>
      <c r="I212" s="125"/>
      <c r="J212" s="674"/>
      <c r="K212" s="471"/>
      <c r="L212" s="678"/>
    </row>
    <row r="213">
      <c r="D213" s="132"/>
      <c r="G213" s="661"/>
      <c r="I213" s="125"/>
      <c r="J213" s="674"/>
      <c r="K213" s="471"/>
      <c r="L213" s="678"/>
    </row>
    <row r="214">
      <c r="G214" s="661"/>
      <c r="I214" s="125"/>
      <c r="J214" s="674"/>
      <c r="K214" s="471"/>
      <c r="L214" s="678"/>
    </row>
    <row r="215">
      <c r="D215" s="132"/>
      <c r="G215" s="661"/>
      <c r="I215" s="125"/>
      <c r="J215" s="674"/>
      <c r="K215" s="471"/>
      <c r="L215" s="678"/>
    </row>
    <row r="216">
      <c r="G216" s="661"/>
      <c r="I216" s="125"/>
      <c r="J216" s="674"/>
      <c r="K216" s="471"/>
      <c r="L216" s="678"/>
    </row>
    <row r="217">
      <c r="G217" s="661"/>
      <c r="I217" s="125"/>
      <c r="J217" s="674"/>
      <c r="K217" s="471"/>
      <c r="L217" s="678"/>
    </row>
    <row r="218">
      <c r="G218" s="661"/>
      <c r="I218" s="125"/>
      <c r="J218" s="674"/>
      <c r="K218" s="471"/>
      <c r="L218" s="678"/>
    </row>
    <row r="219">
      <c r="D219" s="132"/>
      <c r="G219" s="661"/>
      <c r="I219" s="125"/>
      <c r="J219" s="674"/>
      <c r="K219" s="471"/>
      <c r="L219" s="678"/>
    </row>
    <row r="220">
      <c r="D220" s="132"/>
      <c r="G220" s="661"/>
      <c r="I220" s="125"/>
      <c r="J220" s="674"/>
      <c r="K220" s="471"/>
      <c r="L220" s="678"/>
    </row>
    <row r="221">
      <c r="D221" s="132"/>
      <c r="G221" s="661"/>
      <c r="I221" s="125"/>
      <c r="J221" s="674"/>
      <c r="K221" s="471"/>
      <c r="L221" s="678"/>
    </row>
    <row r="222">
      <c r="G222" s="661"/>
      <c r="I222" s="125"/>
      <c r="J222" s="674"/>
      <c r="K222" s="471"/>
      <c r="L222" s="678"/>
    </row>
    <row r="223">
      <c r="D223" s="132"/>
      <c r="G223" s="661"/>
      <c r="I223" s="125"/>
      <c r="J223" s="674"/>
      <c r="K223" s="471"/>
      <c r="L223" s="678"/>
    </row>
    <row r="224">
      <c r="D224" s="132"/>
      <c r="G224" s="661"/>
      <c r="I224" s="125"/>
      <c r="J224" s="674"/>
      <c r="K224" s="471"/>
      <c r="L224" s="678"/>
    </row>
    <row r="225">
      <c r="D225" s="132"/>
      <c r="G225" s="661"/>
      <c r="I225" s="125"/>
      <c r="J225" s="674"/>
      <c r="K225" s="471"/>
      <c r="L225" s="678"/>
    </row>
    <row r="226">
      <c r="D226" s="132"/>
      <c r="G226" s="661"/>
      <c r="I226" s="125"/>
      <c r="J226" s="674"/>
      <c r="K226" s="471"/>
      <c r="L226" s="678"/>
    </row>
    <row r="227">
      <c r="D227" s="132"/>
      <c r="G227" s="661"/>
      <c r="I227" s="125"/>
      <c r="J227" s="674"/>
      <c r="K227" s="471"/>
      <c r="L227" s="678"/>
    </row>
    <row r="228">
      <c r="D228" s="132"/>
      <c r="G228" s="661"/>
      <c r="I228" s="125"/>
      <c r="J228" s="674"/>
      <c r="K228" s="471"/>
      <c r="L228" s="678"/>
    </row>
    <row r="229">
      <c r="D229" s="132"/>
      <c r="G229" s="661"/>
      <c r="I229" s="125"/>
      <c r="J229" s="674"/>
      <c r="K229" s="471"/>
      <c r="L229" s="678"/>
    </row>
    <row r="230">
      <c r="G230" s="661"/>
      <c r="I230" s="125"/>
      <c r="J230" s="674"/>
      <c r="K230" s="471"/>
      <c r="L230" s="678"/>
    </row>
    <row r="231">
      <c r="D231" s="132"/>
      <c r="G231" s="661"/>
      <c r="I231" s="125"/>
      <c r="J231" s="674"/>
      <c r="K231" s="471"/>
      <c r="L231" s="678"/>
    </row>
    <row r="232">
      <c r="D232" s="132"/>
      <c r="G232" s="661"/>
      <c r="I232" s="125"/>
      <c r="J232" s="674"/>
      <c r="K232" s="471"/>
      <c r="L232" s="678"/>
    </row>
    <row r="233">
      <c r="D233" s="132"/>
      <c r="G233" s="661"/>
      <c r="I233" s="125"/>
      <c r="J233" s="674"/>
      <c r="K233" s="471"/>
      <c r="L233" s="678"/>
    </row>
    <row r="234">
      <c r="G234" s="661"/>
      <c r="I234" s="125"/>
      <c r="J234" s="674"/>
      <c r="K234" s="471"/>
      <c r="L234" s="678"/>
    </row>
    <row r="235">
      <c r="D235" s="168"/>
      <c r="G235" s="661"/>
      <c r="I235" s="125"/>
      <c r="J235" s="674"/>
      <c r="K235" s="471"/>
      <c r="L235" s="678"/>
    </row>
    <row r="236">
      <c r="G236" s="661"/>
      <c r="I236" s="125"/>
      <c r="J236" s="674"/>
      <c r="K236" s="471"/>
      <c r="L236" s="678"/>
    </row>
    <row r="237">
      <c r="D237" s="168"/>
      <c r="G237" s="661"/>
      <c r="I237" s="125"/>
      <c r="J237" s="674"/>
      <c r="K237" s="471"/>
      <c r="L237" s="678"/>
    </row>
    <row r="238">
      <c r="D238" s="132"/>
      <c r="G238" s="661"/>
      <c r="I238" s="125"/>
      <c r="J238" s="674"/>
      <c r="K238" s="471"/>
      <c r="L238" s="678"/>
    </row>
    <row r="239">
      <c r="D239" s="132"/>
      <c r="G239" s="661"/>
      <c r="I239" s="125"/>
      <c r="J239" s="674"/>
      <c r="K239" s="471"/>
      <c r="L239" s="678"/>
    </row>
    <row r="240">
      <c r="D240" s="132"/>
      <c r="G240" s="661"/>
      <c r="I240" s="125"/>
      <c r="J240" s="674"/>
      <c r="K240" s="471"/>
      <c r="L240" s="678"/>
    </row>
    <row r="241">
      <c r="D241" s="132"/>
      <c r="G241" s="661"/>
      <c r="I241" s="125"/>
      <c r="J241" s="674"/>
      <c r="K241" s="471"/>
      <c r="L241" s="678"/>
    </row>
    <row r="242">
      <c r="D242" s="132"/>
      <c r="G242" s="661"/>
      <c r="I242" s="125"/>
      <c r="J242" s="674"/>
      <c r="K242" s="471"/>
      <c r="L242" s="678"/>
    </row>
    <row r="243">
      <c r="G243" s="661"/>
      <c r="I243" s="125"/>
      <c r="J243" s="674"/>
      <c r="K243" s="471"/>
      <c r="L243" s="678"/>
    </row>
    <row r="244">
      <c r="D244" s="132"/>
      <c r="G244" s="661"/>
      <c r="I244" s="125"/>
      <c r="J244" s="674"/>
      <c r="K244" s="471"/>
      <c r="L244" s="678"/>
    </row>
    <row r="245">
      <c r="D245" s="132"/>
      <c r="G245" s="661"/>
      <c r="I245" s="125"/>
      <c r="J245" s="674"/>
      <c r="K245" s="471"/>
      <c r="L245" s="678"/>
    </row>
    <row r="246">
      <c r="D246" s="132"/>
      <c r="G246" s="661"/>
      <c r="I246" s="125"/>
      <c r="J246" s="674"/>
      <c r="K246" s="471"/>
      <c r="L246" s="678"/>
    </row>
    <row r="247">
      <c r="D247" s="132"/>
      <c r="G247" s="661"/>
      <c r="I247" s="125"/>
      <c r="J247" s="674"/>
      <c r="K247" s="471"/>
      <c r="L247" s="678"/>
    </row>
    <row r="248">
      <c r="D248" s="170"/>
      <c r="G248" s="661"/>
      <c r="I248" s="125"/>
      <c r="J248" s="674"/>
      <c r="K248" s="471"/>
      <c r="L248" s="678"/>
    </row>
    <row r="249">
      <c r="D249" s="132"/>
      <c r="G249" s="661"/>
      <c r="I249" s="125"/>
      <c r="J249" s="674"/>
      <c r="K249" s="471"/>
      <c r="L249" s="678"/>
    </row>
    <row r="250">
      <c r="D250" s="149"/>
      <c r="G250" s="661"/>
      <c r="I250" s="125"/>
      <c r="J250" s="674"/>
      <c r="K250" s="471"/>
      <c r="L250" s="678"/>
    </row>
    <row r="251">
      <c r="D251" s="132"/>
      <c r="G251" s="661"/>
      <c r="I251" s="125"/>
      <c r="J251" s="674"/>
      <c r="K251" s="471"/>
      <c r="L251" s="678"/>
    </row>
    <row r="252">
      <c r="D252" s="208"/>
      <c r="G252" s="661"/>
      <c r="I252" s="125"/>
      <c r="J252" s="674"/>
      <c r="K252" s="471"/>
      <c r="L252" s="678"/>
    </row>
    <row r="253">
      <c r="D253" s="132"/>
      <c r="G253" s="661"/>
      <c r="I253" s="125"/>
      <c r="J253" s="674"/>
      <c r="K253" s="471"/>
      <c r="L253" s="678"/>
    </row>
    <row r="254">
      <c r="D254" s="132"/>
      <c r="G254" s="661"/>
      <c r="I254" s="125"/>
      <c r="J254" s="674"/>
      <c r="K254" s="471"/>
      <c r="L254" s="678"/>
    </row>
    <row r="255">
      <c r="G255" s="661"/>
      <c r="I255" s="125"/>
      <c r="J255" s="674"/>
      <c r="K255" s="471"/>
      <c r="L255" s="678"/>
    </row>
    <row r="256">
      <c r="D256" s="170"/>
      <c r="G256" s="661"/>
      <c r="I256" s="125"/>
      <c r="J256" s="674"/>
      <c r="K256" s="471"/>
      <c r="L256" s="678"/>
    </row>
    <row r="257">
      <c r="D257" s="132"/>
      <c r="G257" s="661"/>
      <c r="I257" s="125"/>
      <c r="J257" s="674"/>
      <c r="K257" s="471"/>
      <c r="L257" s="678"/>
    </row>
    <row r="258">
      <c r="D258" s="149"/>
      <c r="G258" s="661"/>
      <c r="I258" s="125"/>
      <c r="J258" s="674"/>
      <c r="K258" s="471"/>
      <c r="L258" s="678"/>
    </row>
    <row r="259">
      <c r="D259" s="132"/>
      <c r="G259" s="661"/>
      <c r="I259" s="125"/>
      <c r="J259" s="674"/>
      <c r="K259" s="471"/>
      <c r="L259" s="678"/>
    </row>
    <row r="260">
      <c r="D260" s="132"/>
      <c r="G260" s="661"/>
      <c r="I260" s="125"/>
      <c r="J260" s="674"/>
      <c r="K260" s="471"/>
      <c r="L260" s="678"/>
    </row>
    <row r="261">
      <c r="D261" s="132"/>
      <c r="G261" s="661"/>
      <c r="I261" s="125"/>
      <c r="J261" s="674"/>
      <c r="K261" s="471"/>
      <c r="L261" s="678"/>
    </row>
    <row r="262">
      <c r="D262" s="132"/>
      <c r="G262" s="661"/>
      <c r="I262" s="125"/>
      <c r="J262" s="674"/>
      <c r="K262" s="471"/>
      <c r="L262" s="678"/>
    </row>
    <row r="263">
      <c r="D263" s="132"/>
      <c r="G263" s="661"/>
      <c r="I263" s="125"/>
      <c r="J263" s="674"/>
      <c r="K263" s="471"/>
      <c r="L263" s="678"/>
    </row>
    <row r="264">
      <c r="D264" s="132"/>
      <c r="G264" s="661"/>
      <c r="I264" s="125"/>
      <c r="J264" s="674"/>
      <c r="K264" s="471"/>
      <c r="L264" s="678"/>
    </row>
    <row r="265">
      <c r="D265" s="132"/>
      <c r="G265" s="661"/>
      <c r="I265" s="125"/>
      <c r="J265" s="674"/>
      <c r="K265" s="471"/>
      <c r="L265" s="678"/>
    </row>
    <row r="266">
      <c r="D266" s="132"/>
      <c r="G266" s="661"/>
      <c r="I266" s="125"/>
      <c r="J266" s="674"/>
      <c r="K266" s="471"/>
      <c r="L266" s="678"/>
    </row>
    <row r="267">
      <c r="D267" s="132"/>
      <c r="G267" s="661"/>
      <c r="I267" s="125"/>
      <c r="J267" s="674"/>
      <c r="K267" s="471"/>
      <c r="L267" s="678"/>
    </row>
    <row r="268">
      <c r="D268" s="132"/>
      <c r="G268" s="661"/>
      <c r="I268" s="125"/>
      <c r="J268" s="674"/>
      <c r="K268" s="471"/>
      <c r="L268" s="678"/>
    </row>
    <row r="269">
      <c r="D269" s="132"/>
      <c r="G269" s="661"/>
      <c r="I269" s="125"/>
      <c r="J269" s="674"/>
      <c r="K269" s="471"/>
      <c r="L269" s="678"/>
    </row>
    <row r="270">
      <c r="D270" s="139"/>
      <c r="G270" s="661"/>
      <c r="I270" s="125"/>
      <c r="J270" s="674"/>
      <c r="K270" s="471"/>
      <c r="L270" s="678"/>
    </row>
    <row r="271">
      <c r="D271" s="134"/>
      <c r="G271" s="661"/>
      <c r="I271" s="125"/>
      <c r="J271" s="674"/>
      <c r="K271" s="471"/>
      <c r="L271" s="678"/>
    </row>
    <row r="272">
      <c r="D272" s="124"/>
      <c r="G272" s="661"/>
      <c r="I272" s="125"/>
      <c r="J272" s="674"/>
      <c r="K272" s="471"/>
      <c r="L272" s="678"/>
    </row>
    <row r="273">
      <c r="D273" s="124"/>
      <c r="G273" s="661"/>
      <c r="I273" s="125"/>
      <c r="J273" s="674"/>
      <c r="K273" s="471"/>
      <c r="L273" s="678"/>
    </row>
    <row r="274">
      <c r="G274" s="661"/>
      <c r="I274" s="125"/>
      <c r="J274" s="674"/>
      <c r="K274" s="471"/>
      <c r="L274" s="678"/>
    </row>
    <row r="275">
      <c r="D275" s="132"/>
      <c r="G275" s="661"/>
      <c r="I275" s="125"/>
      <c r="J275" s="674"/>
      <c r="K275" s="471"/>
      <c r="L275" s="678"/>
    </row>
    <row r="276">
      <c r="G276" s="661"/>
      <c r="I276" s="125"/>
      <c r="J276" s="674"/>
      <c r="K276" s="471"/>
      <c r="L276" s="678"/>
    </row>
    <row r="277">
      <c r="G277" s="661"/>
      <c r="I277" s="125"/>
      <c r="J277" s="674"/>
      <c r="K277" s="471"/>
      <c r="L277" s="678"/>
    </row>
    <row r="278">
      <c r="D278" s="132"/>
      <c r="G278" s="661"/>
      <c r="I278" s="125"/>
      <c r="J278" s="674"/>
      <c r="K278" s="471"/>
      <c r="L278" s="678"/>
    </row>
    <row r="279">
      <c r="D279" s="132"/>
      <c r="G279" s="661"/>
      <c r="I279" s="125"/>
      <c r="J279" s="674"/>
      <c r="K279" s="471"/>
      <c r="L279" s="678"/>
    </row>
    <row r="280">
      <c r="G280" s="661"/>
      <c r="I280" s="125"/>
      <c r="J280" s="674"/>
      <c r="K280" s="471"/>
      <c r="L280" s="678"/>
    </row>
    <row r="281">
      <c r="D281" s="132"/>
      <c r="G281" s="661"/>
      <c r="I281" s="125"/>
      <c r="J281" s="674"/>
      <c r="K281" s="471"/>
      <c r="L281" s="678"/>
    </row>
    <row r="282">
      <c r="D282" s="132"/>
      <c r="G282" s="661"/>
      <c r="I282" s="125"/>
      <c r="J282" s="674"/>
      <c r="K282" s="471"/>
      <c r="L282" s="678"/>
    </row>
    <row r="283">
      <c r="D283" s="132"/>
      <c r="G283" s="661"/>
      <c r="I283" s="125"/>
      <c r="J283" s="674"/>
      <c r="K283" s="471"/>
      <c r="L283" s="678"/>
    </row>
    <row r="284">
      <c r="D284" s="132"/>
      <c r="G284" s="661"/>
      <c r="I284" s="125"/>
      <c r="J284" s="674"/>
      <c r="K284" s="471"/>
      <c r="L284" s="678"/>
    </row>
    <row r="285">
      <c r="D285" s="132"/>
      <c r="G285" s="661"/>
      <c r="I285" s="125"/>
      <c r="J285" s="674"/>
      <c r="K285" s="471"/>
      <c r="L285" s="678"/>
    </row>
    <row r="286">
      <c r="D286" s="168"/>
      <c r="G286" s="661"/>
      <c r="I286" s="125"/>
      <c r="J286" s="674"/>
      <c r="K286" s="471"/>
      <c r="L286" s="678"/>
    </row>
    <row r="287">
      <c r="D287" s="132"/>
      <c r="G287" s="661"/>
      <c r="I287" s="125"/>
      <c r="J287" s="674"/>
      <c r="K287" s="471"/>
      <c r="L287" s="678"/>
    </row>
    <row r="288">
      <c r="G288" s="661"/>
      <c r="I288" s="125"/>
      <c r="J288" s="674"/>
      <c r="K288" s="471"/>
      <c r="L288" s="678"/>
    </row>
    <row r="289">
      <c r="D289" s="132"/>
      <c r="G289" s="661"/>
      <c r="I289" s="125"/>
      <c r="J289" s="674"/>
      <c r="K289" s="471"/>
      <c r="L289" s="678"/>
    </row>
    <row r="290">
      <c r="D290" s="270"/>
      <c r="G290" s="661"/>
      <c r="I290" s="125"/>
      <c r="J290" s="674"/>
      <c r="K290" s="471"/>
      <c r="L290" s="678"/>
    </row>
    <row r="291">
      <c r="D291" s="132"/>
      <c r="G291" s="661"/>
      <c r="I291" s="125"/>
      <c r="J291" s="674"/>
      <c r="K291" s="471"/>
      <c r="L291" s="678"/>
    </row>
    <row r="292">
      <c r="D292" s="132"/>
      <c r="G292" s="661"/>
      <c r="I292" s="125"/>
      <c r="J292" s="674"/>
      <c r="K292" s="471"/>
      <c r="L292" s="678"/>
    </row>
    <row r="293">
      <c r="D293" s="132"/>
      <c r="G293" s="661"/>
      <c r="I293" s="125"/>
      <c r="J293" s="674"/>
      <c r="K293" s="471"/>
      <c r="L293" s="678"/>
    </row>
    <row r="294">
      <c r="D294" s="132"/>
      <c r="G294" s="661"/>
      <c r="I294" s="125"/>
      <c r="J294" s="674"/>
      <c r="K294" s="471"/>
      <c r="L294" s="678"/>
    </row>
    <row r="295">
      <c r="D295" s="132"/>
      <c r="G295" s="661"/>
      <c r="I295" s="125"/>
      <c r="J295" s="674"/>
      <c r="K295" s="471"/>
      <c r="L295" s="678"/>
    </row>
    <row r="296">
      <c r="D296" s="132"/>
      <c r="G296" s="661"/>
      <c r="I296" s="125"/>
      <c r="J296" s="674"/>
      <c r="K296" s="471"/>
      <c r="L296" s="678"/>
    </row>
    <row r="297">
      <c r="D297" s="132"/>
      <c r="G297" s="661"/>
      <c r="I297" s="125"/>
      <c r="J297" s="674"/>
      <c r="K297" s="471"/>
      <c r="L297" s="678"/>
    </row>
    <row r="298">
      <c r="D298" s="132"/>
      <c r="G298" s="661"/>
      <c r="I298" s="125"/>
      <c r="J298" s="674"/>
      <c r="K298" s="471"/>
      <c r="L298" s="678"/>
    </row>
    <row r="299">
      <c r="D299" s="132"/>
      <c r="G299" s="661"/>
      <c r="I299" s="125"/>
      <c r="J299" s="674"/>
      <c r="K299" s="471"/>
      <c r="L299" s="678"/>
    </row>
    <row r="300">
      <c r="D300" s="132"/>
      <c r="G300" s="661"/>
      <c r="I300" s="125"/>
      <c r="J300" s="674"/>
      <c r="K300" s="471"/>
      <c r="L300" s="678"/>
    </row>
    <row r="301">
      <c r="D301" s="132"/>
      <c r="G301" s="661"/>
      <c r="I301" s="125"/>
      <c r="J301" s="674"/>
      <c r="K301" s="471"/>
      <c r="L301" s="678"/>
    </row>
    <row r="302">
      <c r="D302" s="132"/>
      <c r="G302" s="661"/>
      <c r="I302" s="125"/>
      <c r="J302" s="674"/>
      <c r="K302" s="471"/>
      <c r="L302" s="678"/>
    </row>
    <row r="303">
      <c r="D303" s="132"/>
      <c r="G303" s="661"/>
      <c r="I303" s="125"/>
      <c r="J303" s="674"/>
      <c r="K303" s="471"/>
      <c r="L303" s="678"/>
    </row>
    <row r="304">
      <c r="G304" s="661"/>
      <c r="I304" s="125"/>
      <c r="J304" s="674"/>
      <c r="K304" s="471"/>
      <c r="L304" s="678"/>
    </row>
    <row r="305">
      <c r="D305" s="132"/>
      <c r="G305" s="661"/>
      <c r="I305" s="125"/>
      <c r="J305" s="674"/>
      <c r="K305" s="471"/>
      <c r="L305" s="678"/>
    </row>
    <row r="306">
      <c r="D306" s="132"/>
      <c r="G306" s="661"/>
      <c r="I306" s="125"/>
      <c r="J306" s="674"/>
      <c r="K306" s="471"/>
      <c r="L306" s="678"/>
    </row>
    <row r="307">
      <c r="D307" s="132"/>
      <c r="G307" s="661"/>
      <c r="I307" s="125"/>
      <c r="J307" s="674"/>
      <c r="K307" s="471"/>
      <c r="L307" s="678"/>
    </row>
    <row r="308">
      <c r="G308" s="661"/>
      <c r="I308" s="125"/>
      <c r="J308" s="674"/>
      <c r="K308" s="471"/>
      <c r="L308" s="678"/>
    </row>
    <row r="309">
      <c r="D309" s="132"/>
      <c r="G309" s="661"/>
      <c r="I309" s="125"/>
      <c r="J309" s="674"/>
      <c r="K309" s="471"/>
      <c r="L309" s="678"/>
    </row>
    <row r="310">
      <c r="D310" s="132"/>
      <c r="G310" s="661"/>
      <c r="I310" s="125"/>
      <c r="J310" s="674"/>
      <c r="K310" s="471"/>
      <c r="L310" s="678"/>
    </row>
    <row r="311">
      <c r="D311" s="149"/>
      <c r="G311" s="661"/>
      <c r="I311" s="125"/>
      <c r="J311" s="674"/>
      <c r="K311" s="471"/>
      <c r="L311" s="678"/>
    </row>
    <row r="312">
      <c r="D312" s="132"/>
      <c r="G312" s="661"/>
      <c r="I312" s="125"/>
      <c r="J312" s="674"/>
      <c r="K312" s="471"/>
      <c r="L312" s="678"/>
    </row>
    <row r="313">
      <c r="D313" s="132"/>
      <c r="G313" s="661"/>
      <c r="I313" s="125"/>
      <c r="J313" s="674"/>
      <c r="K313" s="471"/>
      <c r="L313" s="678"/>
    </row>
    <row r="314">
      <c r="D314" s="132"/>
      <c r="G314" s="661"/>
      <c r="I314" s="125"/>
      <c r="J314" s="674"/>
      <c r="K314" s="471"/>
      <c r="L314" s="678"/>
    </row>
    <row r="315">
      <c r="D315" s="132"/>
      <c r="G315" s="661"/>
      <c r="I315" s="125"/>
      <c r="J315" s="674"/>
      <c r="K315" s="471"/>
      <c r="L315" s="678"/>
    </row>
    <row r="316">
      <c r="D316" s="132"/>
      <c r="G316" s="661"/>
      <c r="I316" s="125"/>
      <c r="J316" s="674"/>
      <c r="K316" s="471"/>
      <c r="L316" s="678"/>
    </row>
    <row r="317">
      <c r="D317" s="132"/>
      <c r="G317" s="661"/>
      <c r="I317" s="125"/>
      <c r="J317" s="674"/>
      <c r="K317" s="471"/>
      <c r="L317" s="678"/>
    </row>
    <row r="318">
      <c r="D318" s="132"/>
      <c r="G318" s="661"/>
      <c r="I318" s="125"/>
      <c r="J318" s="674"/>
      <c r="K318" s="471"/>
      <c r="L318" s="678"/>
    </row>
    <row r="319">
      <c r="D319" s="132"/>
      <c r="G319" s="661"/>
      <c r="I319" s="125"/>
      <c r="J319" s="674"/>
      <c r="K319" s="471"/>
      <c r="L319" s="678"/>
    </row>
    <row r="320">
      <c r="D320" s="132"/>
      <c r="G320" s="661"/>
      <c r="I320" s="125"/>
      <c r="J320" s="674"/>
      <c r="K320" s="471"/>
      <c r="L320" s="678"/>
    </row>
    <row r="321">
      <c r="D321" s="132"/>
      <c r="G321" s="661"/>
      <c r="I321" s="125"/>
      <c r="J321" s="674"/>
      <c r="K321" s="471"/>
      <c r="L321" s="678"/>
    </row>
    <row r="322">
      <c r="G322" s="661"/>
      <c r="I322" s="125"/>
      <c r="J322" s="674"/>
      <c r="K322" s="471"/>
      <c r="L322" s="678"/>
    </row>
    <row r="323">
      <c r="G323" s="661"/>
      <c r="I323" s="125"/>
      <c r="J323" s="674"/>
      <c r="K323" s="471"/>
      <c r="L323" s="678"/>
    </row>
    <row r="324">
      <c r="D324" s="132"/>
      <c r="G324" s="661"/>
      <c r="I324" s="125"/>
      <c r="J324" s="674"/>
      <c r="K324" s="471"/>
      <c r="L324" s="678"/>
    </row>
    <row r="325">
      <c r="D325" s="132"/>
      <c r="G325" s="661"/>
      <c r="I325" s="125"/>
      <c r="J325" s="674"/>
      <c r="K325" s="471"/>
      <c r="L325" s="678"/>
    </row>
    <row r="326">
      <c r="G326" s="661"/>
      <c r="I326" s="125"/>
      <c r="J326" s="674"/>
      <c r="K326" s="471"/>
      <c r="L326" s="678"/>
    </row>
    <row r="327">
      <c r="D327" s="132"/>
      <c r="G327" s="661"/>
      <c r="I327" s="125"/>
      <c r="J327" s="674"/>
      <c r="K327" s="471"/>
      <c r="L327" s="678"/>
    </row>
    <row r="328">
      <c r="G328" s="661"/>
      <c r="I328" s="125"/>
      <c r="J328" s="674"/>
      <c r="K328" s="471"/>
      <c r="L328" s="678"/>
    </row>
    <row r="329">
      <c r="D329" s="132"/>
      <c r="G329" s="661"/>
      <c r="I329" s="125"/>
      <c r="J329" s="674"/>
      <c r="K329" s="471"/>
      <c r="L329" s="678"/>
    </row>
    <row r="330">
      <c r="D330" s="132"/>
      <c r="G330" s="661"/>
      <c r="I330" s="125"/>
      <c r="J330" s="674"/>
      <c r="K330" s="471"/>
      <c r="L330" s="678"/>
    </row>
    <row r="331">
      <c r="D331" s="132"/>
      <c r="G331" s="661"/>
      <c r="I331" s="125"/>
      <c r="J331" s="674"/>
      <c r="K331" s="471"/>
      <c r="L331" s="678"/>
    </row>
    <row r="332">
      <c r="D332" s="132"/>
      <c r="G332" s="661"/>
      <c r="I332" s="125"/>
      <c r="J332" s="674"/>
      <c r="K332" s="471"/>
      <c r="L332" s="678"/>
    </row>
    <row r="333">
      <c r="D333" s="132"/>
      <c r="G333" s="661"/>
      <c r="I333" s="125"/>
      <c r="J333" s="674"/>
      <c r="K333" s="471"/>
      <c r="L333" s="678"/>
    </row>
    <row r="334">
      <c r="D334" s="132"/>
      <c r="G334" s="661"/>
      <c r="I334" s="125"/>
      <c r="J334" s="674"/>
      <c r="K334" s="471"/>
      <c r="L334" s="678"/>
    </row>
    <row r="335">
      <c r="D335" s="132"/>
      <c r="G335" s="661"/>
      <c r="I335" s="125"/>
      <c r="J335" s="674"/>
      <c r="K335" s="471"/>
      <c r="L335" s="678"/>
    </row>
    <row r="336">
      <c r="D336" s="132"/>
      <c r="G336" s="661"/>
      <c r="I336" s="125"/>
      <c r="J336" s="674"/>
      <c r="K336" s="471"/>
      <c r="L336" s="678"/>
    </row>
    <row r="337">
      <c r="D337" s="132"/>
      <c r="G337" s="661"/>
      <c r="I337" s="125"/>
      <c r="J337" s="674"/>
      <c r="K337" s="471"/>
      <c r="L337" s="678"/>
    </row>
    <row r="338">
      <c r="G338" s="661"/>
      <c r="I338" s="125"/>
      <c r="J338" s="674"/>
      <c r="K338" s="471"/>
      <c r="L338" s="678"/>
    </row>
    <row r="339">
      <c r="D339" s="132"/>
      <c r="G339" s="661"/>
      <c r="I339" s="125"/>
      <c r="J339" s="674"/>
      <c r="K339" s="471"/>
      <c r="L339" s="678"/>
    </row>
    <row r="340">
      <c r="D340" s="132"/>
      <c r="G340" s="661"/>
      <c r="I340" s="125"/>
      <c r="J340" s="674"/>
      <c r="K340" s="471"/>
      <c r="L340" s="678"/>
    </row>
    <row r="341">
      <c r="D341" s="132"/>
      <c r="G341" s="661"/>
      <c r="I341" s="125"/>
      <c r="J341" s="674"/>
      <c r="K341" s="471"/>
      <c r="L341" s="678"/>
    </row>
    <row r="342">
      <c r="D342" s="132"/>
      <c r="G342" s="661"/>
      <c r="I342" s="125"/>
      <c r="J342" s="674"/>
      <c r="K342" s="471"/>
      <c r="L342" s="678"/>
    </row>
    <row r="343">
      <c r="D343" s="149"/>
      <c r="G343" s="661"/>
      <c r="I343" s="125"/>
      <c r="J343" s="674"/>
      <c r="K343" s="471"/>
      <c r="L343" s="678"/>
    </row>
    <row r="344">
      <c r="D344" s="132"/>
      <c r="G344" s="661"/>
      <c r="I344" s="125"/>
      <c r="J344" s="674"/>
      <c r="K344" s="471"/>
      <c r="L344" s="678"/>
    </row>
    <row r="345">
      <c r="D345" s="132"/>
      <c r="G345" s="661"/>
      <c r="I345" s="125"/>
      <c r="J345" s="674"/>
      <c r="K345" s="471"/>
      <c r="L345" s="678"/>
    </row>
    <row r="346">
      <c r="D346" s="132"/>
      <c r="G346" s="661"/>
      <c r="I346" s="125"/>
      <c r="J346" s="674"/>
      <c r="K346" s="471"/>
      <c r="L346" s="678"/>
    </row>
    <row r="347">
      <c r="D347" s="168"/>
      <c r="G347" s="661"/>
      <c r="I347" s="125"/>
      <c r="J347" s="674"/>
      <c r="K347" s="471"/>
      <c r="L347" s="678"/>
    </row>
    <row r="348">
      <c r="D348" s="132"/>
      <c r="G348" s="661"/>
      <c r="I348" s="125"/>
      <c r="J348" s="674"/>
      <c r="K348" s="471"/>
      <c r="L348" s="678"/>
    </row>
    <row r="349">
      <c r="D349" s="132"/>
      <c r="G349" s="661"/>
      <c r="I349" s="125"/>
      <c r="J349" s="674"/>
      <c r="K349" s="471"/>
      <c r="L349" s="678"/>
    </row>
    <row r="350">
      <c r="G350" s="661"/>
      <c r="I350" s="125"/>
      <c r="J350" s="674"/>
      <c r="K350" s="471"/>
      <c r="L350" s="678"/>
    </row>
    <row r="351">
      <c r="D351" s="132"/>
      <c r="G351" s="661"/>
      <c r="I351" s="125"/>
      <c r="J351" s="674"/>
      <c r="K351" s="471"/>
      <c r="L351" s="678"/>
    </row>
    <row r="352">
      <c r="G352" s="661"/>
      <c r="I352" s="125"/>
      <c r="J352" s="674"/>
      <c r="K352" s="471"/>
      <c r="L352" s="678"/>
    </row>
    <row r="353">
      <c r="D353" s="139"/>
      <c r="G353" s="661"/>
      <c r="I353" s="125"/>
      <c r="J353" s="674"/>
      <c r="K353" s="471"/>
      <c r="L353" s="678"/>
    </row>
    <row r="354">
      <c r="D354" s="134"/>
      <c r="G354" s="661"/>
      <c r="I354" s="125"/>
      <c r="J354" s="674"/>
      <c r="K354" s="471"/>
      <c r="L354" s="678"/>
    </row>
    <row r="355">
      <c r="D355" s="124"/>
      <c r="G355" s="661"/>
      <c r="I355" s="125"/>
      <c r="J355" s="674"/>
      <c r="K355" s="471"/>
      <c r="L355" s="678"/>
    </row>
    <row r="356">
      <c r="D356" s="124"/>
      <c r="G356" s="661"/>
      <c r="I356" s="125"/>
      <c r="J356" s="674"/>
      <c r="K356" s="471"/>
      <c r="L356" s="678"/>
    </row>
    <row r="357">
      <c r="D357" s="149"/>
      <c r="G357" s="661"/>
      <c r="I357" s="125"/>
      <c r="J357" s="674"/>
      <c r="K357" s="471"/>
      <c r="L357" s="678"/>
    </row>
    <row r="358">
      <c r="D358" s="132"/>
      <c r="G358" s="661"/>
      <c r="I358" s="125"/>
      <c r="J358" s="674"/>
      <c r="K358" s="471"/>
      <c r="L358" s="678"/>
    </row>
    <row r="359">
      <c r="D359" s="132"/>
      <c r="G359" s="661"/>
      <c r="I359" s="125"/>
      <c r="J359" s="674"/>
      <c r="K359" s="471"/>
      <c r="L359" s="678"/>
    </row>
    <row r="360">
      <c r="D360" s="132"/>
      <c r="G360" s="661"/>
      <c r="I360" s="125"/>
      <c r="J360" s="674"/>
      <c r="K360" s="471"/>
      <c r="L360" s="678"/>
    </row>
    <row r="361">
      <c r="D361" s="132"/>
      <c r="G361" s="661"/>
      <c r="I361" s="125"/>
      <c r="J361" s="674"/>
      <c r="K361" s="471"/>
      <c r="L361" s="678"/>
    </row>
    <row r="362">
      <c r="D362" s="168"/>
      <c r="G362" s="661"/>
      <c r="I362" s="125"/>
      <c r="J362" s="674"/>
      <c r="K362" s="471"/>
      <c r="L362" s="678"/>
    </row>
    <row r="363">
      <c r="D363" s="132"/>
      <c r="G363" s="661"/>
      <c r="I363" s="125"/>
      <c r="J363" s="674"/>
      <c r="K363" s="471"/>
      <c r="L363" s="678"/>
    </row>
    <row r="364">
      <c r="D364" s="132"/>
      <c r="G364" s="661"/>
      <c r="I364" s="125"/>
      <c r="J364" s="674"/>
      <c r="K364" s="471"/>
      <c r="L364" s="678"/>
    </row>
    <row r="365">
      <c r="G365" s="661"/>
      <c r="I365" s="125"/>
      <c r="J365" s="674"/>
      <c r="K365" s="471"/>
      <c r="L365" s="678"/>
    </row>
    <row r="366">
      <c r="D366" s="132"/>
      <c r="G366" s="661"/>
      <c r="I366" s="125"/>
      <c r="J366" s="674"/>
      <c r="K366" s="471"/>
      <c r="L366" s="678"/>
    </row>
    <row r="367">
      <c r="D367" s="132"/>
      <c r="G367" s="661"/>
      <c r="I367" s="125"/>
      <c r="J367" s="674"/>
      <c r="K367" s="471"/>
      <c r="L367" s="678"/>
    </row>
    <row r="368">
      <c r="D368" s="132"/>
      <c r="G368" s="661"/>
      <c r="I368" s="125"/>
      <c r="J368" s="674"/>
      <c r="K368" s="471"/>
      <c r="L368" s="678"/>
    </row>
    <row r="369">
      <c r="G369" s="661"/>
      <c r="I369" s="125"/>
      <c r="J369" s="674"/>
      <c r="K369" s="471"/>
      <c r="L369" s="678"/>
    </row>
    <row r="370">
      <c r="D370" s="132"/>
      <c r="G370" s="661"/>
      <c r="I370" s="125"/>
      <c r="J370" s="674"/>
      <c r="K370" s="471"/>
      <c r="L370" s="678"/>
    </row>
    <row r="371">
      <c r="D371" s="132"/>
      <c r="G371" s="661"/>
      <c r="I371" s="125"/>
      <c r="J371" s="674"/>
      <c r="K371" s="471"/>
      <c r="L371" s="678"/>
    </row>
    <row r="372">
      <c r="D372" s="168"/>
      <c r="G372" s="661"/>
      <c r="I372" s="125"/>
      <c r="J372" s="674"/>
      <c r="K372" s="471"/>
      <c r="L372" s="678"/>
    </row>
    <row r="373">
      <c r="D373" s="132"/>
      <c r="G373" s="661"/>
      <c r="I373" s="125"/>
      <c r="J373" s="674"/>
      <c r="K373" s="471"/>
      <c r="L373" s="678"/>
    </row>
    <row r="374">
      <c r="D374" s="170"/>
      <c r="G374" s="661"/>
      <c r="I374" s="125"/>
      <c r="J374" s="674"/>
      <c r="K374" s="471"/>
      <c r="L374" s="678"/>
    </row>
    <row r="375">
      <c r="D375" s="168"/>
      <c r="G375" s="661"/>
      <c r="I375" s="125"/>
      <c r="J375" s="674"/>
      <c r="K375" s="471"/>
      <c r="L375" s="678"/>
    </row>
    <row r="376">
      <c r="D376" s="132"/>
      <c r="G376" s="661"/>
      <c r="I376" s="125"/>
      <c r="J376" s="674"/>
      <c r="K376" s="471"/>
      <c r="L376" s="678"/>
    </row>
    <row r="377">
      <c r="D377" s="132"/>
      <c r="G377" s="661"/>
      <c r="I377" s="125"/>
      <c r="J377" s="674"/>
      <c r="K377" s="471"/>
      <c r="L377" s="678"/>
    </row>
    <row r="378">
      <c r="D378" s="132"/>
      <c r="G378" s="661"/>
      <c r="I378" s="125"/>
      <c r="J378" s="674"/>
      <c r="K378" s="471"/>
      <c r="L378" s="678"/>
    </row>
    <row r="379">
      <c r="D379" s="168"/>
      <c r="G379" s="661"/>
      <c r="I379" s="125"/>
      <c r="J379" s="674"/>
      <c r="K379" s="471"/>
      <c r="L379" s="678"/>
    </row>
    <row r="380">
      <c r="D380" s="132"/>
      <c r="G380" s="661"/>
      <c r="I380" s="125"/>
      <c r="J380" s="674"/>
      <c r="K380" s="471"/>
      <c r="L380" s="678"/>
    </row>
    <row r="381">
      <c r="D381" s="132"/>
      <c r="G381" s="661"/>
      <c r="I381" s="125"/>
      <c r="J381" s="674"/>
      <c r="K381" s="471"/>
      <c r="L381" s="678"/>
    </row>
    <row r="382">
      <c r="D382" s="270"/>
      <c r="G382" s="661"/>
      <c r="I382" s="125"/>
      <c r="J382" s="674"/>
      <c r="K382" s="471"/>
      <c r="L382" s="678"/>
    </row>
    <row r="383">
      <c r="D383" s="132"/>
      <c r="G383" s="661"/>
      <c r="I383" s="125"/>
      <c r="J383" s="674"/>
      <c r="K383" s="471"/>
      <c r="L383" s="678"/>
    </row>
    <row r="384">
      <c r="D384" s="132"/>
      <c r="G384" s="661"/>
      <c r="I384" s="125"/>
      <c r="J384" s="674"/>
      <c r="K384" s="471"/>
      <c r="L384" s="678"/>
    </row>
    <row r="385">
      <c r="G385" s="661"/>
      <c r="I385" s="125"/>
      <c r="J385" s="674"/>
      <c r="K385" s="471"/>
      <c r="L385" s="678"/>
    </row>
    <row r="386">
      <c r="D386" s="132"/>
      <c r="G386" s="661"/>
      <c r="I386" s="125"/>
      <c r="J386" s="674"/>
      <c r="K386" s="471"/>
      <c r="L386" s="678"/>
    </row>
    <row r="387">
      <c r="D387" s="132"/>
      <c r="G387" s="661"/>
      <c r="I387" s="125"/>
      <c r="J387" s="674"/>
      <c r="K387" s="471"/>
      <c r="L387" s="678"/>
    </row>
    <row r="388">
      <c r="G388" s="661"/>
      <c r="I388" s="125"/>
      <c r="J388" s="674"/>
      <c r="K388" s="471"/>
      <c r="L388" s="678"/>
    </row>
    <row r="389">
      <c r="D389" s="132"/>
      <c r="G389" s="661"/>
      <c r="I389" s="125"/>
      <c r="J389" s="674"/>
      <c r="K389" s="471"/>
      <c r="L389" s="678"/>
    </row>
    <row r="390">
      <c r="D390" s="170"/>
      <c r="G390" s="661"/>
      <c r="I390" s="125"/>
      <c r="J390" s="674"/>
      <c r="K390" s="471"/>
      <c r="L390" s="678"/>
    </row>
    <row r="391">
      <c r="D391" s="139"/>
      <c r="G391" s="661"/>
      <c r="I391" s="125"/>
      <c r="J391" s="674"/>
      <c r="K391" s="471"/>
      <c r="L391" s="678"/>
    </row>
    <row r="392">
      <c r="D392" s="134"/>
      <c r="G392" s="661"/>
      <c r="I392" s="125"/>
      <c r="J392" s="674"/>
      <c r="K392" s="471"/>
      <c r="L392" s="678"/>
    </row>
    <row r="393">
      <c r="D393" s="124"/>
      <c r="G393" s="661"/>
      <c r="I393" s="125"/>
      <c r="J393" s="674"/>
      <c r="K393" s="471"/>
      <c r="L393" s="678"/>
    </row>
    <row r="394">
      <c r="D394" s="124"/>
      <c r="G394" s="661"/>
      <c r="I394" s="125"/>
      <c r="J394" s="674"/>
      <c r="K394" s="471"/>
      <c r="L394" s="678"/>
    </row>
    <row r="395">
      <c r="D395" s="132"/>
      <c r="G395" s="661"/>
      <c r="I395" s="125"/>
      <c r="J395" s="674"/>
      <c r="K395" s="471"/>
      <c r="L395" s="678"/>
    </row>
    <row r="396">
      <c r="D396" s="132"/>
      <c r="G396" s="661"/>
      <c r="I396" s="125"/>
      <c r="J396" s="674"/>
      <c r="K396" s="471"/>
      <c r="L396" s="678"/>
    </row>
    <row r="397">
      <c r="D397" s="132"/>
      <c r="G397" s="661"/>
      <c r="I397" s="125"/>
      <c r="J397" s="674"/>
      <c r="K397" s="471"/>
      <c r="L397" s="678"/>
    </row>
    <row r="398">
      <c r="D398" s="168"/>
      <c r="G398" s="661"/>
      <c r="I398" s="125"/>
      <c r="J398" s="674"/>
      <c r="K398" s="471"/>
      <c r="L398" s="678"/>
    </row>
    <row r="399">
      <c r="D399" s="132"/>
      <c r="G399" s="661"/>
      <c r="I399" s="125"/>
      <c r="J399" s="674"/>
      <c r="K399" s="471"/>
      <c r="L399" s="678"/>
    </row>
    <row r="400">
      <c r="D400" s="132"/>
      <c r="G400" s="661"/>
      <c r="I400" s="125"/>
      <c r="J400" s="674"/>
      <c r="K400" s="471"/>
      <c r="L400" s="678"/>
    </row>
    <row r="401">
      <c r="D401" s="132"/>
      <c r="G401" s="661"/>
      <c r="I401" s="125"/>
      <c r="J401" s="674"/>
      <c r="K401" s="471"/>
      <c r="L401" s="678"/>
    </row>
    <row r="402">
      <c r="D402" s="132"/>
      <c r="G402" s="661"/>
      <c r="I402" s="125"/>
      <c r="J402" s="674"/>
      <c r="K402" s="471"/>
      <c r="L402" s="678"/>
    </row>
    <row r="403">
      <c r="D403" s="132"/>
      <c r="G403" s="661"/>
      <c r="I403" s="125"/>
      <c r="J403" s="674"/>
      <c r="K403" s="471"/>
      <c r="L403" s="678"/>
    </row>
    <row r="404">
      <c r="D404" s="132"/>
      <c r="G404" s="661"/>
      <c r="I404" s="125"/>
      <c r="J404" s="674"/>
      <c r="K404" s="471"/>
      <c r="L404" s="678"/>
    </row>
    <row r="405">
      <c r="D405" s="132"/>
      <c r="G405" s="661"/>
      <c r="I405" s="125"/>
      <c r="J405" s="674"/>
      <c r="K405" s="471"/>
      <c r="L405" s="678"/>
    </row>
    <row r="406">
      <c r="D406" s="132"/>
      <c r="G406" s="661"/>
      <c r="I406" s="125"/>
      <c r="J406" s="674"/>
      <c r="K406" s="471"/>
      <c r="L406" s="678"/>
    </row>
    <row r="407">
      <c r="D407" s="132"/>
      <c r="G407" s="661"/>
      <c r="I407" s="125"/>
      <c r="J407" s="674"/>
      <c r="K407" s="471"/>
      <c r="L407" s="678"/>
    </row>
    <row r="408">
      <c r="G408" s="661"/>
      <c r="I408" s="125"/>
      <c r="J408" s="674"/>
      <c r="K408" s="471"/>
      <c r="L408" s="678"/>
    </row>
    <row r="409">
      <c r="G409" s="661"/>
      <c r="I409" s="125"/>
      <c r="J409" s="674"/>
      <c r="K409" s="471"/>
      <c r="L409" s="678"/>
    </row>
    <row r="410">
      <c r="G410" s="661"/>
      <c r="I410" s="125"/>
      <c r="J410" s="674"/>
      <c r="K410" s="471"/>
      <c r="L410" s="678"/>
    </row>
    <row r="411">
      <c r="D411" s="132"/>
      <c r="G411" s="661"/>
      <c r="I411" s="125"/>
      <c r="J411" s="674"/>
      <c r="K411" s="471"/>
      <c r="L411" s="678"/>
    </row>
    <row r="412">
      <c r="D412" s="168"/>
      <c r="G412" s="661"/>
      <c r="I412" s="125"/>
      <c r="J412" s="674"/>
      <c r="K412" s="471"/>
      <c r="L412" s="678"/>
    </row>
    <row r="413">
      <c r="D413" s="168"/>
      <c r="G413" s="661"/>
      <c r="I413" s="125"/>
      <c r="J413" s="674"/>
      <c r="K413" s="471"/>
      <c r="L413" s="678"/>
    </row>
    <row r="414">
      <c r="D414" s="132"/>
      <c r="G414" s="661"/>
      <c r="I414" s="125"/>
      <c r="J414" s="674"/>
      <c r="K414" s="471"/>
      <c r="L414" s="678"/>
    </row>
    <row r="415">
      <c r="D415" s="132"/>
      <c r="G415" s="661"/>
      <c r="I415" s="125"/>
      <c r="J415" s="674"/>
      <c r="K415" s="471"/>
      <c r="L415" s="678"/>
    </row>
    <row r="416">
      <c r="D416" s="132"/>
      <c r="G416" s="661"/>
      <c r="I416" s="125"/>
      <c r="J416" s="674"/>
      <c r="K416" s="471"/>
      <c r="L416" s="678"/>
    </row>
    <row r="417">
      <c r="D417" s="168"/>
      <c r="G417" s="661"/>
      <c r="I417" s="125"/>
      <c r="J417" s="674"/>
      <c r="K417" s="471"/>
      <c r="L417" s="678"/>
    </row>
    <row r="418">
      <c r="D418" s="132"/>
      <c r="G418" s="661"/>
      <c r="I418" s="125"/>
      <c r="J418" s="674"/>
      <c r="K418" s="471"/>
      <c r="L418" s="678"/>
    </row>
    <row r="419">
      <c r="D419" s="132"/>
      <c r="G419" s="661"/>
      <c r="I419" s="125"/>
      <c r="J419" s="674"/>
      <c r="K419" s="471"/>
      <c r="L419" s="678"/>
    </row>
    <row r="420">
      <c r="D420" s="132"/>
      <c r="G420" s="661"/>
      <c r="I420" s="125"/>
      <c r="J420" s="674"/>
      <c r="K420" s="471"/>
      <c r="L420" s="678"/>
    </row>
    <row r="421">
      <c r="D421" s="168"/>
      <c r="G421" s="661"/>
      <c r="I421" s="125"/>
      <c r="J421" s="674"/>
      <c r="K421" s="471"/>
      <c r="L421" s="678"/>
    </row>
    <row r="422">
      <c r="D422" s="132"/>
      <c r="G422" s="661"/>
      <c r="I422" s="125"/>
      <c r="J422" s="674"/>
      <c r="K422" s="471"/>
      <c r="L422" s="678"/>
    </row>
    <row r="423">
      <c r="D423" s="132"/>
      <c r="G423" s="661"/>
      <c r="I423" s="125"/>
      <c r="J423" s="674"/>
      <c r="K423" s="471"/>
      <c r="L423" s="678"/>
    </row>
    <row r="424">
      <c r="D424" s="132"/>
      <c r="G424" s="661"/>
      <c r="I424" s="125"/>
      <c r="J424" s="674"/>
      <c r="K424" s="471"/>
      <c r="L424" s="678"/>
    </row>
    <row r="425">
      <c r="D425" s="132"/>
      <c r="G425" s="661"/>
      <c r="I425" s="125"/>
      <c r="J425" s="674"/>
      <c r="K425" s="471"/>
      <c r="L425" s="678"/>
    </row>
    <row r="426">
      <c r="D426" s="132"/>
      <c r="G426" s="661"/>
      <c r="I426" s="125"/>
      <c r="J426" s="674"/>
      <c r="K426" s="471"/>
      <c r="L426" s="678"/>
    </row>
    <row r="427">
      <c r="D427" s="132"/>
      <c r="G427" s="661"/>
      <c r="I427" s="125"/>
      <c r="J427" s="674"/>
      <c r="K427" s="471"/>
      <c r="L427" s="678"/>
    </row>
    <row r="428">
      <c r="G428" s="661"/>
      <c r="I428" s="125"/>
      <c r="J428" s="674"/>
      <c r="K428" s="471"/>
      <c r="L428" s="678"/>
    </row>
    <row r="429">
      <c r="D429" s="132"/>
      <c r="G429" s="661"/>
      <c r="I429" s="125"/>
      <c r="J429" s="674"/>
      <c r="K429" s="471"/>
      <c r="L429" s="678"/>
    </row>
    <row r="430">
      <c r="D430" s="168"/>
      <c r="G430" s="661"/>
      <c r="I430" s="125"/>
      <c r="J430" s="674"/>
      <c r="K430" s="471"/>
      <c r="L430" s="678"/>
    </row>
    <row r="431">
      <c r="D431" s="132"/>
      <c r="G431" s="661"/>
      <c r="I431" s="125"/>
      <c r="J431" s="674"/>
      <c r="K431" s="471"/>
      <c r="L431" s="678"/>
    </row>
    <row r="432">
      <c r="D432" s="270"/>
      <c r="G432" s="661"/>
      <c r="I432" s="125"/>
      <c r="J432" s="674"/>
      <c r="K432" s="471"/>
      <c r="L432" s="678"/>
    </row>
    <row r="433">
      <c r="D433" s="132"/>
      <c r="G433" s="661"/>
      <c r="I433" s="125"/>
      <c r="J433" s="674"/>
      <c r="K433" s="471"/>
      <c r="L433" s="678"/>
    </row>
    <row r="434">
      <c r="D434" s="132"/>
      <c r="G434" s="661"/>
      <c r="I434" s="125"/>
      <c r="J434" s="674"/>
      <c r="K434" s="471"/>
      <c r="L434" s="678"/>
    </row>
    <row r="435">
      <c r="D435" s="132"/>
      <c r="G435" s="661"/>
      <c r="I435" s="125"/>
      <c r="J435" s="674"/>
      <c r="K435" s="471"/>
      <c r="L435" s="678"/>
    </row>
    <row r="436">
      <c r="D436" s="132"/>
      <c r="G436" s="661"/>
      <c r="I436" s="125"/>
      <c r="J436" s="674"/>
      <c r="K436" s="471"/>
      <c r="L436" s="678"/>
    </row>
    <row r="437">
      <c r="D437" s="132"/>
      <c r="G437" s="661"/>
      <c r="I437" s="125"/>
      <c r="J437" s="674"/>
      <c r="K437" s="471"/>
      <c r="L437" s="678"/>
    </row>
    <row r="438">
      <c r="G438" s="661"/>
      <c r="I438" s="125"/>
      <c r="J438" s="674"/>
      <c r="K438" s="471"/>
      <c r="L438" s="678"/>
    </row>
    <row r="439">
      <c r="D439" s="132"/>
      <c r="G439" s="661"/>
      <c r="I439" s="125"/>
      <c r="J439" s="674"/>
      <c r="K439" s="471"/>
      <c r="L439" s="678"/>
    </row>
    <row r="440">
      <c r="D440" s="132"/>
      <c r="G440" s="661"/>
      <c r="I440" s="125"/>
      <c r="J440" s="674"/>
      <c r="K440" s="471"/>
      <c r="L440" s="678"/>
    </row>
    <row r="441">
      <c r="D441" s="132"/>
      <c r="G441" s="661"/>
      <c r="I441" s="125"/>
      <c r="J441" s="674"/>
      <c r="K441" s="471"/>
      <c r="L441" s="678"/>
    </row>
    <row r="442">
      <c r="G442" s="661"/>
      <c r="I442" s="125"/>
      <c r="J442" s="674"/>
      <c r="K442" s="471"/>
      <c r="L442" s="678"/>
    </row>
    <row r="443">
      <c r="D443" s="132"/>
      <c r="G443" s="661"/>
      <c r="I443" s="125"/>
      <c r="J443" s="674"/>
      <c r="K443" s="471"/>
      <c r="L443" s="678"/>
    </row>
    <row r="444">
      <c r="D444" s="132"/>
      <c r="G444" s="661"/>
      <c r="I444" s="125"/>
      <c r="J444" s="674"/>
      <c r="K444" s="471"/>
      <c r="L444" s="678"/>
    </row>
    <row r="445">
      <c r="D445" s="132"/>
      <c r="G445" s="661"/>
      <c r="I445" s="125"/>
      <c r="J445" s="674"/>
      <c r="K445" s="471"/>
      <c r="L445" s="678"/>
    </row>
    <row r="446">
      <c r="G446" s="661"/>
      <c r="I446" s="125"/>
      <c r="J446" s="674"/>
      <c r="K446" s="471"/>
      <c r="L446" s="678"/>
    </row>
    <row r="447">
      <c r="G447" s="661"/>
      <c r="I447" s="125"/>
      <c r="J447" s="674"/>
      <c r="K447" s="471"/>
      <c r="L447" s="678"/>
    </row>
    <row r="448">
      <c r="G448" s="661"/>
      <c r="I448" s="125"/>
      <c r="J448" s="674"/>
      <c r="K448" s="471"/>
      <c r="L448" s="678"/>
    </row>
    <row r="449">
      <c r="D449" s="132"/>
      <c r="G449" s="661"/>
      <c r="I449" s="125"/>
      <c r="J449" s="674"/>
      <c r="K449" s="471"/>
      <c r="L449" s="678"/>
    </row>
    <row r="450">
      <c r="D450" s="132"/>
      <c r="G450" s="661"/>
      <c r="I450" s="125"/>
      <c r="J450" s="674"/>
      <c r="K450" s="471"/>
      <c r="L450" s="678"/>
    </row>
    <row r="451">
      <c r="D451" s="132"/>
      <c r="G451" s="661"/>
      <c r="I451" s="125"/>
      <c r="J451" s="674"/>
      <c r="K451" s="471"/>
      <c r="L451" s="678"/>
    </row>
    <row r="452">
      <c r="D452" s="139"/>
      <c r="G452" s="661"/>
      <c r="I452" s="125"/>
      <c r="J452" s="674"/>
      <c r="K452" s="471"/>
      <c r="L452" s="678"/>
    </row>
    <row r="453">
      <c r="D453" s="134"/>
      <c r="G453" s="661"/>
      <c r="I453" s="125"/>
      <c r="J453" s="674"/>
      <c r="K453" s="471"/>
      <c r="L453" s="678"/>
    </row>
    <row r="454">
      <c r="D454" s="124"/>
      <c r="G454" s="661"/>
      <c r="I454" s="125"/>
      <c r="J454" s="674"/>
      <c r="K454" s="471"/>
      <c r="L454" s="678"/>
    </row>
    <row r="455">
      <c r="D455" s="124"/>
      <c r="G455" s="661"/>
      <c r="I455" s="125"/>
      <c r="J455" s="674"/>
      <c r="K455" s="471"/>
      <c r="L455" s="678"/>
    </row>
    <row r="456">
      <c r="D456" s="149"/>
      <c r="G456" s="661"/>
      <c r="I456" s="125"/>
      <c r="J456" s="674"/>
      <c r="K456" s="471"/>
      <c r="L456" s="678"/>
    </row>
    <row r="457">
      <c r="D457" s="132"/>
      <c r="G457" s="661"/>
      <c r="I457" s="125"/>
      <c r="J457" s="674"/>
      <c r="K457" s="471"/>
      <c r="L457" s="678"/>
    </row>
    <row r="458">
      <c r="D458" s="132"/>
      <c r="G458" s="661"/>
      <c r="I458" s="125"/>
      <c r="J458" s="674"/>
      <c r="K458" s="471"/>
      <c r="L458" s="678"/>
    </row>
    <row r="459">
      <c r="D459" s="149"/>
      <c r="G459" s="661"/>
      <c r="I459" s="125"/>
      <c r="J459" s="674"/>
      <c r="K459" s="471"/>
      <c r="L459" s="678"/>
    </row>
    <row r="460">
      <c r="D460" s="132"/>
      <c r="G460" s="661"/>
      <c r="I460" s="125"/>
      <c r="J460" s="674"/>
      <c r="K460" s="471"/>
      <c r="L460" s="678"/>
    </row>
    <row r="461">
      <c r="D461" s="132"/>
      <c r="G461" s="661"/>
      <c r="I461" s="125"/>
      <c r="J461" s="674"/>
      <c r="K461" s="471"/>
      <c r="L461" s="678"/>
    </row>
    <row r="462">
      <c r="D462" s="132"/>
      <c r="G462" s="661"/>
      <c r="I462" s="125"/>
      <c r="J462" s="674"/>
      <c r="K462" s="471"/>
      <c r="L462" s="678"/>
    </row>
    <row r="463">
      <c r="D463" s="132"/>
      <c r="G463" s="661"/>
      <c r="I463" s="125"/>
      <c r="J463" s="674"/>
      <c r="K463" s="471"/>
      <c r="L463" s="678"/>
    </row>
    <row r="464">
      <c r="D464" s="132"/>
      <c r="G464" s="661"/>
      <c r="I464" s="125"/>
      <c r="J464" s="674"/>
      <c r="K464" s="471"/>
      <c r="L464" s="678"/>
    </row>
    <row r="465">
      <c r="G465" s="661"/>
      <c r="I465" s="125"/>
      <c r="J465" s="674"/>
      <c r="K465" s="471"/>
      <c r="L465" s="678"/>
    </row>
    <row r="466">
      <c r="D466" s="132"/>
      <c r="G466" s="661"/>
      <c r="I466" s="125"/>
      <c r="J466" s="674"/>
      <c r="K466" s="471"/>
      <c r="L466" s="678"/>
    </row>
    <row r="467">
      <c r="D467" s="132"/>
      <c r="G467" s="661"/>
      <c r="I467" s="125"/>
      <c r="J467" s="674"/>
      <c r="K467" s="471"/>
      <c r="L467" s="678"/>
    </row>
    <row r="468">
      <c r="D468" s="132"/>
      <c r="G468" s="661"/>
      <c r="I468" s="125"/>
      <c r="J468" s="674"/>
      <c r="K468" s="471"/>
      <c r="L468" s="678"/>
    </row>
    <row r="469">
      <c r="D469" s="132"/>
      <c r="G469" s="661"/>
      <c r="I469" s="125"/>
      <c r="J469" s="674"/>
      <c r="K469" s="471"/>
      <c r="L469" s="678"/>
    </row>
    <row r="470">
      <c r="D470" s="132"/>
      <c r="G470" s="661"/>
      <c r="I470" s="125"/>
      <c r="J470" s="674"/>
      <c r="K470" s="471"/>
      <c r="L470" s="678"/>
    </row>
    <row r="471">
      <c r="D471" s="132"/>
      <c r="G471" s="661"/>
      <c r="I471" s="125"/>
      <c r="J471" s="674"/>
      <c r="K471" s="471"/>
      <c r="L471" s="678"/>
    </row>
    <row r="472">
      <c r="D472" s="132"/>
      <c r="G472" s="661"/>
      <c r="I472" s="125"/>
      <c r="J472" s="674"/>
      <c r="K472" s="471"/>
      <c r="L472" s="678"/>
    </row>
    <row r="473">
      <c r="D473" s="132"/>
      <c r="G473" s="661"/>
      <c r="I473" s="125"/>
      <c r="J473" s="674"/>
      <c r="K473" s="471"/>
      <c r="L473" s="678"/>
    </row>
    <row r="474">
      <c r="D474" s="132"/>
      <c r="G474" s="661"/>
      <c r="I474" s="125"/>
      <c r="J474" s="674"/>
      <c r="K474" s="471"/>
      <c r="L474" s="678"/>
    </row>
    <row r="475">
      <c r="D475" s="132"/>
      <c r="G475" s="661"/>
      <c r="I475" s="125"/>
      <c r="J475" s="674"/>
      <c r="K475" s="471"/>
      <c r="L475" s="678"/>
    </row>
    <row r="476">
      <c r="D476" s="132"/>
      <c r="G476" s="661"/>
      <c r="I476" s="125"/>
      <c r="J476" s="674"/>
      <c r="K476" s="471"/>
      <c r="L476" s="678"/>
    </row>
    <row r="477">
      <c r="D477" s="132"/>
      <c r="G477" s="661"/>
      <c r="I477" s="125"/>
      <c r="J477" s="674"/>
      <c r="K477" s="471"/>
      <c r="L477" s="678"/>
    </row>
    <row r="478">
      <c r="D478" s="270"/>
      <c r="G478" s="661"/>
      <c r="I478" s="125"/>
      <c r="J478" s="674"/>
      <c r="K478" s="471"/>
      <c r="L478" s="678"/>
    </row>
    <row r="479">
      <c r="G479" s="661"/>
      <c r="I479" s="125"/>
      <c r="J479" s="674"/>
      <c r="K479" s="471"/>
      <c r="L479" s="678"/>
    </row>
    <row r="480">
      <c r="D480" s="132"/>
      <c r="G480" s="661"/>
      <c r="I480" s="125"/>
      <c r="J480" s="674"/>
      <c r="K480" s="471"/>
      <c r="L480" s="678"/>
    </row>
    <row r="481">
      <c r="D481" s="132"/>
      <c r="G481" s="661"/>
      <c r="I481" s="125"/>
      <c r="J481" s="674"/>
      <c r="K481" s="471"/>
      <c r="L481" s="678"/>
    </row>
    <row r="482">
      <c r="G482" s="661"/>
      <c r="I482" s="125"/>
      <c r="J482" s="674"/>
      <c r="K482" s="471"/>
      <c r="L482" s="678"/>
    </row>
    <row r="483">
      <c r="G483" s="661"/>
      <c r="I483" s="125"/>
      <c r="J483" s="674"/>
      <c r="K483" s="471"/>
      <c r="L483" s="678"/>
    </row>
    <row r="484">
      <c r="D484" s="132"/>
      <c r="G484" s="661"/>
      <c r="I484" s="125"/>
      <c r="J484" s="674"/>
      <c r="K484" s="471"/>
      <c r="L484" s="678"/>
    </row>
    <row r="485">
      <c r="D485" s="132"/>
      <c r="G485" s="661"/>
      <c r="I485" s="125"/>
      <c r="J485" s="674"/>
      <c r="K485" s="471"/>
      <c r="L485" s="678"/>
    </row>
    <row r="486">
      <c r="D486" s="132"/>
      <c r="G486" s="661"/>
      <c r="I486" s="125"/>
      <c r="J486" s="674"/>
      <c r="K486" s="471"/>
      <c r="L486" s="678"/>
    </row>
    <row r="487">
      <c r="G487" s="661"/>
      <c r="I487" s="125"/>
      <c r="J487" s="674"/>
      <c r="K487" s="471"/>
      <c r="L487" s="678"/>
    </row>
    <row r="488">
      <c r="D488" s="132"/>
      <c r="G488" s="661"/>
      <c r="I488" s="125"/>
      <c r="J488" s="674"/>
      <c r="K488" s="471"/>
      <c r="L488" s="678"/>
    </row>
    <row r="489">
      <c r="G489" s="661"/>
      <c r="I489" s="125"/>
      <c r="J489" s="674"/>
      <c r="K489" s="471"/>
      <c r="L489" s="678"/>
    </row>
    <row r="490">
      <c r="D490" s="270"/>
      <c r="G490" s="661"/>
      <c r="I490" s="125"/>
      <c r="J490" s="674"/>
      <c r="K490" s="471"/>
      <c r="L490" s="678"/>
    </row>
    <row r="491">
      <c r="D491" s="270"/>
      <c r="G491" s="661"/>
      <c r="I491" s="125"/>
      <c r="J491" s="674"/>
      <c r="K491" s="471"/>
      <c r="L491" s="678"/>
    </row>
    <row r="492">
      <c r="D492" s="132"/>
      <c r="G492" s="661"/>
      <c r="I492" s="125"/>
      <c r="J492" s="674"/>
      <c r="K492" s="471"/>
      <c r="L492" s="678"/>
    </row>
    <row r="493">
      <c r="G493" s="661"/>
      <c r="I493" s="125"/>
      <c r="J493" s="674"/>
      <c r="K493" s="471"/>
      <c r="L493" s="678"/>
    </row>
    <row r="494">
      <c r="D494" s="270"/>
      <c r="G494" s="661"/>
      <c r="I494" s="125"/>
      <c r="J494" s="674"/>
      <c r="K494" s="471"/>
      <c r="L494" s="678"/>
    </row>
    <row r="495">
      <c r="G495" s="661"/>
      <c r="I495" s="125"/>
      <c r="J495" s="674"/>
      <c r="K495" s="471"/>
      <c r="L495" s="678"/>
    </row>
    <row r="496">
      <c r="D496" s="132"/>
      <c r="G496" s="661"/>
      <c r="I496" s="125"/>
      <c r="J496" s="674"/>
      <c r="K496" s="471"/>
      <c r="L496" s="678"/>
    </row>
    <row r="497">
      <c r="G497" s="661"/>
      <c r="I497" s="125"/>
      <c r="J497" s="674"/>
      <c r="K497" s="471"/>
      <c r="L497" s="678"/>
    </row>
    <row r="498">
      <c r="D498" s="132"/>
      <c r="G498" s="661"/>
      <c r="I498" s="125"/>
      <c r="J498" s="674"/>
      <c r="K498" s="471"/>
      <c r="L498" s="678"/>
    </row>
    <row r="499">
      <c r="D499" s="132"/>
      <c r="G499" s="661"/>
      <c r="I499" s="125"/>
      <c r="J499" s="674"/>
      <c r="K499" s="471"/>
      <c r="L499" s="678"/>
    </row>
    <row r="500">
      <c r="D500" s="149"/>
      <c r="G500" s="661"/>
      <c r="I500" s="125"/>
      <c r="J500" s="674"/>
      <c r="K500" s="471"/>
      <c r="L500" s="678"/>
    </row>
    <row r="501">
      <c r="D501" s="168"/>
      <c r="G501" s="661"/>
      <c r="I501" s="125"/>
      <c r="J501" s="674"/>
      <c r="K501" s="471"/>
      <c r="L501" s="678"/>
    </row>
    <row r="502">
      <c r="D502" s="132"/>
      <c r="G502" s="661"/>
      <c r="I502" s="125"/>
      <c r="J502" s="674"/>
      <c r="K502" s="471"/>
      <c r="L502" s="678"/>
    </row>
    <row r="503">
      <c r="D503" s="132"/>
      <c r="G503" s="661"/>
      <c r="I503" s="125"/>
      <c r="J503" s="674"/>
      <c r="K503" s="471"/>
      <c r="L503" s="678"/>
    </row>
    <row r="504">
      <c r="D504" s="132"/>
      <c r="G504" s="661"/>
      <c r="I504" s="125"/>
      <c r="J504" s="674"/>
      <c r="K504" s="471"/>
      <c r="L504" s="678"/>
    </row>
    <row r="505">
      <c r="G505" s="661"/>
      <c r="I505" s="125"/>
      <c r="J505" s="674"/>
      <c r="K505" s="471"/>
      <c r="L505" s="678"/>
    </row>
    <row r="506">
      <c r="D506" s="132"/>
      <c r="G506" s="661"/>
      <c r="I506" s="125"/>
      <c r="J506" s="674"/>
      <c r="K506" s="471"/>
      <c r="L506" s="678"/>
    </row>
    <row r="507">
      <c r="D507" s="132"/>
      <c r="G507" s="661"/>
      <c r="I507" s="125"/>
      <c r="J507" s="674"/>
      <c r="K507" s="471"/>
      <c r="L507" s="678"/>
    </row>
    <row r="508">
      <c r="D508" s="132"/>
      <c r="G508" s="661"/>
      <c r="I508" s="125"/>
      <c r="J508" s="674"/>
      <c r="K508" s="471"/>
      <c r="L508" s="678"/>
    </row>
    <row r="509">
      <c r="D509" s="132"/>
      <c r="G509" s="661"/>
      <c r="I509" s="125"/>
      <c r="J509" s="674"/>
      <c r="K509" s="471"/>
      <c r="L509" s="678"/>
    </row>
    <row r="510">
      <c r="D510" s="132"/>
      <c r="G510" s="661"/>
      <c r="I510" s="125"/>
      <c r="J510" s="674"/>
      <c r="K510" s="471"/>
      <c r="L510" s="678"/>
    </row>
    <row r="511">
      <c r="G511" s="661"/>
      <c r="I511" s="125"/>
      <c r="J511" s="674"/>
      <c r="K511" s="471"/>
      <c r="L511" s="678"/>
    </row>
    <row r="512">
      <c r="D512" s="132"/>
      <c r="G512" s="661"/>
      <c r="I512" s="125"/>
      <c r="J512" s="674"/>
      <c r="K512" s="471"/>
      <c r="L512" s="678"/>
    </row>
    <row r="513">
      <c r="D513" s="132"/>
      <c r="G513" s="661"/>
      <c r="I513" s="125"/>
      <c r="J513" s="674"/>
      <c r="K513" s="471"/>
      <c r="L513" s="678"/>
    </row>
    <row r="514">
      <c r="G514" s="661"/>
      <c r="I514" s="125"/>
      <c r="J514" s="674"/>
      <c r="K514" s="471"/>
      <c r="L514" s="678"/>
    </row>
    <row r="515">
      <c r="D515" s="270"/>
      <c r="G515" s="661"/>
      <c r="I515" s="125"/>
      <c r="J515" s="674"/>
      <c r="K515" s="471"/>
      <c r="L515" s="678"/>
    </row>
    <row r="516">
      <c r="D516" s="132"/>
      <c r="G516" s="661"/>
      <c r="I516" s="125"/>
      <c r="J516" s="674"/>
      <c r="K516" s="471"/>
      <c r="L516" s="678"/>
    </row>
    <row r="517">
      <c r="G517" s="661"/>
      <c r="I517" s="125"/>
      <c r="J517" s="674"/>
      <c r="K517" s="471"/>
      <c r="L517" s="678"/>
    </row>
    <row r="518">
      <c r="D518" s="132"/>
      <c r="G518" s="661"/>
      <c r="I518" s="125"/>
      <c r="J518" s="674"/>
      <c r="K518" s="471"/>
      <c r="L518" s="678"/>
    </row>
    <row r="519">
      <c r="D519" s="132"/>
      <c r="G519" s="661"/>
      <c r="I519" s="125"/>
      <c r="J519" s="674"/>
      <c r="K519" s="471"/>
      <c r="L519" s="678"/>
    </row>
    <row r="520">
      <c r="D520" s="168"/>
      <c r="G520" s="661"/>
      <c r="I520" s="125"/>
      <c r="J520" s="674"/>
      <c r="K520" s="471"/>
      <c r="L520" s="678"/>
    </row>
    <row r="521">
      <c r="D521" s="132"/>
      <c r="G521" s="661"/>
      <c r="I521" s="125"/>
      <c r="J521" s="674"/>
      <c r="K521" s="471"/>
      <c r="L521" s="678"/>
    </row>
    <row r="522">
      <c r="D522" s="168"/>
      <c r="G522" s="661"/>
      <c r="I522" s="125"/>
      <c r="J522" s="674"/>
      <c r="K522" s="471"/>
      <c r="L522" s="678"/>
    </row>
    <row r="523">
      <c r="D523" s="170"/>
      <c r="G523" s="661"/>
      <c r="I523" s="125"/>
      <c r="J523" s="674"/>
      <c r="K523" s="471"/>
      <c r="L523" s="678"/>
    </row>
    <row r="524">
      <c r="D524" s="139"/>
      <c r="G524" s="661"/>
      <c r="I524" s="125"/>
      <c r="J524" s="674"/>
      <c r="K524" s="471"/>
      <c r="L524" s="678"/>
    </row>
    <row r="525">
      <c r="D525" s="134"/>
      <c r="G525" s="661"/>
      <c r="I525" s="125"/>
      <c r="J525" s="674"/>
      <c r="K525" s="471"/>
      <c r="L525" s="678"/>
    </row>
    <row r="526">
      <c r="D526" s="124"/>
      <c r="G526" s="661"/>
      <c r="I526" s="125"/>
      <c r="J526" s="674"/>
      <c r="K526" s="471"/>
      <c r="L526" s="678"/>
    </row>
    <row r="527">
      <c r="D527" s="124"/>
      <c r="G527" s="661"/>
      <c r="I527" s="125"/>
      <c r="J527" s="674"/>
      <c r="K527" s="471"/>
      <c r="L527" s="678"/>
    </row>
    <row r="528">
      <c r="D528" s="170"/>
      <c r="G528" s="661"/>
      <c r="I528" s="125"/>
      <c r="J528" s="674"/>
      <c r="K528" s="471"/>
      <c r="L528" s="678"/>
    </row>
    <row r="529">
      <c r="G529" s="661"/>
      <c r="I529" s="125"/>
      <c r="J529" s="674"/>
      <c r="K529" s="471"/>
      <c r="L529" s="678"/>
    </row>
    <row r="530">
      <c r="G530" s="661"/>
      <c r="I530" s="125"/>
      <c r="J530" s="674"/>
      <c r="K530" s="471"/>
      <c r="L530" s="678"/>
    </row>
    <row r="531">
      <c r="D531" s="132"/>
      <c r="G531" s="661"/>
      <c r="I531" s="125"/>
      <c r="J531" s="674"/>
      <c r="K531" s="471"/>
      <c r="L531" s="678"/>
    </row>
    <row r="532">
      <c r="D532" s="132"/>
      <c r="G532" s="661"/>
      <c r="I532" s="125"/>
      <c r="J532" s="674"/>
      <c r="K532" s="471"/>
      <c r="L532" s="678"/>
    </row>
    <row r="533">
      <c r="D533" s="132"/>
      <c r="G533" s="661"/>
      <c r="I533" s="125"/>
      <c r="J533" s="674"/>
      <c r="K533" s="471"/>
      <c r="L533" s="678"/>
    </row>
    <row r="534">
      <c r="D534" s="149"/>
      <c r="G534" s="661"/>
      <c r="I534" s="125"/>
      <c r="J534" s="674"/>
      <c r="K534" s="471"/>
      <c r="L534" s="678"/>
    </row>
    <row r="535">
      <c r="D535" s="132"/>
      <c r="G535" s="661"/>
      <c r="I535" s="125"/>
      <c r="J535" s="674"/>
      <c r="K535" s="471"/>
      <c r="L535" s="678"/>
    </row>
    <row r="536">
      <c r="D536" s="149"/>
      <c r="G536" s="661"/>
      <c r="I536" s="125"/>
      <c r="J536" s="674"/>
      <c r="K536" s="471"/>
      <c r="L536" s="678"/>
    </row>
    <row r="537">
      <c r="D537" s="149"/>
      <c r="G537" s="661"/>
      <c r="I537" s="125"/>
      <c r="J537" s="674"/>
      <c r="K537" s="471"/>
      <c r="L537" s="678"/>
    </row>
    <row r="538">
      <c r="D538" s="132"/>
      <c r="G538" s="661"/>
      <c r="I538" s="125"/>
      <c r="J538" s="674"/>
      <c r="K538" s="471"/>
      <c r="L538" s="678"/>
    </row>
    <row r="539">
      <c r="D539" s="168"/>
      <c r="G539" s="661"/>
      <c r="I539" s="125"/>
      <c r="J539" s="674"/>
      <c r="K539" s="471"/>
      <c r="L539" s="678"/>
    </row>
    <row r="540">
      <c r="D540" s="168"/>
      <c r="G540" s="661"/>
      <c r="I540" s="125"/>
      <c r="J540" s="674"/>
      <c r="K540" s="471"/>
      <c r="L540" s="678"/>
    </row>
    <row r="541">
      <c r="D541" s="132"/>
      <c r="G541" s="661"/>
      <c r="I541" s="125"/>
      <c r="J541" s="674"/>
      <c r="K541" s="471"/>
      <c r="L541" s="678"/>
    </row>
    <row r="542">
      <c r="D542" s="149"/>
      <c r="G542" s="661"/>
      <c r="I542" s="125"/>
      <c r="J542" s="674"/>
      <c r="K542" s="471"/>
      <c r="L542" s="678"/>
    </row>
    <row r="543">
      <c r="D543" s="149"/>
      <c r="G543" s="661"/>
      <c r="I543" s="125"/>
      <c r="J543" s="674"/>
      <c r="K543" s="471"/>
      <c r="L543" s="678"/>
    </row>
    <row r="544">
      <c r="G544" s="661"/>
      <c r="I544" s="125"/>
      <c r="J544" s="674"/>
      <c r="K544" s="471"/>
      <c r="L544" s="678"/>
    </row>
    <row r="545">
      <c r="D545" s="132"/>
      <c r="G545" s="661"/>
      <c r="I545" s="125"/>
      <c r="J545" s="674"/>
      <c r="K545" s="471"/>
      <c r="L545" s="678"/>
    </row>
    <row r="546">
      <c r="G546" s="661"/>
      <c r="I546" s="125"/>
      <c r="J546" s="674"/>
      <c r="K546" s="471"/>
      <c r="L546" s="678"/>
    </row>
    <row r="547">
      <c r="D547" s="132"/>
      <c r="G547" s="661"/>
      <c r="I547" s="125"/>
      <c r="J547" s="674"/>
      <c r="K547" s="471"/>
      <c r="L547" s="678"/>
    </row>
    <row r="548">
      <c r="G548" s="661"/>
      <c r="I548" s="125"/>
      <c r="J548" s="674"/>
      <c r="K548" s="471"/>
      <c r="L548" s="678"/>
    </row>
    <row r="549">
      <c r="G549" s="661"/>
      <c r="I549" s="125"/>
      <c r="J549" s="674"/>
      <c r="K549" s="471"/>
      <c r="L549" s="678"/>
    </row>
    <row r="550">
      <c r="G550" s="661"/>
      <c r="I550" s="125"/>
      <c r="J550" s="674"/>
      <c r="K550" s="471"/>
      <c r="L550" s="678"/>
    </row>
    <row r="551">
      <c r="G551" s="661"/>
      <c r="I551" s="125"/>
      <c r="J551" s="674"/>
      <c r="K551" s="471"/>
      <c r="L551" s="678"/>
    </row>
    <row r="552">
      <c r="D552" s="132"/>
      <c r="G552" s="661"/>
      <c r="I552" s="125"/>
      <c r="J552" s="674"/>
      <c r="K552" s="471"/>
      <c r="L552" s="678"/>
    </row>
    <row r="553">
      <c r="D553" s="132"/>
      <c r="G553" s="661"/>
      <c r="I553" s="125"/>
      <c r="J553" s="674"/>
      <c r="K553" s="471"/>
      <c r="L553" s="678"/>
    </row>
    <row r="554">
      <c r="D554" s="132"/>
      <c r="G554" s="661"/>
      <c r="I554" s="125"/>
      <c r="J554" s="674"/>
      <c r="K554" s="471"/>
      <c r="L554" s="678"/>
    </row>
    <row r="555">
      <c r="G555" s="661"/>
      <c r="I555" s="125"/>
      <c r="J555" s="674"/>
      <c r="K555" s="471"/>
      <c r="L555" s="678"/>
    </row>
    <row r="556">
      <c r="G556" s="661"/>
      <c r="I556" s="125"/>
      <c r="J556" s="674"/>
      <c r="K556" s="471"/>
      <c r="L556" s="678"/>
    </row>
    <row r="557">
      <c r="G557" s="661"/>
      <c r="I557" s="125"/>
      <c r="J557" s="674"/>
      <c r="K557" s="471"/>
      <c r="L557" s="678"/>
    </row>
    <row r="558">
      <c r="G558" s="661"/>
      <c r="I558" s="125"/>
      <c r="J558" s="674"/>
      <c r="K558" s="471"/>
      <c r="L558" s="678"/>
    </row>
    <row r="559">
      <c r="G559" s="661"/>
      <c r="I559" s="125"/>
      <c r="J559" s="674"/>
      <c r="K559" s="471"/>
      <c r="L559" s="678"/>
    </row>
    <row r="560">
      <c r="G560" s="661"/>
      <c r="I560" s="125"/>
      <c r="J560" s="674"/>
      <c r="K560" s="471"/>
      <c r="L560" s="678"/>
    </row>
    <row r="561">
      <c r="D561" s="132"/>
      <c r="G561" s="661"/>
      <c r="I561" s="125"/>
      <c r="J561" s="674"/>
      <c r="K561" s="471"/>
      <c r="L561" s="678"/>
    </row>
    <row r="562">
      <c r="D562" s="208"/>
      <c r="G562" s="661"/>
      <c r="I562" s="125"/>
      <c r="J562" s="674"/>
      <c r="K562" s="471"/>
      <c r="L562" s="678"/>
    </row>
    <row r="563">
      <c r="G563" s="661"/>
      <c r="I563" s="125"/>
      <c r="J563" s="674"/>
      <c r="K563" s="471"/>
      <c r="L563" s="678"/>
    </row>
    <row r="564">
      <c r="D564" s="132"/>
      <c r="G564" s="661"/>
      <c r="I564" s="125"/>
      <c r="J564" s="674"/>
      <c r="K564" s="471"/>
      <c r="L564" s="678"/>
    </row>
    <row r="565">
      <c r="D565" s="132"/>
      <c r="G565" s="661"/>
      <c r="I565" s="125"/>
      <c r="J565" s="674"/>
      <c r="K565" s="471"/>
      <c r="L565" s="678"/>
    </row>
    <row r="566">
      <c r="D566" s="132"/>
      <c r="G566" s="661"/>
      <c r="I566" s="125"/>
      <c r="J566" s="674"/>
      <c r="K566" s="471"/>
      <c r="L566" s="678"/>
    </row>
    <row r="567">
      <c r="D567" s="132"/>
      <c r="G567" s="661"/>
      <c r="I567" s="125"/>
      <c r="J567" s="674"/>
      <c r="K567" s="471"/>
      <c r="L567" s="678"/>
    </row>
    <row r="568">
      <c r="D568" s="132"/>
      <c r="G568" s="661"/>
      <c r="I568" s="125"/>
      <c r="J568" s="674"/>
      <c r="K568" s="471"/>
      <c r="L568" s="678"/>
    </row>
    <row r="569">
      <c r="G569" s="661"/>
      <c r="I569" s="125"/>
      <c r="J569" s="674"/>
      <c r="K569" s="471"/>
      <c r="L569" s="678"/>
    </row>
    <row r="570">
      <c r="D570" s="132"/>
      <c r="G570" s="661"/>
      <c r="I570" s="125"/>
      <c r="J570" s="674"/>
      <c r="K570" s="471"/>
      <c r="L570" s="678"/>
    </row>
    <row r="571">
      <c r="D571" s="132"/>
      <c r="G571" s="661"/>
      <c r="I571" s="125"/>
      <c r="J571" s="674"/>
      <c r="K571" s="471"/>
      <c r="L571" s="678"/>
    </row>
    <row r="572">
      <c r="G572" s="661"/>
      <c r="I572" s="125"/>
      <c r="J572" s="674"/>
      <c r="K572" s="471"/>
      <c r="L572" s="678"/>
    </row>
    <row r="573">
      <c r="D573" s="132"/>
      <c r="G573" s="661"/>
      <c r="I573" s="125"/>
      <c r="J573" s="674"/>
      <c r="K573" s="471"/>
      <c r="L573" s="678"/>
    </row>
    <row r="574">
      <c r="D574" s="132"/>
      <c r="G574" s="661"/>
      <c r="I574" s="125"/>
      <c r="J574" s="674"/>
      <c r="K574" s="471"/>
      <c r="L574" s="678"/>
    </row>
    <row r="575">
      <c r="D575" s="132"/>
      <c r="G575" s="661"/>
      <c r="I575" s="125"/>
      <c r="J575" s="674"/>
      <c r="K575" s="471"/>
      <c r="L575" s="678"/>
    </row>
    <row r="576">
      <c r="D576" s="132"/>
      <c r="G576" s="661"/>
      <c r="I576" s="125"/>
      <c r="J576" s="674"/>
      <c r="K576" s="471"/>
      <c r="L576" s="678"/>
    </row>
    <row r="577">
      <c r="D577" s="132"/>
      <c r="G577" s="661"/>
      <c r="I577" s="125"/>
      <c r="J577" s="674"/>
      <c r="K577" s="471"/>
      <c r="L577" s="678"/>
    </row>
    <row r="578">
      <c r="D578" s="132"/>
      <c r="G578" s="661"/>
      <c r="I578" s="125"/>
      <c r="J578" s="674"/>
      <c r="K578" s="471"/>
      <c r="L578" s="678"/>
    </row>
    <row r="579">
      <c r="G579" s="661"/>
      <c r="I579" s="125"/>
      <c r="J579" s="674"/>
      <c r="K579" s="471"/>
      <c r="L579" s="678"/>
    </row>
    <row r="580">
      <c r="D580" s="132"/>
      <c r="G580" s="661"/>
      <c r="I580" s="125"/>
      <c r="J580" s="674"/>
      <c r="K580" s="471"/>
      <c r="L580" s="678"/>
    </row>
    <row r="581">
      <c r="G581" s="661"/>
      <c r="I581" s="125"/>
      <c r="J581" s="674"/>
      <c r="K581" s="471"/>
      <c r="L581" s="678"/>
    </row>
    <row r="582">
      <c r="D582" s="132"/>
      <c r="G582" s="661"/>
      <c r="I582" s="125"/>
      <c r="J582" s="674"/>
      <c r="K582" s="471"/>
      <c r="L582" s="678"/>
    </row>
    <row r="583">
      <c r="D583" s="132"/>
      <c r="G583" s="661"/>
      <c r="I583" s="125"/>
      <c r="J583" s="674"/>
      <c r="K583" s="471"/>
      <c r="L583" s="678"/>
    </row>
    <row r="584">
      <c r="D584" s="132"/>
      <c r="G584" s="661"/>
      <c r="I584" s="125"/>
      <c r="J584" s="674"/>
      <c r="K584" s="471"/>
      <c r="L584" s="678"/>
    </row>
    <row r="585">
      <c r="D585" s="170"/>
      <c r="G585" s="661"/>
      <c r="I585" s="125"/>
      <c r="J585" s="674"/>
      <c r="K585" s="471"/>
      <c r="L585" s="678"/>
    </row>
    <row r="586">
      <c r="D586" s="132"/>
      <c r="G586" s="661"/>
      <c r="I586" s="125"/>
      <c r="J586" s="674"/>
      <c r="K586" s="471"/>
      <c r="L586" s="678"/>
    </row>
    <row r="587">
      <c r="D587" s="132"/>
      <c r="G587" s="661"/>
      <c r="I587" s="125"/>
      <c r="J587" s="674"/>
      <c r="K587" s="471"/>
      <c r="L587" s="678"/>
    </row>
    <row r="588">
      <c r="D588" s="132"/>
      <c r="G588" s="661"/>
      <c r="I588" s="125"/>
      <c r="J588" s="674"/>
      <c r="K588" s="471"/>
      <c r="L588" s="678"/>
    </row>
    <row r="589">
      <c r="D589" s="132"/>
      <c r="G589" s="661"/>
      <c r="I589" s="125"/>
      <c r="J589" s="674"/>
      <c r="K589" s="471"/>
      <c r="L589" s="678"/>
    </row>
    <row r="590">
      <c r="D590" s="132"/>
      <c r="G590" s="661"/>
      <c r="I590" s="125"/>
      <c r="J590" s="674"/>
      <c r="K590" s="471"/>
      <c r="L590" s="678"/>
    </row>
    <row r="591">
      <c r="D591" s="170"/>
      <c r="G591" s="661"/>
      <c r="I591" s="125"/>
      <c r="J591" s="674"/>
      <c r="K591" s="471"/>
      <c r="L591" s="678"/>
    </row>
    <row r="592">
      <c r="D592" s="132"/>
      <c r="G592" s="661"/>
      <c r="I592" s="125"/>
      <c r="J592" s="674"/>
      <c r="K592" s="471"/>
      <c r="L592" s="678"/>
    </row>
    <row r="593">
      <c r="D593" s="132"/>
      <c r="G593" s="661"/>
      <c r="I593" s="125"/>
      <c r="J593" s="674"/>
      <c r="K593" s="471"/>
      <c r="L593" s="678"/>
    </row>
    <row r="594">
      <c r="D594" s="132"/>
      <c r="G594" s="661"/>
      <c r="I594" s="125"/>
      <c r="J594" s="674"/>
      <c r="K594" s="471"/>
      <c r="L594" s="678"/>
    </row>
    <row r="595">
      <c r="D595" s="132"/>
      <c r="G595" s="661"/>
      <c r="I595" s="125"/>
      <c r="J595" s="674"/>
      <c r="K595" s="471"/>
      <c r="L595" s="678"/>
    </row>
    <row r="596">
      <c r="G596" s="661"/>
      <c r="I596" s="125"/>
      <c r="J596" s="674"/>
      <c r="K596" s="471"/>
      <c r="L596" s="678"/>
    </row>
    <row r="597">
      <c r="D597" s="168"/>
      <c r="G597" s="661"/>
      <c r="I597" s="125"/>
      <c r="J597" s="674"/>
      <c r="K597" s="471"/>
      <c r="L597" s="678"/>
    </row>
    <row r="598">
      <c r="D598" s="132"/>
      <c r="G598" s="661"/>
      <c r="I598" s="125"/>
      <c r="J598" s="674"/>
      <c r="K598" s="471"/>
      <c r="L598" s="678"/>
    </row>
    <row r="599">
      <c r="D599" s="132"/>
      <c r="G599" s="661"/>
      <c r="I599" s="125"/>
      <c r="J599" s="674"/>
      <c r="K599" s="471"/>
      <c r="L599" s="678"/>
    </row>
    <row r="600">
      <c r="G600" s="661"/>
      <c r="I600" s="125"/>
      <c r="J600" s="674"/>
      <c r="K600" s="471"/>
      <c r="L600" s="678"/>
    </row>
    <row r="601">
      <c r="D601" s="168"/>
      <c r="G601" s="661"/>
      <c r="I601" s="125"/>
      <c r="J601" s="674"/>
      <c r="K601" s="471"/>
      <c r="L601" s="678"/>
    </row>
    <row r="602">
      <c r="D602" s="168"/>
      <c r="G602" s="661"/>
      <c r="I602" s="125"/>
      <c r="J602" s="674"/>
      <c r="K602" s="471"/>
      <c r="L602" s="678"/>
    </row>
    <row r="603">
      <c r="D603" s="132"/>
      <c r="G603" s="661"/>
      <c r="I603" s="125"/>
      <c r="J603" s="674"/>
      <c r="K603" s="471"/>
      <c r="L603" s="678"/>
    </row>
    <row r="604">
      <c r="D604" s="132"/>
      <c r="G604" s="661"/>
      <c r="I604" s="125"/>
      <c r="J604" s="674"/>
      <c r="K604" s="471"/>
      <c r="L604" s="678"/>
    </row>
    <row r="605">
      <c r="D605" s="132"/>
      <c r="G605" s="661"/>
      <c r="I605" s="125"/>
      <c r="J605" s="674"/>
      <c r="K605" s="471"/>
      <c r="L605" s="678"/>
    </row>
    <row r="606">
      <c r="G606" s="661"/>
      <c r="I606" s="125"/>
      <c r="J606" s="674"/>
      <c r="K606" s="471"/>
      <c r="L606" s="678"/>
    </row>
    <row r="607">
      <c r="D607" s="170"/>
      <c r="G607" s="661"/>
      <c r="I607" s="125"/>
      <c r="J607" s="674"/>
      <c r="K607" s="471"/>
      <c r="L607" s="678"/>
    </row>
    <row r="608">
      <c r="D608" s="132"/>
      <c r="G608" s="661"/>
      <c r="I608" s="125"/>
      <c r="J608" s="674"/>
      <c r="K608" s="471"/>
      <c r="L608" s="678"/>
    </row>
    <row r="609">
      <c r="G609" s="661"/>
      <c r="I609" s="125"/>
      <c r="J609" s="674"/>
      <c r="K609" s="471"/>
      <c r="L609" s="678"/>
    </row>
    <row r="610">
      <c r="D610" s="132"/>
      <c r="G610" s="661"/>
      <c r="I610" s="125"/>
      <c r="J610" s="674"/>
      <c r="K610" s="471"/>
      <c r="L610" s="678"/>
    </row>
    <row r="611">
      <c r="G611" s="661"/>
      <c r="I611" s="125"/>
      <c r="J611" s="674"/>
      <c r="K611" s="471"/>
      <c r="L611" s="678"/>
    </row>
    <row r="612">
      <c r="D612" s="132"/>
      <c r="G612" s="661"/>
      <c r="I612" s="125"/>
      <c r="J612" s="674"/>
      <c r="K612" s="471"/>
      <c r="L612" s="678"/>
    </row>
    <row r="613">
      <c r="D613" s="208"/>
      <c r="G613" s="661"/>
      <c r="I613" s="125"/>
      <c r="J613" s="674"/>
      <c r="K613" s="471"/>
      <c r="L613" s="678"/>
    </row>
    <row r="614">
      <c r="D614" s="208"/>
      <c r="G614" s="661"/>
      <c r="I614" s="125"/>
      <c r="J614" s="674"/>
      <c r="K614" s="471"/>
      <c r="L614" s="678"/>
    </row>
    <row r="615">
      <c r="D615" s="132"/>
      <c r="G615" s="661"/>
      <c r="I615" s="125"/>
      <c r="J615" s="674"/>
      <c r="K615" s="471"/>
      <c r="L615" s="678"/>
    </row>
    <row r="616">
      <c r="D616" s="132"/>
      <c r="G616" s="661"/>
      <c r="I616" s="125"/>
      <c r="J616" s="674"/>
      <c r="K616" s="471"/>
      <c r="L616" s="678"/>
    </row>
    <row r="617">
      <c r="D617" s="132"/>
      <c r="G617" s="661"/>
      <c r="I617" s="125"/>
      <c r="J617" s="674"/>
      <c r="K617" s="471"/>
      <c r="L617" s="678"/>
    </row>
    <row r="618">
      <c r="D618" s="132"/>
      <c r="G618" s="661"/>
      <c r="I618" s="125"/>
      <c r="J618" s="674"/>
      <c r="K618" s="471"/>
      <c r="L618" s="678"/>
    </row>
    <row r="619">
      <c r="D619" s="132"/>
      <c r="G619" s="661"/>
      <c r="I619" s="125"/>
      <c r="J619" s="674"/>
      <c r="K619" s="471"/>
      <c r="L619" s="678"/>
    </row>
    <row r="620">
      <c r="D620" s="170"/>
      <c r="G620" s="661"/>
      <c r="I620" s="125"/>
      <c r="J620" s="674"/>
      <c r="K620" s="471"/>
      <c r="L620" s="678"/>
    </row>
    <row r="621">
      <c r="D621" s="170"/>
      <c r="G621" s="661"/>
      <c r="I621" s="125"/>
      <c r="J621" s="674"/>
      <c r="K621" s="471"/>
      <c r="L621" s="678"/>
    </row>
    <row r="622">
      <c r="D622" s="132"/>
      <c r="G622" s="661"/>
      <c r="I622" s="125"/>
      <c r="J622" s="674"/>
      <c r="K622" s="471"/>
      <c r="L622" s="678"/>
    </row>
    <row r="623">
      <c r="D623" s="132"/>
      <c r="G623" s="661"/>
      <c r="I623" s="125"/>
      <c r="J623" s="674"/>
      <c r="K623" s="471"/>
      <c r="L623" s="678"/>
    </row>
    <row r="624">
      <c r="G624" s="661"/>
      <c r="I624" s="125"/>
      <c r="J624" s="674"/>
      <c r="K624" s="471"/>
      <c r="L624" s="678"/>
    </row>
    <row r="625">
      <c r="G625" s="661"/>
      <c r="I625" s="125"/>
      <c r="J625" s="674"/>
      <c r="K625" s="471"/>
      <c r="L625" s="678"/>
    </row>
    <row r="626">
      <c r="D626" s="139"/>
      <c r="G626" s="661"/>
      <c r="I626" s="125"/>
      <c r="J626" s="674"/>
      <c r="K626" s="471"/>
      <c r="L626" s="678"/>
    </row>
    <row r="627">
      <c r="D627" s="134"/>
      <c r="G627" s="661"/>
      <c r="I627" s="125"/>
      <c r="J627" s="674"/>
      <c r="K627" s="471"/>
      <c r="L627" s="678"/>
    </row>
    <row r="628">
      <c r="D628" s="124"/>
      <c r="G628" s="661"/>
      <c r="I628" s="125"/>
      <c r="J628" s="674"/>
      <c r="K628" s="471"/>
      <c r="L628" s="678"/>
    </row>
    <row r="629">
      <c r="D629" s="124"/>
      <c r="G629" s="661"/>
      <c r="I629" s="125"/>
      <c r="J629" s="674"/>
      <c r="K629" s="471"/>
      <c r="L629" s="678"/>
    </row>
    <row r="630">
      <c r="D630" s="132"/>
      <c r="G630" s="661"/>
      <c r="I630" s="125"/>
      <c r="J630" s="674"/>
      <c r="K630" s="471"/>
      <c r="L630" s="678"/>
    </row>
    <row r="631">
      <c r="D631" s="132"/>
      <c r="G631" s="661"/>
      <c r="I631" s="125"/>
      <c r="J631" s="674"/>
      <c r="K631" s="471"/>
      <c r="L631" s="678"/>
    </row>
    <row r="632">
      <c r="D632" s="132"/>
      <c r="G632" s="661"/>
      <c r="I632" s="125"/>
      <c r="J632" s="674"/>
      <c r="K632" s="471"/>
      <c r="L632" s="678"/>
    </row>
    <row r="633">
      <c r="D633" s="132"/>
      <c r="G633" s="661"/>
      <c r="I633" s="125"/>
      <c r="J633" s="674"/>
      <c r="K633" s="471"/>
      <c r="L633" s="678"/>
    </row>
    <row r="634">
      <c r="D634" s="132"/>
      <c r="G634" s="661"/>
      <c r="I634" s="125"/>
      <c r="J634" s="674"/>
      <c r="K634" s="471"/>
      <c r="L634" s="678"/>
    </row>
    <row r="635">
      <c r="G635" s="661"/>
      <c r="I635" s="125"/>
      <c r="J635" s="674"/>
      <c r="K635" s="471"/>
      <c r="L635" s="678"/>
    </row>
    <row r="636">
      <c r="D636" s="132"/>
      <c r="G636" s="661"/>
      <c r="I636" s="125"/>
      <c r="J636" s="674"/>
      <c r="K636" s="471"/>
      <c r="L636" s="678"/>
    </row>
    <row r="637">
      <c r="G637" s="661"/>
      <c r="I637" s="125"/>
      <c r="J637" s="674"/>
      <c r="K637" s="471"/>
      <c r="L637" s="678"/>
    </row>
    <row r="638">
      <c r="G638" s="661"/>
      <c r="I638" s="125"/>
      <c r="J638" s="674"/>
      <c r="K638" s="471"/>
      <c r="L638" s="678"/>
    </row>
    <row r="639">
      <c r="D639" s="170"/>
      <c r="G639" s="661"/>
      <c r="I639" s="125"/>
      <c r="J639" s="674"/>
      <c r="K639" s="471"/>
      <c r="L639" s="678"/>
    </row>
    <row r="640">
      <c r="D640" s="132"/>
      <c r="G640" s="661"/>
      <c r="I640" s="125"/>
      <c r="J640" s="674"/>
      <c r="K640" s="471"/>
      <c r="L640" s="678"/>
    </row>
    <row r="641">
      <c r="G641" s="661"/>
      <c r="I641" s="125"/>
      <c r="J641" s="674"/>
      <c r="K641" s="471"/>
      <c r="L641" s="678"/>
    </row>
    <row r="642">
      <c r="D642" s="132"/>
      <c r="G642" s="661"/>
      <c r="I642" s="125"/>
      <c r="J642" s="674"/>
      <c r="K642" s="471"/>
      <c r="L642" s="678"/>
    </row>
    <row r="643">
      <c r="D643" s="132"/>
      <c r="G643" s="661"/>
      <c r="I643" s="125"/>
      <c r="J643" s="674"/>
      <c r="K643" s="471"/>
      <c r="L643" s="678"/>
    </row>
    <row r="644">
      <c r="G644" s="661"/>
      <c r="I644" s="125"/>
      <c r="J644" s="674"/>
      <c r="K644" s="471"/>
      <c r="L644" s="678"/>
    </row>
    <row r="645">
      <c r="D645" s="132"/>
      <c r="G645" s="661"/>
      <c r="I645" s="125"/>
      <c r="J645" s="674"/>
      <c r="K645" s="471"/>
      <c r="L645" s="678"/>
    </row>
    <row r="646">
      <c r="D646" s="132"/>
      <c r="G646" s="661"/>
      <c r="I646" s="125"/>
      <c r="J646" s="674"/>
      <c r="K646" s="471"/>
      <c r="L646" s="678"/>
    </row>
    <row r="647">
      <c r="D647" s="149"/>
      <c r="G647" s="661"/>
      <c r="I647" s="125"/>
      <c r="J647" s="674"/>
      <c r="K647" s="471"/>
      <c r="L647" s="678"/>
    </row>
    <row r="648">
      <c r="G648" s="661"/>
      <c r="I648" s="125"/>
      <c r="J648" s="674"/>
      <c r="K648" s="471"/>
      <c r="L648" s="678"/>
    </row>
    <row r="649">
      <c r="D649" s="132"/>
      <c r="G649" s="661"/>
      <c r="I649" s="125"/>
      <c r="J649" s="674"/>
      <c r="K649" s="471"/>
      <c r="L649" s="678"/>
    </row>
    <row r="650">
      <c r="D650" s="132"/>
      <c r="G650" s="661"/>
      <c r="I650" s="125"/>
      <c r="J650" s="674"/>
      <c r="K650" s="471"/>
      <c r="L650" s="678"/>
    </row>
    <row r="651">
      <c r="G651" s="661"/>
      <c r="I651" s="125"/>
      <c r="J651" s="674"/>
      <c r="K651" s="471"/>
      <c r="L651" s="678"/>
    </row>
    <row r="652">
      <c r="G652" s="661"/>
      <c r="I652" s="125"/>
      <c r="J652" s="674"/>
      <c r="K652" s="471"/>
      <c r="L652" s="678"/>
    </row>
    <row r="653">
      <c r="G653" s="661"/>
      <c r="I653" s="125"/>
      <c r="J653" s="674"/>
      <c r="K653" s="471"/>
      <c r="L653" s="678"/>
    </row>
    <row r="654">
      <c r="D654" s="170"/>
      <c r="G654" s="661"/>
      <c r="I654" s="125"/>
      <c r="J654" s="674"/>
      <c r="K654" s="471"/>
      <c r="L654" s="678"/>
    </row>
    <row r="655">
      <c r="D655" s="132"/>
      <c r="G655" s="661"/>
      <c r="I655" s="125"/>
      <c r="J655" s="674"/>
      <c r="K655" s="471"/>
      <c r="L655" s="678"/>
    </row>
    <row r="656">
      <c r="D656" s="132"/>
      <c r="G656" s="661"/>
      <c r="I656" s="125"/>
      <c r="J656" s="674"/>
      <c r="K656" s="471"/>
      <c r="L656" s="678"/>
    </row>
    <row r="657">
      <c r="D657" s="132"/>
      <c r="G657" s="661"/>
      <c r="I657" s="125"/>
      <c r="J657" s="674"/>
      <c r="K657" s="471"/>
      <c r="L657" s="678"/>
    </row>
    <row r="658">
      <c r="D658" s="149"/>
      <c r="G658" s="661"/>
      <c r="I658" s="125"/>
      <c r="J658" s="674"/>
      <c r="K658" s="471"/>
      <c r="L658" s="678"/>
    </row>
    <row r="659">
      <c r="G659" s="661"/>
      <c r="I659" s="125"/>
      <c r="J659" s="674"/>
      <c r="K659" s="471"/>
      <c r="L659" s="678"/>
    </row>
    <row r="660">
      <c r="D660" s="149"/>
      <c r="G660" s="661"/>
      <c r="I660" s="125"/>
      <c r="J660" s="674"/>
      <c r="K660" s="471"/>
      <c r="L660" s="678"/>
    </row>
    <row r="661">
      <c r="G661" s="661"/>
      <c r="I661" s="125"/>
      <c r="J661" s="674"/>
      <c r="K661" s="471"/>
      <c r="L661" s="678"/>
    </row>
    <row r="662">
      <c r="G662" s="661"/>
      <c r="I662" s="125"/>
      <c r="J662" s="674"/>
      <c r="K662" s="471"/>
      <c r="L662" s="678"/>
    </row>
    <row r="663">
      <c r="D663" s="132"/>
      <c r="G663" s="661"/>
      <c r="I663" s="125"/>
      <c r="J663" s="674"/>
      <c r="K663" s="471"/>
      <c r="L663" s="678"/>
    </row>
    <row r="664">
      <c r="G664" s="661"/>
      <c r="I664" s="125"/>
      <c r="J664" s="674"/>
      <c r="K664" s="471"/>
      <c r="L664" s="678"/>
    </row>
    <row r="665">
      <c r="D665" s="132"/>
      <c r="G665" s="661"/>
      <c r="I665" s="125"/>
      <c r="J665" s="674"/>
      <c r="K665" s="471"/>
      <c r="L665" s="678"/>
    </row>
    <row r="666">
      <c r="G666" s="661"/>
      <c r="I666" s="125"/>
      <c r="J666" s="674"/>
      <c r="K666" s="471"/>
      <c r="L666" s="678"/>
    </row>
    <row r="667">
      <c r="D667" s="132"/>
      <c r="G667" s="661"/>
      <c r="I667" s="125"/>
      <c r="J667" s="674"/>
      <c r="K667" s="471"/>
      <c r="L667" s="678"/>
    </row>
    <row r="668">
      <c r="D668" s="149"/>
      <c r="G668" s="661"/>
      <c r="I668" s="125"/>
      <c r="J668" s="674"/>
      <c r="K668" s="471"/>
      <c r="L668" s="678"/>
    </row>
    <row r="669">
      <c r="D669" s="132"/>
      <c r="G669" s="661"/>
      <c r="I669" s="125"/>
      <c r="J669" s="674"/>
      <c r="K669" s="471"/>
      <c r="L669" s="678"/>
    </row>
    <row r="670">
      <c r="D670" s="132"/>
      <c r="G670" s="661"/>
      <c r="I670" s="125"/>
      <c r="J670" s="674"/>
      <c r="K670" s="471"/>
      <c r="L670" s="678"/>
    </row>
    <row r="671">
      <c r="D671" s="132"/>
      <c r="G671" s="661"/>
      <c r="I671" s="125"/>
      <c r="J671" s="674"/>
      <c r="K671" s="471"/>
      <c r="L671" s="678"/>
    </row>
    <row r="672">
      <c r="D672" s="132"/>
      <c r="G672" s="661"/>
      <c r="I672" s="125"/>
      <c r="J672" s="674"/>
      <c r="K672" s="471"/>
      <c r="L672" s="678"/>
    </row>
    <row r="673">
      <c r="D673" s="132"/>
      <c r="G673" s="661"/>
      <c r="I673" s="125"/>
      <c r="J673" s="674"/>
      <c r="K673" s="471"/>
      <c r="L673" s="678"/>
    </row>
    <row r="674">
      <c r="G674" s="661"/>
      <c r="I674" s="125"/>
      <c r="J674" s="674"/>
      <c r="K674" s="471"/>
      <c r="L674" s="678"/>
    </row>
    <row r="675">
      <c r="D675" s="132"/>
      <c r="G675" s="661"/>
      <c r="I675" s="125"/>
      <c r="J675" s="674"/>
      <c r="K675" s="471"/>
      <c r="L675" s="678"/>
    </row>
    <row r="676">
      <c r="D676" s="132"/>
      <c r="G676" s="661"/>
      <c r="I676" s="125"/>
      <c r="J676" s="674"/>
      <c r="K676" s="471"/>
      <c r="L676" s="678"/>
    </row>
    <row r="677">
      <c r="D677" s="132"/>
      <c r="G677" s="661"/>
      <c r="I677" s="125"/>
      <c r="J677" s="674"/>
      <c r="K677" s="471"/>
      <c r="L677" s="678"/>
    </row>
    <row r="678">
      <c r="G678" s="661"/>
      <c r="I678" s="125"/>
      <c r="J678" s="674"/>
      <c r="K678" s="471"/>
      <c r="L678" s="678"/>
    </row>
    <row r="679">
      <c r="D679" s="132"/>
      <c r="G679" s="661"/>
      <c r="I679" s="125"/>
      <c r="J679" s="674"/>
      <c r="K679" s="471"/>
      <c r="L679" s="678"/>
    </row>
    <row r="680">
      <c r="D680" s="132"/>
      <c r="G680" s="661"/>
      <c r="I680" s="125"/>
      <c r="J680" s="674"/>
      <c r="K680" s="471"/>
      <c r="L680" s="678"/>
    </row>
    <row r="681">
      <c r="D681" s="132"/>
      <c r="G681" s="661"/>
      <c r="I681" s="125"/>
      <c r="J681" s="674"/>
      <c r="K681" s="471"/>
      <c r="L681" s="678"/>
    </row>
    <row r="682">
      <c r="G682" s="661"/>
      <c r="I682" s="125"/>
      <c r="J682" s="674"/>
      <c r="K682" s="471"/>
      <c r="L682" s="678"/>
    </row>
    <row r="683">
      <c r="D683" s="132"/>
      <c r="G683" s="661"/>
      <c r="I683" s="125"/>
      <c r="J683" s="674"/>
      <c r="K683" s="471"/>
      <c r="L683" s="678"/>
    </row>
    <row r="684">
      <c r="D684" s="132"/>
      <c r="G684" s="661"/>
      <c r="I684" s="125"/>
      <c r="J684" s="674"/>
      <c r="K684" s="471"/>
      <c r="L684" s="678"/>
    </row>
    <row r="685">
      <c r="D685" s="132"/>
      <c r="G685" s="661"/>
      <c r="I685" s="125"/>
      <c r="J685" s="674"/>
      <c r="K685" s="471"/>
      <c r="L685" s="678"/>
    </row>
    <row r="686">
      <c r="D686" s="132"/>
      <c r="G686" s="661"/>
      <c r="I686" s="125"/>
      <c r="J686" s="674"/>
      <c r="K686" s="471"/>
      <c r="L686" s="678"/>
    </row>
    <row r="687">
      <c r="D687" s="132"/>
      <c r="G687" s="661"/>
      <c r="I687" s="125"/>
      <c r="J687" s="674"/>
      <c r="K687" s="471"/>
      <c r="L687" s="678"/>
    </row>
    <row r="688">
      <c r="G688" s="661"/>
      <c r="I688" s="125"/>
      <c r="J688" s="674"/>
      <c r="K688" s="471"/>
      <c r="L688" s="678"/>
    </row>
    <row r="689">
      <c r="G689" s="661"/>
      <c r="I689" s="125"/>
      <c r="J689" s="674"/>
      <c r="K689" s="471"/>
      <c r="L689" s="678"/>
    </row>
    <row r="690">
      <c r="G690" s="661"/>
      <c r="I690" s="125"/>
      <c r="J690" s="674"/>
      <c r="K690" s="471"/>
      <c r="L690" s="678"/>
    </row>
    <row r="691">
      <c r="D691" s="170"/>
      <c r="G691" s="661"/>
      <c r="I691" s="125"/>
      <c r="J691" s="674"/>
      <c r="K691" s="471"/>
      <c r="L691" s="678"/>
    </row>
    <row r="692">
      <c r="D692" s="132"/>
      <c r="G692" s="661"/>
      <c r="I692" s="125"/>
      <c r="J692" s="674"/>
      <c r="K692" s="471"/>
      <c r="L692" s="678"/>
    </row>
    <row r="693">
      <c r="D693" s="208"/>
      <c r="G693" s="661"/>
      <c r="I693" s="125"/>
      <c r="J693" s="674"/>
      <c r="K693" s="471"/>
      <c r="L693" s="678"/>
    </row>
    <row r="694">
      <c r="D694" s="132"/>
      <c r="G694" s="661"/>
      <c r="I694" s="125"/>
      <c r="J694" s="674"/>
      <c r="K694" s="471"/>
      <c r="L694" s="678"/>
    </row>
    <row r="695">
      <c r="D695" s="132"/>
      <c r="G695" s="661"/>
      <c r="I695" s="125"/>
      <c r="J695" s="674"/>
      <c r="K695" s="471"/>
      <c r="L695" s="678"/>
    </row>
    <row r="696">
      <c r="D696" s="132"/>
      <c r="G696" s="661"/>
      <c r="I696" s="125"/>
      <c r="J696" s="674"/>
      <c r="K696" s="471"/>
      <c r="L696" s="678"/>
    </row>
    <row r="697">
      <c r="G697" s="661"/>
      <c r="I697" s="125"/>
      <c r="J697" s="674"/>
      <c r="K697" s="471"/>
      <c r="L697" s="678"/>
    </row>
    <row r="698">
      <c r="D698" s="139"/>
      <c r="G698" s="661"/>
      <c r="I698" s="125"/>
      <c r="J698" s="674"/>
      <c r="K698" s="471"/>
      <c r="L698" s="678"/>
    </row>
    <row r="699">
      <c r="D699" s="134"/>
      <c r="G699" s="661"/>
      <c r="I699" s="125"/>
      <c r="J699" s="674"/>
      <c r="K699" s="471"/>
      <c r="L699" s="678"/>
    </row>
    <row r="700">
      <c r="D700" s="124"/>
      <c r="G700" s="661"/>
      <c r="I700" s="125"/>
      <c r="J700" s="674"/>
      <c r="K700" s="471"/>
      <c r="L700" s="678"/>
    </row>
    <row r="701">
      <c r="D701" s="124"/>
      <c r="G701" s="661"/>
      <c r="I701" s="125"/>
      <c r="J701" s="674"/>
      <c r="K701" s="471"/>
      <c r="L701" s="678"/>
    </row>
    <row r="702">
      <c r="D702" s="132"/>
      <c r="G702" s="661"/>
      <c r="I702" s="125"/>
      <c r="J702" s="674"/>
      <c r="K702" s="471"/>
      <c r="L702" s="678"/>
    </row>
    <row r="703">
      <c r="D703" s="132"/>
      <c r="G703" s="661"/>
      <c r="I703" s="125"/>
      <c r="J703" s="674"/>
      <c r="K703" s="471"/>
      <c r="L703" s="678"/>
    </row>
    <row r="704">
      <c r="G704" s="661"/>
      <c r="I704" s="125"/>
      <c r="J704" s="674"/>
      <c r="K704" s="471"/>
      <c r="L704" s="678"/>
    </row>
    <row r="705">
      <c r="D705" s="132"/>
      <c r="G705" s="661"/>
      <c r="I705" s="125"/>
      <c r="J705" s="674"/>
      <c r="K705" s="471"/>
      <c r="L705" s="678"/>
    </row>
    <row r="706">
      <c r="D706" s="132"/>
      <c r="G706" s="661"/>
      <c r="I706" s="125"/>
      <c r="J706" s="674"/>
      <c r="K706" s="471"/>
      <c r="L706" s="678"/>
    </row>
    <row r="707">
      <c r="D707" s="132"/>
      <c r="G707" s="661"/>
      <c r="I707" s="125"/>
      <c r="J707" s="674"/>
      <c r="K707" s="471"/>
      <c r="L707" s="678"/>
    </row>
    <row r="708">
      <c r="D708" s="132"/>
      <c r="G708" s="661"/>
      <c r="I708" s="125"/>
      <c r="J708" s="674"/>
      <c r="K708" s="471"/>
      <c r="L708" s="678"/>
    </row>
    <row r="709">
      <c r="G709" s="661"/>
      <c r="I709" s="125"/>
      <c r="J709" s="674"/>
      <c r="K709" s="471"/>
      <c r="L709" s="678"/>
    </row>
    <row r="710">
      <c r="G710" s="661"/>
      <c r="I710" s="125"/>
      <c r="J710" s="674"/>
      <c r="K710" s="471"/>
      <c r="L710" s="678"/>
    </row>
    <row r="711">
      <c r="D711" s="132"/>
      <c r="G711" s="661"/>
      <c r="I711" s="125"/>
      <c r="J711" s="674"/>
      <c r="K711" s="471"/>
      <c r="L711" s="678"/>
    </row>
    <row r="712">
      <c r="D712" s="132"/>
      <c r="G712" s="661"/>
      <c r="I712" s="125"/>
      <c r="J712" s="674"/>
      <c r="K712" s="471"/>
      <c r="L712" s="678"/>
    </row>
    <row r="713">
      <c r="D713" s="132"/>
      <c r="G713" s="661"/>
      <c r="I713" s="125"/>
      <c r="J713" s="674"/>
      <c r="K713" s="471"/>
      <c r="L713" s="678"/>
    </row>
    <row r="714">
      <c r="D714" s="132"/>
      <c r="G714" s="661"/>
      <c r="I714" s="125"/>
      <c r="J714" s="674"/>
      <c r="K714" s="471"/>
      <c r="L714" s="678"/>
    </row>
    <row r="715">
      <c r="D715" s="168"/>
      <c r="G715" s="661"/>
      <c r="I715" s="125"/>
      <c r="J715" s="674"/>
      <c r="K715" s="471"/>
      <c r="L715" s="678"/>
    </row>
    <row r="716">
      <c r="D716" s="170"/>
      <c r="G716" s="661"/>
      <c r="I716" s="125"/>
      <c r="J716" s="674"/>
      <c r="K716" s="471"/>
      <c r="L716" s="678"/>
    </row>
    <row r="717">
      <c r="D717" s="270"/>
      <c r="G717" s="661"/>
      <c r="I717" s="125"/>
      <c r="J717" s="674"/>
      <c r="K717" s="471"/>
      <c r="L717" s="678"/>
    </row>
    <row r="718">
      <c r="D718" s="132"/>
      <c r="G718" s="661"/>
      <c r="I718" s="125"/>
      <c r="J718" s="674"/>
      <c r="K718" s="471"/>
      <c r="L718" s="678"/>
    </row>
    <row r="719">
      <c r="D719" s="132"/>
      <c r="G719" s="661"/>
      <c r="I719" s="125"/>
      <c r="J719" s="674"/>
      <c r="K719" s="471"/>
      <c r="L719" s="678"/>
    </row>
    <row r="720">
      <c r="D720" s="168"/>
      <c r="G720" s="661"/>
      <c r="I720" s="125"/>
      <c r="J720" s="674"/>
      <c r="K720" s="471"/>
      <c r="L720" s="678"/>
    </row>
    <row r="721">
      <c r="G721" s="661"/>
      <c r="I721" s="125"/>
      <c r="J721" s="674"/>
      <c r="K721" s="471"/>
      <c r="L721" s="678"/>
    </row>
    <row r="722">
      <c r="G722" s="661"/>
      <c r="I722" s="125"/>
      <c r="J722" s="674"/>
      <c r="K722" s="471"/>
      <c r="L722" s="678"/>
    </row>
    <row r="723">
      <c r="D723" s="132"/>
      <c r="G723" s="661"/>
      <c r="I723" s="125"/>
      <c r="J723" s="674"/>
      <c r="K723" s="471"/>
      <c r="L723" s="678"/>
    </row>
    <row r="724">
      <c r="D724" s="132"/>
      <c r="G724" s="661"/>
      <c r="I724" s="125"/>
      <c r="J724" s="674"/>
      <c r="K724" s="471"/>
      <c r="L724" s="678"/>
    </row>
    <row r="725">
      <c r="D725" s="132"/>
      <c r="G725" s="661"/>
      <c r="I725" s="125"/>
      <c r="J725" s="674"/>
      <c r="K725" s="471"/>
      <c r="L725" s="678"/>
    </row>
    <row r="726">
      <c r="G726" s="661"/>
      <c r="I726" s="125"/>
      <c r="J726" s="674"/>
      <c r="K726" s="471"/>
      <c r="L726" s="678"/>
    </row>
    <row r="727">
      <c r="D727" s="132"/>
      <c r="G727" s="661"/>
      <c r="I727" s="125"/>
      <c r="J727" s="674"/>
      <c r="K727" s="471"/>
      <c r="L727" s="678"/>
    </row>
    <row r="728">
      <c r="G728" s="661"/>
      <c r="I728" s="125"/>
      <c r="J728" s="674"/>
      <c r="K728" s="471"/>
      <c r="L728" s="678"/>
    </row>
    <row r="729">
      <c r="D729" s="170"/>
      <c r="G729" s="661"/>
      <c r="I729" s="125"/>
      <c r="J729" s="674"/>
      <c r="K729" s="471"/>
      <c r="L729" s="678"/>
    </row>
    <row r="730">
      <c r="D730" s="208"/>
      <c r="G730" s="661"/>
      <c r="I730" s="125"/>
      <c r="J730" s="674"/>
      <c r="K730" s="471"/>
      <c r="L730" s="678"/>
    </row>
    <row r="731">
      <c r="G731" s="661"/>
      <c r="I731" s="125"/>
      <c r="J731" s="674"/>
      <c r="K731" s="471"/>
      <c r="L731" s="678"/>
    </row>
    <row r="732">
      <c r="D732" s="132"/>
      <c r="G732" s="661"/>
      <c r="I732" s="125"/>
      <c r="J732" s="674"/>
      <c r="K732" s="471"/>
      <c r="L732" s="678"/>
    </row>
    <row r="733">
      <c r="D733" s="132"/>
      <c r="G733" s="661"/>
      <c r="I733" s="125"/>
      <c r="J733" s="674"/>
      <c r="K733" s="471"/>
      <c r="L733" s="678"/>
    </row>
    <row r="734">
      <c r="G734" s="661"/>
      <c r="I734" s="125"/>
      <c r="J734" s="674"/>
      <c r="K734" s="471"/>
      <c r="L734" s="678"/>
    </row>
    <row r="735">
      <c r="D735" s="132"/>
      <c r="G735" s="661"/>
      <c r="I735" s="125"/>
      <c r="J735" s="674"/>
      <c r="K735" s="471"/>
      <c r="L735" s="678"/>
    </row>
    <row r="736">
      <c r="D736" s="132"/>
      <c r="G736" s="661"/>
      <c r="I736" s="125"/>
      <c r="J736" s="674"/>
      <c r="K736" s="471"/>
      <c r="L736" s="678"/>
    </row>
    <row r="737">
      <c r="G737" s="661"/>
      <c r="I737" s="125"/>
      <c r="J737" s="674"/>
      <c r="K737" s="471"/>
      <c r="L737" s="678"/>
    </row>
    <row r="738">
      <c r="D738" s="132"/>
      <c r="G738" s="661"/>
      <c r="I738" s="125"/>
      <c r="J738" s="674"/>
      <c r="K738" s="471"/>
      <c r="L738" s="678"/>
    </row>
    <row r="739">
      <c r="D739" s="149"/>
      <c r="G739" s="661"/>
      <c r="I739" s="125"/>
      <c r="J739" s="674"/>
      <c r="K739" s="471"/>
      <c r="L739" s="678"/>
    </row>
    <row r="740">
      <c r="D740" s="132"/>
      <c r="G740" s="661"/>
      <c r="I740" s="125"/>
      <c r="J740" s="674"/>
      <c r="K740" s="471"/>
      <c r="L740" s="678"/>
    </row>
    <row r="741">
      <c r="D741" s="132"/>
      <c r="G741" s="661"/>
      <c r="I741" s="125"/>
      <c r="J741" s="674"/>
      <c r="K741" s="471"/>
      <c r="L741" s="678"/>
    </row>
    <row r="742">
      <c r="D742" s="132"/>
      <c r="G742" s="661"/>
      <c r="I742" s="125"/>
      <c r="J742" s="674"/>
      <c r="K742" s="471"/>
      <c r="L742" s="678"/>
    </row>
    <row r="743">
      <c r="D743" s="132"/>
      <c r="G743" s="661"/>
      <c r="I743" s="125"/>
      <c r="J743" s="674"/>
      <c r="K743" s="471"/>
      <c r="L743" s="678"/>
    </row>
    <row r="744">
      <c r="D744" s="132"/>
      <c r="G744" s="661"/>
      <c r="I744" s="125"/>
      <c r="J744" s="674"/>
      <c r="K744" s="471"/>
      <c r="L744" s="678"/>
    </row>
    <row r="745">
      <c r="D745" s="132"/>
      <c r="G745" s="661"/>
      <c r="I745" s="125"/>
      <c r="J745" s="674"/>
      <c r="K745" s="471"/>
      <c r="L745" s="678"/>
    </row>
    <row r="746">
      <c r="D746" s="132"/>
      <c r="G746" s="661"/>
      <c r="I746" s="125"/>
      <c r="J746" s="674"/>
      <c r="K746" s="471"/>
      <c r="L746" s="678"/>
    </row>
    <row r="747">
      <c r="D747" s="132"/>
      <c r="G747" s="661"/>
      <c r="I747" s="125"/>
      <c r="J747" s="674"/>
      <c r="K747" s="471"/>
      <c r="L747" s="678"/>
    </row>
    <row r="748">
      <c r="D748" s="132"/>
      <c r="G748" s="661"/>
      <c r="I748" s="125"/>
      <c r="J748" s="674"/>
      <c r="K748" s="471"/>
      <c r="L748" s="678"/>
    </row>
    <row r="749">
      <c r="D749" s="132"/>
      <c r="G749" s="661"/>
      <c r="I749" s="125"/>
      <c r="J749" s="674"/>
      <c r="K749" s="471"/>
      <c r="L749" s="678"/>
    </row>
    <row r="750">
      <c r="D750" s="149"/>
      <c r="G750" s="661"/>
      <c r="I750" s="125"/>
      <c r="J750" s="674"/>
      <c r="K750" s="471"/>
      <c r="L750" s="678"/>
    </row>
    <row r="751">
      <c r="D751" s="132"/>
      <c r="G751" s="661"/>
      <c r="I751" s="125"/>
      <c r="J751" s="674"/>
      <c r="K751" s="471"/>
      <c r="L751" s="678"/>
    </row>
    <row r="752">
      <c r="D752" s="170"/>
      <c r="G752" s="661"/>
      <c r="I752" s="125"/>
      <c r="J752" s="674"/>
      <c r="K752" s="471"/>
      <c r="L752" s="678"/>
    </row>
    <row r="753">
      <c r="D753" s="170"/>
      <c r="G753" s="661"/>
      <c r="I753" s="125"/>
      <c r="J753" s="674"/>
      <c r="K753" s="471"/>
      <c r="L753" s="678"/>
    </row>
    <row r="754">
      <c r="D754" s="132"/>
      <c r="G754" s="661"/>
      <c r="I754" s="125"/>
      <c r="J754" s="674"/>
      <c r="K754" s="471"/>
      <c r="L754" s="678"/>
    </row>
    <row r="755">
      <c r="D755" s="170"/>
      <c r="G755" s="661"/>
      <c r="I755" s="125"/>
      <c r="J755" s="674"/>
      <c r="K755" s="471"/>
      <c r="L755" s="678"/>
    </row>
    <row r="756">
      <c r="D756" s="132"/>
      <c r="G756" s="661"/>
      <c r="I756" s="125"/>
      <c r="J756" s="674"/>
      <c r="K756" s="471"/>
      <c r="L756" s="678"/>
    </row>
    <row r="757">
      <c r="D757" s="132"/>
      <c r="G757" s="661"/>
      <c r="I757" s="125"/>
      <c r="J757" s="674"/>
      <c r="K757" s="471"/>
      <c r="L757" s="678"/>
    </row>
    <row r="758">
      <c r="D758" s="132"/>
      <c r="G758" s="661"/>
      <c r="I758" s="125"/>
      <c r="J758" s="674"/>
      <c r="K758" s="471"/>
      <c r="L758" s="678"/>
    </row>
    <row r="759">
      <c r="G759" s="661"/>
      <c r="I759" s="125"/>
      <c r="J759" s="674"/>
      <c r="K759" s="471"/>
      <c r="L759" s="678"/>
    </row>
    <row r="760">
      <c r="D760" s="170"/>
      <c r="G760" s="661"/>
      <c r="I760" s="125"/>
      <c r="J760" s="674"/>
      <c r="K760" s="471"/>
      <c r="L760" s="678"/>
    </row>
    <row r="761">
      <c r="D761" s="170"/>
      <c r="G761" s="661"/>
      <c r="I761" s="125"/>
      <c r="J761" s="674"/>
      <c r="K761" s="471"/>
      <c r="L761" s="678"/>
    </row>
    <row r="762">
      <c r="D762" s="170"/>
      <c r="G762" s="661"/>
      <c r="I762" s="125"/>
      <c r="J762" s="674"/>
      <c r="K762" s="471"/>
      <c r="L762" s="678"/>
    </row>
    <row r="763">
      <c r="D763" s="132"/>
      <c r="G763" s="661"/>
      <c r="I763" s="125"/>
      <c r="J763" s="674"/>
      <c r="K763" s="471"/>
      <c r="L763" s="678"/>
    </row>
    <row r="764">
      <c r="D764" s="132"/>
      <c r="G764" s="661"/>
      <c r="I764" s="125"/>
      <c r="J764" s="674"/>
      <c r="K764" s="471"/>
      <c r="L764" s="678"/>
    </row>
    <row r="765">
      <c r="D765" s="132"/>
      <c r="G765" s="661"/>
      <c r="I765" s="125"/>
      <c r="J765" s="674"/>
      <c r="K765" s="471"/>
      <c r="L765" s="678"/>
    </row>
    <row r="766">
      <c r="D766" s="170"/>
      <c r="G766" s="661"/>
      <c r="I766" s="125"/>
      <c r="J766" s="674"/>
      <c r="K766" s="471"/>
      <c r="L766" s="678"/>
    </row>
    <row r="767">
      <c r="G767" s="661"/>
      <c r="I767" s="125"/>
      <c r="J767" s="674"/>
      <c r="K767" s="471"/>
      <c r="L767" s="678"/>
    </row>
    <row r="768">
      <c r="D768" s="132"/>
      <c r="G768" s="661"/>
      <c r="I768" s="125"/>
      <c r="J768" s="674"/>
      <c r="K768" s="471"/>
      <c r="L768" s="678"/>
    </row>
    <row r="769">
      <c r="D769" s="132"/>
      <c r="G769" s="661"/>
      <c r="I769" s="125"/>
      <c r="J769" s="674"/>
      <c r="K769" s="471"/>
      <c r="L769" s="678"/>
    </row>
    <row r="770">
      <c r="D770" s="132"/>
      <c r="G770" s="661"/>
      <c r="I770" s="125"/>
      <c r="J770" s="674"/>
      <c r="K770" s="471"/>
      <c r="L770" s="678"/>
    </row>
    <row r="771">
      <c r="D771" s="168"/>
      <c r="G771" s="661"/>
      <c r="I771" s="125"/>
      <c r="J771" s="674"/>
      <c r="K771" s="471"/>
      <c r="L771" s="678"/>
    </row>
    <row r="772">
      <c r="G772" s="661"/>
      <c r="I772" s="125"/>
      <c r="J772" s="674"/>
      <c r="K772" s="471"/>
      <c r="L772" s="678"/>
    </row>
    <row r="773">
      <c r="D773" s="170"/>
      <c r="G773" s="661"/>
      <c r="I773" s="125"/>
      <c r="J773" s="674"/>
      <c r="K773" s="471"/>
      <c r="L773" s="678"/>
    </row>
    <row r="774">
      <c r="D774" s="132"/>
      <c r="G774" s="661"/>
      <c r="I774" s="125"/>
      <c r="J774" s="674"/>
      <c r="K774" s="471"/>
      <c r="L774" s="678"/>
    </row>
    <row r="775">
      <c r="G775" s="661"/>
      <c r="I775" s="125"/>
      <c r="J775" s="674"/>
      <c r="K775" s="471"/>
      <c r="L775" s="678"/>
    </row>
    <row r="776">
      <c r="D776" s="168"/>
      <c r="G776" s="661"/>
      <c r="I776" s="125"/>
      <c r="J776" s="674"/>
      <c r="K776" s="471"/>
      <c r="L776" s="678"/>
    </row>
    <row r="777">
      <c r="D777" s="132"/>
      <c r="G777" s="661"/>
      <c r="I777" s="125"/>
      <c r="J777" s="674"/>
      <c r="K777" s="471"/>
      <c r="L777" s="678"/>
    </row>
    <row r="778">
      <c r="D778" s="132"/>
      <c r="G778" s="661"/>
      <c r="I778" s="125"/>
      <c r="J778" s="674"/>
      <c r="K778" s="471"/>
      <c r="L778" s="678"/>
    </row>
    <row r="779">
      <c r="D779" s="132"/>
      <c r="G779" s="661"/>
      <c r="I779" s="125"/>
      <c r="J779" s="674"/>
      <c r="K779" s="471"/>
      <c r="L779" s="678"/>
    </row>
    <row r="780">
      <c r="D780" s="132"/>
      <c r="G780" s="661"/>
      <c r="I780" s="125"/>
      <c r="J780" s="674"/>
      <c r="K780" s="471"/>
      <c r="L780" s="678"/>
    </row>
    <row r="781">
      <c r="D781" s="132"/>
      <c r="G781" s="661"/>
      <c r="I781" s="125"/>
      <c r="J781" s="674"/>
      <c r="K781" s="471"/>
      <c r="L781" s="678"/>
    </row>
    <row r="782">
      <c r="D782" s="132"/>
      <c r="G782" s="661"/>
      <c r="I782" s="125"/>
      <c r="J782" s="674"/>
      <c r="K782" s="471"/>
      <c r="L782" s="678"/>
    </row>
    <row r="783">
      <c r="D783" s="132"/>
      <c r="G783" s="661"/>
      <c r="I783" s="125"/>
      <c r="J783" s="674"/>
      <c r="K783" s="471"/>
      <c r="L783" s="678"/>
    </row>
    <row r="784">
      <c r="G784" s="661"/>
      <c r="I784" s="125"/>
      <c r="J784" s="674"/>
      <c r="K784" s="471"/>
      <c r="L784" s="678"/>
    </row>
    <row r="785">
      <c r="D785" s="132"/>
      <c r="G785" s="661"/>
      <c r="I785" s="125"/>
      <c r="J785" s="674"/>
      <c r="K785" s="471"/>
      <c r="L785" s="678"/>
    </row>
    <row r="786">
      <c r="D786" s="132"/>
      <c r="G786" s="661"/>
      <c r="I786" s="125"/>
      <c r="J786" s="674"/>
      <c r="K786" s="471"/>
      <c r="L786" s="678"/>
    </row>
    <row r="787">
      <c r="D787" s="132"/>
      <c r="G787" s="661"/>
      <c r="I787" s="125"/>
      <c r="J787" s="674"/>
      <c r="K787" s="471"/>
      <c r="L787" s="678"/>
    </row>
    <row r="788">
      <c r="D788" s="132"/>
      <c r="G788" s="661"/>
      <c r="I788" s="125"/>
      <c r="J788" s="674"/>
      <c r="K788" s="471"/>
      <c r="L788" s="678"/>
    </row>
    <row r="789">
      <c r="D789" s="132"/>
      <c r="G789" s="661"/>
      <c r="I789" s="125"/>
      <c r="J789" s="674"/>
      <c r="K789" s="471"/>
      <c r="L789" s="678"/>
    </row>
    <row r="790">
      <c r="D790" s="132"/>
      <c r="G790" s="661"/>
      <c r="I790" s="125"/>
      <c r="J790" s="674"/>
      <c r="K790" s="471"/>
      <c r="L790" s="678"/>
    </row>
    <row r="791">
      <c r="D791" s="132"/>
      <c r="G791" s="661"/>
      <c r="I791" s="125"/>
      <c r="J791" s="674"/>
      <c r="K791" s="471"/>
      <c r="L791" s="678"/>
    </row>
    <row r="792">
      <c r="D792" s="132"/>
      <c r="G792" s="661"/>
      <c r="I792" s="125"/>
      <c r="J792" s="674"/>
      <c r="K792" s="471"/>
      <c r="L792" s="678"/>
    </row>
    <row r="793">
      <c r="D793" s="132"/>
      <c r="G793" s="661"/>
      <c r="I793" s="125"/>
      <c r="J793" s="674"/>
      <c r="K793" s="471"/>
      <c r="L793" s="678"/>
    </row>
    <row r="794">
      <c r="D794" s="132"/>
      <c r="G794" s="661"/>
      <c r="I794" s="125"/>
      <c r="J794" s="674"/>
      <c r="K794" s="471"/>
      <c r="L794" s="678"/>
    </row>
    <row r="795">
      <c r="D795" s="132"/>
      <c r="G795" s="661"/>
      <c r="I795" s="125"/>
      <c r="J795" s="674"/>
      <c r="K795" s="471"/>
      <c r="L795" s="678"/>
    </row>
    <row r="796">
      <c r="D796" s="139"/>
      <c r="G796" s="661"/>
      <c r="I796" s="125"/>
      <c r="J796" s="674"/>
      <c r="K796" s="471"/>
      <c r="L796" s="678"/>
    </row>
    <row r="797">
      <c r="D797" s="134"/>
      <c r="G797" s="661"/>
      <c r="I797" s="125"/>
      <c r="J797" s="674"/>
      <c r="K797" s="471"/>
      <c r="L797" s="678"/>
    </row>
    <row r="798">
      <c r="D798" s="134"/>
      <c r="G798" s="661"/>
      <c r="I798" s="125"/>
      <c r="J798" s="674"/>
      <c r="K798" s="471"/>
      <c r="L798" s="678"/>
    </row>
    <row r="799">
      <c r="G799" s="661"/>
      <c r="I799" s="125"/>
      <c r="J799" s="674"/>
      <c r="K799" s="471"/>
      <c r="L799" s="678"/>
    </row>
    <row r="800">
      <c r="G800" s="661"/>
      <c r="I800" s="125"/>
      <c r="J800" s="674"/>
      <c r="K800" s="471"/>
      <c r="L800" s="678"/>
    </row>
    <row r="801">
      <c r="D801" s="124"/>
      <c r="G801" s="661"/>
      <c r="I801" s="125"/>
      <c r="J801" s="674"/>
      <c r="K801" s="471"/>
      <c r="L801" s="678"/>
    </row>
    <row r="802">
      <c r="D802" s="132"/>
      <c r="G802" s="661"/>
      <c r="I802" s="125"/>
      <c r="J802" s="674"/>
      <c r="K802" s="471"/>
      <c r="L802" s="678"/>
    </row>
    <row r="803">
      <c r="D803" s="132"/>
      <c r="G803" s="661"/>
      <c r="I803" s="125"/>
      <c r="J803" s="674"/>
      <c r="K803" s="471"/>
      <c r="L803" s="678"/>
    </row>
    <row r="804">
      <c r="G804" s="661"/>
      <c r="I804" s="125"/>
      <c r="J804" s="674"/>
      <c r="K804" s="471"/>
      <c r="L804" s="678"/>
    </row>
    <row r="805">
      <c r="D805" s="132"/>
      <c r="G805" s="661"/>
      <c r="I805" s="125"/>
      <c r="J805" s="674"/>
      <c r="K805" s="471"/>
      <c r="L805" s="678"/>
    </row>
    <row r="806">
      <c r="D806" s="132"/>
      <c r="G806" s="661"/>
      <c r="I806" s="125"/>
      <c r="J806" s="674"/>
      <c r="K806" s="471"/>
      <c r="L806" s="678"/>
    </row>
    <row r="807">
      <c r="D807" s="132"/>
      <c r="G807" s="661"/>
      <c r="I807" s="125"/>
      <c r="J807" s="674"/>
      <c r="K807" s="471"/>
      <c r="L807" s="678"/>
    </row>
    <row r="808">
      <c r="D808" s="168"/>
      <c r="G808" s="661"/>
      <c r="I808" s="125"/>
      <c r="J808" s="674"/>
      <c r="K808" s="471"/>
      <c r="L808" s="678"/>
    </row>
    <row r="809">
      <c r="D809" s="132"/>
      <c r="G809" s="661"/>
      <c r="I809" s="125"/>
      <c r="J809" s="674"/>
      <c r="K809" s="471"/>
      <c r="L809" s="678"/>
    </row>
    <row r="810">
      <c r="D810" s="132"/>
      <c r="G810" s="661"/>
      <c r="I810" s="125"/>
      <c r="J810" s="674"/>
      <c r="K810" s="471"/>
      <c r="L810" s="678"/>
    </row>
    <row r="811">
      <c r="D811" s="132"/>
      <c r="G811" s="661"/>
      <c r="I811" s="125"/>
      <c r="J811" s="674"/>
      <c r="K811" s="471"/>
      <c r="L811" s="678"/>
    </row>
    <row r="812">
      <c r="D812" s="132"/>
      <c r="G812" s="661"/>
      <c r="I812" s="125"/>
      <c r="J812" s="674"/>
      <c r="K812" s="471"/>
      <c r="L812" s="678"/>
    </row>
    <row r="813">
      <c r="D813" s="168"/>
      <c r="G813" s="661"/>
      <c r="I813" s="125"/>
      <c r="J813" s="674"/>
      <c r="K813" s="471"/>
      <c r="L813" s="678"/>
    </row>
    <row r="814">
      <c r="D814" s="168"/>
      <c r="G814" s="661"/>
      <c r="I814" s="125"/>
      <c r="J814" s="674"/>
      <c r="K814" s="471"/>
      <c r="L814" s="678"/>
    </row>
    <row r="815">
      <c r="D815" s="168"/>
      <c r="G815" s="661"/>
      <c r="I815" s="125"/>
      <c r="J815" s="674"/>
      <c r="K815" s="471"/>
      <c r="L815" s="678"/>
    </row>
    <row r="816">
      <c r="D816" s="132"/>
      <c r="G816" s="661"/>
      <c r="I816" s="125"/>
      <c r="J816" s="674"/>
      <c r="K816" s="471"/>
      <c r="L816" s="678"/>
    </row>
    <row r="817">
      <c r="D817" s="132"/>
      <c r="G817" s="661"/>
      <c r="I817" s="125"/>
      <c r="J817" s="674"/>
      <c r="K817" s="471"/>
      <c r="L817" s="678"/>
    </row>
    <row r="818">
      <c r="D818" s="132"/>
      <c r="G818" s="661"/>
      <c r="I818" s="125"/>
      <c r="J818" s="674"/>
      <c r="K818" s="471"/>
      <c r="L818" s="678"/>
    </row>
    <row r="819">
      <c r="D819" s="132"/>
      <c r="G819" s="661"/>
      <c r="I819" s="125"/>
      <c r="J819" s="674"/>
      <c r="K819" s="471"/>
      <c r="L819" s="678"/>
    </row>
    <row r="820">
      <c r="D820" s="168"/>
      <c r="G820" s="661"/>
      <c r="I820" s="125"/>
      <c r="J820" s="674"/>
      <c r="K820" s="471"/>
      <c r="L820" s="678"/>
    </row>
    <row r="821">
      <c r="D821" s="132"/>
      <c r="G821" s="661"/>
      <c r="I821" s="125"/>
      <c r="J821" s="674"/>
      <c r="K821" s="471"/>
      <c r="L821" s="678"/>
    </row>
    <row r="822">
      <c r="D822" s="132"/>
      <c r="G822" s="661"/>
      <c r="I822" s="125"/>
      <c r="J822" s="674"/>
      <c r="K822" s="471"/>
      <c r="L822" s="678"/>
    </row>
    <row r="823">
      <c r="D823" s="132"/>
      <c r="G823" s="661"/>
      <c r="I823" s="125"/>
      <c r="J823" s="674"/>
      <c r="K823" s="471"/>
      <c r="L823" s="678"/>
    </row>
    <row r="824">
      <c r="D824" s="132"/>
      <c r="G824" s="661"/>
      <c r="I824" s="125"/>
      <c r="J824" s="674"/>
      <c r="K824" s="471"/>
      <c r="L824" s="678"/>
    </row>
    <row r="825">
      <c r="D825" s="132"/>
      <c r="G825" s="661"/>
      <c r="I825" s="125"/>
      <c r="J825" s="674"/>
      <c r="K825" s="471"/>
      <c r="L825" s="678"/>
    </row>
    <row r="826">
      <c r="D826" s="132"/>
      <c r="G826" s="661"/>
      <c r="I826" s="125"/>
      <c r="J826" s="674"/>
      <c r="K826" s="471"/>
      <c r="L826" s="678"/>
    </row>
    <row r="827">
      <c r="D827" s="132"/>
      <c r="G827" s="661"/>
      <c r="I827" s="125"/>
      <c r="J827" s="674"/>
      <c r="K827" s="471"/>
      <c r="L827" s="678"/>
    </row>
    <row r="828">
      <c r="D828" s="132"/>
      <c r="G828" s="661"/>
      <c r="I828" s="125"/>
      <c r="J828" s="674"/>
      <c r="K828" s="471"/>
      <c r="L828" s="678"/>
    </row>
    <row r="829">
      <c r="D829" s="132"/>
      <c r="G829" s="661"/>
      <c r="I829" s="125"/>
      <c r="J829" s="674"/>
      <c r="K829" s="471"/>
      <c r="L829" s="678"/>
    </row>
    <row r="830">
      <c r="D830" s="132"/>
      <c r="G830" s="661"/>
      <c r="I830" s="125"/>
      <c r="J830" s="674"/>
      <c r="K830" s="471"/>
      <c r="L830" s="678"/>
    </row>
    <row r="831">
      <c r="D831" s="132"/>
      <c r="G831" s="661"/>
      <c r="I831" s="125"/>
      <c r="J831" s="674"/>
      <c r="K831" s="471"/>
      <c r="L831" s="678"/>
    </row>
    <row r="832">
      <c r="D832" s="270"/>
      <c r="G832" s="661"/>
      <c r="I832" s="125"/>
      <c r="J832" s="674"/>
      <c r="K832" s="471"/>
      <c r="L832" s="678"/>
    </row>
    <row r="833">
      <c r="D833" s="132"/>
      <c r="G833" s="661"/>
      <c r="I833" s="125"/>
      <c r="J833" s="674"/>
      <c r="K833" s="471"/>
      <c r="L833" s="678"/>
    </row>
    <row r="834">
      <c r="D834" s="132"/>
      <c r="G834" s="661"/>
      <c r="I834" s="125"/>
      <c r="J834" s="674"/>
      <c r="K834" s="471"/>
      <c r="L834" s="678"/>
    </row>
    <row r="835">
      <c r="D835" s="132"/>
      <c r="G835" s="661"/>
      <c r="I835" s="125"/>
      <c r="J835" s="674"/>
      <c r="K835" s="471"/>
      <c r="L835" s="678"/>
    </row>
    <row r="836">
      <c r="D836" s="132"/>
      <c r="G836" s="661"/>
      <c r="I836" s="125"/>
      <c r="J836" s="674"/>
      <c r="K836" s="471"/>
      <c r="L836" s="678"/>
    </row>
    <row r="837">
      <c r="D837" s="208"/>
      <c r="G837" s="661"/>
      <c r="I837" s="125"/>
      <c r="J837" s="674"/>
      <c r="K837" s="471"/>
      <c r="L837" s="678"/>
    </row>
    <row r="838">
      <c r="G838" s="661"/>
      <c r="I838" s="125"/>
      <c r="J838" s="674"/>
      <c r="K838" s="471"/>
      <c r="L838" s="678"/>
    </row>
    <row r="839">
      <c r="D839" s="132"/>
      <c r="G839" s="661"/>
      <c r="I839" s="125"/>
      <c r="J839" s="674"/>
      <c r="K839" s="471"/>
      <c r="L839" s="678"/>
    </row>
    <row r="840">
      <c r="G840" s="661"/>
      <c r="I840" s="125"/>
      <c r="J840" s="674"/>
      <c r="K840" s="471"/>
      <c r="L840" s="678"/>
    </row>
    <row r="841">
      <c r="G841" s="661"/>
      <c r="I841" s="125"/>
      <c r="J841" s="674"/>
      <c r="K841" s="471"/>
      <c r="L841" s="678"/>
    </row>
    <row r="842">
      <c r="G842" s="661"/>
      <c r="I842" s="125"/>
      <c r="J842" s="674"/>
      <c r="K842" s="471"/>
      <c r="L842" s="678"/>
    </row>
    <row r="843">
      <c r="G843" s="661"/>
      <c r="I843" s="125"/>
      <c r="J843" s="674"/>
      <c r="K843" s="471"/>
      <c r="L843" s="678"/>
    </row>
    <row r="844">
      <c r="D844" s="168"/>
      <c r="G844" s="661"/>
      <c r="I844" s="125"/>
      <c r="J844" s="674"/>
      <c r="K844" s="471"/>
      <c r="L844" s="678"/>
    </row>
    <row r="845">
      <c r="D845" s="132"/>
      <c r="G845" s="661"/>
      <c r="I845" s="125"/>
      <c r="J845" s="674"/>
      <c r="K845" s="471"/>
      <c r="L845" s="678"/>
    </row>
    <row r="846">
      <c r="D846" s="132"/>
      <c r="G846" s="661"/>
      <c r="I846" s="125"/>
      <c r="J846" s="674"/>
      <c r="K846" s="471"/>
      <c r="L846" s="678"/>
    </row>
    <row r="847">
      <c r="D847" s="132"/>
      <c r="G847" s="661"/>
      <c r="I847" s="125"/>
      <c r="J847" s="674"/>
      <c r="K847" s="471"/>
      <c r="L847" s="678"/>
    </row>
    <row r="848">
      <c r="D848" s="132"/>
      <c r="G848" s="661"/>
      <c r="I848" s="125"/>
      <c r="J848" s="674"/>
      <c r="K848" s="471"/>
      <c r="L848" s="678"/>
    </row>
    <row r="849">
      <c r="D849" s="132"/>
      <c r="G849" s="661"/>
      <c r="I849" s="125"/>
      <c r="J849" s="674"/>
      <c r="K849" s="471"/>
      <c r="L849" s="678"/>
    </row>
    <row r="850">
      <c r="D850" s="132"/>
      <c r="G850" s="661"/>
      <c r="I850" s="125"/>
      <c r="J850" s="674"/>
      <c r="K850" s="471"/>
      <c r="L850" s="678"/>
    </row>
    <row r="851">
      <c r="D851" s="170"/>
      <c r="G851" s="661"/>
      <c r="I851" s="125"/>
      <c r="J851" s="674"/>
      <c r="K851" s="471"/>
      <c r="L851" s="678"/>
    </row>
    <row r="852">
      <c r="D852" s="168"/>
      <c r="G852" s="661"/>
      <c r="I852" s="125"/>
      <c r="J852" s="674"/>
      <c r="K852" s="471"/>
      <c r="L852" s="678"/>
    </row>
    <row r="853">
      <c r="D853" s="132"/>
      <c r="G853" s="661"/>
      <c r="I853" s="125"/>
      <c r="J853" s="674"/>
      <c r="K853" s="471"/>
      <c r="L853" s="678"/>
    </row>
    <row r="854">
      <c r="D854" s="168"/>
      <c r="G854" s="661"/>
      <c r="I854" s="125"/>
      <c r="J854" s="674"/>
      <c r="K854" s="471"/>
      <c r="L854" s="678"/>
    </row>
    <row r="855">
      <c r="D855" s="132"/>
      <c r="G855" s="661"/>
      <c r="I855" s="125"/>
      <c r="J855" s="674"/>
      <c r="K855" s="471"/>
      <c r="L855" s="678"/>
    </row>
    <row r="856">
      <c r="D856" s="132"/>
      <c r="G856" s="661"/>
      <c r="I856" s="125"/>
      <c r="J856" s="674"/>
      <c r="K856" s="471"/>
      <c r="L856" s="678"/>
    </row>
    <row r="857">
      <c r="D857" s="132"/>
      <c r="G857" s="661"/>
      <c r="I857" s="125"/>
      <c r="J857" s="674"/>
      <c r="K857" s="471"/>
      <c r="L857" s="678"/>
    </row>
    <row r="858">
      <c r="D858" s="132"/>
      <c r="G858" s="661"/>
      <c r="I858" s="125"/>
      <c r="J858" s="674"/>
      <c r="K858" s="471"/>
      <c r="L858" s="678"/>
    </row>
    <row r="859">
      <c r="D859" s="132"/>
      <c r="G859" s="661"/>
      <c r="I859" s="125"/>
      <c r="J859" s="674"/>
      <c r="K859" s="471"/>
      <c r="L859" s="678"/>
    </row>
    <row r="860">
      <c r="D860" s="132"/>
      <c r="G860" s="661"/>
      <c r="I860" s="125"/>
      <c r="J860" s="674"/>
      <c r="K860" s="471"/>
      <c r="L860" s="678"/>
    </row>
    <row r="861">
      <c r="D861" s="132"/>
      <c r="G861" s="661"/>
      <c r="I861" s="125"/>
      <c r="J861" s="674"/>
      <c r="K861" s="471"/>
      <c r="L861" s="678"/>
    </row>
    <row r="862">
      <c r="D862" s="168"/>
      <c r="G862" s="661"/>
      <c r="I862" s="125"/>
      <c r="J862" s="674"/>
      <c r="K862" s="471"/>
      <c r="L862" s="678"/>
    </row>
    <row r="863">
      <c r="D863" s="132"/>
      <c r="G863" s="661"/>
      <c r="I863" s="125"/>
      <c r="J863" s="674"/>
      <c r="K863" s="471"/>
      <c r="L863" s="678"/>
    </row>
    <row r="864">
      <c r="D864" s="168"/>
      <c r="G864" s="661"/>
      <c r="I864" s="125"/>
      <c r="J864" s="674"/>
      <c r="K864" s="471"/>
      <c r="L864" s="678"/>
    </row>
    <row r="865">
      <c r="D865" s="132"/>
      <c r="G865" s="661"/>
      <c r="I865" s="125"/>
      <c r="J865" s="674"/>
      <c r="K865" s="471"/>
      <c r="L865" s="678"/>
    </row>
    <row r="866">
      <c r="D866" s="132"/>
      <c r="G866" s="661"/>
      <c r="I866" s="125"/>
      <c r="J866" s="674"/>
      <c r="K866" s="471"/>
      <c r="L866" s="678"/>
    </row>
    <row r="867">
      <c r="G867" s="661"/>
      <c r="I867" s="125"/>
      <c r="J867" s="674"/>
      <c r="K867" s="471"/>
      <c r="L867" s="678"/>
    </row>
    <row r="868">
      <c r="D868" s="132"/>
      <c r="G868" s="661"/>
      <c r="I868" s="125"/>
      <c r="J868" s="674"/>
      <c r="K868" s="471"/>
      <c r="L868" s="678"/>
    </row>
    <row r="869">
      <c r="D869" s="168"/>
      <c r="G869" s="661"/>
      <c r="I869" s="125"/>
      <c r="J869" s="674"/>
      <c r="K869" s="471"/>
      <c r="L869" s="678"/>
    </row>
    <row r="870">
      <c r="D870" s="132"/>
      <c r="G870" s="661"/>
      <c r="I870" s="125"/>
      <c r="J870" s="674"/>
      <c r="K870" s="471"/>
      <c r="L870" s="678"/>
    </row>
    <row r="871">
      <c r="D871" s="132"/>
      <c r="G871" s="661"/>
      <c r="I871" s="125"/>
      <c r="J871" s="674"/>
      <c r="K871" s="471"/>
      <c r="L871" s="678"/>
    </row>
    <row r="872">
      <c r="D872" s="132"/>
      <c r="G872" s="661"/>
      <c r="I872" s="125"/>
      <c r="J872" s="674"/>
      <c r="K872" s="471"/>
      <c r="L872" s="678"/>
    </row>
    <row r="873">
      <c r="D873" s="170"/>
      <c r="G873" s="661"/>
      <c r="I873" s="125"/>
      <c r="J873" s="674"/>
      <c r="K873" s="471"/>
      <c r="L873" s="678"/>
    </row>
    <row r="874">
      <c r="D874" s="132"/>
      <c r="G874" s="661"/>
      <c r="I874" s="125"/>
      <c r="J874" s="674"/>
      <c r="K874" s="471"/>
      <c r="L874" s="678"/>
    </row>
    <row r="875">
      <c r="D875" s="170"/>
      <c r="G875" s="661"/>
      <c r="I875" s="125"/>
      <c r="J875" s="674"/>
      <c r="K875" s="471"/>
      <c r="L875" s="678"/>
    </row>
    <row r="876">
      <c r="D876" s="132"/>
      <c r="G876" s="661"/>
      <c r="I876" s="125"/>
      <c r="J876" s="674"/>
      <c r="K876" s="471"/>
      <c r="L876" s="678"/>
    </row>
    <row r="877">
      <c r="D877" s="132"/>
      <c r="G877" s="661"/>
      <c r="I877" s="125"/>
      <c r="J877" s="674"/>
      <c r="K877" s="471"/>
      <c r="L877" s="678"/>
    </row>
    <row r="878">
      <c r="D878" s="132"/>
      <c r="G878" s="661"/>
      <c r="I878" s="125"/>
      <c r="J878" s="674"/>
      <c r="K878" s="471"/>
      <c r="L878" s="678"/>
    </row>
    <row r="879">
      <c r="D879" s="132"/>
      <c r="G879" s="661"/>
      <c r="I879" s="125"/>
      <c r="J879" s="674"/>
      <c r="K879" s="471"/>
      <c r="L879" s="678"/>
    </row>
    <row r="880">
      <c r="D880" s="132"/>
      <c r="G880" s="661"/>
      <c r="I880" s="125"/>
      <c r="J880" s="674"/>
      <c r="K880" s="471"/>
      <c r="L880" s="678"/>
    </row>
    <row r="881">
      <c r="D881" s="132"/>
      <c r="G881" s="661"/>
      <c r="I881" s="125"/>
      <c r="J881" s="674"/>
      <c r="K881" s="471"/>
      <c r="L881" s="678"/>
    </row>
    <row r="882">
      <c r="D882" s="132"/>
      <c r="G882" s="661"/>
      <c r="I882" s="125"/>
      <c r="J882" s="674"/>
      <c r="K882" s="471"/>
      <c r="L882" s="678"/>
    </row>
    <row r="883">
      <c r="D883" s="132"/>
      <c r="G883" s="661"/>
      <c r="I883" s="125"/>
      <c r="J883" s="674"/>
      <c r="K883" s="471"/>
      <c r="L883" s="678"/>
    </row>
    <row r="884">
      <c r="D884" s="132"/>
      <c r="G884" s="661"/>
      <c r="I884" s="125"/>
      <c r="J884" s="674"/>
      <c r="K884" s="471"/>
      <c r="L884" s="678"/>
    </row>
    <row r="885">
      <c r="D885" s="132"/>
      <c r="G885" s="661"/>
      <c r="I885" s="125"/>
      <c r="J885" s="674"/>
      <c r="K885" s="471"/>
      <c r="L885" s="678"/>
    </row>
    <row r="886">
      <c r="D886" s="132"/>
      <c r="G886" s="661"/>
      <c r="I886" s="125"/>
      <c r="J886" s="674"/>
      <c r="K886" s="471"/>
      <c r="L886" s="678"/>
    </row>
    <row r="887">
      <c r="D887" s="132"/>
      <c r="G887" s="661"/>
      <c r="I887" s="125"/>
      <c r="J887" s="674"/>
      <c r="K887" s="471"/>
      <c r="L887" s="678"/>
    </row>
    <row r="888">
      <c r="D888" s="132"/>
      <c r="G888" s="661"/>
      <c r="I888" s="125"/>
      <c r="J888" s="674"/>
      <c r="K888" s="471"/>
      <c r="L888" s="678"/>
    </row>
    <row r="889">
      <c r="D889" s="168"/>
      <c r="G889" s="661"/>
      <c r="I889" s="125"/>
      <c r="J889" s="674"/>
      <c r="K889" s="471"/>
      <c r="L889" s="678"/>
    </row>
    <row r="890">
      <c r="D890" s="132"/>
      <c r="G890" s="661"/>
      <c r="I890" s="125"/>
      <c r="J890" s="674"/>
      <c r="K890" s="471"/>
      <c r="L890" s="678"/>
    </row>
    <row r="891">
      <c r="D891" s="132"/>
      <c r="G891" s="661"/>
      <c r="I891" s="125"/>
      <c r="J891" s="674"/>
      <c r="K891" s="471"/>
      <c r="L891" s="678"/>
    </row>
    <row r="892">
      <c r="D892" s="132"/>
      <c r="G892" s="661"/>
      <c r="I892" s="125"/>
      <c r="J892" s="674"/>
      <c r="K892" s="471"/>
      <c r="L892" s="678"/>
    </row>
    <row r="893">
      <c r="D893" s="132"/>
      <c r="G893" s="661"/>
      <c r="I893" s="125"/>
      <c r="J893" s="674"/>
      <c r="K893" s="471"/>
      <c r="L893" s="678"/>
    </row>
    <row r="894">
      <c r="D894" s="132"/>
      <c r="G894" s="661"/>
      <c r="I894" s="125"/>
      <c r="J894" s="674"/>
      <c r="K894" s="471"/>
      <c r="L894" s="678"/>
    </row>
    <row r="895">
      <c r="D895" s="132"/>
      <c r="G895" s="661"/>
      <c r="I895" s="125"/>
      <c r="J895" s="674"/>
      <c r="K895" s="471"/>
      <c r="L895" s="678"/>
    </row>
    <row r="896">
      <c r="D896" s="132"/>
      <c r="G896" s="661"/>
      <c r="I896" s="125"/>
      <c r="J896" s="674"/>
      <c r="K896" s="471"/>
      <c r="L896" s="678"/>
    </row>
    <row r="897">
      <c r="D897" s="132"/>
      <c r="G897" s="661"/>
      <c r="I897" s="125"/>
      <c r="J897" s="674"/>
      <c r="K897" s="471"/>
      <c r="L897" s="678"/>
    </row>
    <row r="898">
      <c r="D898" s="132"/>
      <c r="G898" s="661"/>
      <c r="I898" s="125"/>
      <c r="J898" s="674"/>
      <c r="K898" s="471"/>
      <c r="L898" s="678"/>
    </row>
    <row r="899">
      <c r="D899" s="132"/>
      <c r="G899" s="661"/>
      <c r="I899" s="125"/>
      <c r="J899" s="674"/>
      <c r="K899" s="471"/>
      <c r="L899" s="678"/>
    </row>
    <row r="900">
      <c r="D900" s="132"/>
      <c r="G900" s="661"/>
      <c r="I900" s="125"/>
      <c r="J900" s="674"/>
      <c r="K900" s="471"/>
      <c r="L900" s="678"/>
    </row>
    <row r="901">
      <c r="D901" s="132"/>
      <c r="G901" s="661"/>
      <c r="I901" s="125"/>
      <c r="J901" s="674"/>
      <c r="K901" s="471"/>
      <c r="L901" s="678"/>
    </row>
    <row r="902">
      <c r="G902" s="661"/>
      <c r="I902" s="125"/>
      <c r="J902" s="674"/>
      <c r="K902" s="471"/>
      <c r="L902" s="678"/>
    </row>
    <row r="903">
      <c r="D903" s="139"/>
      <c r="G903" s="661"/>
      <c r="I903" s="125"/>
      <c r="J903" s="674"/>
      <c r="K903" s="471"/>
      <c r="L903" s="678"/>
    </row>
    <row r="904">
      <c r="D904" s="134"/>
      <c r="G904" s="661"/>
      <c r="I904" s="125"/>
      <c r="J904" s="674"/>
      <c r="K904" s="471"/>
      <c r="L904" s="678"/>
    </row>
    <row r="905">
      <c r="G905" s="661"/>
      <c r="I905" s="125"/>
      <c r="J905" s="674"/>
      <c r="K905" s="471"/>
      <c r="L905" s="678"/>
    </row>
    <row r="906">
      <c r="D906" s="124"/>
      <c r="G906" s="661"/>
      <c r="I906" s="125"/>
      <c r="J906" s="674"/>
      <c r="K906" s="471"/>
      <c r="L906" s="678"/>
    </row>
    <row r="907">
      <c r="D907" s="132"/>
      <c r="G907" s="661"/>
      <c r="I907" s="125"/>
      <c r="J907" s="674"/>
      <c r="K907" s="471"/>
      <c r="L907" s="678"/>
    </row>
    <row r="908">
      <c r="D908" s="132"/>
      <c r="G908" s="661"/>
      <c r="I908" s="125"/>
      <c r="J908" s="674"/>
      <c r="K908" s="471"/>
      <c r="L908" s="678"/>
    </row>
    <row r="909">
      <c r="D909" s="132"/>
      <c r="G909" s="661"/>
      <c r="I909" s="125"/>
      <c r="J909" s="674"/>
      <c r="K909" s="471"/>
      <c r="L909" s="678"/>
    </row>
    <row r="910">
      <c r="D910" s="132"/>
      <c r="G910" s="661"/>
      <c r="I910" s="125"/>
      <c r="J910" s="674"/>
      <c r="K910" s="471"/>
      <c r="L910" s="671" t="s">
        <v>2576</v>
      </c>
    </row>
    <row r="911">
      <c r="D911" s="132"/>
      <c r="G911" s="661"/>
      <c r="I911" s="125"/>
      <c r="J911" s="674"/>
      <c r="K911" s="471"/>
      <c r="L911" s="673">
        <v>0.013</v>
      </c>
    </row>
    <row r="912">
      <c r="D912" s="132"/>
      <c r="G912" s="661"/>
      <c r="I912" s="125"/>
      <c r="J912" s="674"/>
      <c r="K912" s="471"/>
      <c r="L912" s="675"/>
    </row>
    <row r="913">
      <c r="G913" s="661"/>
      <c r="I913" s="125"/>
      <c r="J913" s="674"/>
      <c r="K913" s="471"/>
      <c r="L913" s="677"/>
    </row>
    <row r="914">
      <c r="D914" s="132"/>
      <c r="G914" s="661"/>
      <c r="I914" s="125"/>
      <c r="J914" s="674"/>
      <c r="K914" s="471"/>
      <c r="L914" s="677"/>
    </row>
    <row r="915">
      <c r="D915" s="132"/>
      <c r="G915" s="661"/>
      <c r="I915" s="125"/>
      <c r="J915" s="674"/>
      <c r="K915" s="471"/>
      <c r="L915" s="677"/>
    </row>
    <row r="916">
      <c r="D916" s="132"/>
      <c r="G916" s="661"/>
      <c r="I916" s="125"/>
      <c r="J916" s="674"/>
      <c r="K916" s="471"/>
      <c r="L916" s="677"/>
    </row>
    <row r="917">
      <c r="D917" s="132"/>
      <c r="G917" s="661"/>
      <c r="I917" s="125"/>
      <c r="J917" s="674"/>
      <c r="K917" s="471"/>
      <c r="L917" s="677"/>
    </row>
    <row r="918">
      <c r="D918" s="132"/>
      <c r="G918" s="661"/>
      <c r="I918" s="125"/>
      <c r="J918" s="674"/>
      <c r="K918" s="471"/>
      <c r="L918" s="678"/>
    </row>
    <row r="919">
      <c r="D919" s="132"/>
      <c r="G919" s="661"/>
      <c r="I919" s="125"/>
      <c r="J919" s="674"/>
      <c r="K919" s="471"/>
      <c r="L919" s="678"/>
    </row>
    <row r="920">
      <c r="D920" s="132"/>
      <c r="G920" s="661"/>
      <c r="I920" s="125"/>
      <c r="J920" s="674"/>
      <c r="K920" s="471"/>
      <c r="L920" s="677"/>
    </row>
    <row r="921">
      <c r="D921" s="132"/>
      <c r="G921" s="661"/>
      <c r="I921" s="125"/>
      <c r="J921" s="674"/>
      <c r="K921" s="471"/>
      <c r="L921" s="677"/>
    </row>
    <row r="922">
      <c r="D922" s="132"/>
      <c r="G922" s="661"/>
      <c r="I922" s="125"/>
      <c r="J922" s="674"/>
      <c r="K922" s="471"/>
      <c r="L922" s="677"/>
    </row>
    <row r="923">
      <c r="D923" s="132"/>
      <c r="G923" s="661"/>
      <c r="I923" s="125"/>
      <c r="J923" s="674"/>
      <c r="K923" s="471"/>
      <c r="L923" s="677"/>
    </row>
    <row r="924">
      <c r="D924" s="132"/>
      <c r="G924" s="661"/>
      <c r="I924" s="125"/>
      <c r="J924" s="674"/>
      <c r="K924" s="471"/>
      <c r="L924" s="677"/>
    </row>
    <row r="925">
      <c r="D925" s="132"/>
      <c r="G925" s="661"/>
      <c r="I925" s="125"/>
      <c r="J925" s="674"/>
      <c r="K925" s="471"/>
      <c r="L925" s="677"/>
    </row>
    <row r="926">
      <c r="D926" s="132"/>
      <c r="G926" s="661"/>
      <c r="I926" s="125"/>
      <c r="J926" s="674"/>
      <c r="K926" s="471"/>
      <c r="L926" s="677"/>
    </row>
    <row r="927">
      <c r="D927" s="132"/>
      <c r="G927" s="661"/>
      <c r="I927" s="125"/>
      <c r="J927" s="674"/>
      <c r="K927" s="471"/>
      <c r="L927" s="677"/>
    </row>
    <row r="928">
      <c r="D928" s="208"/>
      <c r="G928" s="661"/>
      <c r="I928" s="125"/>
      <c r="J928" s="674"/>
      <c r="K928" s="471"/>
      <c r="L928" s="677"/>
    </row>
    <row r="929">
      <c r="D929" s="132"/>
      <c r="G929" s="661"/>
      <c r="I929" s="125"/>
      <c r="J929" s="674"/>
      <c r="K929" s="471"/>
      <c r="L929" s="677"/>
    </row>
    <row r="930">
      <c r="D930" s="132"/>
      <c r="G930" s="661"/>
      <c r="I930" s="125"/>
      <c r="J930" s="674"/>
      <c r="K930" s="471"/>
      <c r="L930" s="677"/>
    </row>
    <row r="931">
      <c r="D931" s="132"/>
      <c r="G931" s="661"/>
      <c r="I931" s="125"/>
      <c r="J931" s="674"/>
      <c r="K931" s="471"/>
      <c r="L931" s="677"/>
    </row>
    <row r="932">
      <c r="D932" s="132"/>
      <c r="G932" s="661"/>
      <c r="I932" s="125"/>
      <c r="J932" s="674"/>
      <c r="K932" s="471"/>
      <c r="L932" s="677"/>
    </row>
    <row r="933">
      <c r="D933" s="132"/>
      <c r="G933" s="661"/>
      <c r="I933" s="125"/>
      <c r="J933" s="674"/>
      <c r="K933" s="471"/>
      <c r="L933" s="677"/>
    </row>
    <row r="934">
      <c r="G934" s="661"/>
      <c r="I934" s="125"/>
      <c r="J934" s="674"/>
      <c r="K934" s="471"/>
      <c r="L934" s="677"/>
    </row>
    <row r="935">
      <c r="D935" s="132"/>
      <c r="G935" s="661"/>
      <c r="I935" s="125"/>
      <c r="J935" s="674"/>
      <c r="K935" s="471"/>
      <c r="L935" s="677"/>
    </row>
    <row r="936">
      <c r="D936" s="132"/>
      <c r="G936" s="661"/>
      <c r="I936" s="125"/>
      <c r="J936" s="674"/>
      <c r="K936" s="471"/>
      <c r="L936" s="677"/>
    </row>
    <row r="937">
      <c r="G937" s="661"/>
      <c r="I937" s="125"/>
      <c r="J937" s="674"/>
      <c r="K937" s="471"/>
      <c r="L937" s="677"/>
    </row>
    <row r="938">
      <c r="D938" s="132"/>
      <c r="G938" s="661"/>
      <c r="I938" s="125"/>
      <c r="J938" s="674"/>
      <c r="K938" s="471"/>
      <c r="L938" s="677"/>
    </row>
    <row r="939">
      <c r="D939" s="132"/>
      <c r="G939" s="661"/>
      <c r="I939" s="125"/>
      <c r="J939" s="674"/>
      <c r="K939" s="471"/>
      <c r="L939" s="677"/>
    </row>
    <row r="940">
      <c r="D940" s="132"/>
      <c r="G940" s="661"/>
      <c r="I940" s="125"/>
      <c r="J940" s="674"/>
      <c r="K940" s="471"/>
      <c r="L940" s="677"/>
    </row>
    <row r="941">
      <c r="D941" s="132"/>
      <c r="G941" s="661"/>
      <c r="I941" s="125"/>
      <c r="J941" s="674"/>
      <c r="K941" s="471"/>
      <c r="L941" s="677"/>
    </row>
    <row r="942">
      <c r="D942" s="132"/>
      <c r="G942" s="661"/>
      <c r="I942" s="125"/>
      <c r="J942" s="674"/>
      <c r="K942" s="471"/>
      <c r="L942" s="678"/>
    </row>
    <row r="943">
      <c r="D943" s="132"/>
      <c r="G943" s="661"/>
      <c r="I943" s="125"/>
      <c r="J943" s="674"/>
      <c r="K943" s="471"/>
      <c r="L943" s="677"/>
      <c r="M943" s="118" t="s">
        <v>2204</v>
      </c>
      <c r="N943" s="118" t="s">
        <v>2579</v>
      </c>
      <c r="O943" s="118" t="s">
        <v>2205</v>
      </c>
      <c r="P943" s="118" t="s">
        <v>41</v>
      </c>
    </row>
    <row r="944">
      <c r="D944" s="132"/>
      <c r="G944" s="661"/>
      <c r="I944" s="125"/>
      <c r="J944" s="674"/>
      <c r="K944" s="471"/>
      <c r="L944" s="677"/>
      <c r="M944" s="204"/>
      <c r="N944" s="204"/>
      <c r="O944" s="204">
        <f>SUM(O946:O1042)</f>
        <v>15425</v>
      </c>
      <c r="P944" s="417" t="str">
        <f>O944/(H944/100)</f>
        <v>#DIV/0!</v>
      </c>
      <c r="Q944" s="121"/>
    </row>
    <row r="945">
      <c r="D945" s="132"/>
      <c r="G945" s="661"/>
      <c r="I945" s="125"/>
      <c r="J945" s="674"/>
      <c r="K945" s="471"/>
      <c r="L945" s="677"/>
      <c r="M945" s="139"/>
      <c r="N945" s="139"/>
      <c r="O945" s="139"/>
      <c r="P945" s="166"/>
      <c r="Q945" s="129"/>
    </row>
    <row r="946">
      <c r="G946" s="661"/>
      <c r="I946" s="125"/>
      <c r="J946" s="674"/>
      <c r="K946" s="471"/>
      <c r="L946" s="677"/>
      <c r="M946" s="627" t="s">
        <v>2581</v>
      </c>
      <c r="N946" s="650">
        <v>44434.0</v>
      </c>
      <c r="O946" s="474">
        <v>150.0</v>
      </c>
      <c r="P946" s="125">
        <f>SUM(O946:O955)</f>
        <v>900</v>
      </c>
      <c r="Q946" s="128" t="s">
        <v>2582</v>
      </c>
    </row>
    <row r="947">
      <c r="D947" s="132"/>
      <c r="G947" s="661"/>
      <c r="I947" s="125"/>
      <c r="J947" s="674"/>
      <c r="K947" s="471"/>
      <c r="L947" s="677"/>
      <c r="M947" s="627" t="s">
        <v>2584</v>
      </c>
      <c r="N947" s="650">
        <v>44434.0</v>
      </c>
      <c r="O947" s="474">
        <v>75.0</v>
      </c>
      <c r="Q947" s="129"/>
    </row>
    <row r="948">
      <c r="D948" s="132"/>
      <c r="G948" s="661"/>
      <c r="I948" s="125"/>
      <c r="J948" s="674"/>
      <c r="K948" s="471"/>
      <c r="L948" s="677"/>
      <c r="M948" s="627" t="s">
        <v>2581</v>
      </c>
      <c r="N948" s="650">
        <v>44435.0</v>
      </c>
      <c r="O948" s="474">
        <v>100.0</v>
      </c>
      <c r="Q948" s="128"/>
    </row>
    <row r="949">
      <c r="G949" s="661"/>
      <c r="I949" s="125"/>
      <c r="J949" s="674"/>
      <c r="K949" s="471"/>
      <c r="L949" s="677"/>
      <c r="M949" s="627" t="s">
        <v>2584</v>
      </c>
      <c r="N949" s="650">
        <v>44435.0</v>
      </c>
      <c r="O949" s="474">
        <v>75.0</v>
      </c>
      <c r="P949" s="130"/>
      <c r="Q949" s="129"/>
    </row>
    <row r="950">
      <c r="D950" s="132"/>
      <c r="G950" s="661"/>
      <c r="I950" s="125"/>
      <c r="J950" s="674"/>
      <c r="K950" s="471"/>
      <c r="L950" s="677"/>
      <c r="M950" s="627" t="s">
        <v>2581</v>
      </c>
      <c r="N950" s="650">
        <v>44436.0</v>
      </c>
      <c r="O950" s="474">
        <v>125.0</v>
      </c>
    </row>
    <row r="951">
      <c r="G951" s="661"/>
      <c r="I951" s="125"/>
      <c r="J951" s="674"/>
      <c r="K951" s="471"/>
      <c r="L951" s="677"/>
      <c r="M951" s="627" t="s">
        <v>2584</v>
      </c>
      <c r="N951" s="650">
        <v>44436.0</v>
      </c>
      <c r="O951" s="474">
        <v>-50.0</v>
      </c>
      <c r="P951" s="130"/>
      <c r="Q951" s="128"/>
    </row>
    <row r="952">
      <c r="D952" s="270"/>
      <c r="G952" s="661"/>
      <c r="I952" s="125"/>
      <c r="J952" s="674"/>
      <c r="K952" s="471"/>
      <c r="L952" s="677"/>
      <c r="M952" s="627" t="s">
        <v>2581</v>
      </c>
      <c r="N952" s="650">
        <v>44437.0</v>
      </c>
      <c r="O952" s="474">
        <v>0.0</v>
      </c>
      <c r="P952" s="125"/>
    </row>
    <row r="953">
      <c r="D953" s="132"/>
      <c r="G953" s="661"/>
      <c r="I953" s="125"/>
      <c r="J953" s="674"/>
      <c r="K953" s="471"/>
      <c r="L953" s="677"/>
      <c r="M953" s="627" t="s">
        <v>2584</v>
      </c>
      <c r="N953" s="650">
        <v>44437.0</v>
      </c>
      <c r="O953" s="474">
        <v>-100.0</v>
      </c>
      <c r="P953" s="134"/>
    </row>
    <row r="954">
      <c r="G954" s="661"/>
      <c r="I954" s="125"/>
      <c r="J954" s="674"/>
      <c r="K954" s="471"/>
      <c r="L954" s="677"/>
      <c r="M954" s="627" t="s">
        <v>2588</v>
      </c>
      <c r="N954" s="650">
        <v>44439.0</v>
      </c>
      <c r="O954" s="474">
        <v>450.0</v>
      </c>
      <c r="P954" s="189"/>
      <c r="Q954" s="122"/>
    </row>
    <row r="955">
      <c r="G955" s="661"/>
      <c r="I955" s="125"/>
      <c r="J955" s="674"/>
      <c r="K955" s="471"/>
      <c r="L955" s="677"/>
      <c r="M955" s="627" t="s">
        <v>2581</v>
      </c>
      <c r="N955" s="650">
        <v>44439.0</v>
      </c>
      <c r="O955" s="474">
        <v>75.0</v>
      </c>
      <c r="P955" s="630"/>
    </row>
    <row r="956">
      <c r="G956" s="661"/>
      <c r="I956" s="125"/>
      <c r="J956" s="674"/>
      <c r="K956" s="471"/>
      <c r="L956" s="677"/>
      <c r="M956" s="627"/>
      <c r="N956" s="627"/>
      <c r="O956" s="474"/>
      <c r="P956" s="631"/>
      <c r="Q956" s="632"/>
    </row>
    <row r="957">
      <c r="D957" s="132"/>
      <c r="G957" s="661"/>
      <c r="I957" s="125"/>
      <c r="J957" s="674"/>
      <c r="K957" s="471"/>
      <c r="L957" s="678"/>
      <c r="M957" s="627" t="s">
        <v>2589</v>
      </c>
      <c r="N957" s="650">
        <v>44440.0</v>
      </c>
      <c r="O957" s="474">
        <v>50.0</v>
      </c>
      <c r="P957" s="125">
        <f>SUM(O957:O990)</f>
        <v>8425</v>
      </c>
      <c r="Q957" s="128" t="s">
        <v>2590</v>
      </c>
    </row>
    <row r="958">
      <c r="D958" s="132"/>
      <c r="G958" s="661"/>
      <c r="I958" s="125"/>
      <c r="J958" s="674"/>
      <c r="K958" s="471"/>
      <c r="L958" s="677"/>
      <c r="M958" s="627" t="s">
        <v>2581</v>
      </c>
      <c r="N958" s="650">
        <v>44440.0</v>
      </c>
      <c r="O958" s="474">
        <v>95.0</v>
      </c>
      <c r="Q958" s="129"/>
    </row>
    <row r="959">
      <c r="D959" s="132"/>
      <c r="G959" s="661"/>
      <c r="I959" s="125"/>
      <c r="J959" s="674"/>
      <c r="K959" s="471"/>
      <c r="L959" s="677"/>
      <c r="M959" s="627" t="s">
        <v>2591</v>
      </c>
      <c r="N959" s="650">
        <v>44440.0</v>
      </c>
      <c r="O959" s="474">
        <v>185.0</v>
      </c>
      <c r="Q959" s="128"/>
    </row>
    <row r="960">
      <c r="D960" s="132"/>
      <c r="G960" s="661"/>
      <c r="I960" s="125"/>
      <c r="J960" s="674"/>
      <c r="K960" s="471"/>
      <c r="L960" s="677"/>
      <c r="M960" s="627" t="s">
        <v>2592</v>
      </c>
      <c r="N960" s="650">
        <v>44441.0</v>
      </c>
      <c r="O960" s="474">
        <v>115.0</v>
      </c>
      <c r="P960" s="130"/>
      <c r="Q960" s="129"/>
    </row>
    <row r="961">
      <c r="G961" s="661"/>
      <c r="I961" s="125"/>
      <c r="J961" s="674"/>
      <c r="K961" s="471"/>
      <c r="L961" s="677"/>
      <c r="M961" s="627" t="s">
        <v>2589</v>
      </c>
      <c r="N961" s="650">
        <v>44442.0</v>
      </c>
      <c r="O961" s="474">
        <v>25.0</v>
      </c>
    </row>
    <row r="962">
      <c r="D962" s="132"/>
      <c r="G962" s="661"/>
      <c r="I962" s="125"/>
      <c r="J962" s="674"/>
      <c r="K962" s="471"/>
      <c r="L962" s="677"/>
      <c r="M962" s="627" t="s">
        <v>2592</v>
      </c>
      <c r="N962" s="650">
        <v>44442.0</v>
      </c>
      <c r="O962" s="474">
        <v>115.0</v>
      </c>
      <c r="P962" s="130"/>
      <c r="Q962" s="128"/>
    </row>
    <row r="963">
      <c r="D963" s="132"/>
      <c r="G963" s="661"/>
      <c r="I963" s="125"/>
      <c r="J963" s="674"/>
      <c r="K963" s="471"/>
      <c r="L963" s="677"/>
      <c r="M963" s="627" t="s">
        <v>2592</v>
      </c>
      <c r="N963" s="650">
        <v>44443.0</v>
      </c>
      <c r="O963" s="474">
        <v>125.0</v>
      </c>
      <c r="P963" s="125"/>
    </row>
    <row r="964">
      <c r="D964" s="132"/>
      <c r="G964" s="661"/>
      <c r="I964" s="125"/>
      <c r="J964" s="674"/>
      <c r="K964" s="471"/>
      <c r="L964" s="677"/>
      <c r="M964" s="627" t="s">
        <v>2592</v>
      </c>
      <c r="N964" s="650">
        <v>44444.0</v>
      </c>
      <c r="O964" s="474">
        <v>220.0</v>
      </c>
      <c r="P964" s="134"/>
    </row>
    <row r="965">
      <c r="G965" s="661"/>
      <c r="I965" s="125"/>
      <c r="J965" s="674"/>
      <c r="K965" s="471"/>
      <c r="L965" s="677"/>
      <c r="M965" s="627" t="s">
        <v>2592</v>
      </c>
      <c r="N965" s="650">
        <v>44445.0</v>
      </c>
      <c r="O965" s="474">
        <v>170.0</v>
      </c>
      <c r="P965" s="189"/>
      <c r="Q965" s="122"/>
    </row>
    <row r="966">
      <c r="D966" s="132"/>
      <c r="G966" s="661"/>
      <c r="I966" s="125"/>
      <c r="J966" s="674"/>
      <c r="K966" s="471"/>
      <c r="L966" s="677"/>
      <c r="M966" s="627" t="s">
        <v>2592</v>
      </c>
      <c r="N966" s="650">
        <v>44446.0</v>
      </c>
      <c r="O966" s="474">
        <v>190.0</v>
      </c>
      <c r="P966" s="630"/>
    </row>
    <row r="967">
      <c r="D967" s="132"/>
      <c r="G967" s="661"/>
      <c r="I967" s="125"/>
      <c r="J967" s="674"/>
      <c r="K967" s="471"/>
      <c r="L967" s="677"/>
      <c r="M967" s="627" t="s">
        <v>2592</v>
      </c>
      <c r="N967" s="650">
        <v>44447.0</v>
      </c>
      <c r="O967" s="474">
        <v>180.0</v>
      </c>
      <c r="P967" s="631"/>
      <c r="Q967" s="632"/>
    </row>
    <row r="968">
      <c r="D968" s="132"/>
      <c r="G968" s="661"/>
      <c r="I968" s="125"/>
      <c r="J968" s="674"/>
      <c r="K968" s="471"/>
      <c r="L968" s="677"/>
      <c r="M968" s="627" t="s">
        <v>2592</v>
      </c>
      <c r="N968" s="650">
        <v>44448.0</v>
      </c>
      <c r="O968" s="474">
        <v>175.0</v>
      </c>
    </row>
    <row r="969">
      <c r="D969" s="132"/>
      <c r="G969" s="661"/>
      <c r="I969" s="125"/>
      <c r="J969" s="674"/>
      <c r="K969" s="471"/>
      <c r="L969" s="677"/>
      <c r="M969" s="627" t="s">
        <v>2592</v>
      </c>
      <c r="N969" s="650">
        <v>44449.0</v>
      </c>
      <c r="O969" s="474">
        <v>195.0</v>
      </c>
    </row>
    <row r="970">
      <c r="D970" s="132"/>
      <c r="G970" s="661"/>
      <c r="I970" s="125"/>
      <c r="J970" s="674"/>
      <c r="K970" s="471"/>
      <c r="L970" s="677"/>
      <c r="M970" s="627" t="s">
        <v>2592</v>
      </c>
      <c r="N970" s="650">
        <v>44450.0</v>
      </c>
      <c r="O970" s="474">
        <v>185.0</v>
      </c>
    </row>
    <row r="971">
      <c r="D971" s="132"/>
      <c r="G971" s="661"/>
      <c r="I971" s="125"/>
      <c r="J971" s="674"/>
      <c r="K971" s="471"/>
      <c r="L971" s="677"/>
      <c r="M971" s="627" t="s">
        <v>2592</v>
      </c>
      <c r="N971" s="650">
        <v>44451.0</v>
      </c>
      <c r="O971" s="474">
        <v>200.0</v>
      </c>
    </row>
    <row r="972">
      <c r="G972" s="661"/>
      <c r="I972" s="125"/>
      <c r="J972" s="674"/>
      <c r="K972" s="471"/>
      <c r="L972" s="677"/>
      <c r="M972" s="627" t="s">
        <v>2592</v>
      </c>
      <c r="N972" s="650">
        <v>44452.0</v>
      </c>
      <c r="O972" s="474">
        <v>250.0</v>
      </c>
    </row>
    <row r="973">
      <c r="D973" s="270"/>
      <c r="G973" s="661"/>
      <c r="I973" s="125"/>
      <c r="J973" s="674"/>
      <c r="K973" s="471"/>
      <c r="L973" s="677"/>
      <c r="M973" s="627" t="s">
        <v>2592</v>
      </c>
      <c r="N973" s="650">
        <v>44453.0</v>
      </c>
      <c r="O973" s="474">
        <v>250.0</v>
      </c>
    </row>
    <row r="974">
      <c r="D974" s="132"/>
      <c r="G974" s="661"/>
      <c r="I974" s="125"/>
      <c r="J974" s="674"/>
      <c r="K974" s="471"/>
      <c r="L974" s="677"/>
      <c r="M974" s="627" t="s">
        <v>2584</v>
      </c>
      <c r="N974" s="650">
        <v>44454.0</v>
      </c>
      <c r="O974" s="474">
        <v>500.0</v>
      </c>
    </row>
    <row r="975">
      <c r="D975" s="132"/>
      <c r="G975" s="661"/>
      <c r="I975" s="125"/>
      <c r="J975" s="674"/>
      <c r="K975" s="471"/>
      <c r="L975" s="677"/>
      <c r="M975" s="627" t="s">
        <v>2592</v>
      </c>
      <c r="N975" s="650">
        <v>44456.0</v>
      </c>
      <c r="O975" s="474">
        <v>525.0</v>
      </c>
    </row>
    <row r="976">
      <c r="D976" s="132"/>
      <c r="G976" s="661"/>
      <c r="I976" s="125"/>
      <c r="J976" s="674"/>
      <c r="K976" s="471"/>
      <c r="L976" s="677"/>
      <c r="M976" s="627" t="s">
        <v>2592</v>
      </c>
      <c r="N976" s="650">
        <v>44457.0</v>
      </c>
      <c r="O976" s="474">
        <v>50.0</v>
      </c>
      <c r="P976" s="130"/>
      <c r="Q976" s="128"/>
    </row>
    <row r="977">
      <c r="D977" s="132"/>
      <c r="G977" s="661"/>
      <c r="I977" s="125"/>
      <c r="J977" s="674"/>
      <c r="K977" s="471"/>
      <c r="L977" s="677"/>
      <c r="M977" s="627" t="s">
        <v>2592</v>
      </c>
      <c r="N977" s="650">
        <v>44457.0</v>
      </c>
      <c r="O977" s="474">
        <v>225.0</v>
      </c>
      <c r="P977" s="125"/>
    </row>
    <row r="978">
      <c r="G978" s="661"/>
      <c r="I978" s="125"/>
      <c r="J978" s="674"/>
      <c r="K978" s="471"/>
      <c r="L978" s="677"/>
      <c r="M978" s="627" t="s">
        <v>2592</v>
      </c>
      <c r="N978" s="650">
        <v>44458.0</v>
      </c>
      <c r="O978" s="474">
        <v>215.0</v>
      </c>
      <c r="P978" s="134"/>
    </row>
    <row r="979">
      <c r="D979" s="132"/>
      <c r="G979" s="661"/>
      <c r="I979" s="125"/>
      <c r="J979" s="674"/>
      <c r="K979" s="471"/>
      <c r="L979" s="677"/>
      <c r="M979" s="627" t="s">
        <v>2592</v>
      </c>
      <c r="N979" s="650">
        <v>44459.0</v>
      </c>
      <c r="O979" s="474">
        <v>175.0</v>
      </c>
      <c r="P979" s="189"/>
      <c r="Q979" s="122"/>
    </row>
    <row r="980">
      <c r="D980" s="132"/>
      <c r="G980" s="661"/>
      <c r="I980" s="125"/>
      <c r="J980" s="674"/>
      <c r="K980" s="471"/>
      <c r="L980" s="678"/>
      <c r="M980" s="627" t="s">
        <v>2592</v>
      </c>
      <c r="N980" s="650">
        <v>44460.0</v>
      </c>
      <c r="O980" s="474">
        <v>185.0</v>
      </c>
      <c r="P980" s="630"/>
    </row>
    <row r="981">
      <c r="D981" s="132"/>
      <c r="G981" s="661"/>
      <c r="I981" s="125"/>
      <c r="J981" s="674"/>
      <c r="K981" s="471"/>
      <c r="L981" s="677"/>
      <c r="M981" s="627" t="s">
        <v>2592</v>
      </c>
      <c r="N981" s="650">
        <v>44461.0</v>
      </c>
      <c r="O981" s="474">
        <v>185.0</v>
      </c>
      <c r="P981" s="631"/>
      <c r="Q981" s="632"/>
    </row>
    <row r="982">
      <c r="G982" s="661"/>
      <c r="I982" s="125"/>
      <c r="J982" s="674"/>
      <c r="K982" s="471"/>
      <c r="L982" s="677"/>
      <c r="M982" s="627" t="s">
        <v>2592</v>
      </c>
      <c r="N982" s="650">
        <v>44462.0</v>
      </c>
      <c r="O982" s="474">
        <v>255.0</v>
      </c>
    </row>
    <row r="983">
      <c r="G983" s="661"/>
      <c r="I983" s="125"/>
      <c r="J983" s="674"/>
      <c r="K983" s="471"/>
      <c r="L983" s="677"/>
      <c r="M983" s="627" t="s">
        <v>2592</v>
      </c>
      <c r="N983" s="650">
        <v>44463.0</v>
      </c>
      <c r="O983" s="474">
        <v>260.0</v>
      </c>
    </row>
    <row r="984">
      <c r="D984" s="132"/>
      <c r="G984" s="661"/>
      <c r="I984" s="125"/>
      <c r="J984" s="674"/>
      <c r="K984" s="471"/>
      <c r="L984" s="677"/>
      <c r="M984" s="627" t="s">
        <v>2592</v>
      </c>
      <c r="N984" s="650">
        <v>44464.0</v>
      </c>
      <c r="O984" s="474">
        <v>270.0</v>
      </c>
    </row>
    <row r="985">
      <c r="D985" s="132"/>
      <c r="G985" s="661"/>
      <c r="I985" s="125"/>
      <c r="J985" s="674"/>
      <c r="K985" s="471"/>
      <c r="L985" s="677"/>
      <c r="M985" s="627" t="s">
        <v>2592</v>
      </c>
      <c r="N985" s="650">
        <v>44465.0</v>
      </c>
      <c r="O985" s="474">
        <v>295.0</v>
      </c>
      <c r="P985" s="634"/>
    </row>
    <row r="986">
      <c r="D986" s="132"/>
      <c r="G986" s="661"/>
      <c r="I986" s="125"/>
      <c r="J986" s="674"/>
      <c r="K986" s="471"/>
      <c r="L986" s="677"/>
      <c r="M986" s="627" t="s">
        <v>2592</v>
      </c>
      <c r="N986" s="650">
        <v>44466.0</v>
      </c>
      <c r="O986" s="474">
        <v>285.0</v>
      </c>
      <c r="P986" s="635"/>
    </row>
    <row r="987">
      <c r="D987" s="132"/>
      <c r="G987" s="661"/>
      <c r="I987" s="125"/>
      <c r="J987" s="674"/>
      <c r="K987" s="471"/>
      <c r="L987" s="677"/>
      <c r="M987" s="627" t="s">
        <v>2592</v>
      </c>
      <c r="N987" s="650">
        <v>44467.0</v>
      </c>
      <c r="O987" s="474">
        <v>300.0</v>
      </c>
      <c r="P987" s="635"/>
    </row>
    <row r="988">
      <c r="D988" s="132"/>
      <c r="G988" s="661"/>
      <c r="I988" s="125"/>
      <c r="J988" s="674"/>
      <c r="K988" s="471"/>
      <c r="L988" s="677"/>
      <c r="M988" s="627" t="s">
        <v>2592</v>
      </c>
      <c r="N988" s="650">
        <v>44468.0</v>
      </c>
      <c r="O988" s="474">
        <v>450.0</v>
      </c>
      <c r="P988" s="635"/>
    </row>
    <row r="989">
      <c r="D989" s="132"/>
      <c r="G989" s="661"/>
      <c r="I989" s="125"/>
      <c r="J989" s="674"/>
      <c r="K989" s="471"/>
      <c r="L989" s="677"/>
      <c r="M989" s="627" t="s">
        <v>2584</v>
      </c>
      <c r="N989" s="650">
        <v>44468.0</v>
      </c>
      <c r="O989" s="474">
        <v>1100.0</v>
      </c>
      <c r="P989" s="634"/>
    </row>
    <row r="990">
      <c r="D990" s="132"/>
      <c r="G990" s="661"/>
      <c r="I990" s="125"/>
      <c r="J990" s="674"/>
      <c r="K990" s="471"/>
      <c r="L990" s="677"/>
      <c r="M990" s="627" t="s">
        <v>2592</v>
      </c>
      <c r="N990" s="650">
        <v>44469.0</v>
      </c>
      <c r="O990" s="474">
        <v>425.0</v>
      </c>
    </row>
    <row r="991">
      <c r="D991" s="132"/>
      <c r="G991" s="661"/>
      <c r="I991" s="125"/>
      <c r="J991" s="674"/>
      <c r="K991" s="471"/>
      <c r="L991" s="677"/>
      <c r="M991" s="130"/>
      <c r="N991" s="130"/>
      <c r="O991" s="124"/>
      <c r="P991" s="130"/>
      <c r="Q991" s="128"/>
    </row>
    <row r="992">
      <c r="D992" s="132"/>
      <c r="G992" s="661"/>
      <c r="I992" s="125"/>
      <c r="J992" s="674"/>
      <c r="K992" s="471"/>
      <c r="L992" s="677"/>
      <c r="M992" s="627" t="s">
        <v>2592</v>
      </c>
      <c r="N992" s="650">
        <v>44470.0</v>
      </c>
      <c r="O992" s="474">
        <v>425.0</v>
      </c>
      <c r="P992" s="125">
        <f>SUM(O992:O1025)</f>
        <v>6100</v>
      </c>
      <c r="Q992" s="128" t="s">
        <v>2593</v>
      </c>
    </row>
    <row r="993">
      <c r="D993" s="132"/>
      <c r="G993" s="661"/>
      <c r="I993" s="125"/>
      <c r="J993" s="674"/>
      <c r="K993" s="471"/>
      <c r="L993" s="677"/>
      <c r="M993" s="627" t="s">
        <v>2592</v>
      </c>
      <c r="N993" s="650">
        <v>44471.0</v>
      </c>
      <c r="O993" s="474">
        <v>400.0</v>
      </c>
      <c r="P993" s="134"/>
    </row>
    <row r="994">
      <c r="D994" s="132"/>
      <c r="G994" s="661"/>
      <c r="I994" s="125"/>
      <c r="J994" s="674"/>
      <c r="K994" s="471"/>
      <c r="L994" s="677"/>
      <c r="M994" s="627" t="s">
        <v>2592</v>
      </c>
      <c r="N994" s="650">
        <v>44472.0</v>
      </c>
      <c r="O994" s="474">
        <v>400.0</v>
      </c>
      <c r="P994" s="189"/>
      <c r="Q994" s="122"/>
    </row>
    <row r="995">
      <c r="D995" s="132"/>
      <c r="G995" s="661"/>
      <c r="I995" s="125"/>
      <c r="J995" s="674"/>
      <c r="K995" s="471"/>
      <c r="L995" s="677"/>
      <c r="M995" s="627" t="s">
        <v>2592</v>
      </c>
      <c r="N995" s="650">
        <v>44473.0</v>
      </c>
      <c r="O995" s="474">
        <v>425.0</v>
      </c>
      <c r="P995" s="630"/>
    </row>
    <row r="996">
      <c r="G996" s="661"/>
      <c r="I996" s="125"/>
      <c r="J996" s="674"/>
      <c r="K996" s="471"/>
      <c r="L996" s="677"/>
      <c r="M996" s="627" t="s">
        <v>2592</v>
      </c>
      <c r="N996" s="650">
        <v>44474.0</v>
      </c>
      <c r="O996" s="474">
        <v>350.0</v>
      </c>
      <c r="P996" s="631"/>
      <c r="Q996" s="632"/>
    </row>
    <row r="997">
      <c r="D997" s="132"/>
      <c r="G997" s="661"/>
      <c r="I997" s="125"/>
      <c r="J997" s="674"/>
      <c r="K997" s="471"/>
      <c r="L997" s="677"/>
      <c r="M997" s="627" t="s">
        <v>2592</v>
      </c>
      <c r="N997" s="650">
        <v>44475.0</v>
      </c>
      <c r="O997" s="474">
        <v>425.0</v>
      </c>
    </row>
    <row r="998">
      <c r="D998" s="132"/>
      <c r="G998" s="661"/>
      <c r="I998" s="125"/>
      <c r="J998" s="674"/>
      <c r="K998" s="471"/>
      <c r="L998" s="678"/>
      <c r="M998" s="627" t="s">
        <v>2592</v>
      </c>
      <c r="N998" s="650">
        <v>44476.0</v>
      </c>
      <c r="O998" s="474">
        <v>175.0</v>
      </c>
    </row>
    <row r="999">
      <c r="D999" s="132"/>
      <c r="G999" s="661"/>
      <c r="I999" s="125"/>
      <c r="J999" s="674"/>
      <c r="K999" s="471"/>
      <c r="L999" s="677"/>
      <c r="M999" s="627" t="s">
        <v>2592</v>
      </c>
      <c r="N999" s="650">
        <v>44477.0</v>
      </c>
      <c r="O999" s="474">
        <v>175.0</v>
      </c>
    </row>
    <row r="1000">
      <c r="D1000" s="132"/>
      <c r="G1000" s="661"/>
      <c r="I1000" s="125"/>
      <c r="J1000" s="674"/>
      <c r="K1000" s="471"/>
      <c r="L1000" s="677"/>
      <c r="M1000" s="627" t="s">
        <v>2592</v>
      </c>
      <c r="N1000" s="650">
        <v>44478.0</v>
      </c>
      <c r="O1000" s="474">
        <v>175.0</v>
      </c>
    </row>
    <row r="1001">
      <c r="D1001" s="132"/>
      <c r="G1001" s="661"/>
      <c r="I1001" s="125"/>
      <c r="J1001" s="674"/>
      <c r="K1001" s="471"/>
      <c r="L1001" s="677"/>
      <c r="M1001" s="627" t="s">
        <v>2592</v>
      </c>
      <c r="N1001" s="650">
        <v>44479.0</v>
      </c>
      <c r="O1001" s="474">
        <v>250.0</v>
      </c>
    </row>
    <row r="1002">
      <c r="D1002" s="132"/>
      <c r="G1002" s="661"/>
      <c r="I1002" s="125"/>
      <c r="J1002" s="674"/>
      <c r="K1002" s="471"/>
      <c r="L1002" s="677"/>
      <c r="M1002" s="627" t="s">
        <v>2592</v>
      </c>
      <c r="N1002" s="650">
        <v>44480.0</v>
      </c>
      <c r="O1002" s="474">
        <v>250.0</v>
      </c>
      <c r="P1002" s="130"/>
      <c r="Q1002" s="128"/>
    </row>
    <row r="1003">
      <c r="D1003" s="132"/>
      <c r="G1003" s="661"/>
      <c r="I1003" s="125"/>
      <c r="J1003" s="674"/>
      <c r="K1003" s="471"/>
      <c r="L1003" s="677"/>
      <c r="M1003" s="627" t="s">
        <v>2592</v>
      </c>
      <c r="N1003" s="650">
        <v>44481.0</v>
      </c>
      <c r="O1003" s="474">
        <v>225.0</v>
      </c>
      <c r="P1003" s="125"/>
    </row>
    <row r="1004">
      <c r="D1004" s="132"/>
      <c r="G1004" s="661"/>
      <c r="I1004" s="125"/>
      <c r="J1004" s="674"/>
      <c r="K1004" s="471"/>
      <c r="L1004" s="677"/>
      <c r="M1004" s="627" t="s">
        <v>2592</v>
      </c>
      <c r="N1004" s="650">
        <v>44482.0</v>
      </c>
      <c r="O1004" s="474">
        <v>225.0</v>
      </c>
      <c r="P1004" s="134"/>
    </row>
    <row r="1005">
      <c r="D1005" s="132"/>
      <c r="G1005" s="661"/>
      <c r="I1005" s="125"/>
      <c r="J1005" s="674"/>
      <c r="K1005" s="471"/>
      <c r="L1005" s="677"/>
      <c r="M1005" s="627" t="s">
        <v>2592</v>
      </c>
      <c r="N1005" s="650">
        <v>44483.0</v>
      </c>
      <c r="O1005" s="474">
        <v>225.0</v>
      </c>
      <c r="P1005" s="189"/>
      <c r="Q1005" s="122"/>
    </row>
    <row r="1006">
      <c r="G1006" s="661"/>
      <c r="I1006" s="125"/>
      <c r="J1006" s="674"/>
      <c r="K1006" s="471"/>
      <c r="L1006" s="677"/>
      <c r="M1006" s="627" t="s">
        <v>2592</v>
      </c>
      <c r="N1006" s="650">
        <v>44483.0</v>
      </c>
      <c r="O1006" s="474">
        <v>225.0</v>
      </c>
      <c r="P1006" s="630"/>
    </row>
    <row r="1007">
      <c r="D1007" s="132"/>
      <c r="G1007" s="661"/>
      <c r="I1007" s="125"/>
      <c r="J1007" s="674"/>
      <c r="K1007" s="471"/>
      <c r="L1007" s="677"/>
      <c r="M1007" s="627" t="s">
        <v>2594</v>
      </c>
      <c r="N1007" s="650">
        <v>44487.0</v>
      </c>
      <c r="O1007" s="474">
        <v>150.0</v>
      </c>
      <c r="P1007" s="631"/>
      <c r="Q1007" s="632"/>
    </row>
    <row r="1008">
      <c r="G1008" s="661"/>
      <c r="I1008" s="125"/>
      <c r="J1008" s="674"/>
      <c r="K1008" s="471"/>
      <c r="L1008" s="677"/>
      <c r="M1008" s="627" t="s">
        <v>2594</v>
      </c>
      <c r="N1008" s="650">
        <v>44488.0</v>
      </c>
      <c r="O1008" s="474">
        <v>225.0</v>
      </c>
    </row>
    <row r="1009">
      <c r="D1009" s="132"/>
      <c r="G1009" s="661"/>
      <c r="I1009" s="125"/>
      <c r="J1009" s="674"/>
      <c r="K1009" s="471"/>
      <c r="L1009" s="677"/>
      <c r="M1009" s="627" t="s">
        <v>2594</v>
      </c>
      <c r="N1009" s="650">
        <v>44489.0</v>
      </c>
      <c r="O1009" s="474">
        <v>175.0</v>
      </c>
    </row>
    <row r="1010">
      <c r="D1010" s="132"/>
      <c r="G1010" s="661"/>
      <c r="I1010" s="125"/>
      <c r="J1010" s="674"/>
      <c r="K1010" s="471"/>
      <c r="L1010" s="677"/>
      <c r="M1010" s="627" t="s">
        <v>2594</v>
      </c>
      <c r="N1010" s="650">
        <v>44490.0</v>
      </c>
      <c r="O1010" s="474">
        <v>175.0</v>
      </c>
    </row>
    <row r="1011">
      <c r="D1011" s="132"/>
      <c r="G1011" s="661"/>
      <c r="I1011" s="125"/>
      <c r="J1011" s="674"/>
      <c r="K1011" s="471"/>
      <c r="L1011" s="677"/>
      <c r="M1011" s="627" t="s">
        <v>2595</v>
      </c>
      <c r="N1011" s="650">
        <v>44490.0</v>
      </c>
      <c r="O1011" s="474">
        <v>50.0</v>
      </c>
    </row>
    <row r="1012">
      <c r="D1012" s="132"/>
      <c r="G1012" s="661"/>
      <c r="I1012" s="125"/>
      <c r="J1012" s="674"/>
      <c r="K1012" s="471"/>
      <c r="L1012" s="677"/>
      <c r="M1012" s="627" t="s">
        <v>2594</v>
      </c>
      <c r="N1012" s="650">
        <v>44491.0</v>
      </c>
      <c r="O1012" s="474">
        <v>250.0</v>
      </c>
    </row>
    <row r="1013">
      <c r="D1013" s="132"/>
      <c r="G1013" s="661"/>
      <c r="I1013" s="125"/>
      <c r="J1013" s="674"/>
      <c r="K1013" s="471"/>
      <c r="L1013" s="677"/>
      <c r="M1013" s="627" t="s">
        <v>2595</v>
      </c>
      <c r="N1013" s="650">
        <v>44491.0</v>
      </c>
      <c r="O1013" s="474">
        <v>50.0</v>
      </c>
    </row>
    <row r="1014">
      <c r="D1014" s="132"/>
      <c r="G1014" s="661"/>
      <c r="I1014" s="125"/>
      <c r="J1014" s="674"/>
      <c r="K1014" s="471"/>
      <c r="L1014" s="677"/>
      <c r="M1014" s="627" t="s">
        <v>2594</v>
      </c>
      <c r="N1014" s="650">
        <v>44492.0</v>
      </c>
      <c r="O1014" s="474">
        <v>275.0</v>
      </c>
      <c r="P1014" s="130"/>
      <c r="Q1014" s="128"/>
    </row>
    <row r="1015">
      <c r="D1015" s="132"/>
      <c r="G1015" s="661"/>
      <c r="I1015" s="125"/>
      <c r="J1015" s="674"/>
      <c r="K1015" s="471"/>
      <c r="L1015" s="677"/>
      <c r="M1015" s="627" t="s">
        <v>2595</v>
      </c>
      <c r="N1015" s="650">
        <v>44492.0</v>
      </c>
      <c r="O1015" s="474">
        <v>50.0</v>
      </c>
      <c r="P1015" s="125"/>
    </row>
    <row r="1016">
      <c r="D1016" s="132"/>
      <c r="G1016" s="661"/>
      <c r="I1016" s="125"/>
      <c r="J1016" s="674"/>
      <c r="K1016" s="471"/>
      <c r="L1016" s="678"/>
      <c r="M1016" s="627" t="s">
        <v>2594</v>
      </c>
      <c r="N1016" s="650">
        <v>44493.0</v>
      </c>
      <c r="O1016" s="474">
        <v>300.0</v>
      </c>
      <c r="P1016" s="134"/>
    </row>
    <row r="1017">
      <c r="D1017" s="132"/>
      <c r="G1017" s="661"/>
      <c r="I1017" s="125"/>
      <c r="J1017" s="674"/>
      <c r="K1017" s="471"/>
      <c r="L1017" s="678"/>
      <c r="M1017" s="627" t="s">
        <v>2595</v>
      </c>
      <c r="N1017" s="650">
        <v>44493.0</v>
      </c>
      <c r="O1017" s="474">
        <v>50.0</v>
      </c>
      <c r="P1017" s="189"/>
      <c r="Q1017" s="122"/>
    </row>
    <row r="1018">
      <c r="D1018" s="132"/>
      <c r="G1018" s="661"/>
      <c r="I1018" s="125"/>
      <c r="J1018" s="674"/>
      <c r="K1018" s="471"/>
      <c r="L1018" s="678"/>
      <c r="M1018" s="627"/>
      <c r="N1018" s="627"/>
      <c r="O1018" s="474"/>
      <c r="P1018" s="630"/>
    </row>
    <row r="1019">
      <c r="D1019" s="132"/>
      <c r="G1019" s="661"/>
      <c r="I1019" s="125"/>
      <c r="J1019" s="674"/>
      <c r="K1019" s="471"/>
      <c r="L1019" s="678"/>
      <c r="M1019" s="627"/>
      <c r="N1019" s="627"/>
      <c r="O1019" s="474"/>
      <c r="P1019" s="631"/>
      <c r="Q1019" s="632"/>
    </row>
    <row r="1020">
      <c r="D1020" s="132"/>
      <c r="G1020" s="661"/>
      <c r="I1020" s="125"/>
      <c r="J1020" s="674"/>
      <c r="K1020" s="471"/>
      <c r="L1020" s="678"/>
      <c r="M1020" s="627"/>
      <c r="N1020" s="627"/>
      <c r="O1020" s="474"/>
    </row>
    <row r="1021">
      <c r="D1021" s="132"/>
      <c r="G1021" s="661"/>
      <c r="I1021" s="125"/>
      <c r="J1021" s="674"/>
      <c r="K1021" s="471"/>
      <c r="L1021" s="678"/>
      <c r="M1021" s="627"/>
      <c r="N1021" s="627"/>
      <c r="O1021" s="474"/>
    </row>
    <row r="1022">
      <c r="D1022" s="132"/>
      <c r="G1022" s="661"/>
      <c r="I1022" s="125"/>
      <c r="J1022" s="674"/>
      <c r="K1022" s="471"/>
      <c r="L1022" s="678"/>
      <c r="M1022" s="627"/>
      <c r="N1022" s="627"/>
      <c r="O1022" s="474"/>
    </row>
    <row r="1023">
      <c r="G1023" s="661"/>
      <c r="I1023" s="125"/>
      <c r="J1023" s="674"/>
      <c r="K1023" s="471"/>
      <c r="L1023" s="678"/>
      <c r="M1023" s="627"/>
      <c r="N1023" s="627"/>
      <c r="O1023" s="474"/>
    </row>
    <row r="1024">
      <c r="G1024" s="661"/>
      <c r="I1024" s="125"/>
      <c r="J1024" s="674"/>
      <c r="K1024" s="471"/>
      <c r="L1024" s="678"/>
      <c r="M1024" s="627"/>
      <c r="N1024" s="627"/>
      <c r="O1024" s="474"/>
    </row>
    <row r="1025">
      <c r="D1025" s="134"/>
      <c r="G1025" s="661"/>
      <c r="I1025" s="125"/>
      <c r="J1025" s="674"/>
      <c r="K1025" s="471"/>
      <c r="L1025" s="678"/>
      <c r="M1025" s="627"/>
      <c r="N1025" s="627"/>
      <c r="O1025" s="474"/>
    </row>
    <row r="1026">
      <c r="G1026" s="661"/>
      <c r="I1026" s="125"/>
      <c r="J1026" s="674"/>
      <c r="K1026" s="471"/>
      <c r="L1026" s="678"/>
      <c r="M1026" s="627"/>
      <c r="N1026" s="627"/>
      <c r="O1026" s="474"/>
    </row>
    <row r="1027">
      <c r="D1027" s="139"/>
      <c r="G1027" s="661"/>
      <c r="I1027" s="125"/>
      <c r="J1027" s="674"/>
      <c r="K1027" s="471"/>
      <c r="L1027" s="678"/>
      <c r="M1027" s="627"/>
      <c r="N1027" s="627"/>
      <c r="O1027" s="474"/>
    </row>
    <row r="1028">
      <c r="D1028" s="132"/>
      <c r="G1028" s="661"/>
      <c r="I1028" s="125"/>
      <c r="J1028" s="674"/>
      <c r="K1028" s="471"/>
      <c r="L1028" s="678"/>
      <c r="M1028" s="627"/>
      <c r="N1028" s="627"/>
      <c r="O1028" s="474"/>
    </row>
    <row r="1029">
      <c r="D1029" s="132"/>
      <c r="G1029" s="661"/>
      <c r="I1029" s="125"/>
      <c r="J1029" s="674"/>
      <c r="K1029" s="471"/>
      <c r="L1029" s="678"/>
      <c r="M1029" s="627"/>
      <c r="N1029" s="627"/>
      <c r="O1029" s="474"/>
    </row>
    <row r="1030">
      <c r="G1030" s="661"/>
      <c r="I1030" s="125"/>
      <c r="J1030" s="674"/>
      <c r="K1030" s="471"/>
      <c r="L1030" s="678"/>
      <c r="M1030" s="627"/>
      <c r="N1030" s="627"/>
      <c r="O1030" s="474"/>
    </row>
    <row r="1031">
      <c r="G1031" s="661"/>
      <c r="I1031" s="125"/>
      <c r="J1031" s="674"/>
      <c r="K1031" s="471"/>
      <c r="L1031" s="678"/>
    </row>
    <row r="1032">
      <c r="G1032" s="661"/>
      <c r="I1032" s="125"/>
      <c r="J1032" s="674"/>
      <c r="K1032" s="471"/>
      <c r="L1032" s="678"/>
      <c r="M1032" s="130"/>
      <c r="N1032" s="130"/>
      <c r="O1032" s="124"/>
      <c r="P1032" s="130"/>
      <c r="Q1032" s="128"/>
    </row>
    <row r="1033">
      <c r="D1033" s="132"/>
      <c r="G1033" s="661"/>
      <c r="I1033" s="125"/>
      <c r="J1033" s="674"/>
      <c r="K1033" s="471"/>
      <c r="L1033" s="678"/>
      <c r="M1033" s="627"/>
      <c r="N1033" s="627"/>
      <c r="O1033" s="474"/>
      <c r="P1033" s="125"/>
    </row>
    <row r="1034">
      <c r="G1034" s="661"/>
      <c r="I1034" s="125"/>
      <c r="J1034" s="674"/>
      <c r="K1034" s="471"/>
      <c r="L1034" s="678"/>
      <c r="M1034" s="627"/>
      <c r="N1034" s="627"/>
      <c r="O1034" s="474"/>
      <c r="P1034" s="134"/>
    </row>
    <row r="1035">
      <c r="D1035" s="132"/>
      <c r="G1035" s="661"/>
      <c r="I1035" s="125"/>
      <c r="J1035" s="674"/>
      <c r="K1035" s="471"/>
      <c r="L1035" s="678"/>
      <c r="M1035" s="627"/>
      <c r="N1035" s="627"/>
      <c r="O1035" s="474"/>
      <c r="P1035" s="189"/>
      <c r="Q1035" s="122"/>
    </row>
    <row r="1036">
      <c r="D1036" s="132"/>
      <c r="G1036" s="661"/>
      <c r="I1036" s="125"/>
      <c r="J1036" s="674"/>
      <c r="K1036" s="471"/>
      <c r="L1036" s="678"/>
      <c r="M1036" s="627"/>
      <c r="N1036" s="627"/>
      <c r="O1036" s="474"/>
      <c r="P1036" s="630"/>
    </row>
    <row r="1037">
      <c r="G1037" s="661"/>
      <c r="I1037" s="125"/>
      <c r="J1037" s="674"/>
      <c r="K1037" s="471"/>
      <c r="L1037" s="678"/>
      <c r="M1037" s="627"/>
      <c r="N1037" s="627"/>
      <c r="O1037" s="474"/>
      <c r="P1037" s="631"/>
      <c r="Q1037" s="632"/>
    </row>
    <row r="1038">
      <c r="D1038" s="132"/>
      <c r="G1038" s="661"/>
      <c r="I1038" s="125"/>
      <c r="J1038" s="674"/>
      <c r="K1038" s="471"/>
      <c r="L1038" s="678"/>
      <c r="M1038" s="627"/>
      <c r="N1038" s="627"/>
      <c r="O1038" s="474"/>
    </row>
    <row r="1039">
      <c r="G1039" s="661"/>
      <c r="I1039" s="125"/>
      <c r="J1039" s="674"/>
      <c r="K1039" s="471"/>
      <c r="L1039" s="678"/>
      <c r="M1039" s="627"/>
      <c r="N1039" s="627"/>
      <c r="O1039" s="474"/>
    </row>
    <row r="1040">
      <c r="G1040" s="661"/>
      <c r="I1040" s="125"/>
      <c r="J1040" s="674"/>
      <c r="K1040" s="471"/>
      <c r="L1040" s="678"/>
      <c r="M1040" s="627"/>
      <c r="N1040" s="627"/>
      <c r="O1040" s="474"/>
    </row>
    <row r="1041">
      <c r="G1041" s="661"/>
      <c r="I1041" s="125"/>
      <c r="J1041" s="674"/>
      <c r="K1041" s="471"/>
      <c r="L1041" s="678"/>
      <c r="M1041" s="627"/>
      <c r="N1041" s="627"/>
      <c r="O1041" s="474"/>
    </row>
    <row r="1042">
      <c r="D1042" s="132"/>
      <c r="G1042" s="661"/>
      <c r="I1042" s="125"/>
      <c r="J1042" s="674"/>
      <c r="K1042" s="471"/>
      <c r="L1042" s="678"/>
      <c r="M1042" s="627"/>
      <c r="N1042" s="627"/>
      <c r="O1042" s="474"/>
    </row>
    <row r="1043">
      <c r="G1043" s="661"/>
      <c r="I1043" s="125"/>
      <c r="J1043" s="674"/>
      <c r="K1043" s="471"/>
      <c r="L1043" s="678"/>
      <c r="M1043" s="627"/>
      <c r="N1043" s="627"/>
      <c r="O1043" s="474"/>
    </row>
    <row r="1044">
      <c r="D1044" s="149"/>
      <c r="G1044" s="661"/>
      <c r="I1044" s="125"/>
      <c r="J1044" s="674"/>
      <c r="K1044" s="471"/>
      <c r="L1044" s="678"/>
      <c r="M1044" s="627"/>
      <c r="N1044" s="627"/>
      <c r="O1044" s="474"/>
    </row>
    <row r="1045">
      <c r="G1045" s="661"/>
      <c r="I1045" s="125"/>
      <c r="J1045" s="674"/>
      <c r="K1045" s="471"/>
      <c r="L1045" s="678"/>
      <c r="M1045" s="627"/>
      <c r="N1045" s="627"/>
      <c r="O1045" s="474"/>
    </row>
    <row r="1046">
      <c r="D1046" s="132"/>
      <c r="G1046" s="661"/>
      <c r="I1046" s="125"/>
      <c r="J1046" s="674"/>
      <c r="K1046" s="471"/>
      <c r="L1046" s="678"/>
      <c r="M1046" s="627"/>
      <c r="N1046" s="627"/>
      <c r="O1046" s="474"/>
    </row>
    <row r="1047">
      <c r="D1047" s="132"/>
      <c r="G1047" s="661"/>
      <c r="I1047" s="125"/>
      <c r="J1047" s="674"/>
      <c r="K1047" s="471"/>
      <c r="L1047" s="678"/>
      <c r="M1047" s="627"/>
      <c r="N1047" s="627"/>
      <c r="O1047" s="474"/>
    </row>
    <row r="1048">
      <c r="D1048" s="132"/>
      <c r="G1048" s="661"/>
      <c r="I1048" s="125"/>
      <c r="J1048" s="674"/>
      <c r="K1048" s="471"/>
      <c r="L1048" s="678"/>
      <c r="M1048" s="627"/>
      <c r="N1048" s="627"/>
      <c r="O1048" s="474"/>
    </row>
    <row r="1049">
      <c r="D1049" s="132"/>
      <c r="G1049" s="661"/>
      <c r="I1049" s="125"/>
      <c r="J1049" s="674"/>
      <c r="K1049" s="471"/>
      <c r="L1049" s="678"/>
    </row>
    <row r="1050">
      <c r="D1050" s="132"/>
      <c r="G1050" s="661"/>
      <c r="I1050" s="125"/>
      <c r="J1050" s="674"/>
      <c r="K1050" s="471"/>
      <c r="L1050" s="678"/>
    </row>
    <row r="1051">
      <c r="D1051" s="132"/>
      <c r="G1051" s="661"/>
      <c r="I1051" s="125"/>
      <c r="J1051" s="674"/>
      <c r="K1051" s="471"/>
      <c r="L1051" s="678"/>
    </row>
    <row r="1052">
      <c r="G1052" s="661"/>
      <c r="I1052" s="125"/>
      <c r="J1052" s="674"/>
      <c r="K1052" s="471"/>
      <c r="L1052" s="678"/>
    </row>
    <row r="1053">
      <c r="D1053" s="132"/>
      <c r="G1053" s="661"/>
      <c r="I1053" s="125"/>
      <c r="J1053" s="674"/>
      <c r="K1053" s="471"/>
      <c r="L1053" s="678"/>
    </row>
    <row r="1054">
      <c r="D1054" s="132"/>
      <c r="G1054" s="661"/>
      <c r="I1054" s="125"/>
      <c r="J1054" s="674"/>
      <c r="K1054" s="471"/>
      <c r="L1054" s="678"/>
    </row>
    <row r="1055">
      <c r="G1055" s="661"/>
      <c r="I1055" s="125"/>
      <c r="J1055" s="674"/>
      <c r="K1055" s="471"/>
      <c r="L1055" s="678"/>
    </row>
    <row r="1056">
      <c r="D1056" s="270"/>
      <c r="G1056" s="661"/>
      <c r="I1056" s="125"/>
      <c r="J1056" s="674"/>
      <c r="K1056" s="471"/>
      <c r="L1056" s="678"/>
    </row>
    <row r="1057">
      <c r="G1057" s="661"/>
      <c r="I1057" s="125"/>
      <c r="J1057" s="674"/>
      <c r="K1057" s="471"/>
      <c r="L1057" s="678"/>
    </row>
    <row r="1058">
      <c r="D1058" s="132"/>
      <c r="G1058" s="661"/>
      <c r="I1058" s="125"/>
      <c r="J1058" s="674"/>
      <c r="K1058" s="471"/>
      <c r="L1058" s="678"/>
    </row>
    <row r="1059">
      <c r="G1059" s="661"/>
      <c r="I1059" s="125"/>
      <c r="J1059" s="674"/>
      <c r="K1059" s="471"/>
      <c r="L1059" s="678"/>
    </row>
    <row r="1060">
      <c r="D1060" s="132"/>
      <c r="G1060" s="661"/>
      <c r="I1060" s="125"/>
      <c r="J1060" s="674"/>
      <c r="K1060" s="471"/>
      <c r="L1060" s="678"/>
    </row>
    <row r="1061">
      <c r="D1061" s="132"/>
      <c r="G1061" s="661"/>
      <c r="I1061" s="125"/>
      <c r="J1061" s="674"/>
      <c r="K1061" s="471"/>
      <c r="L1061" s="678"/>
    </row>
    <row r="1062">
      <c r="D1062" s="132"/>
      <c r="G1062" s="661"/>
      <c r="I1062" s="125"/>
      <c r="J1062" s="674"/>
      <c r="K1062" s="471"/>
      <c r="L1062" s="678"/>
    </row>
    <row r="1063">
      <c r="G1063" s="661"/>
      <c r="I1063" s="125"/>
      <c r="J1063" s="674"/>
      <c r="K1063" s="471"/>
      <c r="L1063" s="678"/>
    </row>
    <row r="1064">
      <c r="D1064" s="132"/>
      <c r="G1064" s="661"/>
      <c r="I1064" s="125"/>
      <c r="J1064" s="674"/>
      <c r="K1064" s="471"/>
      <c r="L1064" s="678"/>
    </row>
    <row r="1065">
      <c r="G1065" s="661"/>
      <c r="I1065" s="125"/>
      <c r="J1065" s="674"/>
      <c r="K1065" s="471"/>
      <c r="L1065" s="678"/>
    </row>
    <row r="1066">
      <c r="D1066" s="132"/>
      <c r="G1066" s="661"/>
      <c r="I1066" s="125"/>
      <c r="J1066" s="674"/>
      <c r="K1066" s="471"/>
      <c r="L1066" s="678"/>
    </row>
    <row r="1067">
      <c r="D1067" s="132"/>
      <c r="G1067" s="661"/>
      <c r="I1067" s="125"/>
      <c r="J1067" s="674"/>
      <c r="K1067" s="471"/>
      <c r="L1067" s="678"/>
    </row>
    <row r="1068">
      <c r="D1068" s="132"/>
      <c r="G1068" s="661"/>
      <c r="I1068" s="125"/>
      <c r="J1068" s="674"/>
      <c r="K1068" s="471"/>
      <c r="L1068" s="678"/>
    </row>
    <row r="1069">
      <c r="D1069" s="149"/>
      <c r="G1069" s="661"/>
      <c r="I1069" s="125"/>
      <c r="J1069" s="674"/>
      <c r="K1069" s="471"/>
      <c r="L1069" s="678"/>
    </row>
    <row r="1070">
      <c r="D1070" s="132"/>
      <c r="G1070" s="661"/>
      <c r="I1070" s="125"/>
      <c r="J1070" s="674"/>
      <c r="K1070" s="471"/>
      <c r="L1070" s="678"/>
    </row>
    <row r="1071">
      <c r="D1071" s="132"/>
      <c r="G1071" s="661"/>
      <c r="I1071" s="125"/>
      <c r="J1071" s="674"/>
      <c r="K1071" s="471"/>
      <c r="L1071" s="678"/>
    </row>
    <row r="1072">
      <c r="G1072" s="661"/>
      <c r="I1072" s="125"/>
      <c r="J1072" s="674"/>
      <c r="K1072" s="471"/>
      <c r="L1072" s="678"/>
    </row>
    <row r="1073">
      <c r="D1073" s="132"/>
      <c r="G1073" s="661"/>
      <c r="I1073" s="125"/>
      <c r="J1073" s="674"/>
      <c r="K1073" s="471"/>
      <c r="L1073" s="678"/>
    </row>
    <row r="1074">
      <c r="G1074" s="661"/>
      <c r="I1074" s="125"/>
      <c r="J1074" s="674"/>
      <c r="K1074" s="471"/>
      <c r="L1074" s="678"/>
    </row>
    <row r="1075">
      <c r="D1075" s="132"/>
      <c r="G1075" s="661"/>
      <c r="I1075" s="125"/>
      <c r="J1075" s="674"/>
      <c r="K1075" s="471"/>
      <c r="L1075" s="678"/>
    </row>
    <row r="1076">
      <c r="D1076" s="132"/>
      <c r="G1076" s="661"/>
      <c r="I1076" s="125"/>
      <c r="J1076" s="674"/>
      <c r="K1076" s="471"/>
      <c r="L1076" s="678"/>
    </row>
    <row r="1077">
      <c r="D1077" s="132"/>
      <c r="G1077" s="661"/>
      <c r="I1077" s="125"/>
      <c r="J1077" s="674"/>
      <c r="K1077" s="471"/>
      <c r="L1077" s="678"/>
    </row>
    <row r="1078">
      <c r="D1078" s="132"/>
      <c r="G1078" s="661"/>
      <c r="I1078" s="125"/>
      <c r="J1078" s="674"/>
      <c r="K1078" s="471"/>
      <c r="L1078" s="678"/>
    </row>
    <row r="1079">
      <c r="D1079" s="149"/>
      <c r="G1079" s="661"/>
      <c r="I1079" s="125"/>
      <c r="J1079" s="674"/>
      <c r="K1079" s="471"/>
      <c r="L1079" s="678"/>
    </row>
    <row r="1080">
      <c r="G1080" s="661"/>
      <c r="I1080" s="125"/>
      <c r="J1080" s="674"/>
      <c r="K1080" s="471"/>
      <c r="L1080" s="678"/>
    </row>
    <row r="1081">
      <c r="D1081" s="132"/>
      <c r="G1081" s="661"/>
      <c r="I1081" s="125"/>
      <c r="J1081" s="674"/>
      <c r="K1081" s="471"/>
      <c r="L1081" s="678"/>
    </row>
    <row r="1082">
      <c r="D1082" s="208"/>
      <c r="G1082" s="661"/>
      <c r="I1082" s="125"/>
      <c r="J1082" s="674"/>
      <c r="K1082" s="471"/>
      <c r="L1082" s="678"/>
    </row>
    <row r="1083">
      <c r="D1083" s="132"/>
      <c r="G1083" s="661"/>
      <c r="I1083" s="125"/>
      <c r="J1083" s="674"/>
      <c r="K1083" s="471"/>
      <c r="L1083" s="678"/>
    </row>
    <row r="1084">
      <c r="D1084" s="132"/>
      <c r="G1084" s="661"/>
      <c r="I1084" s="125"/>
      <c r="J1084" s="674"/>
      <c r="K1084" s="471"/>
      <c r="L1084" s="678"/>
    </row>
    <row r="1085">
      <c r="D1085" s="132"/>
      <c r="G1085" s="661"/>
      <c r="I1085" s="125"/>
      <c r="J1085" s="674"/>
      <c r="K1085" s="471"/>
      <c r="L1085" s="678"/>
    </row>
    <row r="1086">
      <c r="D1086" s="132"/>
      <c r="G1086" s="661"/>
      <c r="I1086" s="125"/>
      <c r="J1086" s="674"/>
      <c r="K1086" s="471"/>
      <c r="L1086" s="678"/>
    </row>
    <row r="1087">
      <c r="D1087" s="132"/>
      <c r="G1087" s="661"/>
      <c r="I1087" s="125"/>
      <c r="J1087" s="674"/>
      <c r="K1087" s="471"/>
      <c r="L1087" s="678"/>
    </row>
    <row r="1088">
      <c r="G1088" s="661"/>
      <c r="I1088" s="125"/>
      <c r="J1088" s="674"/>
      <c r="K1088" s="471"/>
      <c r="L1088" s="678"/>
    </row>
    <row r="1089">
      <c r="D1089" s="132"/>
      <c r="G1089" s="661"/>
      <c r="I1089" s="125"/>
      <c r="J1089" s="674"/>
      <c r="K1089" s="471"/>
      <c r="L1089" s="678"/>
    </row>
    <row r="1090">
      <c r="D1090" s="132"/>
      <c r="G1090" s="661"/>
      <c r="I1090" s="125"/>
      <c r="J1090" s="674"/>
      <c r="K1090" s="471"/>
      <c r="L1090" s="678"/>
    </row>
    <row r="1091">
      <c r="D1091" s="132"/>
      <c r="G1091" s="661"/>
      <c r="I1091" s="125"/>
      <c r="J1091" s="674"/>
      <c r="K1091" s="471"/>
      <c r="L1091" s="678"/>
    </row>
    <row r="1092">
      <c r="D1092" s="132"/>
      <c r="G1092" s="661"/>
      <c r="I1092" s="125"/>
      <c r="J1092" s="674"/>
      <c r="K1092" s="471"/>
      <c r="L1092" s="678"/>
    </row>
    <row r="1093">
      <c r="D1093" s="132"/>
      <c r="G1093" s="661"/>
      <c r="I1093" s="125"/>
      <c r="J1093" s="674"/>
      <c r="K1093" s="471"/>
      <c r="L1093" s="678"/>
    </row>
    <row r="1094">
      <c r="D1094" s="132"/>
      <c r="G1094" s="661"/>
      <c r="I1094" s="125"/>
      <c r="J1094" s="674"/>
      <c r="K1094" s="471"/>
      <c r="L1094" s="678"/>
    </row>
    <row r="1095">
      <c r="D1095" s="132"/>
      <c r="G1095" s="661"/>
      <c r="I1095" s="125"/>
      <c r="J1095" s="674"/>
      <c r="K1095" s="471"/>
      <c r="L1095" s="678"/>
    </row>
    <row r="1096">
      <c r="D1096" s="132"/>
      <c r="G1096" s="661"/>
      <c r="I1096" s="125"/>
      <c r="J1096" s="674"/>
      <c r="K1096" s="471"/>
      <c r="L1096" s="678"/>
    </row>
    <row r="1097">
      <c r="D1097" s="132"/>
      <c r="G1097" s="661"/>
      <c r="I1097" s="125"/>
      <c r="J1097" s="674"/>
      <c r="K1097" s="471"/>
      <c r="L1097" s="678"/>
    </row>
    <row r="1098">
      <c r="D1098" s="132"/>
      <c r="G1098" s="661"/>
      <c r="I1098" s="125"/>
      <c r="J1098" s="674"/>
      <c r="K1098" s="471"/>
      <c r="L1098" s="678"/>
    </row>
    <row r="1099">
      <c r="D1099" s="132"/>
      <c r="G1099" s="661"/>
      <c r="I1099" s="125"/>
      <c r="J1099" s="674"/>
      <c r="K1099" s="471"/>
      <c r="L1099" s="678"/>
    </row>
    <row r="1100">
      <c r="D1100" s="132"/>
      <c r="G1100" s="661"/>
      <c r="I1100" s="125"/>
      <c r="J1100" s="674"/>
      <c r="K1100" s="471"/>
      <c r="L1100" s="678"/>
    </row>
    <row r="1101">
      <c r="D1101" s="132"/>
      <c r="G1101" s="661"/>
      <c r="I1101" s="125"/>
      <c r="J1101" s="674"/>
      <c r="K1101" s="471"/>
      <c r="L1101" s="678"/>
    </row>
    <row r="1102">
      <c r="D1102" s="132"/>
      <c r="G1102" s="661"/>
      <c r="I1102" s="125"/>
      <c r="J1102" s="674"/>
      <c r="K1102" s="471"/>
      <c r="L1102" s="678"/>
    </row>
    <row r="1103">
      <c r="G1103" s="661"/>
      <c r="I1103" s="125"/>
      <c r="J1103" s="674"/>
      <c r="K1103" s="471"/>
      <c r="L1103" s="678"/>
    </row>
    <row r="1104">
      <c r="D1104" s="132"/>
      <c r="G1104" s="661"/>
      <c r="I1104" s="125"/>
      <c r="J1104" s="674"/>
      <c r="K1104" s="471"/>
      <c r="L1104" s="678"/>
    </row>
    <row r="1105">
      <c r="D1105" s="132"/>
      <c r="G1105" s="661"/>
      <c r="I1105" s="125"/>
      <c r="J1105" s="674"/>
      <c r="K1105" s="471"/>
      <c r="L1105" s="678"/>
    </row>
    <row r="1106">
      <c r="D1106" s="132"/>
      <c r="G1106" s="661"/>
      <c r="I1106" s="125"/>
      <c r="J1106" s="674"/>
      <c r="K1106" s="471"/>
      <c r="L1106" s="678"/>
    </row>
    <row r="1107">
      <c r="D1107" s="132"/>
      <c r="G1107" s="661"/>
      <c r="I1107" s="125"/>
      <c r="J1107" s="674"/>
      <c r="K1107" s="471"/>
      <c r="L1107" s="678"/>
    </row>
    <row r="1108">
      <c r="D1108" s="132"/>
      <c r="G1108" s="661"/>
      <c r="I1108" s="125"/>
      <c r="J1108" s="674"/>
      <c r="K1108" s="471"/>
      <c r="L1108" s="678"/>
    </row>
    <row r="1109">
      <c r="G1109" s="661"/>
      <c r="I1109" s="125"/>
      <c r="J1109" s="674"/>
      <c r="K1109" s="471"/>
      <c r="L1109" s="678"/>
    </row>
    <row r="1110">
      <c r="D1110" s="132"/>
      <c r="G1110" s="661"/>
      <c r="I1110" s="125"/>
      <c r="J1110" s="674"/>
      <c r="K1110" s="471"/>
      <c r="L1110" s="678"/>
    </row>
    <row r="1111">
      <c r="G1111" s="661"/>
      <c r="I1111" s="125"/>
      <c r="J1111" s="674"/>
      <c r="K1111" s="471"/>
      <c r="L1111" s="678"/>
    </row>
    <row r="1112">
      <c r="G1112" s="661"/>
      <c r="I1112" s="125"/>
      <c r="J1112" s="674"/>
      <c r="K1112" s="471"/>
      <c r="L1112" s="678"/>
    </row>
    <row r="1113">
      <c r="G1113" s="661"/>
      <c r="I1113" s="125"/>
      <c r="J1113" s="674"/>
      <c r="K1113" s="471"/>
      <c r="L1113" s="678"/>
    </row>
    <row r="1114">
      <c r="D1114" s="132"/>
      <c r="G1114" s="661"/>
      <c r="I1114" s="125"/>
      <c r="J1114" s="674"/>
      <c r="K1114" s="471"/>
      <c r="L1114" s="678"/>
    </row>
    <row r="1115">
      <c r="D1115" s="132"/>
      <c r="G1115" s="661"/>
      <c r="I1115" s="125"/>
      <c r="J1115" s="674"/>
      <c r="K1115" s="471"/>
      <c r="L1115" s="678"/>
    </row>
    <row r="1116">
      <c r="G1116" s="661"/>
      <c r="I1116" s="125"/>
      <c r="J1116" s="674"/>
      <c r="K1116" s="471"/>
      <c r="L1116" s="678"/>
    </row>
    <row r="1117">
      <c r="D1117" s="132"/>
      <c r="G1117" s="661"/>
      <c r="I1117" s="125"/>
      <c r="J1117" s="674"/>
      <c r="K1117" s="471"/>
      <c r="L1117" s="678"/>
    </row>
    <row r="1118">
      <c r="D1118" s="132"/>
      <c r="G1118" s="661"/>
      <c r="I1118" s="125"/>
      <c r="J1118" s="674"/>
      <c r="K1118" s="471"/>
      <c r="L1118" s="678"/>
    </row>
    <row r="1119">
      <c r="G1119" s="661"/>
      <c r="I1119" s="125"/>
      <c r="J1119" s="674"/>
      <c r="K1119" s="471"/>
      <c r="L1119" s="678"/>
    </row>
    <row r="1120">
      <c r="D1120" s="132"/>
      <c r="G1120" s="661"/>
      <c r="I1120" s="125"/>
      <c r="J1120" s="674"/>
      <c r="K1120" s="471"/>
      <c r="L1120" s="678"/>
    </row>
    <row r="1121">
      <c r="G1121" s="661"/>
      <c r="I1121" s="125"/>
      <c r="J1121" s="674"/>
      <c r="K1121" s="471"/>
      <c r="L1121" s="678"/>
    </row>
    <row r="1122">
      <c r="D1122" s="132"/>
      <c r="G1122" s="661"/>
      <c r="I1122" s="125"/>
      <c r="J1122" s="674"/>
      <c r="K1122" s="471"/>
      <c r="L1122" s="678"/>
    </row>
    <row r="1123">
      <c r="D1123" s="132"/>
      <c r="G1123" s="661"/>
      <c r="I1123" s="125"/>
      <c r="J1123" s="674"/>
      <c r="K1123" s="471"/>
      <c r="L1123" s="678"/>
    </row>
    <row r="1124">
      <c r="D1124" s="132"/>
      <c r="G1124" s="661"/>
      <c r="I1124" s="125"/>
      <c r="J1124" s="674"/>
      <c r="K1124" s="471"/>
      <c r="L1124" s="678"/>
    </row>
    <row r="1125">
      <c r="D1125" s="132"/>
      <c r="G1125" s="661"/>
      <c r="I1125" s="125"/>
      <c r="J1125" s="674"/>
      <c r="K1125" s="471"/>
      <c r="L1125" s="678"/>
    </row>
    <row r="1126">
      <c r="G1126" s="661"/>
      <c r="I1126" s="125"/>
      <c r="J1126" s="674"/>
      <c r="K1126" s="471"/>
      <c r="L1126" s="678"/>
    </row>
    <row r="1127">
      <c r="D1127" s="132"/>
      <c r="G1127" s="661"/>
      <c r="I1127" s="125"/>
      <c r="J1127" s="674"/>
      <c r="K1127" s="471"/>
      <c r="L1127" s="678"/>
    </row>
    <row r="1128">
      <c r="D1128" s="132"/>
      <c r="G1128" s="661"/>
      <c r="I1128" s="125"/>
      <c r="J1128" s="674"/>
      <c r="K1128" s="471"/>
      <c r="L1128" s="678"/>
    </row>
    <row r="1129">
      <c r="G1129" s="661"/>
      <c r="I1129" s="125"/>
      <c r="J1129" s="674"/>
      <c r="K1129" s="471"/>
      <c r="L1129" s="678"/>
    </row>
    <row r="1130">
      <c r="G1130" s="661"/>
      <c r="I1130" s="125"/>
      <c r="J1130" s="674"/>
      <c r="K1130" s="471"/>
      <c r="L1130" s="678"/>
    </row>
    <row r="1131">
      <c r="G1131" s="661"/>
      <c r="I1131" s="125"/>
      <c r="J1131" s="674"/>
      <c r="K1131" s="471"/>
      <c r="L1131" s="678"/>
    </row>
    <row r="1132">
      <c r="G1132" s="661"/>
      <c r="I1132" s="125"/>
      <c r="J1132" s="674"/>
      <c r="K1132" s="471"/>
      <c r="L1132" s="678"/>
    </row>
    <row r="1133">
      <c r="D1133" s="132"/>
      <c r="G1133" s="661"/>
      <c r="I1133" s="125"/>
      <c r="J1133" s="674"/>
      <c r="K1133" s="471"/>
      <c r="L1133" s="678"/>
    </row>
    <row r="1134">
      <c r="D1134" s="139"/>
      <c r="G1134" s="661"/>
      <c r="I1134" s="125"/>
      <c r="J1134" s="674"/>
      <c r="K1134" s="471"/>
      <c r="L1134" s="678"/>
    </row>
    <row r="1135">
      <c r="D1135" s="145"/>
      <c r="G1135" s="661"/>
      <c r="I1135" s="125"/>
      <c r="J1135" s="674"/>
      <c r="K1135" s="471"/>
      <c r="L1135" s="678"/>
    </row>
    <row r="1136">
      <c r="D1136" s="139"/>
      <c r="G1136" s="661"/>
      <c r="I1136" s="125"/>
      <c r="J1136" s="674"/>
      <c r="K1136" s="471"/>
      <c r="L1136" s="678"/>
    </row>
    <row r="1137">
      <c r="D1137" s="139"/>
      <c r="G1137" s="661"/>
      <c r="I1137" s="125"/>
      <c r="J1137" s="674"/>
      <c r="K1137" s="471"/>
      <c r="L1137" s="678"/>
    </row>
    <row r="1138">
      <c r="D1138" s="132"/>
      <c r="G1138" s="661"/>
      <c r="I1138" s="125"/>
      <c r="J1138" s="674"/>
      <c r="K1138" s="471"/>
      <c r="L1138" s="678"/>
    </row>
    <row r="1139">
      <c r="D1139" s="132"/>
      <c r="G1139" s="661"/>
      <c r="I1139" s="125"/>
      <c r="J1139" s="674"/>
      <c r="K1139" s="471"/>
      <c r="L1139" s="678"/>
    </row>
    <row r="1140">
      <c r="D1140" s="132"/>
      <c r="G1140" s="661"/>
      <c r="I1140" s="125"/>
      <c r="J1140" s="674"/>
      <c r="K1140" s="471"/>
      <c r="L1140" s="678"/>
    </row>
    <row r="1141">
      <c r="G1141" s="661"/>
      <c r="I1141" s="125"/>
      <c r="J1141" s="674"/>
      <c r="K1141" s="471"/>
      <c r="L1141" s="678"/>
    </row>
    <row r="1142">
      <c r="D1142" s="132"/>
      <c r="G1142" s="661"/>
      <c r="I1142" s="125"/>
      <c r="J1142" s="674"/>
      <c r="K1142" s="471"/>
      <c r="L1142" s="678"/>
    </row>
    <row r="1143">
      <c r="D1143" s="132"/>
      <c r="G1143" s="661"/>
      <c r="I1143" s="125"/>
      <c r="J1143" s="674"/>
      <c r="K1143" s="471"/>
      <c r="L1143" s="678"/>
    </row>
    <row r="1144">
      <c r="D1144" s="132"/>
      <c r="G1144" s="661"/>
      <c r="I1144" s="125"/>
      <c r="J1144" s="674"/>
      <c r="K1144" s="471"/>
      <c r="L1144" s="678"/>
    </row>
    <row r="1145">
      <c r="D1145" s="132"/>
      <c r="G1145" s="661"/>
      <c r="I1145" s="125"/>
      <c r="J1145" s="674"/>
      <c r="K1145" s="471"/>
      <c r="L1145" s="678"/>
    </row>
    <row r="1146">
      <c r="D1146" s="132"/>
      <c r="G1146" s="661"/>
      <c r="I1146" s="125"/>
      <c r="J1146" s="674"/>
      <c r="K1146" s="471"/>
      <c r="L1146" s="678"/>
    </row>
    <row r="1147">
      <c r="D1147" s="132"/>
      <c r="G1147" s="661"/>
      <c r="I1147" s="125"/>
      <c r="J1147" s="674"/>
      <c r="K1147" s="471"/>
      <c r="L1147" s="678"/>
    </row>
    <row r="1148">
      <c r="G1148" s="661"/>
      <c r="I1148" s="125"/>
      <c r="J1148" s="674"/>
      <c r="K1148" s="471"/>
      <c r="L1148" s="678"/>
    </row>
    <row r="1149">
      <c r="D1149" s="132"/>
      <c r="G1149" s="661"/>
      <c r="I1149" s="125"/>
      <c r="J1149" s="674"/>
      <c r="K1149" s="471"/>
      <c r="L1149" s="678"/>
    </row>
    <row r="1150">
      <c r="D1150" s="132"/>
      <c r="G1150" s="661"/>
      <c r="I1150" s="125"/>
      <c r="J1150" s="674"/>
      <c r="K1150" s="471"/>
      <c r="L1150" s="678"/>
    </row>
    <row r="1151">
      <c r="D1151" s="132"/>
      <c r="G1151" s="661"/>
      <c r="I1151" s="125"/>
      <c r="J1151" s="674"/>
      <c r="K1151" s="471"/>
      <c r="L1151" s="678"/>
    </row>
    <row r="1152">
      <c r="D1152" s="132"/>
      <c r="G1152" s="661"/>
      <c r="I1152" s="125"/>
      <c r="J1152" s="674"/>
      <c r="K1152" s="471"/>
      <c r="L1152" s="678"/>
    </row>
    <row r="1153">
      <c r="D1153" s="132"/>
      <c r="G1153" s="661"/>
      <c r="I1153" s="125"/>
      <c r="J1153" s="674"/>
      <c r="K1153" s="471"/>
      <c r="L1153" s="678"/>
    </row>
    <row r="1154">
      <c r="D1154" s="132"/>
      <c r="G1154" s="661"/>
      <c r="I1154" s="125"/>
      <c r="J1154" s="674"/>
      <c r="K1154" s="471"/>
      <c r="L1154" s="678"/>
    </row>
    <row r="1155">
      <c r="D1155" s="132"/>
      <c r="G1155" s="661"/>
      <c r="I1155" s="125"/>
      <c r="J1155" s="674"/>
      <c r="K1155" s="471"/>
      <c r="L1155" s="678"/>
    </row>
    <row r="1156">
      <c r="D1156" s="132"/>
      <c r="G1156" s="661"/>
      <c r="I1156" s="125"/>
      <c r="J1156" s="674"/>
      <c r="K1156" s="471"/>
      <c r="L1156" s="678"/>
    </row>
    <row r="1157">
      <c r="D1157" s="132"/>
      <c r="G1157" s="661"/>
      <c r="I1157" s="125"/>
      <c r="J1157" s="674"/>
      <c r="K1157" s="471"/>
      <c r="L1157" s="678"/>
    </row>
    <row r="1158">
      <c r="D1158" s="132"/>
      <c r="G1158" s="661"/>
      <c r="I1158" s="125"/>
      <c r="J1158" s="674"/>
      <c r="K1158" s="471"/>
      <c r="L1158" s="678"/>
    </row>
    <row r="1159">
      <c r="D1159" s="132"/>
      <c r="G1159" s="661"/>
      <c r="I1159" s="125"/>
      <c r="J1159" s="674"/>
      <c r="K1159" s="471"/>
      <c r="L1159" s="678"/>
    </row>
    <row r="1160">
      <c r="D1160" s="132"/>
      <c r="G1160" s="661"/>
      <c r="I1160" s="125"/>
      <c r="J1160" s="674"/>
      <c r="K1160" s="471"/>
      <c r="L1160" s="678"/>
    </row>
    <row r="1161">
      <c r="D1161" s="132"/>
      <c r="G1161" s="661"/>
      <c r="I1161" s="125"/>
      <c r="J1161" s="674"/>
      <c r="K1161" s="471"/>
      <c r="L1161" s="678"/>
    </row>
    <row r="1162">
      <c r="D1162" s="132"/>
      <c r="G1162" s="661"/>
      <c r="I1162" s="125"/>
      <c r="J1162" s="674"/>
      <c r="K1162" s="471"/>
      <c r="L1162" s="678"/>
    </row>
    <row r="1163">
      <c r="D1163" s="132"/>
      <c r="G1163" s="661"/>
      <c r="I1163" s="125"/>
      <c r="J1163" s="674"/>
      <c r="K1163" s="471"/>
      <c r="L1163" s="678"/>
    </row>
    <row r="1164">
      <c r="D1164" s="149"/>
      <c r="G1164" s="661"/>
      <c r="I1164" s="125"/>
      <c r="J1164" s="674"/>
      <c r="K1164" s="471"/>
      <c r="L1164" s="678"/>
    </row>
    <row r="1165">
      <c r="D1165" s="132"/>
      <c r="G1165" s="661"/>
      <c r="I1165" s="125"/>
      <c r="J1165" s="674"/>
      <c r="K1165" s="471"/>
      <c r="L1165" s="678"/>
    </row>
    <row r="1166">
      <c r="G1166" s="661"/>
      <c r="I1166" s="125"/>
      <c r="J1166" s="674"/>
      <c r="K1166" s="471"/>
      <c r="L1166" s="678"/>
    </row>
    <row r="1167">
      <c r="D1167" s="132"/>
      <c r="G1167" s="661"/>
      <c r="I1167" s="125"/>
      <c r="J1167" s="674"/>
      <c r="K1167" s="471"/>
      <c r="L1167" s="678"/>
    </row>
    <row r="1168">
      <c r="D1168" s="132"/>
      <c r="G1168" s="661"/>
      <c r="I1168" s="125"/>
      <c r="J1168" s="674"/>
      <c r="K1168" s="471"/>
      <c r="L1168" s="678"/>
    </row>
    <row r="1169">
      <c r="D1169" s="132"/>
      <c r="G1169" s="661"/>
      <c r="I1169" s="125"/>
      <c r="J1169" s="674"/>
      <c r="K1169" s="471"/>
      <c r="L1169" s="678"/>
    </row>
    <row r="1170">
      <c r="D1170" s="132"/>
      <c r="G1170" s="661"/>
      <c r="I1170" s="125"/>
      <c r="J1170" s="674"/>
      <c r="K1170" s="471"/>
      <c r="L1170" s="678"/>
    </row>
    <row r="1171">
      <c r="D1171" s="132"/>
      <c r="G1171" s="661"/>
      <c r="I1171" s="125"/>
      <c r="J1171" s="674"/>
      <c r="K1171" s="471"/>
      <c r="L1171" s="678"/>
    </row>
    <row r="1172">
      <c r="D1172" s="132"/>
      <c r="G1172" s="661"/>
      <c r="I1172" s="125"/>
      <c r="J1172" s="674"/>
      <c r="K1172" s="471"/>
      <c r="L1172" s="678"/>
    </row>
    <row r="1173">
      <c r="D1173" s="132"/>
      <c r="G1173" s="661"/>
      <c r="I1173" s="125"/>
      <c r="J1173" s="674"/>
      <c r="K1173" s="471"/>
      <c r="L1173" s="678"/>
    </row>
    <row r="1174">
      <c r="D1174" s="132"/>
      <c r="G1174" s="661"/>
      <c r="I1174" s="125"/>
      <c r="J1174" s="674"/>
      <c r="K1174" s="471"/>
      <c r="L1174" s="678"/>
    </row>
    <row r="1175">
      <c r="D1175" s="149"/>
      <c r="G1175" s="661"/>
      <c r="I1175" s="125"/>
      <c r="J1175" s="674"/>
      <c r="K1175" s="471"/>
      <c r="L1175" s="678"/>
    </row>
    <row r="1176">
      <c r="D1176" s="132"/>
      <c r="G1176" s="661"/>
      <c r="I1176" s="125"/>
      <c r="J1176" s="674"/>
      <c r="K1176" s="471"/>
      <c r="L1176" s="678"/>
    </row>
    <row r="1177">
      <c r="D1177" s="132"/>
      <c r="G1177" s="661"/>
      <c r="I1177" s="125"/>
      <c r="J1177" s="674"/>
      <c r="K1177" s="471"/>
      <c r="L1177" s="678"/>
    </row>
    <row r="1178">
      <c r="D1178" s="132"/>
      <c r="G1178" s="661"/>
      <c r="I1178" s="125"/>
      <c r="J1178" s="674"/>
      <c r="K1178" s="471"/>
      <c r="L1178" s="678"/>
    </row>
    <row r="1179">
      <c r="D1179" s="132"/>
      <c r="G1179" s="661"/>
      <c r="I1179" s="125"/>
      <c r="J1179" s="674"/>
      <c r="K1179" s="471"/>
      <c r="L1179" s="678"/>
    </row>
    <row r="1180">
      <c r="D1180" s="132"/>
      <c r="G1180" s="661"/>
      <c r="I1180" s="125"/>
      <c r="J1180" s="674"/>
      <c r="K1180" s="471"/>
      <c r="L1180" s="678"/>
    </row>
    <row r="1181">
      <c r="D1181" s="132"/>
      <c r="G1181" s="661"/>
      <c r="I1181" s="125"/>
      <c r="J1181" s="674"/>
      <c r="K1181" s="471"/>
      <c r="L1181" s="678"/>
    </row>
    <row r="1182">
      <c r="D1182" s="132"/>
      <c r="G1182" s="661"/>
      <c r="I1182" s="125"/>
      <c r="J1182" s="674"/>
      <c r="K1182" s="471"/>
      <c r="L1182" s="678"/>
    </row>
    <row r="1183">
      <c r="D1183" s="132"/>
      <c r="G1183" s="661"/>
      <c r="I1183" s="125"/>
      <c r="J1183" s="674"/>
      <c r="K1183" s="471"/>
      <c r="L1183" s="678"/>
    </row>
    <row r="1184">
      <c r="D1184" s="132"/>
      <c r="G1184" s="661"/>
      <c r="I1184" s="125"/>
      <c r="J1184" s="674"/>
      <c r="K1184" s="471"/>
      <c r="L1184" s="678"/>
    </row>
    <row r="1185">
      <c r="D1185" s="132"/>
      <c r="G1185" s="661"/>
      <c r="I1185" s="125"/>
      <c r="J1185" s="674"/>
      <c r="K1185" s="471"/>
      <c r="L1185" s="678"/>
    </row>
    <row r="1186">
      <c r="D1186" s="132"/>
      <c r="G1186" s="661"/>
      <c r="I1186" s="125"/>
      <c r="J1186" s="674"/>
      <c r="K1186" s="471"/>
      <c r="L1186" s="678"/>
    </row>
    <row r="1187">
      <c r="D1187" s="132"/>
      <c r="G1187" s="661"/>
      <c r="I1187" s="125"/>
      <c r="J1187" s="674"/>
      <c r="K1187" s="471"/>
      <c r="L1187" s="678"/>
    </row>
    <row r="1188">
      <c r="D1188" s="132"/>
      <c r="G1188" s="661"/>
      <c r="I1188" s="125"/>
      <c r="J1188" s="674"/>
      <c r="K1188" s="471"/>
      <c r="L1188" s="678"/>
    </row>
    <row r="1189">
      <c r="D1189" s="132"/>
      <c r="G1189" s="661"/>
      <c r="I1189" s="125"/>
      <c r="J1189" s="674"/>
      <c r="K1189" s="471"/>
      <c r="L1189" s="678"/>
    </row>
    <row r="1190">
      <c r="D1190" s="132"/>
      <c r="G1190" s="661"/>
      <c r="I1190" s="125"/>
      <c r="J1190" s="674"/>
      <c r="K1190" s="471"/>
      <c r="L1190" s="678"/>
    </row>
    <row r="1191">
      <c r="D1191" s="132"/>
      <c r="G1191" s="661"/>
      <c r="I1191" s="125"/>
      <c r="J1191" s="674"/>
      <c r="K1191" s="471"/>
      <c r="L1191" s="678"/>
    </row>
    <row r="1192">
      <c r="D1192" s="132"/>
      <c r="G1192" s="661"/>
      <c r="I1192" s="125"/>
      <c r="J1192" s="674"/>
      <c r="K1192" s="471"/>
      <c r="L1192" s="678"/>
    </row>
    <row r="1193">
      <c r="D1193" s="132"/>
      <c r="G1193" s="661"/>
      <c r="I1193" s="125"/>
      <c r="J1193" s="674"/>
      <c r="K1193" s="471"/>
      <c r="L1193" s="678"/>
    </row>
    <row r="1194">
      <c r="D1194" s="132"/>
      <c r="G1194" s="661"/>
      <c r="I1194" s="125"/>
      <c r="J1194" s="674"/>
      <c r="K1194" s="471"/>
      <c r="L1194" s="678"/>
    </row>
    <row r="1195">
      <c r="D1195" s="132"/>
      <c r="G1195" s="661"/>
      <c r="I1195" s="125"/>
      <c r="J1195" s="674"/>
      <c r="K1195" s="471"/>
      <c r="L1195" s="678"/>
    </row>
    <row r="1196">
      <c r="D1196" s="132"/>
      <c r="G1196" s="661"/>
      <c r="I1196" s="125"/>
      <c r="J1196" s="674"/>
      <c r="K1196" s="471"/>
      <c r="L1196" s="678"/>
    </row>
    <row r="1197">
      <c r="D1197" s="132"/>
      <c r="G1197" s="661"/>
      <c r="I1197" s="125"/>
      <c r="J1197" s="674"/>
      <c r="K1197" s="471"/>
      <c r="L1197" s="678"/>
    </row>
    <row r="1198">
      <c r="D1198" s="132"/>
      <c r="G1198" s="661"/>
      <c r="I1198" s="125"/>
      <c r="J1198" s="674"/>
      <c r="K1198" s="471"/>
      <c r="L1198" s="678"/>
    </row>
    <row r="1199">
      <c r="D1199" s="132"/>
      <c r="G1199" s="661"/>
      <c r="I1199" s="125"/>
      <c r="J1199" s="674"/>
      <c r="K1199" s="471"/>
      <c r="L1199" s="678"/>
    </row>
    <row r="1200">
      <c r="D1200" s="132"/>
      <c r="G1200" s="661"/>
      <c r="I1200" s="125"/>
      <c r="J1200" s="674"/>
      <c r="K1200" s="471"/>
      <c r="L1200" s="678"/>
    </row>
    <row r="1201">
      <c r="D1201" s="132"/>
      <c r="G1201" s="661"/>
      <c r="I1201" s="125"/>
      <c r="J1201" s="674"/>
      <c r="K1201" s="471"/>
      <c r="L1201" s="678"/>
    </row>
    <row r="1202">
      <c r="D1202" s="132"/>
      <c r="G1202" s="661"/>
      <c r="I1202" s="125"/>
      <c r="J1202" s="674"/>
      <c r="K1202" s="471"/>
      <c r="L1202" s="678"/>
    </row>
    <row r="1203">
      <c r="D1203" s="132"/>
      <c r="G1203" s="661"/>
      <c r="I1203" s="125"/>
      <c r="J1203" s="674"/>
      <c r="K1203" s="471"/>
      <c r="L1203" s="678"/>
    </row>
    <row r="1204">
      <c r="D1204" s="132"/>
      <c r="G1204" s="661"/>
      <c r="I1204" s="125"/>
      <c r="J1204" s="674"/>
      <c r="K1204" s="471"/>
      <c r="L1204" s="678"/>
    </row>
    <row r="1205">
      <c r="D1205" s="132"/>
      <c r="G1205" s="661"/>
      <c r="I1205" s="125"/>
      <c r="J1205" s="674"/>
      <c r="K1205" s="471"/>
      <c r="L1205" s="678"/>
    </row>
    <row r="1206">
      <c r="D1206" s="132"/>
      <c r="G1206" s="661"/>
      <c r="I1206" s="125"/>
      <c r="J1206" s="674"/>
      <c r="K1206" s="471"/>
      <c r="L1206" s="678"/>
    </row>
    <row r="1207">
      <c r="G1207" s="661"/>
      <c r="I1207" s="125"/>
      <c r="J1207" s="674"/>
      <c r="K1207" s="471"/>
      <c r="L1207" s="678"/>
    </row>
    <row r="1208">
      <c r="D1208" s="132"/>
      <c r="G1208" s="661"/>
      <c r="I1208" s="125"/>
      <c r="J1208" s="674"/>
      <c r="K1208" s="471"/>
      <c r="L1208" s="678"/>
    </row>
    <row r="1209">
      <c r="D1209" s="132"/>
      <c r="G1209" s="661"/>
      <c r="I1209" s="125"/>
      <c r="J1209" s="674"/>
      <c r="K1209" s="471"/>
      <c r="L1209" s="678"/>
    </row>
    <row r="1210">
      <c r="D1210" s="132"/>
      <c r="G1210" s="661"/>
      <c r="I1210" s="125"/>
      <c r="J1210" s="674"/>
      <c r="K1210" s="471"/>
      <c r="L1210" s="678"/>
    </row>
    <row r="1211">
      <c r="D1211" s="132"/>
      <c r="G1211" s="661"/>
      <c r="I1211" s="125"/>
      <c r="J1211" s="674"/>
      <c r="K1211" s="471"/>
      <c r="L1211" s="678"/>
    </row>
    <row r="1212">
      <c r="D1212" s="132"/>
      <c r="G1212" s="661"/>
      <c r="I1212" s="125"/>
      <c r="J1212" s="674"/>
      <c r="K1212" s="471"/>
      <c r="L1212" s="678"/>
    </row>
    <row r="1213">
      <c r="D1213" s="132"/>
      <c r="G1213" s="661"/>
      <c r="I1213" s="125"/>
      <c r="J1213" s="674"/>
      <c r="K1213" s="471"/>
      <c r="L1213" s="678"/>
    </row>
    <row r="1214">
      <c r="D1214" s="132"/>
      <c r="G1214" s="661"/>
      <c r="I1214" s="125"/>
      <c r="J1214" s="674"/>
      <c r="K1214" s="471"/>
      <c r="L1214" s="678"/>
    </row>
    <row r="1215">
      <c r="D1215" s="132"/>
      <c r="G1215" s="661"/>
      <c r="I1215" s="125"/>
      <c r="J1215" s="674"/>
      <c r="K1215" s="471"/>
      <c r="L1215" s="678"/>
    </row>
    <row r="1216">
      <c r="D1216" s="149"/>
      <c r="G1216" s="661"/>
      <c r="I1216" s="125"/>
      <c r="J1216" s="674"/>
      <c r="K1216" s="471"/>
      <c r="L1216" s="678"/>
    </row>
    <row r="1217">
      <c r="D1217" s="132"/>
      <c r="G1217" s="661"/>
      <c r="I1217" s="125"/>
      <c r="J1217" s="674"/>
      <c r="K1217" s="471"/>
      <c r="L1217" s="678"/>
    </row>
    <row r="1218">
      <c r="D1218" s="132"/>
      <c r="G1218" s="661"/>
      <c r="I1218" s="125"/>
      <c r="J1218" s="674"/>
      <c r="K1218" s="471"/>
      <c r="L1218" s="678"/>
    </row>
    <row r="1219">
      <c r="D1219" s="149"/>
      <c r="G1219" s="661"/>
      <c r="I1219" s="125"/>
      <c r="J1219" s="674"/>
      <c r="K1219" s="471"/>
      <c r="L1219" s="678"/>
    </row>
    <row r="1220">
      <c r="D1220" s="149"/>
      <c r="G1220" s="661"/>
      <c r="I1220" s="125"/>
      <c r="J1220" s="674"/>
      <c r="K1220" s="471"/>
      <c r="L1220" s="678"/>
    </row>
    <row r="1221">
      <c r="D1221" s="132"/>
      <c r="G1221" s="661"/>
      <c r="I1221" s="125"/>
      <c r="J1221" s="674"/>
      <c r="K1221" s="471"/>
      <c r="L1221" s="678"/>
    </row>
    <row r="1222">
      <c r="G1222" s="661"/>
      <c r="I1222" s="125"/>
      <c r="J1222" s="674"/>
      <c r="K1222" s="471"/>
      <c r="L1222" s="678"/>
    </row>
    <row r="1223">
      <c r="D1223" s="132"/>
      <c r="G1223" s="661"/>
      <c r="I1223" s="125"/>
      <c r="J1223" s="674"/>
      <c r="K1223" s="471"/>
      <c r="L1223" s="678"/>
    </row>
    <row r="1224">
      <c r="G1224" s="661"/>
      <c r="I1224" s="125"/>
      <c r="J1224" s="674"/>
      <c r="K1224" s="471"/>
      <c r="L1224" s="678"/>
    </row>
    <row r="1225">
      <c r="D1225" s="149"/>
      <c r="G1225" s="661"/>
      <c r="I1225" s="125"/>
      <c r="J1225" s="674"/>
      <c r="K1225" s="471"/>
      <c r="L1225" s="678"/>
    </row>
    <row r="1226">
      <c r="D1226" s="149"/>
      <c r="G1226" s="661"/>
      <c r="I1226" s="125"/>
      <c r="J1226" s="674"/>
      <c r="K1226" s="471"/>
      <c r="L1226" s="678"/>
    </row>
    <row r="1227">
      <c r="D1227" s="132"/>
      <c r="G1227" s="661"/>
      <c r="I1227" s="125"/>
      <c r="J1227" s="674"/>
      <c r="K1227" s="471"/>
      <c r="L1227" s="678"/>
    </row>
    <row r="1228">
      <c r="D1228" s="132"/>
      <c r="G1228" s="661"/>
      <c r="I1228" s="125"/>
      <c r="J1228" s="674"/>
      <c r="K1228" s="471"/>
      <c r="L1228" s="678"/>
    </row>
    <row r="1229">
      <c r="D1229" s="132"/>
      <c r="G1229" s="661"/>
      <c r="I1229" s="125"/>
      <c r="J1229" s="674"/>
      <c r="K1229" s="471"/>
      <c r="L1229" s="678"/>
    </row>
    <row r="1230">
      <c r="D1230" s="132"/>
      <c r="G1230" s="661"/>
      <c r="I1230" s="125"/>
      <c r="J1230" s="674"/>
      <c r="K1230" s="471"/>
      <c r="L1230" s="678"/>
    </row>
    <row r="1231">
      <c r="D1231" s="132"/>
      <c r="G1231" s="661"/>
      <c r="I1231" s="125"/>
      <c r="J1231" s="674"/>
      <c r="K1231" s="471"/>
      <c r="L1231" s="678"/>
    </row>
    <row r="1232">
      <c r="D1232" s="132"/>
      <c r="G1232" s="661"/>
      <c r="I1232" s="125"/>
      <c r="J1232" s="674"/>
      <c r="K1232" s="471"/>
      <c r="L1232" s="678"/>
    </row>
    <row r="1233">
      <c r="D1233" s="132"/>
      <c r="G1233" s="661"/>
      <c r="I1233" s="125"/>
      <c r="J1233" s="674"/>
      <c r="K1233" s="471"/>
      <c r="L1233" s="678"/>
    </row>
    <row r="1234">
      <c r="D1234" s="132"/>
      <c r="G1234" s="661"/>
      <c r="I1234" s="125"/>
      <c r="J1234" s="674"/>
      <c r="K1234" s="471"/>
      <c r="L1234" s="678"/>
    </row>
    <row r="1235">
      <c r="D1235" s="208"/>
      <c r="G1235" s="661"/>
      <c r="I1235" s="125"/>
      <c r="J1235" s="674"/>
      <c r="K1235" s="471"/>
      <c r="L1235" s="678"/>
    </row>
    <row r="1236">
      <c r="G1236" s="661"/>
      <c r="I1236" s="125"/>
      <c r="J1236" s="674"/>
      <c r="K1236" s="471"/>
      <c r="L1236" s="678"/>
    </row>
    <row r="1237">
      <c r="G1237" s="661"/>
      <c r="I1237" s="125"/>
      <c r="J1237" s="674"/>
      <c r="K1237" s="471"/>
      <c r="L1237" s="678"/>
    </row>
    <row r="1238">
      <c r="D1238" s="132"/>
      <c r="G1238" s="661"/>
      <c r="I1238" s="125"/>
      <c r="J1238" s="674"/>
      <c r="K1238" s="471"/>
      <c r="L1238" s="678"/>
    </row>
    <row r="1239">
      <c r="D1239" s="132"/>
      <c r="G1239" s="661"/>
      <c r="I1239" s="125"/>
      <c r="J1239" s="674"/>
      <c r="K1239" s="471"/>
      <c r="L1239" s="678"/>
    </row>
    <row r="1240">
      <c r="G1240" s="661"/>
      <c r="I1240" s="125"/>
      <c r="J1240" s="674"/>
      <c r="K1240" s="471"/>
      <c r="L1240" s="678"/>
    </row>
    <row r="1241">
      <c r="D1241" s="132"/>
      <c r="G1241" s="661"/>
      <c r="I1241" s="125"/>
      <c r="J1241" s="674"/>
      <c r="K1241" s="471"/>
      <c r="L1241" s="678"/>
    </row>
    <row r="1242">
      <c r="D1242" s="132"/>
      <c r="G1242" s="661"/>
      <c r="I1242" s="125"/>
      <c r="J1242" s="674"/>
      <c r="K1242" s="471"/>
      <c r="L1242" s="678"/>
    </row>
    <row r="1243">
      <c r="D1243" s="132"/>
      <c r="G1243" s="661"/>
      <c r="I1243" s="125"/>
      <c r="J1243" s="674"/>
      <c r="K1243" s="471"/>
      <c r="L1243" s="678"/>
    </row>
    <row r="1244">
      <c r="D1244" s="132"/>
      <c r="G1244" s="661"/>
      <c r="I1244" s="125"/>
      <c r="J1244" s="674"/>
      <c r="K1244" s="471"/>
      <c r="L1244" s="678"/>
    </row>
    <row r="1245">
      <c r="D1245" s="132"/>
      <c r="G1245" s="661"/>
      <c r="I1245" s="125"/>
      <c r="J1245" s="674"/>
      <c r="K1245" s="471"/>
      <c r="L1245" s="678"/>
    </row>
    <row r="1246">
      <c r="D1246" s="149"/>
      <c r="G1246" s="661"/>
      <c r="I1246" s="125"/>
      <c r="J1246" s="674"/>
      <c r="K1246" s="471"/>
      <c r="L1246" s="678"/>
    </row>
    <row r="1247">
      <c r="D1247" s="208"/>
      <c r="G1247" s="661"/>
      <c r="I1247" s="125"/>
      <c r="J1247" s="674"/>
      <c r="K1247" s="471"/>
      <c r="L1247" s="678"/>
    </row>
    <row r="1248">
      <c r="G1248" s="661"/>
      <c r="I1248" s="125"/>
      <c r="J1248" s="674"/>
      <c r="K1248" s="471"/>
      <c r="L1248" s="678"/>
    </row>
    <row r="1249">
      <c r="D1249" s="149"/>
      <c r="G1249" s="661"/>
      <c r="I1249" s="125"/>
      <c r="J1249" s="674"/>
      <c r="K1249" s="471"/>
      <c r="L1249" s="678"/>
    </row>
    <row r="1250">
      <c r="D1250" s="132"/>
      <c r="G1250" s="661"/>
      <c r="I1250" s="125"/>
      <c r="J1250" s="674"/>
      <c r="K1250" s="471"/>
      <c r="L1250" s="678"/>
    </row>
    <row r="1251">
      <c r="D1251" s="132"/>
      <c r="G1251" s="661"/>
      <c r="I1251" s="125"/>
      <c r="J1251" s="674"/>
      <c r="K1251" s="471"/>
      <c r="L1251" s="678"/>
    </row>
    <row r="1252">
      <c r="D1252" s="132"/>
      <c r="G1252" s="661"/>
      <c r="I1252" s="125"/>
      <c r="J1252" s="674"/>
      <c r="K1252" s="471"/>
      <c r="L1252" s="678"/>
    </row>
    <row r="1253">
      <c r="D1253" s="132"/>
      <c r="G1253" s="661"/>
      <c r="I1253" s="125"/>
      <c r="J1253" s="674"/>
      <c r="K1253" s="471"/>
      <c r="L1253" s="678"/>
    </row>
    <row r="1254">
      <c r="G1254" s="661"/>
      <c r="I1254" s="125"/>
      <c r="J1254" s="674"/>
      <c r="K1254" s="471"/>
      <c r="L1254" s="678"/>
    </row>
    <row r="1255">
      <c r="D1255" s="132"/>
      <c r="G1255" s="661"/>
      <c r="I1255" s="125"/>
      <c r="J1255" s="674"/>
      <c r="K1255" s="471"/>
      <c r="L1255" s="678"/>
    </row>
    <row r="1256">
      <c r="D1256" s="149"/>
      <c r="G1256" s="661"/>
      <c r="I1256" s="125"/>
      <c r="J1256" s="674"/>
      <c r="K1256" s="471"/>
      <c r="L1256" s="678"/>
    </row>
    <row r="1257">
      <c r="D1257" s="132"/>
      <c r="G1257" s="661"/>
      <c r="I1257" s="125"/>
      <c r="J1257" s="674"/>
      <c r="K1257" s="471"/>
      <c r="L1257" s="678"/>
    </row>
    <row r="1258">
      <c r="D1258" s="132"/>
      <c r="G1258" s="661"/>
      <c r="I1258" s="125"/>
      <c r="J1258" s="674"/>
      <c r="K1258" s="471"/>
      <c r="L1258" s="678"/>
    </row>
    <row r="1259">
      <c r="D1259" s="132"/>
      <c r="G1259" s="661"/>
      <c r="I1259" s="125"/>
      <c r="J1259" s="674"/>
      <c r="K1259" s="471"/>
      <c r="L1259" s="678"/>
    </row>
    <row r="1260">
      <c r="D1260" s="132"/>
      <c r="G1260" s="661"/>
      <c r="I1260" s="125"/>
      <c r="J1260" s="674"/>
      <c r="K1260" s="471"/>
      <c r="L1260" s="678"/>
    </row>
    <row r="1261">
      <c r="G1261" s="661"/>
      <c r="I1261" s="125"/>
      <c r="J1261" s="674"/>
      <c r="K1261" s="471"/>
      <c r="L1261" s="678"/>
    </row>
    <row r="1262">
      <c r="D1262" s="132"/>
      <c r="G1262" s="661"/>
      <c r="I1262" s="125"/>
      <c r="J1262" s="674"/>
      <c r="K1262" s="471"/>
      <c r="L1262" s="678"/>
    </row>
    <row r="1263">
      <c r="D1263" s="132"/>
      <c r="G1263" s="661"/>
      <c r="I1263" s="125"/>
      <c r="J1263" s="674"/>
      <c r="K1263" s="471"/>
      <c r="L1263" s="678"/>
    </row>
    <row r="1264">
      <c r="D1264" s="132"/>
      <c r="G1264" s="661"/>
      <c r="I1264" s="125"/>
      <c r="J1264" s="674"/>
      <c r="K1264" s="471"/>
      <c r="L1264" s="678"/>
    </row>
    <row r="1265">
      <c r="D1265" s="149"/>
      <c r="G1265" s="661"/>
      <c r="I1265" s="125"/>
      <c r="J1265" s="674"/>
      <c r="K1265" s="471"/>
      <c r="L1265" s="678"/>
    </row>
    <row r="1266">
      <c r="D1266" s="132"/>
      <c r="G1266" s="661"/>
      <c r="I1266" s="125"/>
      <c r="J1266" s="674"/>
      <c r="K1266" s="471"/>
      <c r="L1266" s="678"/>
    </row>
    <row r="1267">
      <c r="G1267" s="661"/>
      <c r="I1267" s="125"/>
      <c r="J1267" s="674"/>
      <c r="K1267" s="471"/>
      <c r="L1267" s="678"/>
    </row>
    <row r="1268">
      <c r="D1268" s="132"/>
      <c r="G1268" s="661"/>
      <c r="I1268" s="125"/>
      <c r="J1268" s="674"/>
      <c r="K1268" s="471"/>
      <c r="L1268" s="678"/>
    </row>
    <row r="1269">
      <c r="D1269" s="132"/>
      <c r="G1269" s="661"/>
      <c r="I1269" s="125"/>
      <c r="J1269" s="674"/>
      <c r="K1269" s="471"/>
      <c r="L1269" s="678"/>
    </row>
    <row r="1270">
      <c r="D1270" s="132"/>
      <c r="G1270" s="661"/>
      <c r="I1270" s="125"/>
      <c r="J1270" s="674"/>
      <c r="K1270" s="471"/>
      <c r="L1270" s="678"/>
    </row>
    <row r="1271">
      <c r="D1271" s="132"/>
      <c r="G1271" s="661"/>
      <c r="I1271" s="125"/>
      <c r="J1271" s="674"/>
      <c r="K1271" s="471"/>
      <c r="L1271" s="678"/>
    </row>
    <row r="1272">
      <c r="D1272" s="132"/>
      <c r="G1272" s="661"/>
      <c r="I1272" s="125"/>
      <c r="J1272" s="674"/>
      <c r="K1272" s="471"/>
      <c r="L1272" s="678"/>
    </row>
    <row r="1273">
      <c r="D1273" s="149"/>
      <c r="G1273" s="661"/>
      <c r="I1273" s="125"/>
      <c r="J1273" s="674"/>
      <c r="K1273" s="471"/>
      <c r="L1273" s="678"/>
    </row>
    <row r="1274">
      <c r="D1274" s="132"/>
      <c r="G1274" s="661"/>
      <c r="I1274" s="125"/>
      <c r="J1274" s="674"/>
      <c r="K1274" s="471"/>
      <c r="L1274" s="678"/>
    </row>
    <row r="1275">
      <c r="G1275" s="661"/>
      <c r="I1275" s="125"/>
      <c r="J1275" s="674"/>
      <c r="K1275" s="471"/>
      <c r="L1275" s="678"/>
    </row>
    <row r="1276">
      <c r="G1276" s="661"/>
      <c r="I1276" s="125"/>
      <c r="J1276" s="674"/>
      <c r="K1276" s="471"/>
      <c r="L1276" s="678"/>
    </row>
    <row r="1277">
      <c r="D1277" s="132"/>
      <c r="G1277" s="661"/>
      <c r="I1277" s="125"/>
      <c r="J1277" s="674"/>
      <c r="K1277" s="471"/>
      <c r="L1277" s="678"/>
    </row>
    <row r="1278">
      <c r="D1278" s="132"/>
      <c r="G1278" s="661"/>
      <c r="I1278" s="125"/>
      <c r="J1278" s="674"/>
      <c r="K1278" s="471"/>
      <c r="L1278" s="678"/>
    </row>
    <row r="1279">
      <c r="D1279" s="132"/>
      <c r="G1279" s="661"/>
      <c r="I1279" s="125"/>
      <c r="J1279" s="674"/>
      <c r="K1279" s="471"/>
      <c r="L1279" s="678"/>
    </row>
    <row r="1280">
      <c r="D1280" s="149"/>
      <c r="G1280" s="661"/>
      <c r="I1280" s="125"/>
      <c r="J1280" s="674"/>
      <c r="K1280" s="471"/>
      <c r="L1280" s="678"/>
    </row>
    <row r="1281">
      <c r="D1281" s="132"/>
      <c r="G1281" s="661"/>
      <c r="I1281" s="125"/>
      <c r="J1281" s="674"/>
      <c r="K1281" s="471"/>
      <c r="L1281" s="678"/>
    </row>
    <row r="1282">
      <c r="D1282" s="132"/>
      <c r="G1282" s="661"/>
      <c r="I1282" s="125"/>
      <c r="J1282" s="674"/>
      <c r="K1282" s="471"/>
      <c r="L1282" s="678"/>
    </row>
    <row r="1283">
      <c r="G1283" s="661"/>
      <c r="I1283" s="125"/>
      <c r="J1283" s="674"/>
      <c r="K1283" s="471"/>
      <c r="L1283" s="678"/>
    </row>
    <row r="1284">
      <c r="D1284" s="132"/>
      <c r="G1284" s="661"/>
      <c r="I1284" s="125"/>
      <c r="J1284" s="674"/>
      <c r="K1284" s="471"/>
      <c r="L1284" s="678"/>
    </row>
    <row r="1285">
      <c r="D1285" s="132"/>
      <c r="G1285" s="661"/>
      <c r="I1285" s="125"/>
      <c r="J1285" s="674"/>
      <c r="K1285" s="471"/>
      <c r="L1285" s="678"/>
    </row>
    <row r="1286">
      <c r="D1286" s="132"/>
      <c r="G1286" s="661"/>
      <c r="I1286" s="125"/>
      <c r="J1286" s="674"/>
      <c r="K1286" s="471"/>
      <c r="L1286" s="678"/>
    </row>
    <row r="1287">
      <c r="D1287" s="132"/>
      <c r="G1287" s="661"/>
      <c r="I1287" s="125"/>
      <c r="J1287" s="674"/>
      <c r="K1287" s="471"/>
      <c r="L1287" s="678"/>
    </row>
    <row r="1288">
      <c r="D1288" s="132"/>
      <c r="G1288" s="661"/>
      <c r="I1288" s="125"/>
      <c r="J1288" s="674"/>
      <c r="K1288" s="471"/>
      <c r="L1288" s="678"/>
    </row>
    <row r="1289">
      <c r="D1289" s="132"/>
      <c r="G1289" s="661"/>
      <c r="I1289" s="125"/>
      <c r="J1289" s="674"/>
      <c r="K1289" s="471"/>
      <c r="L1289" s="678"/>
    </row>
    <row r="1290">
      <c r="D1290" s="132"/>
      <c r="G1290" s="661"/>
      <c r="I1290" s="125"/>
      <c r="J1290" s="674"/>
      <c r="K1290" s="471"/>
      <c r="L1290" s="678"/>
    </row>
    <row r="1291">
      <c r="D1291" s="132"/>
      <c r="G1291" s="661"/>
      <c r="I1291" s="125"/>
      <c r="J1291" s="674"/>
      <c r="K1291" s="471"/>
      <c r="L1291" s="678"/>
    </row>
    <row r="1292">
      <c r="D1292" s="132"/>
      <c r="G1292" s="661"/>
      <c r="I1292" s="125"/>
      <c r="J1292" s="674"/>
      <c r="K1292" s="471"/>
      <c r="L1292" s="678"/>
    </row>
    <row r="1293">
      <c r="D1293" s="132"/>
      <c r="G1293" s="661"/>
      <c r="I1293" s="125"/>
      <c r="J1293" s="674"/>
      <c r="K1293" s="471"/>
      <c r="L1293" s="678"/>
    </row>
    <row r="1294">
      <c r="D1294" s="132"/>
      <c r="G1294" s="661"/>
      <c r="I1294" s="125"/>
      <c r="J1294" s="674"/>
      <c r="K1294" s="471"/>
      <c r="L1294" s="678"/>
    </row>
    <row r="1295">
      <c r="G1295" s="661"/>
      <c r="I1295" s="125"/>
      <c r="J1295" s="674"/>
      <c r="K1295" s="471"/>
      <c r="L1295" s="678"/>
    </row>
    <row r="1296">
      <c r="D1296" s="149"/>
      <c r="G1296" s="661"/>
      <c r="I1296" s="125"/>
      <c r="J1296" s="674"/>
      <c r="K1296" s="471"/>
      <c r="L1296" s="678"/>
    </row>
    <row r="1297">
      <c r="D1297" s="139"/>
      <c r="G1297" s="661"/>
      <c r="I1297" s="125"/>
      <c r="J1297" s="674"/>
      <c r="K1297" s="471"/>
      <c r="L1297" s="678"/>
    </row>
    <row r="1298">
      <c r="D1298" s="145"/>
      <c r="G1298" s="661"/>
      <c r="I1298" s="125"/>
      <c r="J1298" s="674"/>
      <c r="K1298" s="471"/>
      <c r="L1298" s="678"/>
    </row>
    <row r="1299">
      <c r="D1299" s="124"/>
      <c r="G1299" s="661"/>
      <c r="I1299" s="125"/>
      <c r="J1299" s="674"/>
      <c r="K1299" s="471"/>
      <c r="L1299" s="678"/>
    </row>
    <row r="1300">
      <c r="D1300" s="124"/>
      <c r="G1300" s="661"/>
      <c r="I1300" s="125"/>
      <c r="J1300" s="674"/>
      <c r="K1300" s="471"/>
      <c r="L1300" s="678"/>
    </row>
    <row r="1301">
      <c r="D1301" s="132"/>
      <c r="G1301" s="661"/>
      <c r="I1301" s="125"/>
      <c r="J1301" s="674"/>
      <c r="K1301" s="471"/>
      <c r="L1301" s="678"/>
    </row>
    <row r="1302">
      <c r="D1302" s="132"/>
      <c r="G1302" s="661"/>
      <c r="I1302" s="125"/>
      <c r="J1302" s="674"/>
      <c r="K1302" s="471"/>
      <c r="L1302" s="678"/>
    </row>
    <row r="1303">
      <c r="G1303" s="661"/>
      <c r="I1303" s="125"/>
      <c r="J1303" s="674"/>
      <c r="K1303" s="471"/>
      <c r="L1303" s="678"/>
    </row>
    <row r="1304">
      <c r="D1304" s="132"/>
      <c r="G1304" s="661"/>
      <c r="I1304" s="125"/>
      <c r="J1304" s="674"/>
      <c r="K1304" s="471"/>
      <c r="L1304" s="678"/>
    </row>
    <row r="1305">
      <c r="D1305" s="132"/>
      <c r="G1305" s="661"/>
      <c r="I1305" s="125"/>
      <c r="J1305" s="674"/>
      <c r="K1305" s="471"/>
      <c r="L1305" s="678"/>
    </row>
    <row r="1306">
      <c r="D1306" s="132"/>
      <c r="G1306" s="661"/>
      <c r="I1306" s="125"/>
      <c r="J1306" s="674"/>
      <c r="K1306" s="471"/>
      <c r="L1306" s="678"/>
    </row>
    <row r="1307">
      <c r="D1307" s="132"/>
      <c r="G1307" s="661"/>
      <c r="I1307" s="125"/>
      <c r="J1307" s="674"/>
      <c r="K1307" s="471"/>
      <c r="L1307" s="678"/>
    </row>
    <row r="1308">
      <c r="D1308" s="132"/>
      <c r="G1308" s="661"/>
      <c r="I1308" s="125"/>
      <c r="J1308" s="674"/>
      <c r="K1308" s="471"/>
      <c r="L1308" s="678"/>
    </row>
    <row r="1309">
      <c r="G1309" s="661"/>
      <c r="I1309" s="125"/>
      <c r="J1309" s="674"/>
      <c r="K1309" s="471"/>
      <c r="L1309" s="678"/>
    </row>
    <row r="1310">
      <c r="D1310" s="132"/>
      <c r="G1310" s="661"/>
      <c r="I1310" s="125"/>
      <c r="J1310" s="674"/>
      <c r="K1310" s="471"/>
      <c r="L1310" s="678"/>
    </row>
    <row r="1311">
      <c r="G1311" s="661"/>
      <c r="I1311" s="125"/>
      <c r="J1311" s="674"/>
      <c r="K1311" s="471"/>
      <c r="L1311" s="678"/>
    </row>
    <row r="1312">
      <c r="G1312" s="661"/>
      <c r="I1312" s="125"/>
      <c r="J1312" s="674"/>
      <c r="K1312" s="471"/>
      <c r="L1312" s="678"/>
    </row>
    <row r="1313">
      <c r="G1313" s="661"/>
      <c r="I1313" s="125"/>
      <c r="J1313" s="674"/>
      <c r="K1313" s="471"/>
      <c r="L1313" s="678"/>
    </row>
    <row r="1314">
      <c r="D1314" s="132"/>
      <c r="G1314" s="661"/>
      <c r="I1314" s="125"/>
      <c r="J1314" s="674"/>
      <c r="K1314" s="471"/>
      <c r="L1314" s="678"/>
    </row>
    <row r="1315">
      <c r="D1315" s="132"/>
      <c r="G1315" s="661"/>
      <c r="I1315" s="125"/>
      <c r="J1315" s="674"/>
      <c r="K1315" s="471"/>
      <c r="L1315" s="678"/>
    </row>
    <row r="1316">
      <c r="G1316" s="661"/>
      <c r="I1316" s="125"/>
      <c r="J1316" s="674"/>
      <c r="K1316" s="471"/>
      <c r="L1316" s="678"/>
    </row>
    <row r="1317">
      <c r="D1317" s="132"/>
      <c r="G1317" s="661"/>
      <c r="I1317" s="125"/>
      <c r="J1317" s="674"/>
      <c r="K1317" s="471"/>
      <c r="L1317" s="678"/>
    </row>
    <row r="1318">
      <c r="D1318" s="132"/>
      <c r="G1318" s="661"/>
      <c r="I1318" s="125"/>
      <c r="J1318" s="674"/>
      <c r="K1318" s="471"/>
      <c r="L1318" s="678"/>
    </row>
    <row r="1319">
      <c r="D1319" s="132"/>
      <c r="G1319" s="661"/>
      <c r="I1319" s="125"/>
      <c r="J1319" s="674"/>
      <c r="K1319" s="471"/>
      <c r="L1319" s="678"/>
    </row>
    <row r="1320">
      <c r="D1320" s="132"/>
      <c r="G1320" s="661"/>
      <c r="I1320" s="125"/>
      <c r="J1320" s="674"/>
      <c r="K1320" s="471"/>
      <c r="L1320" s="678"/>
    </row>
    <row r="1321">
      <c r="D1321" s="132"/>
      <c r="G1321" s="661"/>
      <c r="I1321" s="125"/>
      <c r="J1321" s="674"/>
      <c r="K1321" s="471"/>
      <c r="L1321" s="678"/>
    </row>
    <row r="1322">
      <c r="D1322" s="149"/>
      <c r="G1322" s="661"/>
      <c r="I1322" s="125"/>
      <c r="J1322" s="674"/>
      <c r="K1322" s="471"/>
      <c r="L1322" s="678"/>
    </row>
    <row r="1323">
      <c r="D1323" s="132"/>
      <c r="G1323" s="661"/>
      <c r="I1323" s="125"/>
      <c r="J1323" s="674"/>
      <c r="K1323" s="471"/>
      <c r="L1323" s="678"/>
    </row>
    <row r="1324">
      <c r="D1324" s="132"/>
      <c r="G1324" s="661"/>
      <c r="I1324" s="125"/>
      <c r="J1324" s="674"/>
      <c r="K1324" s="471"/>
      <c r="L1324" s="678"/>
    </row>
    <row r="1325">
      <c r="G1325" s="661"/>
      <c r="I1325" s="125"/>
      <c r="J1325" s="674"/>
      <c r="K1325" s="471"/>
      <c r="L1325" s="678"/>
    </row>
    <row r="1326">
      <c r="D1326" s="132"/>
      <c r="G1326" s="661"/>
      <c r="I1326" s="125"/>
      <c r="J1326" s="674"/>
      <c r="K1326" s="471"/>
      <c r="L1326" s="678"/>
    </row>
    <row r="1327">
      <c r="D1327" s="132"/>
      <c r="G1327" s="661"/>
      <c r="I1327" s="125"/>
      <c r="J1327" s="674"/>
      <c r="K1327" s="471"/>
      <c r="L1327" s="678"/>
    </row>
    <row r="1328">
      <c r="D1328" s="132"/>
      <c r="G1328" s="661"/>
      <c r="I1328" s="125"/>
      <c r="J1328" s="674"/>
      <c r="K1328" s="471"/>
      <c r="L1328" s="678"/>
    </row>
    <row r="1329">
      <c r="D1329" s="132"/>
      <c r="G1329" s="661"/>
      <c r="I1329" s="125"/>
      <c r="J1329" s="674"/>
      <c r="K1329" s="471"/>
      <c r="L1329" s="678"/>
    </row>
    <row r="1330">
      <c r="D1330" s="132"/>
      <c r="G1330" s="661"/>
      <c r="I1330" s="125"/>
      <c r="J1330" s="674"/>
      <c r="K1330" s="471"/>
      <c r="L1330" s="678"/>
    </row>
    <row r="1331">
      <c r="D1331" s="132"/>
      <c r="G1331" s="661"/>
      <c r="I1331" s="125"/>
      <c r="J1331" s="674"/>
      <c r="K1331" s="471"/>
      <c r="L1331" s="678"/>
    </row>
    <row r="1332">
      <c r="D1332" s="132"/>
      <c r="G1332" s="661"/>
      <c r="I1332" s="125"/>
      <c r="J1332" s="674"/>
      <c r="K1332" s="471"/>
      <c r="L1332" s="678"/>
    </row>
    <row r="1333">
      <c r="D1333" s="132"/>
      <c r="G1333" s="661"/>
      <c r="I1333" s="125"/>
      <c r="J1333" s="674"/>
      <c r="K1333" s="471"/>
      <c r="L1333" s="678"/>
    </row>
    <row r="1334">
      <c r="D1334" s="132"/>
      <c r="G1334" s="661"/>
      <c r="I1334" s="125"/>
      <c r="J1334" s="674"/>
      <c r="K1334" s="471"/>
      <c r="L1334" s="678"/>
    </row>
    <row r="1335">
      <c r="D1335" s="149"/>
      <c r="G1335" s="661"/>
      <c r="I1335" s="125"/>
      <c r="J1335" s="674"/>
      <c r="K1335" s="471"/>
      <c r="L1335" s="678"/>
    </row>
    <row r="1336">
      <c r="D1336" s="132"/>
      <c r="G1336" s="661"/>
      <c r="I1336" s="125"/>
      <c r="J1336" s="674"/>
      <c r="K1336" s="471"/>
      <c r="L1336" s="678"/>
    </row>
    <row r="1337">
      <c r="D1337" s="132"/>
      <c r="G1337" s="661"/>
      <c r="I1337" s="125"/>
      <c r="J1337" s="674"/>
      <c r="K1337" s="471"/>
      <c r="L1337" s="678"/>
    </row>
    <row r="1338">
      <c r="D1338" s="132"/>
      <c r="G1338" s="661"/>
      <c r="I1338" s="125"/>
      <c r="J1338" s="674"/>
      <c r="K1338" s="471"/>
      <c r="L1338" s="678"/>
    </row>
    <row r="1339">
      <c r="D1339" s="132"/>
      <c r="G1339" s="661"/>
      <c r="I1339" s="125"/>
      <c r="J1339" s="674"/>
      <c r="K1339" s="471"/>
      <c r="L1339" s="678"/>
    </row>
    <row r="1340">
      <c r="D1340" s="132"/>
      <c r="G1340" s="661"/>
      <c r="I1340" s="125"/>
      <c r="J1340" s="674"/>
      <c r="K1340" s="471"/>
      <c r="L1340" s="678"/>
    </row>
    <row r="1341">
      <c r="D1341" s="132"/>
      <c r="G1341" s="661"/>
      <c r="I1341" s="125"/>
      <c r="J1341" s="674"/>
      <c r="K1341" s="471"/>
      <c r="L1341" s="678"/>
    </row>
    <row r="1342">
      <c r="G1342" s="661"/>
      <c r="I1342" s="125"/>
      <c r="J1342" s="674"/>
      <c r="K1342" s="471"/>
      <c r="L1342" s="678"/>
    </row>
    <row r="1343">
      <c r="D1343" s="149"/>
      <c r="G1343" s="661"/>
      <c r="I1343" s="125"/>
      <c r="J1343" s="674"/>
      <c r="K1343" s="471"/>
      <c r="L1343" s="678"/>
    </row>
    <row r="1344">
      <c r="G1344" s="661"/>
      <c r="I1344" s="125"/>
      <c r="J1344" s="674"/>
      <c r="K1344" s="471"/>
      <c r="L1344" s="678"/>
    </row>
    <row r="1345">
      <c r="D1345" s="132"/>
      <c r="G1345" s="661"/>
      <c r="I1345" s="125"/>
      <c r="J1345" s="674"/>
      <c r="K1345" s="471"/>
      <c r="L1345" s="678"/>
    </row>
    <row r="1346">
      <c r="D1346" s="132"/>
      <c r="G1346" s="661"/>
      <c r="I1346" s="125"/>
      <c r="J1346" s="674"/>
      <c r="K1346" s="471"/>
      <c r="L1346" s="678"/>
    </row>
    <row r="1347">
      <c r="D1347" s="132"/>
      <c r="G1347" s="661"/>
      <c r="I1347" s="125"/>
      <c r="J1347" s="674"/>
      <c r="K1347" s="471"/>
      <c r="L1347" s="678"/>
    </row>
    <row r="1348">
      <c r="D1348" s="132"/>
      <c r="G1348" s="661"/>
      <c r="I1348" s="125"/>
      <c r="J1348" s="674"/>
      <c r="K1348" s="471"/>
      <c r="L1348" s="678"/>
    </row>
    <row r="1349">
      <c r="D1349" s="132"/>
      <c r="G1349" s="661"/>
      <c r="I1349" s="125"/>
      <c r="J1349" s="674"/>
      <c r="K1349" s="471"/>
      <c r="L1349" s="678"/>
    </row>
    <row r="1350">
      <c r="D1350" s="132"/>
      <c r="G1350" s="661"/>
      <c r="I1350" s="125"/>
      <c r="J1350" s="674"/>
      <c r="K1350" s="471"/>
      <c r="L1350" s="678"/>
    </row>
    <row r="1351">
      <c r="D1351" s="132"/>
      <c r="G1351" s="661"/>
      <c r="I1351" s="125"/>
      <c r="J1351" s="674"/>
      <c r="K1351" s="471"/>
      <c r="L1351" s="678"/>
    </row>
    <row r="1352">
      <c r="D1352" s="132"/>
      <c r="G1352" s="661"/>
      <c r="I1352" s="125"/>
      <c r="J1352" s="674"/>
      <c r="K1352" s="471"/>
      <c r="L1352" s="678"/>
    </row>
    <row r="1353">
      <c r="D1353" s="132"/>
      <c r="G1353" s="661"/>
      <c r="I1353" s="125"/>
      <c r="J1353" s="674"/>
      <c r="K1353" s="471"/>
      <c r="L1353" s="678"/>
    </row>
    <row r="1354">
      <c r="D1354" s="132"/>
      <c r="G1354" s="661"/>
      <c r="I1354" s="125"/>
      <c r="J1354" s="674"/>
      <c r="K1354" s="471"/>
      <c r="L1354" s="678"/>
    </row>
    <row r="1355">
      <c r="D1355" s="132"/>
      <c r="G1355" s="661"/>
      <c r="I1355" s="125"/>
      <c r="J1355" s="674"/>
      <c r="K1355" s="471"/>
      <c r="L1355" s="678"/>
    </row>
    <row r="1356">
      <c r="D1356" s="149"/>
      <c r="G1356" s="661"/>
      <c r="I1356" s="125"/>
      <c r="J1356" s="674"/>
      <c r="K1356" s="471"/>
      <c r="L1356" s="678"/>
    </row>
    <row r="1357">
      <c r="D1357" s="132"/>
      <c r="G1357" s="661"/>
      <c r="I1357" s="125"/>
      <c r="J1357" s="674"/>
      <c r="K1357" s="471"/>
      <c r="L1357" s="678"/>
    </row>
    <row r="1358">
      <c r="D1358" s="132"/>
      <c r="G1358" s="661"/>
      <c r="I1358" s="125"/>
      <c r="J1358" s="674"/>
      <c r="K1358" s="471"/>
      <c r="L1358" s="678"/>
    </row>
    <row r="1359">
      <c r="G1359" s="661"/>
      <c r="I1359" s="125"/>
      <c r="J1359" s="674"/>
      <c r="K1359" s="471"/>
      <c r="L1359" s="678"/>
    </row>
    <row r="1360">
      <c r="D1360" s="132"/>
      <c r="G1360" s="661"/>
      <c r="I1360" s="125"/>
      <c r="J1360" s="674"/>
      <c r="K1360" s="471"/>
      <c r="L1360" s="678"/>
    </row>
    <row r="1361">
      <c r="D1361" s="132"/>
      <c r="G1361" s="661"/>
      <c r="I1361" s="125"/>
      <c r="J1361" s="674"/>
      <c r="K1361" s="471"/>
      <c r="L1361" s="678"/>
    </row>
    <row r="1362">
      <c r="D1362" s="132"/>
      <c r="G1362" s="661"/>
      <c r="I1362" s="125"/>
      <c r="J1362" s="674"/>
      <c r="K1362" s="471"/>
      <c r="L1362" s="678"/>
    </row>
    <row r="1363">
      <c r="D1363" s="132"/>
      <c r="G1363" s="661"/>
      <c r="I1363" s="125"/>
      <c r="J1363" s="674"/>
      <c r="K1363" s="471"/>
      <c r="L1363" s="678"/>
    </row>
    <row r="1364">
      <c r="D1364" s="132"/>
      <c r="G1364" s="661"/>
      <c r="I1364" s="125"/>
      <c r="J1364" s="674"/>
      <c r="K1364" s="471"/>
      <c r="L1364" s="678"/>
    </row>
    <row r="1365">
      <c r="D1365" s="132"/>
      <c r="G1365" s="661"/>
      <c r="I1365" s="125"/>
      <c r="J1365" s="674"/>
      <c r="K1365" s="471"/>
      <c r="L1365" s="678"/>
    </row>
    <row r="1366">
      <c r="D1366" s="132"/>
      <c r="G1366" s="661"/>
      <c r="I1366" s="125"/>
      <c r="J1366" s="674"/>
      <c r="K1366" s="471"/>
      <c r="L1366" s="678"/>
    </row>
    <row r="1367">
      <c r="D1367" s="132"/>
      <c r="G1367" s="661"/>
      <c r="I1367" s="125"/>
      <c r="J1367" s="674"/>
      <c r="K1367" s="471"/>
      <c r="L1367" s="678"/>
    </row>
    <row r="1368">
      <c r="D1368" s="132"/>
      <c r="G1368" s="661"/>
      <c r="I1368" s="125"/>
      <c r="J1368" s="674"/>
      <c r="K1368" s="471"/>
      <c r="L1368" s="678"/>
    </row>
    <row r="1369">
      <c r="D1369" s="132"/>
      <c r="G1369" s="661"/>
      <c r="I1369" s="125"/>
      <c r="J1369" s="674"/>
      <c r="K1369" s="471"/>
      <c r="L1369" s="678"/>
    </row>
    <row r="1370">
      <c r="D1370" s="132"/>
      <c r="G1370" s="661"/>
      <c r="I1370" s="125"/>
      <c r="J1370" s="674"/>
      <c r="K1370" s="471"/>
      <c r="L1370" s="678"/>
    </row>
    <row r="1371">
      <c r="D1371" s="132"/>
      <c r="G1371" s="661"/>
      <c r="I1371" s="125"/>
      <c r="J1371" s="674"/>
      <c r="K1371" s="471"/>
      <c r="L1371" s="678"/>
    </row>
    <row r="1372">
      <c r="G1372" s="661"/>
      <c r="I1372" s="125"/>
      <c r="J1372" s="674"/>
      <c r="K1372" s="471"/>
      <c r="L1372" s="678"/>
    </row>
    <row r="1373">
      <c r="D1373" s="132"/>
      <c r="G1373" s="661"/>
      <c r="I1373" s="125"/>
      <c r="J1373" s="674"/>
      <c r="K1373" s="471"/>
      <c r="L1373" s="678"/>
    </row>
    <row r="1374">
      <c r="D1374" s="132"/>
      <c r="G1374" s="661"/>
      <c r="I1374" s="125"/>
      <c r="J1374" s="674"/>
      <c r="K1374" s="471"/>
      <c r="L1374" s="678"/>
    </row>
    <row r="1375">
      <c r="D1375" s="132"/>
      <c r="G1375" s="661"/>
      <c r="I1375" s="125"/>
      <c r="J1375" s="674"/>
      <c r="K1375" s="471"/>
      <c r="L1375" s="678"/>
    </row>
    <row r="1376">
      <c r="D1376" s="132"/>
      <c r="G1376" s="661"/>
      <c r="I1376" s="125"/>
      <c r="J1376" s="674"/>
      <c r="K1376" s="471"/>
      <c r="L1376" s="678"/>
    </row>
    <row r="1377">
      <c r="D1377" s="132"/>
      <c r="G1377" s="661"/>
      <c r="I1377" s="125"/>
      <c r="J1377" s="674"/>
      <c r="K1377" s="471"/>
      <c r="L1377" s="678"/>
    </row>
    <row r="1378">
      <c r="D1378" s="132"/>
      <c r="G1378" s="661"/>
      <c r="I1378" s="125"/>
      <c r="J1378" s="674"/>
      <c r="K1378" s="471"/>
      <c r="L1378" s="678"/>
    </row>
    <row r="1379">
      <c r="D1379" s="132"/>
      <c r="G1379" s="661"/>
      <c r="I1379" s="125"/>
      <c r="J1379" s="674"/>
      <c r="K1379" s="471"/>
      <c r="L1379" s="678"/>
    </row>
    <row r="1380">
      <c r="D1380" s="132"/>
      <c r="G1380" s="661"/>
      <c r="I1380" s="125"/>
      <c r="J1380" s="674"/>
      <c r="K1380" s="471"/>
      <c r="L1380" s="678"/>
    </row>
    <row r="1381">
      <c r="D1381" s="132"/>
      <c r="G1381" s="661"/>
      <c r="I1381" s="125"/>
      <c r="J1381" s="674"/>
      <c r="K1381" s="471"/>
      <c r="L1381" s="678"/>
    </row>
    <row r="1382">
      <c r="D1382" s="132"/>
      <c r="G1382" s="661"/>
      <c r="I1382" s="125"/>
      <c r="J1382" s="674"/>
      <c r="K1382" s="471"/>
      <c r="L1382" s="678"/>
    </row>
    <row r="1383">
      <c r="D1383" s="132"/>
      <c r="G1383" s="661"/>
      <c r="I1383" s="125"/>
      <c r="J1383" s="674"/>
      <c r="K1383" s="471"/>
      <c r="L1383" s="678"/>
    </row>
    <row r="1384">
      <c r="D1384" s="132"/>
      <c r="G1384" s="661"/>
      <c r="I1384" s="125"/>
      <c r="J1384" s="674"/>
      <c r="K1384" s="471"/>
      <c r="L1384" s="678"/>
    </row>
    <row r="1385">
      <c r="D1385" s="132"/>
      <c r="G1385" s="661"/>
      <c r="I1385" s="125"/>
      <c r="J1385" s="674"/>
      <c r="K1385" s="471"/>
      <c r="L1385" s="678"/>
    </row>
    <row r="1386">
      <c r="G1386" s="661"/>
      <c r="I1386" s="125"/>
      <c r="J1386" s="674"/>
      <c r="K1386" s="471"/>
      <c r="L1386" s="678"/>
    </row>
    <row r="1387">
      <c r="D1387" s="132"/>
      <c r="G1387" s="661"/>
      <c r="I1387" s="125"/>
      <c r="J1387" s="674"/>
      <c r="K1387" s="471"/>
      <c r="L1387" s="678"/>
    </row>
    <row r="1388">
      <c r="D1388" s="132"/>
      <c r="G1388" s="661"/>
      <c r="I1388" s="125"/>
      <c r="J1388" s="674"/>
      <c r="K1388" s="471"/>
      <c r="L1388" s="678"/>
    </row>
    <row r="1389">
      <c r="D1389" s="132"/>
      <c r="G1389" s="661"/>
      <c r="I1389" s="125"/>
      <c r="J1389" s="674"/>
      <c r="K1389" s="471"/>
      <c r="L1389" s="678"/>
    </row>
    <row r="1390">
      <c r="D1390" s="132"/>
      <c r="G1390" s="661"/>
      <c r="I1390" s="125"/>
      <c r="J1390" s="674"/>
      <c r="K1390" s="471"/>
      <c r="L1390" s="678"/>
    </row>
    <row r="1391">
      <c r="D1391" s="132"/>
      <c r="G1391" s="661"/>
      <c r="I1391" s="125"/>
      <c r="J1391" s="674"/>
      <c r="K1391" s="471"/>
      <c r="L1391" s="678"/>
    </row>
    <row r="1392">
      <c r="D1392" s="132"/>
      <c r="G1392" s="661"/>
      <c r="I1392" s="125"/>
      <c r="J1392" s="674"/>
      <c r="K1392" s="471"/>
      <c r="L1392" s="678"/>
    </row>
    <row r="1393">
      <c r="D1393" s="132"/>
      <c r="G1393" s="661"/>
      <c r="I1393" s="125"/>
      <c r="J1393" s="674"/>
      <c r="K1393" s="471"/>
      <c r="L1393" s="678"/>
    </row>
    <row r="1394">
      <c r="D1394" s="132"/>
      <c r="G1394" s="661"/>
      <c r="I1394" s="125"/>
      <c r="J1394" s="674"/>
      <c r="K1394" s="471"/>
      <c r="L1394" s="678"/>
    </row>
    <row r="1395">
      <c r="D1395" s="132"/>
      <c r="G1395" s="661"/>
      <c r="I1395" s="125"/>
      <c r="J1395" s="674"/>
      <c r="K1395" s="471"/>
      <c r="L1395" s="678"/>
    </row>
    <row r="1396">
      <c r="G1396" s="661"/>
      <c r="I1396" s="125"/>
      <c r="J1396" s="674"/>
      <c r="K1396" s="471"/>
      <c r="L1396" s="678"/>
    </row>
    <row r="1397">
      <c r="G1397" s="661"/>
      <c r="I1397" s="125"/>
      <c r="J1397" s="674"/>
      <c r="K1397" s="471"/>
      <c r="L1397" s="678"/>
    </row>
    <row r="1398">
      <c r="D1398" s="149"/>
      <c r="G1398" s="661"/>
      <c r="I1398" s="125"/>
      <c r="J1398" s="674"/>
      <c r="K1398" s="471"/>
      <c r="L1398" s="678"/>
    </row>
    <row r="1399">
      <c r="D1399" s="132"/>
      <c r="G1399" s="661"/>
      <c r="I1399" s="125"/>
      <c r="J1399" s="674"/>
      <c r="K1399" s="471"/>
      <c r="L1399" s="678"/>
    </row>
    <row r="1400">
      <c r="D1400" s="132"/>
      <c r="G1400" s="661"/>
      <c r="I1400" s="125"/>
      <c r="J1400" s="674"/>
      <c r="K1400" s="471"/>
      <c r="L1400" s="678"/>
    </row>
    <row r="1401">
      <c r="D1401" s="132"/>
      <c r="G1401" s="661"/>
      <c r="I1401" s="125"/>
      <c r="J1401" s="674"/>
      <c r="K1401" s="471"/>
      <c r="L1401" s="678"/>
    </row>
    <row r="1402">
      <c r="G1402" s="661"/>
      <c r="I1402" s="125"/>
      <c r="J1402" s="674"/>
      <c r="K1402" s="471"/>
      <c r="L1402" s="678"/>
    </row>
    <row r="1403">
      <c r="G1403" s="661"/>
      <c r="I1403" s="125"/>
      <c r="J1403" s="674"/>
      <c r="K1403" s="471"/>
      <c r="L1403" s="678"/>
    </row>
    <row r="1404">
      <c r="D1404" s="132"/>
      <c r="G1404" s="661"/>
      <c r="I1404" s="125"/>
      <c r="J1404" s="674"/>
      <c r="K1404" s="471"/>
      <c r="L1404" s="678"/>
    </row>
    <row r="1405">
      <c r="D1405" s="132"/>
      <c r="G1405" s="661"/>
      <c r="I1405" s="125"/>
      <c r="J1405" s="674"/>
      <c r="K1405" s="471"/>
      <c r="L1405" s="678"/>
    </row>
    <row r="1406">
      <c r="D1406" s="132"/>
      <c r="G1406" s="661"/>
      <c r="I1406" s="125"/>
      <c r="J1406" s="674"/>
      <c r="K1406" s="471"/>
      <c r="L1406" s="678"/>
    </row>
    <row r="1407">
      <c r="D1407" s="132"/>
      <c r="G1407" s="661"/>
      <c r="I1407" s="125"/>
      <c r="J1407" s="674"/>
      <c r="K1407" s="471"/>
      <c r="L1407" s="678"/>
    </row>
    <row r="1408">
      <c r="D1408" s="132"/>
      <c r="G1408" s="661"/>
      <c r="I1408" s="125"/>
      <c r="J1408" s="674"/>
      <c r="K1408" s="471"/>
      <c r="L1408" s="678"/>
    </row>
    <row r="1409">
      <c r="D1409" s="132"/>
      <c r="G1409" s="661"/>
      <c r="I1409" s="125"/>
      <c r="J1409" s="674"/>
      <c r="K1409" s="471"/>
      <c r="L1409" s="678"/>
    </row>
    <row r="1410">
      <c r="D1410" s="132"/>
      <c r="G1410" s="661"/>
      <c r="I1410" s="125"/>
      <c r="J1410" s="674"/>
      <c r="K1410" s="471"/>
      <c r="L1410" s="678"/>
    </row>
    <row r="1411">
      <c r="D1411" s="132"/>
      <c r="G1411" s="661"/>
      <c r="I1411" s="125"/>
      <c r="J1411" s="674"/>
      <c r="K1411" s="471"/>
      <c r="L1411" s="678"/>
    </row>
    <row r="1412">
      <c r="D1412" s="132"/>
      <c r="G1412" s="661"/>
      <c r="I1412" s="125"/>
      <c r="J1412" s="674"/>
      <c r="K1412" s="471"/>
      <c r="L1412" s="678"/>
    </row>
    <row r="1413">
      <c r="D1413" s="132"/>
      <c r="G1413" s="661"/>
      <c r="I1413" s="125"/>
      <c r="J1413" s="674"/>
      <c r="K1413" s="471"/>
      <c r="L1413" s="678"/>
    </row>
    <row r="1414">
      <c r="D1414" s="132"/>
      <c r="G1414" s="661"/>
      <c r="I1414" s="125"/>
      <c r="J1414" s="674"/>
      <c r="K1414" s="471"/>
      <c r="L1414" s="678"/>
    </row>
    <row r="1415">
      <c r="D1415" s="132"/>
      <c r="G1415" s="661"/>
      <c r="I1415" s="125"/>
      <c r="J1415" s="674"/>
      <c r="K1415" s="471"/>
      <c r="L1415" s="678"/>
    </row>
    <row r="1416">
      <c r="D1416" s="132"/>
      <c r="G1416" s="661"/>
      <c r="I1416" s="125"/>
      <c r="J1416" s="674"/>
      <c r="K1416" s="471"/>
      <c r="L1416" s="678"/>
    </row>
    <row r="1417">
      <c r="D1417" s="149"/>
      <c r="G1417" s="661"/>
      <c r="I1417" s="125"/>
      <c r="J1417" s="674"/>
      <c r="K1417" s="471"/>
      <c r="L1417" s="678"/>
    </row>
    <row r="1418">
      <c r="G1418" s="661"/>
      <c r="I1418" s="125"/>
      <c r="J1418" s="674"/>
      <c r="K1418" s="471"/>
      <c r="L1418" s="678"/>
    </row>
    <row r="1419">
      <c r="D1419" s="132"/>
      <c r="G1419" s="661"/>
      <c r="I1419" s="125"/>
      <c r="J1419" s="674"/>
      <c r="K1419" s="471"/>
      <c r="L1419" s="678"/>
    </row>
    <row r="1420">
      <c r="D1420" s="132"/>
      <c r="G1420" s="661"/>
      <c r="I1420" s="125"/>
      <c r="J1420" s="674"/>
      <c r="K1420" s="471"/>
      <c r="L1420" s="678"/>
    </row>
    <row r="1421">
      <c r="D1421" s="132"/>
      <c r="G1421" s="661"/>
      <c r="I1421" s="125"/>
      <c r="J1421" s="674"/>
      <c r="K1421" s="471"/>
      <c r="L1421" s="678"/>
    </row>
    <row r="1422">
      <c r="D1422" s="132"/>
      <c r="G1422" s="661"/>
      <c r="I1422" s="125"/>
      <c r="J1422" s="674"/>
      <c r="K1422" s="471"/>
      <c r="L1422" s="678"/>
    </row>
    <row r="1423">
      <c r="D1423" s="132"/>
      <c r="G1423" s="661"/>
      <c r="I1423" s="125"/>
      <c r="J1423" s="674"/>
      <c r="K1423" s="471"/>
      <c r="L1423" s="678"/>
    </row>
    <row r="1424">
      <c r="D1424" s="132"/>
      <c r="G1424" s="661"/>
      <c r="I1424" s="125"/>
      <c r="J1424" s="674"/>
      <c r="K1424" s="471"/>
      <c r="L1424" s="678"/>
    </row>
    <row r="1425">
      <c r="D1425" s="132"/>
      <c r="G1425" s="661"/>
      <c r="I1425" s="125"/>
      <c r="J1425" s="674"/>
      <c r="K1425" s="471"/>
      <c r="L1425" s="678"/>
    </row>
    <row r="1426">
      <c r="D1426" s="132"/>
      <c r="G1426" s="661"/>
      <c r="I1426" s="125"/>
      <c r="J1426" s="674"/>
      <c r="K1426" s="471"/>
      <c r="L1426" s="678"/>
    </row>
    <row r="1427">
      <c r="D1427" s="132"/>
      <c r="G1427" s="661"/>
      <c r="I1427" s="125"/>
      <c r="J1427" s="674"/>
      <c r="K1427" s="471"/>
      <c r="L1427" s="678"/>
    </row>
    <row r="1428">
      <c r="D1428" s="132"/>
      <c r="G1428" s="661"/>
      <c r="I1428" s="125"/>
      <c r="J1428" s="674"/>
      <c r="K1428" s="471"/>
      <c r="L1428" s="678"/>
    </row>
    <row r="1429">
      <c r="D1429" s="132"/>
      <c r="G1429" s="661"/>
      <c r="I1429" s="125"/>
      <c r="J1429" s="674"/>
      <c r="K1429" s="471"/>
      <c r="L1429" s="678"/>
    </row>
    <row r="1430">
      <c r="G1430" s="661"/>
      <c r="I1430" s="125"/>
      <c r="J1430" s="674"/>
      <c r="K1430" s="471"/>
      <c r="L1430" s="678"/>
    </row>
    <row r="1431">
      <c r="D1431" s="132"/>
      <c r="G1431" s="661"/>
      <c r="I1431" s="125"/>
      <c r="J1431" s="674"/>
      <c r="K1431" s="471"/>
      <c r="L1431" s="678"/>
    </row>
    <row r="1432">
      <c r="D1432" s="132"/>
      <c r="G1432" s="661"/>
      <c r="I1432" s="125"/>
      <c r="J1432" s="674"/>
      <c r="K1432" s="471"/>
      <c r="L1432" s="678"/>
    </row>
    <row r="1433">
      <c r="D1433" s="132"/>
      <c r="G1433" s="661"/>
      <c r="I1433" s="125"/>
      <c r="J1433" s="674"/>
      <c r="K1433" s="471"/>
      <c r="L1433" s="678"/>
    </row>
    <row r="1434">
      <c r="D1434" s="132"/>
      <c r="G1434" s="661"/>
      <c r="I1434" s="125"/>
      <c r="J1434" s="674"/>
      <c r="K1434" s="471"/>
      <c r="L1434" s="678"/>
    </row>
    <row r="1435">
      <c r="D1435" s="132"/>
      <c r="G1435" s="661"/>
      <c r="I1435" s="125"/>
      <c r="J1435" s="674"/>
      <c r="K1435" s="471"/>
      <c r="L1435" s="678"/>
    </row>
    <row r="1436">
      <c r="D1436" s="132"/>
      <c r="G1436" s="661"/>
      <c r="I1436" s="125"/>
      <c r="J1436" s="674"/>
      <c r="K1436" s="471"/>
      <c r="L1436" s="678"/>
    </row>
    <row r="1437">
      <c r="D1437" s="149"/>
      <c r="G1437" s="661"/>
      <c r="I1437" s="125"/>
      <c r="J1437" s="674"/>
      <c r="K1437" s="471"/>
      <c r="L1437" s="678"/>
    </row>
    <row r="1438">
      <c r="D1438" s="132"/>
      <c r="G1438" s="661"/>
      <c r="I1438" s="125"/>
      <c r="J1438" s="674"/>
      <c r="K1438" s="471"/>
      <c r="L1438" s="678"/>
    </row>
    <row r="1439">
      <c r="D1439" s="132"/>
      <c r="G1439" s="661"/>
      <c r="I1439" s="125"/>
      <c r="J1439" s="674"/>
      <c r="K1439" s="471"/>
      <c r="L1439" s="678"/>
    </row>
    <row r="1440">
      <c r="G1440" s="661"/>
      <c r="I1440" s="125"/>
      <c r="J1440" s="674"/>
      <c r="K1440" s="471"/>
      <c r="L1440" s="678"/>
    </row>
    <row r="1441">
      <c r="D1441" s="132"/>
      <c r="G1441" s="661"/>
      <c r="I1441" s="125"/>
      <c r="J1441" s="674"/>
      <c r="K1441" s="471"/>
      <c r="L1441" s="678"/>
    </row>
    <row r="1442">
      <c r="D1442" s="132"/>
      <c r="G1442" s="661"/>
      <c r="I1442" s="125"/>
      <c r="J1442" s="674"/>
      <c r="K1442" s="471"/>
      <c r="L1442" s="678"/>
    </row>
    <row r="1443">
      <c r="D1443" s="132"/>
      <c r="G1443" s="661"/>
      <c r="I1443" s="125"/>
      <c r="J1443" s="674"/>
      <c r="K1443" s="471"/>
      <c r="L1443" s="678"/>
    </row>
    <row r="1444">
      <c r="D1444" s="132"/>
      <c r="G1444" s="661"/>
      <c r="I1444" s="125"/>
      <c r="J1444" s="674"/>
      <c r="K1444" s="471"/>
      <c r="L1444" s="678"/>
    </row>
    <row r="1445">
      <c r="D1445" s="132"/>
      <c r="G1445" s="661"/>
      <c r="I1445" s="125"/>
      <c r="J1445" s="674"/>
      <c r="K1445" s="471"/>
      <c r="L1445" s="678"/>
    </row>
    <row r="1446">
      <c r="D1446" s="132"/>
      <c r="G1446" s="661"/>
      <c r="I1446" s="125"/>
      <c r="J1446" s="674"/>
      <c r="K1446" s="471"/>
      <c r="L1446" s="678"/>
    </row>
    <row r="1447">
      <c r="D1447" s="132"/>
      <c r="G1447" s="661"/>
      <c r="I1447" s="125"/>
      <c r="J1447" s="674"/>
      <c r="K1447" s="471"/>
      <c r="L1447" s="678"/>
    </row>
    <row r="1448">
      <c r="D1448" s="132"/>
      <c r="G1448" s="661"/>
      <c r="I1448" s="125"/>
      <c r="J1448" s="674"/>
      <c r="K1448" s="471"/>
      <c r="L1448" s="678"/>
    </row>
    <row r="1449">
      <c r="D1449" s="132"/>
      <c r="G1449" s="661"/>
      <c r="I1449" s="125"/>
      <c r="J1449" s="674"/>
      <c r="K1449" s="471"/>
      <c r="L1449" s="678"/>
    </row>
    <row r="1450">
      <c r="G1450" s="661"/>
      <c r="I1450" s="125"/>
      <c r="J1450" s="674"/>
      <c r="K1450" s="471"/>
      <c r="L1450" s="678"/>
    </row>
    <row r="1451">
      <c r="D1451" s="132"/>
      <c r="G1451" s="661"/>
      <c r="I1451" s="125"/>
      <c r="J1451" s="674"/>
      <c r="K1451" s="471"/>
      <c r="L1451" s="678"/>
    </row>
    <row r="1452">
      <c r="D1452" s="132"/>
      <c r="G1452" s="661"/>
      <c r="I1452" s="125"/>
      <c r="J1452" s="674"/>
      <c r="K1452" s="471"/>
      <c r="L1452" s="678"/>
    </row>
    <row r="1453">
      <c r="D1453" s="132"/>
      <c r="G1453" s="661"/>
      <c r="I1453" s="125"/>
      <c r="J1453" s="674"/>
      <c r="K1453" s="471"/>
      <c r="L1453" s="678"/>
    </row>
    <row r="1454">
      <c r="D1454" s="132"/>
      <c r="G1454" s="661"/>
      <c r="I1454" s="125"/>
      <c r="J1454" s="674"/>
      <c r="K1454" s="471"/>
      <c r="L1454" s="678"/>
    </row>
    <row r="1455">
      <c r="D1455" s="132"/>
      <c r="G1455" s="661"/>
      <c r="I1455" s="125"/>
      <c r="J1455" s="674"/>
      <c r="K1455" s="471"/>
      <c r="L1455" s="678"/>
    </row>
    <row r="1456">
      <c r="D1456" s="132"/>
      <c r="G1456" s="661"/>
      <c r="I1456" s="125"/>
      <c r="J1456" s="674"/>
      <c r="K1456" s="471"/>
      <c r="L1456" s="678"/>
    </row>
    <row r="1457">
      <c r="D1457" s="132"/>
      <c r="G1457" s="661"/>
      <c r="I1457" s="125"/>
      <c r="J1457" s="674"/>
      <c r="K1457" s="471"/>
      <c r="L1457" s="678"/>
    </row>
    <row r="1458">
      <c r="G1458" s="661"/>
      <c r="I1458" s="125"/>
      <c r="J1458" s="674"/>
      <c r="K1458" s="471"/>
      <c r="L1458" s="678"/>
    </row>
    <row r="1459">
      <c r="G1459" s="661"/>
      <c r="I1459" s="125"/>
      <c r="J1459" s="674"/>
      <c r="K1459" s="471"/>
      <c r="L1459" s="678"/>
    </row>
    <row r="1460">
      <c r="D1460" s="134"/>
      <c r="G1460" s="661"/>
      <c r="I1460" s="125"/>
      <c r="J1460" s="674"/>
      <c r="K1460" s="471"/>
      <c r="L1460" s="678"/>
    </row>
    <row r="1461">
      <c r="D1461" s="124"/>
      <c r="G1461" s="661"/>
      <c r="I1461" s="125"/>
      <c r="J1461" s="674"/>
      <c r="K1461" s="471"/>
      <c r="L1461" s="678"/>
    </row>
    <row r="1462">
      <c r="D1462" s="124"/>
      <c r="G1462" s="661"/>
      <c r="I1462" s="125"/>
      <c r="J1462" s="674"/>
      <c r="K1462" s="471"/>
      <c r="L1462" s="678"/>
    </row>
    <row r="1463">
      <c r="G1463" s="661"/>
      <c r="I1463" s="125"/>
      <c r="J1463" s="674"/>
      <c r="K1463" s="471"/>
      <c r="L1463" s="678"/>
    </row>
    <row r="1464">
      <c r="D1464" s="132"/>
      <c r="G1464" s="661"/>
      <c r="I1464" s="125"/>
      <c r="J1464" s="674"/>
      <c r="K1464" s="471"/>
      <c r="L1464" s="678"/>
    </row>
    <row r="1465">
      <c r="D1465" s="132"/>
      <c r="G1465" s="661"/>
      <c r="I1465" s="125"/>
      <c r="J1465" s="674"/>
      <c r="K1465" s="471"/>
      <c r="L1465" s="678"/>
    </row>
    <row r="1466">
      <c r="D1466" s="208"/>
      <c r="G1466" s="661"/>
      <c r="I1466" s="125"/>
      <c r="J1466" s="674"/>
      <c r="K1466" s="471"/>
      <c r="L1466" s="678"/>
    </row>
    <row r="1467">
      <c r="D1467" s="132"/>
      <c r="G1467" s="661"/>
      <c r="I1467" s="125"/>
      <c r="J1467" s="674"/>
      <c r="K1467" s="471"/>
      <c r="L1467" s="678"/>
    </row>
    <row r="1468">
      <c r="D1468" s="132"/>
      <c r="G1468" s="661"/>
      <c r="I1468" s="125"/>
      <c r="J1468" s="674"/>
      <c r="K1468" s="471"/>
      <c r="L1468" s="678"/>
    </row>
    <row r="1469">
      <c r="D1469" s="132"/>
      <c r="G1469" s="661"/>
      <c r="I1469" s="125"/>
      <c r="J1469" s="674"/>
      <c r="K1469" s="471"/>
      <c r="L1469" s="678"/>
    </row>
    <row r="1470">
      <c r="D1470" s="132"/>
      <c r="G1470" s="661"/>
      <c r="I1470" s="125"/>
      <c r="J1470" s="674"/>
      <c r="K1470" s="471"/>
      <c r="L1470" s="678"/>
    </row>
    <row r="1471">
      <c r="D1471" s="132"/>
      <c r="G1471" s="661"/>
      <c r="I1471" s="125"/>
      <c r="J1471" s="674"/>
      <c r="K1471" s="471"/>
      <c r="L1471" s="678"/>
    </row>
    <row r="1472">
      <c r="D1472" s="132"/>
      <c r="G1472" s="661"/>
      <c r="I1472" s="125"/>
      <c r="J1472" s="674"/>
      <c r="K1472" s="471"/>
      <c r="L1472" s="678"/>
    </row>
    <row r="1473">
      <c r="D1473" s="132"/>
      <c r="G1473" s="661"/>
      <c r="I1473" s="125"/>
      <c r="J1473" s="674"/>
      <c r="K1473" s="471"/>
      <c r="L1473" s="678"/>
    </row>
    <row r="1474">
      <c r="D1474" s="132"/>
      <c r="G1474" s="661"/>
      <c r="I1474" s="125"/>
      <c r="J1474" s="674"/>
      <c r="K1474" s="471"/>
      <c r="L1474" s="678"/>
    </row>
    <row r="1475">
      <c r="G1475" s="661"/>
      <c r="I1475" s="125"/>
      <c r="J1475" s="674"/>
      <c r="K1475" s="471"/>
      <c r="L1475" s="678"/>
    </row>
    <row r="1476">
      <c r="D1476" s="132"/>
      <c r="G1476" s="661"/>
      <c r="I1476" s="125"/>
      <c r="J1476" s="674"/>
      <c r="K1476" s="471"/>
      <c r="L1476" s="678"/>
    </row>
    <row r="1477">
      <c r="D1477" s="132"/>
      <c r="G1477" s="661"/>
      <c r="I1477" s="125"/>
      <c r="J1477" s="674"/>
      <c r="K1477" s="471"/>
      <c r="L1477" s="678"/>
    </row>
    <row r="1478">
      <c r="D1478" s="132"/>
      <c r="G1478" s="661"/>
      <c r="I1478" s="125"/>
      <c r="J1478" s="674"/>
      <c r="K1478" s="471"/>
      <c r="L1478" s="678"/>
    </row>
    <row r="1479">
      <c r="D1479" s="132"/>
      <c r="G1479" s="661"/>
      <c r="I1479" s="125"/>
      <c r="J1479" s="674"/>
      <c r="K1479" s="471"/>
      <c r="L1479" s="678"/>
    </row>
    <row r="1480">
      <c r="D1480" s="132"/>
      <c r="G1480" s="661"/>
      <c r="I1480" s="125"/>
      <c r="J1480" s="674"/>
      <c r="K1480" s="471"/>
      <c r="L1480" s="678"/>
    </row>
    <row r="1481">
      <c r="D1481" s="132"/>
      <c r="G1481" s="661"/>
      <c r="I1481" s="125"/>
      <c r="J1481" s="674"/>
      <c r="K1481" s="471"/>
      <c r="L1481" s="678"/>
    </row>
    <row r="1482">
      <c r="D1482" s="132"/>
      <c r="G1482" s="661"/>
      <c r="I1482" s="125"/>
      <c r="J1482" s="674"/>
      <c r="K1482" s="471"/>
      <c r="L1482" s="678"/>
    </row>
    <row r="1483">
      <c r="D1483" s="132"/>
      <c r="G1483" s="661"/>
      <c r="I1483" s="125"/>
      <c r="J1483" s="674"/>
      <c r="K1483" s="471"/>
      <c r="L1483" s="678"/>
    </row>
    <row r="1484">
      <c r="G1484" s="661"/>
      <c r="I1484" s="125"/>
      <c r="J1484" s="674"/>
      <c r="K1484" s="471"/>
      <c r="L1484" s="678"/>
    </row>
    <row r="1485">
      <c r="D1485" s="132"/>
      <c r="G1485" s="661"/>
      <c r="I1485" s="125"/>
      <c r="J1485" s="674"/>
      <c r="K1485" s="471"/>
      <c r="L1485" s="678"/>
    </row>
    <row r="1486">
      <c r="D1486" s="132"/>
      <c r="G1486" s="661"/>
      <c r="I1486" s="125"/>
      <c r="J1486" s="674"/>
      <c r="K1486" s="471"/>
      <c r="L1486" s="678"/>
    </row>
    <row r="1487">
      <c r="D1487" s="132"/>
      <c r="G1487" s="661"/>
      <c r="I1487" s="125"/>
      <c r="J1487" s="674"/>
      <c r="K1487" s="471"/>
      <c r="L1487" s="678"/>
    </row>
    <row r="1488">
      <c r="G1488" s="661"/>
      <c r="I1488" s="125"/>
      <c r="J1488" s="674"/>
      <c r="K1488" s="471"/>
      <c r="L1488" s="678"/>
    </row>
    <row r="1489">
      <c r="G1489" s="661"/>
      <c r="I1489" s="125"/>
      <c r="J1489" s="674"/>
      <c r="K1489" s="471"/>
      <c r="L1489" s="678"/>
    </row>
    <row r="1490">
      <c r="G1490" s="661"/>
      <c r="I1490" s="125"/>
      <c r="J1490" s="674"/>
      <c r="K1490" s="471"/>
      <c r="L1490" s="678"/>
    </row>
    <row r="1491">
      <c r="G1491" s="661"/>
      <c r="I1491" s="125"/>
      <c r="J1491" s="674"/>
      <c r="K1491" s="471"/>
      <c r="L1491" s="678"/>
    </row>
    <row r="1492">
      <c r="D1492" s="132"/>
      <c r="G1492" s="661"/>
      <c r="I1492" s="125"/>
      <c r="J1492" s="674"/>
      <c r="K1492" s="471"/>
      <c r="L1492" s="678"/>
    </row>
    <row r="1493">
      <c r="D1493" s="132"/>
      <c r="G1493" s="661"/>
      <c r="I1493" s="125"/>
      <c r="J1493" s="674"/>
      <c r="K1493" s="471"/>
      <c r="L1493" s="678"/>
    </row>
    <row r="1494">
      <c r="D1494" s="132"/>
      <c r="G1494" s="661"/>
      <c r="I1494" s="125"/>
      <c r="J1494" s="674"/>
      <c r="K1494" s="471"/>
      <c r="L1494" s="678"/>
    </row>
    <row r="1495">
      <c r="D1495" s="132"/>
      <c r="G1495" s="661"/>
      <c r="I1495" s="125"/>
      <c r="J1495" s="674"/>
      <c r="K1495" s="471"/>
      <c r="L1495" s="678"/>
    </row>
    <row r="1496">
      <c r="D1496" s="132"/>
      <c r="G1496" s="661"/>
      <c r="I1496" s="125"/>
      <c r="J1496" s="674"/>
      <c r="K1496" s="471"/>
      <c r="L1496" s="678"/>
    </row>
    <row r="1497">
      <c r="D1497" s="132"/>
      <c r="G1497" s="661"/>
      <c r="I1497" s="125"/>
      <c r="J1497" s="674"/>
      <c r="K1497" s="471"/>
      <c r="L1497" s="678"/>
    </row>
    <row r="1498">
      <c r="G1498" s="661"/>
      <c r="I1498" s="125"/>
      <c r="J1498" s="674"/>
      <c r="K1498" s="471"/>
      <c r="L1498" s="678"/>
    </row>
    <row r="1499">
      <c r="D1499" s="132"/>
      <c r="G1499" s="661"/>
      <c r="I1499" s="125"/>
      <c r="J1499" s="674"/>
      <c r="K1499" s="471"/>
      <c r="L1499" s="678"/>
    </row>
    <row r="1500">
      <c r="G1500" s="661"/>
      <c r="I1500" s="125"/>
      <c r="J1500" s="674"/>
      <c r="K1500" s="471"/>
      <c r="L1500" s="678"/>
    </row>
    <row r="1501">
      <c r="D1501" s="132"/>
      <c r="G1501" s="661"/>
      <c r="I1501" s="125"/>
      <c r="J1501" s="674"/>
      <c r="K1501" s="471"/>
      <c r="L1501" s="678"/>
    </row>
    <row r="1502">
      <c r="D1502" s="132"/>
      <c r="G1502" s="661"/>
      <c r="I1502" s="125"/>
      <c r="J1502" s="674"/>
      <c r="K1502" s="471"/>
      <c r="L1502" s="678"/>
    </row>
    <row r="1503">
      <c r="G1503" s="661"/>
      <c r="I1503" s="125"/>
      <c r="J1503" s="674"/>
      <c r="K1503" s="471"/>
      <c r="L1503" s="678"/>
    </row>
    <row r="1504">
      <c r="D1504" s="132"/>
      <c r="G1504" s="661"/>
      <c r="I1504" s="125"/>
      <c r="J1504" s="674"/>
      <c r="K1504" s="471"/>
      <c r="L1504" s="678"/>
    </row>
    <row r="1505">
      <c r="D1505" s="132"/>
      <c r="G1505" s="661"/>
      <c r="I1505" s="125"/>
      <c r="J1505" s="674"/>
      <c r="K1505" s="471"/>
      <c r="L1505" s="678"/>
    </row>
    <row r="1506">
      <c r="D1506" s="132"/>
      <c r="G1506" s="661"/>
      <c r="I1506" s="125"/>
      <c r="J1506" s="674"/>
      <c r="K1506" s="471"/>
      <c r="L1506" s="678"/>
    </row>
    <row r="1507">
      <c r="G1507" s="661"/>
      <c r="I1507" s="125"/>
      <c r="J1507" s="674"/>
      <c r="K1507" s="471"/>
      <c r="L1507" s="678"/>
    </row>
    <row r="1508">
      <c r="D1508" s="132"/>
      <c r="G1508" s="661"/>
      <c r="I1508" s="125"/>
      <c r="J1508" s="674"/>
      <c r="K1508" s="471"/>
      <c r="L1508" s="678"/>
    </row>
    <row r="1509">
      <c r="G1509" s="661"/>
      <c r="I1509" s="125"/>
      <c r="J1509" s="674"/>
      <c r="K1509" s="471"/>
      <c r="L1509" s="678"/>
    </row>
    <row r="1510">
      <c r="D1510" s="132"/>
      <c r="G1510" s="661"/>
      <c r="I1510" s="125"/>
      <c r="J1510" s="674"/>
      <c r="K1510" s="471"/>
      <c r="L1510" s="678"/>
    </row>
    <row r="1511">
      <c r="D1511" s="132"/>
      <c r="G1511" s="661"/>
      <c r="I1511" s="125"/>
      <c r="J1511" s="674"/>
      <c r="K1511" s="471"/>
      <c r="L1511" s="678"/>
    </row>
    <row r="1512">
      <c r="G1512" s="661"/>
      <c r="I1512" s="125"/>
      <c r="J1512" s="674"/>
      <c r="K1512" s="471"/>
      <c r="L1512" s="678"/>
    </row>
    <row r="1513">
      <c r="G1513" s="661"/>
      <c r="I1513" s="125"/>
      <c r="J1513" s="674"/>
      <c r="K1513" s="471"/>
      <c r="L1513" s="678"/>
    </row>
    <row r="1514">
      <c r="D1514" s="132"/>
      <c r="G1514" s="661"/>
      <c r="I1514" s="125"/>
      <c r="J1514" s="674"/>
      <c r="K1514" s="471"/>
      <c r="L1514" s="678"/>
    </row>
    <row r="1515">
      <c r="D1515" s="132"/>
      <c r="G1515" s="661"/>
      <c r="I1515" s="125"/>
      <c r="J1515" s="674"/>
      <c r="K1515" s="471"/>
      <c r="L1515" s="678"/>
    </row>
    <row r="1516">
      <c r="G1516" s="661"/>
      <c r="I1516" s="125"/>
      <c r="J1516" s="674"/>
      <c r="K1516" s="471"/>
      <c r="L1516" s="678"/>
    </row>
    <row r="1517">
      <c r="D1517" s="132"/>
      <c r="G1517" s="661"/>
      <c r="I1517" s="125"/>
      <c r="J1517" s="674"/>
      <c r="K1517" s="471"/>
      <c r="L1517" s="678"/>
    </row>
    <row r="1518">
      <c r="G1518" s="661"/>
      <c r="I1518" s="125"/>
      <c r="J1518" s="674"/>
      <c r="K1518" s="471"/>
      <c r="L1518" s="678"/>
    </row>
    <row r="1519">
      <c r="D1519" s="132"/>
      <c r="G1519" s="661"/>
      <c r="I1519" s="125"/>
      <c r="J1519" s="674"/>
      <c r="K1519" s="471"/>
      <c r="L1519" s="678"/>
    </row>
    <row r="1520">
      <c r="D1520" s="132"/>
      <c r="G1520" s="661"/>
      <c r="I1520" s="125"/>
      <c r="J1520" s="674"/>
      <c r="K1520" s="471"/>
      <c r="L1520" s="678"/>
    </row>
    <row r="1521">
      <c r="D1521" s="132"/>
      <c r="G1521" s="661"/>
      <c r="I1521" s="125"/>
      <c r="J1521" s="674"/>
      <c r="K1521" s="471"/>
      <c r="L1521" s="678"/>
    </row>
    <row r="1522">
      <c r="D1522" s="132"/>
      <c r="G1522" s="661"/>
      <c r="I1522" s="125"/>
      <c r="J1522" s="674"/>
      <c r="K1522" s="471"/>
      <c r="L1522" s="678"/>
    </row>
    <row r="1523">
      <c r="D1523" s="132"/>
      <c r="G1523" s="661"/>
      <c r="I1523" s="125"/>
      <c r="J1523" s="674"/>
      <c r="K1523" s="471"/>
      <c r="L1523" s="678"/>
    </row>
    <row r="1524">
      <c r="D1524" s="132"/>
      <c r="G1524" s="661"/>
      <c r="I1524" s="125"/>
      <c r="J1524" s="674"/>
      <c r="K1524" s="471"/>
      <c r="L1524" s="678"/>
    </row>
    <row r="1525">
      <c r="G1525" s="661"/>
      <c r="I1525" s="125"/>
      <c r="J1525" s="674"/>
      <c r="K1525" s="471"/>
      <c r="L1525" s="678"/>
    </row>
    <row r="1526">
      <c r="G1526" s="661"/>
      <c r="I1526" s="125"/>
      <c r="J1526" s="674"/>
      <c r="K1526" s="471"/>
      <c r="L1526" s="678"/>
    </row>
    <row r="1527">
      <c r="D1527" s="132"/>
      <c r="G1527" s="661"/>
      <c r="I1527" s="125"/>
      <c r="J1527" s="674"/>
      <c r="K1527" s="471"/>
      <c r="L1527" s="678"/>
    </row>
    <row r="1528">
      <c r="D1528" s="132"/>
      <c r="G1528" s="661"/>
      <c r="I1528" s="125"/>
      <c r="J1528" s="674"/>
      <c r="K1528" s="471"/>
      <c r="L1528" s="678"/>
    </row>
    <row r="1529">
      <c r="D1529" s="132"/>
      <c r="G1529" s="661"/>
      <c r="I1529" s="125"/>
      <c r="J1529" s="674"/>
      <c r="K1529" s="471"/>
      <c r="L1529" s="678"/>
    </row>
    <row r="1530">
      <c r="D1530" s="132"/>
      <c r="G1530" s="661"/>
      <c r="I1530" s="125"/>
      <c r="J1530" s="674"/>
      <c r="K1530" s="471"/>
      <c r="L1530" s="678"/>
    </row>
    <row r="1531">
      <c r="D1531" s="132"/>
      <c r="G1531" s="661"/>
      <c r="I1531" s="125"/>
      <c r="J1531" s="674"/>
      <c r="K1531" s="471"/>
      <c r="L1531" s="678"/>
    </row>
    <row r="1532">
      <c r="D1532" s="132"/>
      <c r="G1532" s="661"/>
      <c r="I1532" s="125"/>
      <c r="J1532" s="674"/>
      <c r="K1532" s="471"/>
      <c r="L1532" s="678"/>
    </row>
    <row r="1533">
      <c r="D1533" s="132"/>
      <c r="G1533" s="661"/>
      <c r="I1533" s="125"/>
      <c r="J1533" s="674"/>
      <c r="K1533" s="471"/>
      <c r="L1533" s="678"/>
    </row>
    <row r="1534">
      <c r="D1534" s="132"/>
      <c r="G1534" s="661"/>
      <c r="I1534" s="125"/>
      <c r="J1534" s="674"/>
      <c r="K1534" s="471"/>
      <c r="L1534" s="678"/>
    </row>
    <row r="1535">
      <c r="D1535" s="132"/>
      <c r="G1535" s="661"/>
      <c r="I1535" s="125"/>
      <c r="J1535" s="674"/>
      <c r="K1535" s="471"/>
      <c r="L1535" s="678"/>
    </row>
    <row r="1536">
      <c r="D1536" s="132"/>
      <c r="G1536" s="661"/>
      <c r="I1536" s="125"/>
      <c r="J1536" s="674"/>
      <c r="K1536" s="471"/>
      <c r="L1536" s="678"/>
    </row>
    <row r="1537">
      <c r="D1537" s="132"/>
      <c r="G1537" s="661"/>
      <c r="I1537" s="125"/>
      <c r="J1537" s="674"/>
      <c r="K1537" s="471"/>
      <c r="L1537" s="678"/>
    </row>
    <row r="1538">
      <c r="D1538" s="132"/>
      <c r="G1538" s="661"/>
      <c r="I1538" s="125"/>
      <c r="J1538" s="674"/>
      <c r="K1538" s="471"/>
      <c r="L1538" s="678"/>
    </row>
    <row r="1539">
      <c r="D1539" s="132"/>
      <c r="G1539" s="661"/>
      <c r="I1539" s="125"/>
      <c r="J1539" s="674"/>
      <c r="K1539" s="471"/>
      <c r="L1539" s="678"/>
    </row>
    <row r="1540">
      <c r="D1540" s="132"/>
      <c r="G1540" s="661"/>
      <c r="I1540" s="125"/>
      <c r="J1540" s="674"/>
      <c r="K1540" s="471"/>
      <c r="L1540" s="678"/>
    </row>
    <row r="1541">
      <c r="D1541" s="132"/>
      <c r="G1541" s="661"/>
      <c r="I1541" s="125"/>
      <c r="J1541" s="674"/>
      <c r="K1541" s="471"/>
      <c r="L1541" s="678"/>
    </row>
    <row r="1542">
      <c r="D1542" s="132"/>
      <c r="G1542" s="661"/>
      <c r="I1542" s="125"/>
      <c r="J1542" s="674"/>
      <c r="K1542" s="471"/>
      <c r="L1542" s="678"/>
    </row>
    <row r="1543">
      <c r="D1543" s="313"/>
      <c r="G1543" s="661"/>
      <c r="I1543" s="125"/>
      <c r="J1543" s="674"/>
      <c r="K1543" s="471"/>
      <c r="L1543" s="678"/>
    </row>
    <row r="1544">
      <c r="G1544" s="661"/>
      <c r="I1544" s="125"/>
      <c r="J1544" s="674"/>
      <c r="K1544" s="471"/>
      <c r="L1544" s="678"/>
    </row>
    <row r="1545">
      <c r="D1545" s="132"/>
      <c r="G1545" s="661"/>
      <c r="I1545" s="125"/>
      <c r="J1545" s="674"/>
      <c r="K1545" s="471"/>
      <c r="L1545" s="678"/>
    </row>
    <row r="1546">
      <c r="D1546" s="132"/>
      <c r="G1546" s="661"/>
      <c r="I1546" s="125"/>
      <c r="J1546" s="674"/>
      <c r="K1546" s="471"/>
      <c r="L1546" s="678"/>
    </row>
    <row r="1547">
      <c r="D1547" s="132"/>
      <c r="G1547" s="661"/>
      <c r="I1547" s="125"/>
      <c r="J1547" s="674"/>
      <c r="K1547" s="471"/>
      <c r="L1547" s="678"/>
    </row>
    <row r="1548">
      <c r="D1548" s="132"/>
      <c r="G1548" s="661"/>
      <c r="I1548" s="125"/>
      <c r="J1548" s="674"/>
      <c r="K1548" s="471"/>
      <c r="L1548" s="678"/>
    </row>
    <row r="1549">
      <c r="G1549" s="661"/>
      <c r="I1549" s="125"/>
      <c r="J1549" s="674"/>
      <c r="K1549" s="471"/>
      <c r="L1549" s="678"/>
    </row>
    <row r="1550">
      <c r="G1550" s="661"/>
      <c r="I1550" s="125"/>
      <c r="J1550" s="674"/>
      <c r="K1550" s="471"/>
      <c r="L1550" s="678"/>
    </row>
    <row r="1551">
      <c r="D1551" s="132"/>
      <c r="G1551" s="661"/>
      <c r="I1551" s="125"/>
      <c r="J1551" s="674"/>
      <c r="K1551" s="471"/>
      <c r="L1551" s="678"/>
    </row>
    <row r="1552">
      <c r="D1552" s="132"/>
      <c r="G1552" s="661"/>
      <c r="I1552" s="125"/>
      <c r="J1552" s="674"/>
      <c r="K1552" s="471"/>
      <c r="L1552" s="678"/>
    </row>
    <row r="1553">
      <c r="D1553" s="132"/>
      <c r="G1553" s="661"/>
      <c r="I1553" s="125"/>
      <c r="J1553" s="674"/>
      <c r="K1553" s="471"/>
      <c r="L1553" s="678"/>
    </row>
    <row r="1554">
      <c r="D1554" s="132"/>
      <c r="G1554" s="661"/>
      <c r="I1554" s="125"/>
      <c r="J1554" s="674"/>
      <c r="K1554" s="471"/>
      <c r="L1554" s="678"/>
    </row>
    <row r="1555">
      <c r="D1555" s="132"/>
      <c r="G1555" s="661"/>
      <c r="I1555" s="125"/>
      <c r="J1555" s="674"/>
      <c r="K1555" s="471"/>
      <c r="L1555" s="678"/>
    </row>
    <row r="1556">
      <c r="D1556" s="132"/>
      <c r="G1556" s="661"/>
      <c r="I1556" s="125"/>
      <c r="J1556" s="674"/>
      <c r="K1556" s="471"/>
      <c r="L1556" s="678"/>
    </row>
    <row r="1557">
      <c r="G1557" s="661"/>
      <c r="I1557" s="125"/>
      <c r="J1557" s="674"/>
      <c r="K1557" s="471"/>
      <c r="L1557" s="678"/>
    </row>
    <row r="1558">
      <c r="D1558" s="132"/>
      <c r="G1558" s="661"/>
      <c r="I1558" s="125"/>
      <c r="J1558" s="674"/>
      <c r="K1558" s="471"/>
      <c r="L1558" s="678"/>
    </row>
    <row r="1559">
      <c r="D1559" s="132"/>
      <c r="G1559" s="661"/>
      <c r="I1559" s="125"/>
      <c r="J1559" s="674"/>
      <c r="K1559" s="471"/>
      <c r="L1559" s="678"/>
    </row>
    <row r="1560">
      <c r="D1560" s="132"/>
      <c r="G1560" s="661"/>
      <c r="I1560" s="125"/>
      <c r="J1560" s="674"/>
      <c r="K1560" s="471"/>
      <c r="L1560" s="678"/>
    </row>
    <row r="1561">
      <c r="D1561" s="132"/>
      <c r="G1561" s="661"/>
      <c r="I1561" s="125"/>
      <c r="J1561" s="674"/>
      <c r="K1561" s="471"/>
      <c r="L1561" s="678"/>
    </row>
    <row r="1562">
      <c r="D1562" s="132"/>
      <c r="G1562" s="661"/>
      <c r="I1562" s="125"/>
      <c r="J1562" s="674"/>
      <c r="K1562" s="471"/>
      <c r="L1562" s="678"/>
    </row>
    <row r="1563">
      <c r="G1563" s="661"/>
      <c r="I1563" s="125"/>
      <c r="J1563" s="674"/>
      <c r="K1563" s="471"/>
      <c r="L1563" s="678"/>
    </row>
    <row r="1564">
      <c r="D1564" s="132"/>
      <c r="G1564" s="661"/>
      <c r="I1564" s="125"/>
      <c r="J1564" s="674"/>
      <c r="K1564" s="471"/>
      <c r="L1564" s="678"/>
    </row>
    <row r="1565">
      <c r="D1565" s="132"/>
      <c r="G1565" s="661"/>
      <c r="I1565" s="125"/>
      <c r="J1565" s="674"/>
      <c r="K1565" s="471"/>
      <c r="L1565" s="678"/>
    </row>
    <row r="1566">
      <c r="D1566" s="132"/>
      <c r="G1566" s="661"/>
      <c r="I1566" s="125"/>
      <c r="J1566" s="674"/>
      <c r="K1566" s="471"/>
      <c r="L1566" s="678"/>
    </row>
    <row r="1567">
      <c r="D1567" s="132"/>
      <c r="G1567" s="661"/>
      <c r="I1567" s="125"/>
      <c r="J1567" s="674"/>
      <c r="K1567" s="471"/>
      <c r="L1567" s="678"/>
    </row>
    <row r="1568">
      <c r="D1568" s="132"/>
      <c r="G1568" s="661"/>
      <c r="I1568" s="125"/>
      <c r="J1568" s="674"/>
      <c r="K1568" s="471"/>
      <c r="L1568" s="678"/>
    </row>
    <row r="1569">
      <c r="D1569" s="132"/>
      <c r="G1569" s="661"/>
      <c r="I1569" s="125"/>
      <c r="J1569" s="674"/>
      <c r="K1569" s="471"/>
      <c r="L1569" s="678"/>
    </row>
    <row r="1570">
      <c r="D1570" s="132"/>
      <c r="G1570" s="661"/>
      <c r="I1570" s="125"/>
      <c r="J1570" s="674"/>
      <c r="K1570" s="471"/>
      <c r="L1570" s="678"/>
    </row>
    <row r="1571">
      <c r="D1571" s="132"/>
      <c r="G1571" s="661"/>
      <c r="I1571" s="125"/>
      <c r="J1571" s="674"/>
      <c r="K1571" s="471"/>
      <c r="L1571" s="678"/>
    </row>
    <row r="1572">
      <c r="D1572" s="132"/>
      <c r="G1572" s="661"/>
      <c r="I1572" s="125"/>
      <c r="J1572" s="674"/>
      <c r="K1572" s="471"/>
      <c r="L1572" s="678"/>
    </row>
    <row r="1573">
      <c r="D1573" s="132"/>
      <c r="G1573" s="661"/>
      <c r="I1573" s="125"/>
      <c r="J1573" s="674"/>
      <c r="K1573" s="471"/>
      <c r="L1573" s="678"/>
    </row>
    <row r="1574">
      <c r="D1574" s="132"/>
      <c r="G1574" s="661"/>
      <c r="I1574" s="125"/>
      <c r="J1574" s="674"/>
      <c r="K1574" s="471"/>
      <c r="L1574" s="678"/>
    </row>
    <row r="1575">
      <c r="D1575" s="132"/>
      <c r="G1575" s="661"/>
      <c r="I1575" s="125"/>
      <c r="J1575" s="674"/>
      <c r="K1575" s="471"/>
      <c r="L1575" s="678"/>
    </row>
    <row r="1576">
      <c r="D1576" s="132"/>
      <c r="G1576" s="661"/>
      <c r="I1576" s="125"/>
      <c r="J1576" s="674"/>
      <c r="K1576" s="471"/>
      <c r="L1576" s="678"/>
    </row>
    <row r="1577">
      <c r="D1577" s="132"/>
      <c r="G1577" s="661"/>
      <c r="I1577" s="125"/>
      <c r="J1577" s="674"/>
      <c r="K1577" s="471"/>
      <c r="L1577" s="678"/>
    </row>
    <row r="1578">
      <c r="D1578" s="132"/>
      <c r="G1578" s="661"/>
      <c r="I1578" s="125"/>
      <c r="J1578" s="674"/>
      <c r="K1578" s="471"/>
      <c r="L1578" s="678"/>
    </row>
    <row r="1579">
      <c r="D1579" s="132"/>
      <c r="G1579" s="661"/>
      <c r="I1579" s="125"/>
      <c r="J1579" s="674"/>
      <c r="K1579" s="471"/>
      <c r="L1579" s="678"/>
    </row>
    <row r="1580">
      <c r="G1580" s="661"/>
      <c r="I1580" s="125"/>
      <c r="J1580" s="674"/>
      <c r="K1580" s="471"/>
      <c r="L1580" s="678"/>
    </row>
    <row r="1581">
      <c r="D1581" s="132"/>
      <c r="G1581" s="661"/>
      <c r="I1581" s="125"/>
      <c r="J1581" s="674"/>
      <c r="K1581" s="471"/>
      <c r="L1581" s="678"/>
    </row>
    <row r="1582">
      <c r="D1582" s="149"/>
      <c r="G1582" s="661"/>
      <c r="I1582" s="125"/>
      <c r="J1582" s="674"/>
      <c r="K1582" s="471"/>
      <c r="L1582" s="678"/>
    </row>
    <row r="1583">
      <c r="D1583" s="132"/>
      <c r="G1583" s="661"/>
      <c r="I1583" s="125"/>
      <c r="J1583" s="674"/>
      <c r="K1583" s="471"/>
      <c r="L1583" s="678"/>
    </row>
    <row r="1584">
      <c r="D1584" s="132"/>
      <c r="G1584" s="661"/>
      <c r="I1584" s="125"/>
      <c r="J1584" s="674"/>
      <c r="K1584" s="471"/>
      <c r="L1584" s="678"/>
    </row>
    <row r="1585">
      <c r="D1585" s="132"/>
      <c r="G1585" s="661"/>
      <c r="I1585" s="125"/>
      <c r="J1585" s="674"/>
      <c r="K1585" s="471"/>
      <c r="L1585" s="678"/>
    </row>
    <row r="1586">
      <c r="G1586" s="661"/>
      <c r="I1586" s="125"/>
      <c r="J1586" s="674"/>
      <c r="K1586" s="471"/>
      <c r="L1586" s="678"/>
    </row>
    <row r="1587">
      <c r="D1587" s="132"/>
      <c r="G1587" s="661"/>
      <c r="I1587" s="125"/>
      <c r="J1587" s="674"/>
      <c r="K1587" s="471"/>
      <c r="L1587" s="678"/>
    </row>
    <row r="1588">
      <c r="D1588" s="132"/>
      <c r="G1588" s="661"/>
      <c r="I1588" s="125"/>
      <c r="J1588" s="674"/>
      <c r="K1588" s="471"/>
      <c r="L1588" s="678"/>
    </row>
    <row r="1589">
      <c r="D1589" s="132"/>
      <c r="G1589" s="661"/>
      <c r="I1589" s="125"/>
      <c r="J1589" s="674"/>
      <c r="K1589" s="471"/>
      <c r="L1589" s="678"/>
    </row>
    <row r="1590">
      <c r="G1590" s="661"/>
      <c r="I1590" s="125"/>
      <c r="J1590" s="674"/>
      <c r="K1590" s="471"/>
      <c r="L1590" s="678"/>
    </row>
    <row r="1591">
      <c r="D1591" s="132"/>
      <c r="G1591" s="661"/>
      <c r="I1591" s="125"/>
      <c r="J1591" s="674"/>
      <c r="K1591" s="471"/>
      <c r="L1591" s="678"/>
    </row>
    <row r="1592">
      <c r="D1592" s="132"/>
      <c r="G1592" s="661"/>
      <c r="I1592" s="125"/>
      <c r="J1592" s="674"/>
      <c r="K1592" s="471"/>
      <c r="L1592" s="678"/>
    </row>
    <row r="1593">
      <c r="D1593" s="132"/>
      <c r="G1593" s="661"/>
      <c r="I1593" s="125"/>
      <c r="J1593" s="674"/>
      <c r="K1593" s="471"/>
      <c r="L1593" s="678"/>
    </row>
    <row r="1594">
      <c r="D1594" s="132"/>
      <c r="G1594" s="661"/>
      <c r="I1594" s="125"/>
      <c r="J1594" s="674"/>
      <c r="K1594" s="471"/>
      <c r="L1594" s="678"/>
    </row>
    <row r="1595">
      <c r="D1595" s="132"/>
      <c r="G1595" s="661"/>
      <c r="I1595" s="125"/>
      <c r="J1595" s="674"/>
      <c r="K1595" s="471"/>
      <c r="L1595" s="678"/>
    </row>
    <row r="1596">
      <c r="G1596" s="661"/>
      <c r="I1596" s="125"/>
      <c r="J1596" s="674"/>
      <c r="K1596" s="471"/>
      <c r="L1596" s="678"/>
    </row>
    <row r="1597">
      <c r="D1597" s="134"/>
      <c r="G1597" s="661"/>
      <c r="I1597" s="125"/>
      <c r="J1597" s="674"/>
      <c r="K1597" s="471"/>
      <c r="L1597" s="678"/>
    </row>
    <row r="1598">
      <c r="D1598" s="124"/>
      <c r="G1598" s="661"/>
      <c r="I1598" s="125"/>
      <c r="J1598" s="674"/>
      <c r="K1598" s="471"/>
      <c r="L1598" s="678"/>
    </row>
    <row r="1599">
      <c r="D1599" s="124"/>
      <c r="G1599" s="661"/>
      <c r="I1599" s="125"/>
      <c r="J1599" s="674"/>
      <c r="K1599" s="471"/>
      <c r="L1599" s="678"/>
    </row>
    <row r="1600">
      <c r="D1600" s="312"/>
      <c r="G1600" s="661"/>
      <c r="I1600" s="125"/>
      <c r="J1600" s="674"/>
      <c r="K1600" s="471"/>
      <c r="L1600" s="678"/>
    </row>
    <row r="1601">
      <c r="D1601" s="132"/>
      <c r="G1601" s="661"/>
      <c r="I1601" s="125"/>
      <c r="J1601" s="674"/>
      <c r="K1601" s="471"/>
      <c r="L1601" s="678"/>
    </row>
    <row r="1602">
      <c r="D1602" s="132"/>
      <c r="G1602" s="661"/>
      <c r="I1602" s="125"/>
      <c r="J1602" s="674"/>
      <c r="K1602" s="471"/>
      <c r="L1602" s="678"/>
    </row>
    <row r="1603">
      <c r="D1603" s="132"/>
      <c r="G1603" s="661"/>
      <c r="I1603" s="125"/>
      <c r="J1603" s="674"/>
      <c r="K1603" s="471"/>
      <c r="L1603" s="678"/>
    </row>
    <row r="1604">
      <c r="D1604" s="132"/>
      <c r="G1604" s="661"/>
      <c r="I1604" s="125"/>
      <c r="J1604" s="674"/>
      <c r="K1604" s="471"/>
      <c r="L1604" s="678"/>
    </row>
    <row r="1605">
      <c r="D1605" s="132"/>
      <c r="G1605" s="661"/>
      <c r="I1605" s="125"/>
      <c r="J1605" s="674"/>
      <c r="K1605" s="471"/>
      <c r="L1605" s="678"/>
    </row>
    <row r="1606">
      <c r="D1606" s="132"/>
      <c r="G1606" s="661"/>
      <c r="I1606" s="125"/>
      <c r="J1606" s="674"/>
      <c r="K1606" s="471"/>
      <c r="L1606" s="678"/>
    </row>
    <row r="1607">
      <c r="D1607" s="132"/>
      <c r="G1607" s="661"/>
      <c r="I1607" s="125"/>
      <c r="J1607" s="674"/>
      <c r="K1607" s="471"/>
      <c r="L1607" s="678"/>
    </row>
    <row r="1608">
      <c r="D1608" s="132"/>
      <c r="G1608" s="661"/>
      <c r="I1608" s="125"/>
      <c r="J1608" s="674"/>
      <c r="K1608" s="471"/>
      <c r="L1608" s="678"/>
    </row>
    <row r="1609">
      <c r="D1609" s="132"/>
      <c r="G1609" s="661"/>
      <c r="I1609" s="125"/>
      <c r="J1609" s="674"/>
      <c r="K1609" s="471"/>
      <c r="L1609" s="678"/>
    </row>
    <row r="1610">
      <c r="D1610" s="132"/>
      <c r="G1610" s="661"/>
      <c r="I1610" s="125"/>
      <c r="J1610" s="674"/>
      <c r="K1610" s="471"/>
      <c r="L1610" s="678"/>
    </row>
    <row r="1611">
      <c r="D1611" s="132"/>
      <c r="G1611" s="661"/>
      <c r="I1611" s="125"/>
      <c r="J1611" s="674"/>
      <c r="K1611" s="471"/>
      <c r="L1611" s="678"/>
    </row>
    <row r="1612">
      <c r="D1612" s="132"/>
      <c r="G1612" s="661"/>
      <c r="I1612" s="125"/>
      <c r="J1612" s="674"/>
      <c r="K1612" s="471"/>
      <c r="L1612" s="678"/>
    </row>
    <row r="1613">
      <c r="D1613" s="132"/>
      <c r="G1613" s="661"/>
      <c r="I1613" s="125"/>
      <c r="J1613" s="674"/>
      <c r="K1613" s="471"/>
      <c r="L1613" s="678"/>
    </row>
    <row r="1614">
      <c r="D1614" s="132"/>
      <c r="G1614" s="661"/>
      <c r="I1614" s="125"/>
      <c r="J1614" s="674"/>
      <c r="K1614" s="471"/>
      <c r="L1614" s="678"/>
    </row>
    <row r="1615">
      <c r="D1615" s="132"/>
      <c r="G1615" s="661"/>
      <c r="I1615" s="125"/>
      <c r="J1615" s="674"/>
      <c r="K1615" s="471"/>
      <c r="L1615" s="678"/>
    </row>
    <row r="1616">
      <c r="D1616" s="132"/>
      <c r="G1616" s="661"/>
      <c r="I1616" s="125"/>
      <c r="J1616" s="674"/>
      <c r="K1616" s="471"/>
      <c r="L1616" s="678"/>
    </row>
    <row r="1617">
      <c r="D1617" s="132"/>
      <c r="G1617" s="661"/>
      <c r="I1617" s="125"/>
      <c r="J1617" s="674"/>
      <c r="K1617" s="471"/>
      <c r="L1617" s="678"/>
    </row>
    <row r="1618">
      <c r="D1618" s="132"/>
      <c r="G1618" s="661"/>
      <c r="I1618" s="125"/>
      <c r="J1618" s="674"/>
      <c r="K1618" s="471"/>
      <c r="L1618" s="678"/>
    </row>
    <row r="1619">
      <c r="D1619" s="149"/>
      <c r="G1619" s="661"/>
      <c r="I1619" s="125"/>
      <c r="J1619" s="674"/>
      <c r="K1619" s="471"/>
      <c r="L1619" s="678"/>
    </row>
    <row r="1620">
      <c r="D1620" s="132"/>
      <c r="G1620" s="661"/>
      <c r="I1620" s="125"/>
      <c r="J1620" s="674"/>
      <c r="K1620" s="471"/>
      <c r="L1620" s="678"/>
    </row>
    <row r="1621">
      <c r="D1621" s="132"/>
      <c r="G1621" s="661"/>
      <c r="I1621" s="125"/>
      <c r="J1621" s="674"/>
      <c r="K1621" s="471"/>
      <c r="L1621" s="678"/>
    </row>
    <row r="1622">
      <c r="D1622" s="132"/>
      <c r="G1622" s="661"/>
      <c r="I1622" s="125"/>
      <c r="J1622" s="674"/>
      <c r="K1622" s="471"/>
      <c r="L1622" s="678"/>
    </row>
    <row r="1623">
      <c r="D1623" s="132"/>
      <c r="G1623" s="661"/>
      <c r="I1623" s="125"/>
      <c r="J1623" s="674"/>
      <c r="K1623" s="471"/>
      <c r="L1623" s="678"/>
    </row>
    <row r="1624">
      <c r="D1624" s="132"/>
      <c r="G1624" s="661"/>
      <c r="I1624" s="125"/>
      <c r="J1624" s="674"/>
      <c r="K1624" s="471"/>
      <c r="L1624" s="678"/>
    </row>
    <row r="1625">
      <c r="D1625" s="132"/>
      <c r="G1625" s="661"/>
      <c r="I1625" s="125"/>
      <c r="J1625" s="674"/>
      <c r="K1625" s="471"/>
      <c r="L1625" s="678"/>
    </row>
    <row r="1626">
      <c r="D1626" s="132"/>
      <c r="G1626" s="661"/>
      <c r="I1626" s="125"/>
      <c r="J1626" s="674"/>
      <c r="K1626" s="471"/>
      <c r="L1626" s="678"/>
    </row>
    <row r="1627">
      <c r="G1627" s="661"/>
      <c r="I1627" s="125"/>
      <c r="J1627" s="674"/>
      <c r="K1627" s="471"/>
      <c r="L1627" s="678"/>
    </row>
    <row r="1628">
      <c r="D1628" s="132"/>
      <c r="G1628" s="661"/>
      <c r="I1628" s="125"/>
      <c r="J1628" s="674"/>
      <c r="K1628" s="471"/>
      <c r="L1628" s="678"/>
    </row>
    <row r="1629">
      <c r="D1629" s="132"/>
      <c r="G1629" s="661"/>
      <c r="I1629" s="125"/>
      <c r="J1629" s="674"/>
      <c r="K1629" s="471"/>
      <c r="L1629" s="678"/>
    </row>
    <row r="1630">
      <c r="D1630" s="132"/>
      <c r="G1630" s="661"/>
      <c r="I1630" s="125"/>
      <c r="J1630" s="674"/>
      <c r="K1630" s="471"/>
      <c r="L1630" s="678"/>
    </row>
    <row r="1631">
      <c r="D1631" s="132"/>
      <c r="G1631" s="661"/>
      <c r="I1631" s="125"/>
      <c r="J1631" s="674"/>
      <c r="K1631" s="471"/>
      <c r="L1631" s="678"/>
    </row>
    <row r="1632">
      <c r="D1632" s="132"/>
      <c r="G1632" s="661"/>
      <c r="I1632" s="125"/>
      <c r="J1632" s="674"/>
      <c r="K1632" s="471"/>
      <c r="L1632" s="678"/>
    </row>
    <row r="1633">
      <c r="D1633" s="132"/>
      <c r="G1633" s="661"/>
      <c r="I1633" s="125"/>
      <c r="J1633" s="674"/>
      <c r="K1633" s="471"/>
      <c r="L1633" s="678"/>
    </row>
    <row r="1634">
      <c r="D1634" s="132"/>
      <c r="G1634" s="661"/>
      <c r="I1634" s="125"/>
      <c r="J1634" s="674"/>
      <c r="K1634" s="471"/>
      <c r="L1634" s="678"/>
    </row>
    <row r="1635">
      <c r="D1635" s="132"/>
      <c r="G1635" s="661"/>
      <c r="I1635" s="125"/>
      <c r="J1635" s="674"/>
      <c r="K1635" s="471"/>
      <c r="L1635" s="678"/>
    </row>
    <row r="1636">
      <c r="D1636" s="132"/>
      <c r="G1636" s="661"/>
      <c r="I1636" s="125"/>
      <c r="J1636" s="674"/>
      <c r="K1636" s="471"/>
      <c r="L1636" s="678"/>
    </row>
    <row r="1637">
      <c r="D1637" s="132"/>
      <c r="G1637" s="661"/>
      <c r="I1637" s="125"/>
      <c r="J1637" s="674"/>
      <c r="K1637" s="471"/>
      <c r="L1637" s="678"/>
    </row>
    <row r="1638">
      <c r="D1638" s="132"/>
      <c r="G1638" s="661"/>
      <c r="I1638" s="125"/>
      <c r="J1638" s="674"/>
      <c r="K1638" s="471"/>
      <c r="L1638" s="678"/>
    </row>
    <row r="1639">
      <c r="D1639" s="132"/>
      <c r="G1639" s="661"/>
      <c r="I1639" s="125"/>
      <c r="J1639" s="674"/>
      <c r="K1639" s="471"/>
      <c r="L1639" s="678"/>
    </row>
    <row r="1640">
      <c r="D1640" s="132"/>
      <c r="G1640" s="661"/>
      <c r="I1640" s="125"/>
      <c r="J1640" s="674"/>
      <c r="K1640" s="471"/>
      <c r="L1640" s="678"/>
    </row>
    <row r="1641">
      <c r="D1641" s="132"/>
      <c r="G1641" s="661"/>
      <c r="I1641" s="125"/>
      <c r="J1641" s="674"/>
      <c r="K1641" s="471"/>
      <c r="L1641" s="678"/>
    </row>
    <row r="1642">
      <c r="D1642" s="132"/>
      <c r="G1642" s="661"/>
      <c r="I1642" s="125"/>
      <c r="J1642" s="674"/>
      <c r="K1642" s="471"/>
      <c r="L1642" s="678"/>
    </row>
    <row r="1643">
      <c r="D1643" s="132"/>
      <c r="G1643" s="661"/>
      <c r="I1643" s="125"/>
      <c r="J1643" s="674"/>
      <c r="K1643" s="471"/>
      <c r="L1643" s="678"/>
    </row>
    <row r="1644">
      <c r="D1644" s="132"/>
      <c r="G1644" s="661"/>
      <c r="I1644" s="125"/>
      <c r="J1644" s="674"/>
      <c r="K1644" s="471"/>
      <c r="L1644" s="678"/>
    </row>
    <row r="1645">
      <c r="D1645" s="132"/>
      <c r="G1645" s="661"/>
      <c r="I1645" s="125"/>
      <c r="J1645" s="674"/>
      <c r="K1645" s="471"/>
      <c r="L1645" s="678"/>
    </row>
    <row r="1646">
      <c r="D1646" s="132"/>
      <c r="G1646" s="661"/>
      <c r="I1646" s="125"/>
      <c r="J1646" s="674"/>
      <c r="K1646" s="471"/>
      <c r="L1646" s="678"/>
    </row>
    <row r="1647">
      <c r="D1647" s="132"/>
      <c r="G1647" s="661"/>
      <c r="I1647" s="125"/>
      <c r="J1647" s="674"/>
      <c r="K1647" s="471"/>
      <c r="L1647" s="678"/>
    </row>
    <row r="1648">
      <c r="G1648" s="661"/>
      <c r="I1648" s="125"/>
      <c r="J1648" s="674"/>
      <c r="K1648" s="471"/>
      <c r="L1648" s="678"/>
    </row>
    <row r="1649">
      <c r="D1649" s="132"/>
      <c r="G1649" s="661"/>
      <c r="I1649" s="125"/>
      <c r="J1649" s="674"/>
      <c r="K1649" s="471"/>
      <c r="L1649" s="678"/>
    </row>
    <row r="1650">
      <c r="D1650" s="132"/>
      <c r="G1650" s="661"/>
      <c r="I1650" s="125"/>
      <c r="J1650" s="674"/>
      <c r="K1650" s="471"/>
      <c r="L1650" s="678"/>
    </row>
    <row r="1651">
      <c r="D1651" s="132"/>
      <c r="G1651" s="661"/>
      <c r="I1651" s="125"/>
      <c r="J1651" s="674"/>
      <c r="K1651" s="471"/>
      <c r="L1651" s="678"/>
    </row>
    <row r="1652">
      <c r="D1652" s="132"/>
      <c r="G1652" s="661"/>
      <c r="I1652" s="125"/>
      <c r="J1652" s="674"/>
      <c r="K1652" s="471"/>
      <c r="L1652" s="678"/>
    </row>
    <row r="1653">
      <c r="D1653" s="132"/>
      <c r="G1653" s="661"/>
      <c r="I1653" s="125"/>
      <c r="J1653" s="674"/>
      <c r="K1653" s="471"/>
      <c r="L1653" s="678"/>
    </row>
    <row r="1654">
      <c r="D1654" s="132"/>
      <c r="G1654" s="661"/>
      <c r="I1654" s="125"/>
      <c r="J1654" s="674"/>
      <c r="K1654" s="471"/>
      <c r="L1654" s="678"/>
    </row>
    <row r="1655">
      <c r="D1655" s="132"/>
      <c r="G1655" s="661"/>
      <c r="I1655" s="125"/>
      <c r="J1655" s="674"/>
      <c r="K1655" s="471"/>
      <c r="L1655" s="678"/>
    </row>
    <row r="1656">
      <c r="D1656" s="132"/>
      <c r="G1656" s="661"/>
      <c r="I1656" s="125"/>
      <c r="J1656" s="674"/>
      <c r="K1656" s="471"/>
      <c r="L1656" s="678"/>
    </row>
    <row r="1657">
      <c r="D1657" s="132"/>
      <c r="G1657" s="661"/>
      <c r="I1657" s="125"/>
      <c r="J1657" s="674"/>
      <c r="K1657" s="471"/>
      <c r="L1657" s="678"/>
    </row>
    <row r="1658">
      <c r="D1658" s="132"/>
      <c r="G1658" s="661"/>
      <c r="I1658" s="125"/>
      <c r="J1658" s="674"/>
      <c r="K1658" s="471"/>
      <c r="L1658" s="678"/>
    </row>
    <row r="1659">
      <c r="D1659" s="132"/>
      <c r="G1659" s="661"/>
      <c r="I1659" s="125"/>
      <c r="J1659" s="674"/>
      <c r="K1659" s="471"/>
      <c r="L1659" s="678"/>
    </row>
    <row r="1660">
      <c r="D1660" s="132"/>
      <c r="G1660" s="661"/>
      <c r="I1660" s="125"/>
      <c r="J1660" s="674"/>
      <c r="K1660" s="471"/>
      <c r="L1660" s="678"/>
    </row>
    <row r="1661">
      <c r="D1661" s="132"/>
      <c r="G1661" s="661"/>
      <c r="I1661" s="125"/>
      <c r="J1661" s="674"/>
      <c r="K1661" s="471"/>
      <c r="L1661" s="678"/>
    </row>
    <row r="1662">
      <c r="D1662" s="132"/>
      <c r="G1662" s="661"/>
      <c r="I1662" s="125"/>
      <c r="J1662" s="674"/>
      <c r="K1662" s="471"/>
      <c r="L1662" s="678"/>
    </row>
    <row r="1663">
      <c r="D1663" s="132"/>
      <c r="G1663" s="661"/>
      <c r="I1663" s="125"/>
      <c r="J1663" s="674"/>
      <c r="K1663" s="471"/>
      <c r="L1663" s="678"/>
    </row>
    <row r="1664">
      <c r="D1664" s="132"/>
      <c r="G1664" s="661"/>
      <c r="I1664" s="125"/>
      <c r="J1664" s="674"/>
      <c r="K1664" s="471"/>
      <c r="L1664" s="678"/>
    </row>
    <row r="1665">
      <c r="G1665" s="661"/>
      <c r="I1665" s="125"/>
      <c r="J1665" s="674"/>
      <c r="K1665" s="471"/>
      <c r="L1665" s="678"/>
    </row>
    <row r="1666">
      <c r="D1666" s="132"/>
      <c r="G1666" s="661"/>
      <c r="I1666" s="125"/>
      <c r="J1666" s="674"/>
      <c r="K1666" s="471"/>
      <c r="L1666" s="678"/>
    </row>
    <row r="1667">
      <c r="D1667" s="132"/>
      <c r="G1667" s="661"/>
      <c r="I1667" s="125"/>
      <c r="J1667" s="674"/>
      <c r="K1667" s="471"/>
      <c r="L1667" s="678"/>
    </row>
    <row r="1668">
      <c r="D1668" s="132"/>
      <c r="G1668" s="661"/>
      <c r="I1668" s="125"/>
      <c r="J1668" s="674"/>
      <c r="K1668" s="471"/>
      <c r="L1668" s="678"/>
    </row>
    <row r="1669">
      <c r="D1669" s="132"/>
      <c r="G1669" s="661"/>
      <c r="I1669" s="125"/>
      <c r="J1669" s="674"/>
      <c r="K1669" s="471"/>
      <c r="L1669" s="678"/>
    </row>
    <row r="1670">
      <c r="G1670" s="661"/>
      <c r="I1670" s="125"/>
      <c r="J1670" s="674"/>
      <c r="K1670" s="471"/>
      <c r="L1670" s="678"/>
    </row>
    <row r="1671">
      <c r="G1671" s="661"/>
      <c r="I1671" s="125"/>
      <c r="J1671" s="674"/>
      <c r="K1671" s="471"/>
      <c r="L1671" s="678"/>
    </row>
    <row r="1672">
      <c r="G1672" s="661"/>
      <c r="I1672" s="125"/>
      <c r="J1672" s="674"/>
      <c r="K1672" s="471"/>
      <c r="L1672" s="678"/>
    </row>
    <row r="1673">
      <c r="G1673" s="661"/>
      <c r="I1673" s="125"/>
      <c r="J1673" s="674"/>
      <c r="K1673" s="471"/>
      <c r="L1673" s="678"/>
    </row>
    <row r="1674">
      <c r="D1674" s="132"/>
      <c r="G1674" s="661"/>
      <c r="I1674" s="125"/>
      <c r="J1674" s="674"/>
      <c r="K1674" s="471"/>
      <c r="L1674" s="678"/>
    </row>
    <row r="1675">
      <c r="D1675" s="132"/>
      <c r="G1675" s="661"/>
      <c r="I1675" s="125"/>
      <c r="J1675" s="674"/>
      <c r="K1675" s="471"/>
      <c r="L1675" s="678"/>
    </row>
    <row r="1676">
      <c r="D1676" s="132"/>
      <c r="G1676" s="661"/>
      <c r="I1676" s="125"/>
      <c r="J1676" s="674"/>
      <c r="K1676" s="471"/>
      <c r="L1676" s="678"/>
    </row>
    <row r="1677">
      <c r="G1677" s="661"/>
      <c r="I1677" s="125"/>
      <c r="J1677" s="674"/>
      <c r="K1677" s="471"/>
      <c r="L1677" s="678"/>
    </row>
    <row r="1678">
      <c r="D1678" s="132"/>
      <c r="G1678" s="661"/>
      <c r="I1678" s="125"/>
      <c r="J1678" s="674"/>
      <c r="K1678" s="471"/>
      <c r="L1678" s="678"/>
    </row>
    <row r="1679">
      <c r="D1679" s="132"/>
      <c r="G1679" s="661"/>
      <c r="I1679" s="125"/>
      <c r="J1679" s="674"/>
      <c r="K1679" s="471"/>
      <c r="L1679" s="678"/>
    </row>
    <row r="1680">
      <c r="D1680" s="132"/>
      <c r="G1680" s="661"/>
      <c r="I1680" s="125"/>
      <c r="J1680" s="674"/>
      <c r="K1680" s="471"/>
      <c r="L1680" s="678"/>
    </row>
    <row r="1681">
      <c r="G1681" s="661"/>
      <c r="I1681" s="125"/>
      <c r="J1681" s="674"/>
      <c r="K1681" s="471"/>
      <c r="L1681" s="678"/>
    </row>
    <row r="1682">
      <c r="D1682" s="132"/>
      <c r="G1682" s="661"/>
      <c r="I1682" s="125"/>
      <c r="J1682" s="674"/>
      <c r="K1682" s="471"/>
      <c r="L1682" s="678"/>
    </row>
    <row r="1683">
      <c r="G1683" s="661"/>
      <c r="I1683" s="125"/>
      <c r="J1683" s="674"/>
      <c r="K1683" s="471"/>
      <c r="L1683" s="678"/>
    </row>
    <row r="1684">
      <c r="D1684" s="132"/>
      <c r="G1684" s="661"/>
      <c r="I1684" s="125"/>
      <c r="J1684" s="674"/>
      <c r="K1684" s="471"/>
      <c r="L1684" s="678"/>
    </row>
    <row r="1685">
      <c r="G1685" s="661"/>
      <c r="I1685" s="125"/>
      <c r="J1685" s="674"/>
      <c r="K1685" s="471"/>
      <c r="L1685" s="678"/>
    </row>
    <row r="1686">
      <c r="G1686" s="661"/>
      <c r="I1686" s="125"/>
      <c r="J1686" s="674"/>
      <c r="K1686" s="471"/>
      <c r="L1686" s="678"/>
    </row>
    <row r="1687">
      <c r="D1687" s="132"/>
      <c r="G1687" s="661"/>
      <c r="I1687" s="125"/>
      <c r="J1687" s="674"/>
      <c r="K1687" s="471"/>
      <c r="L1687" s="678"/>
    </row>
    <row r="1688">
      <c r="D1688" s="132"/>
      <c r="G1688" s="661"/>
      <c r="I1688" s="125"/>
      <c r="J1688" s="674"/>
      <c r="K1688" s="471"/>
      <c r="L1688" s="678"/>
    </row>
    <row r="1689">
      <c r="D1689" s="132"/>
      <c r="G1689" s="661"/>
      <c r="I1689" s="125"/>
      <c r="J1689" s="674"/>
      <c r="K1689" s="471"/>
      <c r="L1689" s="678"/>
    </row>
    <row r="1690">
      <c r="D1690" s="132"/>
      <c r="G1690" s="661"/>
      <c r="I1690" s="125"/>
      <c r="J1690" s="674"/>
      <c r="K1690" s="471"/>
      <c r="L1690" s="678"/>
    </row>
    <row r="1691">
      <c r="D1691" s="132"/>
      <c r="G1691" s="661"/>
      <c r="I1691" s="125"/>
      <c r="J1691" s="674"/>
      <c r="K1691" s="471"/>
      <c r="L1691" s="678"/>
    </row>
    <row r="1692">
      <c r="D1692" s="132"/>
      <c r="G1692" s="661"/>
      <c r="I1692" s="125"/>
      <c r="J1692" s="674"/>
      <c r="K1692" s="471"/>
      <c r="L1692" s="678"/>
    </row>
    <row r="1693">
      <c r="D1693" s="132"/>
      <c r="G1693" s="661"/>
      <c r="I1693" s="125"/>
      <c r="J1693" s="674"/>
      <c r="K1693" s="471"/>
      <c r="L1693" s="678"/>
    </row>
    <row r="1694">
      <c r="D1694" s="132"/>
      <c r="G1694" s="661"/>
      <c r="I1694" s="125"/>
      <c r="J1694" s="674"/>
      <c r="K1694" s="471"/>
      <c r="L1694" s="678"/>
    </row>
    <row r="1695">
      <c r="D1695" s="132"/>
      <c r="G1695" s="661"/>
      <c r="I1695" s="125"/>
      <c r="J1695" s="674"/>
      <c r="K1695" s="471"/>
      <c r="L1695" s="678"/>
    </row>
    <row r="1696">
      <c r="D1696" s="132"/>
      <c r="G1696" s="661"/>
      <c r="I1696" s="125"/>
      <c r="J1696" s="674"/>
      <c r="K1696" s="471"/>
      <c r="L1696" s="678"/>
    </row>
    <row r="1697">
      <c r="D1697" s="132"/>
      <c r="G1697" s="661"/>
      <c r="I1697" s="125"/>
      <c r="J1697" s="674"/>
      <c r="K1697" s="471"/>
      <c r="L1697" s="678"/>
    </row>
    <row r="1698">
      <c r="D1698" s="132"/>
      <c r="G1698" s="661"/>
      <c r="I1698" s="125"/>
      <c r="J1698" s="674"/>
      <c r="K1698" s="471"/>
      <c r="L1698" s="678"/>
    </row>
    <row r="1699">
      <c r="D1699" s="132"/>
      <c r="G1699" s="661"/>
      <c r="I1699" s="125"/>
      <c r="J1699" s="674"/>
      <c r="K1699" s="471"/>
      <c r="L1699" s="678"/>
    </row>
    <row r="1700">
      <c r="D1700" s="132"/>
      <c r="G1700" s="661"/>
      <c r="I1700" s="125"/>
      <c r="J1700" s="674"/>
      <c r="K1700" s="471"/>
      <c r="L1700" s="678"/>
    </row>
    <row r="1701">
      <c r="D1701" s="132"/>
      <c r="G1701" s="661"/>
      <c r="I1701" s="125"/>
      <c r="J1701" s="674"/>
      <c r="K1701" s="471"/>
      <c r="L1701" s="678"/>
    </row>
    <row r="1702">
      <c r="D1702" s="132"/>
      <c r="G1702" s="661"/>
      <c r="I1702" s="125"/>
      <c r="J1702" s="674"/>
      <c r="K1702" s="471"/>
      <c r="L1702" s="678"/>
    </row>
    <row r="1703">
      <c r="D1703" s="132"/>
      <c r="G1703" s="661"/>
      <c r="I1703" s="125"/>
      <c r="J1703" s="674"/>
      <c r="K1703" s="471"/>
      <c r="L1703" s="678"/>
    </row>
    <row r="1704">
      <c r="D1704" s="132"/>
      <c r="G1704" s="661"/>
      <c r="I1704" s="125"/>
      <c r="J1704" s="674"/>
      <c r="K1704" s="471"/>
      <c r="L1704" s="678"/>
    </row>
    <row r="1705">
      <c r="D1705" s="132"/>
      <c r="G1705" s="661"/>
      <c r="I1705" s="125"/>
      <c r="J1705" s="674"/>
      <c r="K1705" s="471"/>
      <c r="L1705" s="678"/>
    </row>
    <row r="1706">
      <c r="G1706" s="661"/>
      <c r="I1706" s="125"/>
      <c r="J1706" s="674"/>
      <c r="K1706" s="471"/>
      <c r="L1706" s="678"/>
    </row>
    <row r="1707">
      <c r="D1707" s="149"/>
      <c r="G1707" s="661"/>
      <c r="I1707" s="125"/>
      <c r="J1707" s="674"/>
      <c r="K1707" s="471"/>
      <c r="L1707" s="678"/>
    </row>
    <row r="1708">
      <c r="D1708" s="132"/>
      <c r="G1708" s="661"/>
      <c r="I1708" s="125"/>
      <c r="J1708" s="674"/>
      <c r="K1708" s="471"/>
      <c r="L1708" s="678"/>
    </row>
    <row r="1709">
      <c r="D1709" s="132"/>
      <c r="G1709" s="661"/>
      <c r="I1709" s="125"/>
      <c r="J1709" s="674"/>
      <c r="K1709" s="471"/>
      <c r="L1709" s="678"/>
    </row>
    <row r="1710">
      <c r="D1710" s="132"/>
      <c r="G1710" s="661"/>
      <c r="I1710" s="125"/>
      <c r="J1710" s="674"/>
      <c r="K1710" s="471"/>
      <c r="L1710" s="678"/>
    </row>
    <row r="1711">
      <c r="D1711" s="132"/>
      <c r="G1711" s="661"/>
      <c r="I1711" s="125"/>
      <c r="J1711" s="674"/>
      <c r="K1711" s="471"/>
      <c r="L1711" s="678"/>
    </row>
    <row r="1712">
      <c r="D1712" s="132"/>
      <c r="G1712" s="661"/>
      <c r="I1712" s="125"/>
      <c r="J1712" s="674"/>
      <c r="K1712" s="471"/>
      <c r="L1712" s="678"/>
    </row>
    <row r="1713">
      <c r="D1713" s="132"/>
      <c r="G1713" s="661"/>
      <c r="I1713" s="125"/>
      <c r="J1713" s="674"/>
      <c r="K1713" s="471"/>
      <c r="L1713" s="678"/>
    </row>
    <row r="1714">
      <c r="D1714" s="132"/>
      <c r="G1714" s="661"/>
      <c r="I1714" s="125"/>
      <c r="J1714" s="674"/>
      <c r="K1714" s="471"/>
      <c r="L1714" s="678"/>
    </row>
    <row r="1715">
      <c r="G1715" s="661"/>
      <c r="I1715" s="125"/>
      <c r="J1715" s="674"/>
      <c r="K1715" s="471"/>
      <c r="L1715" s="678"/>
    </row>
    <row r="1716">
      <c r="G1716" s="661"/>
      <c r="I1716" s="125"/>
      <c r="J1716" s="674"/>
      <c r="K1716" s="471"/>
      <c r="L1716" s="678"/>
    </row>
    <row r="1717">
      <c r="G1717" s="661"/>
      <c r="I1717" s="125"/>
      <c r="J1717" s="674"/>
      <c r="K1717" s="471"/>
      <c r="L1717" s="678"/>
    </row>
    <row r="1718">
      <c r="G1718" s="661"/>
      <c r="I1718" s="125"/>
      <c r="J1718" s="674"/>
      <c r="K1718" s="471"/>
      <c r="L1718" s="678"/>
    </row>
    <row r="1719">
      <c r="D1719" s="132"/>
      <c r="G1719" s="661"/>
      <c r="I1719" s="125"/>
      <c r="J1719" s="674"/>
      <c r="K1719" s="471"/>
      <c r="L1719" s="678"/>
    </row>
    <row r="1720">
      <c r="G1720" s="661"/>
      <c r="I1720" s="125"/>
      <c r="J1720" s="674"/>
      <c r="K1720" s="471"/>
      <c r="L1720" s="678"/>
    </row>
    <row r="1721">
      <c r="D1721" s="132"/>
      <c r="G1721" s="661"/>
      <c r="I1721" s="125"/>
      <c r="J1721" s="674"/>
      <c r="K1721" s="471"/>
      <c r="L1721" s="678"/>
    </row>
    <row r="1722">
      <c r="D1722" s="132"/>
      <c r="G1722" s="661"/>
      <c r="I1722" s="125"/>
      <c r="J1722" s="674"/>
      <c r="K1722" s="471"/>
      <c r="L1722" s="678"/>
    </row>
    <row r="1723">
      <c r="D1723" s="132"/>
      <c r="G1723" s="661"/>
      <c r="I1723" s="125"/>
      <c r="J1723" s="674"/>
      <c r="K1723" s="471"/>
      <c r="L1723" s="678"/>
    </row>
    <row r="1724">
      <c r="D1724" s="132"/>
      <c r="G1724" s="661"/>
      <c r="I1724" s="125"/>
      <c r="J1724" s="674"/>
      <c r="K1724" s="471"/>
      <c r="L1724" s="678"/>
    </row>
    <row r="1725">
      <c r="D1725" s="132"/>
      <c r="G1725" s="661"/>
      <c r="I1725" s="125"/>
      <c r="J1725" s="674"/>
      <c r="K1725" s="471"/>
      <c r="L1725" s="678"/>
    </row>
    <row r="1726">
      <c r="D1726" s="132"/>
      <c r="G1726" s="661"/>
      <c r="I1726" s="125"/>
      <c r="J1726" s="674"/>
      <c r="K1726" s="471"/>
      <c r="L1726" s="678"/>
    </row>
    <row r="1727">
      <c r="G1727" s="661"/>
      <c r="I1727" s="125"/>
      <c r="J1727" s="674"/>
      <c r="K1727" s="471"/>
      <c r="L1727" s="678"/>
    </row>
    <row r="1728">
      <c r="D1728" s="134"/>
      <c r="G1728" s="661"/>
      <c r="I1728" s="125"/>
      <c r="J1728" s="674"/>
      <c r="K1728" s="471"/>
      <c r="L1728" s="678"/>
    </row>
    <row r="1729">
      <c r="D1729" s="124"/>
      <c r="G1729" s="661"/>
      <c r="I1729" s="125"/>
      <c r="J1729" s="674"/>
      <c r="K1729" s="471"/>
      <c r="L1729" s="678"/>
    </row>
    <row r="1730">
      <c r="D1730" s="124"/>
      <c r="G1730" s="661"/>
      <c r="I1730" s="125"/>
      <c r="J1730" s="674"/>
      <c r="K1730" s="471"/>
      <c r="L1730" s="678"/>
    </row>
    <row r="1731">
      <c r="D1731" s="312"/>
      <c r="G1731" s="661"/>
      <c r="I1731" s="125"/>
      <c r="J1731" s="674"/>
      <c r="K1731" s="471"/>
      <c r="L1731" s="678"/>
    </row>
    <row r="1732">
      <c r="D1732" s="132"/>
      <c r="G1732" s="661"/>
      <c r="I1732" s="125"/>
      <c r="J1732" s="674"/>
      <c r="K1732" s="471"/>
      <c r="L1732" s="678"/>
    </row>
    <row r="1733">
      <c r="D1733" s="132"/>
      <c r="G1733" s="661"/>
      <c r="I1733" s="125"/>
      <c r="J1733" s="674"/>
      <c r="K1733" s="471"/>
      <c r="L1733" s="678"/>
    </row>
    <row r="1734">
      <c r="D1734" s="149"/>
      <c r="G1734" s="661"/>
      <c r="I1734" s="125"/>
      <c r="J1734" s="674"/>
      <c r="K1734" s="471"/>
      <c r="L1734" s="678"/>
    </row>
    <row r="1735">
      <c r="D1735" s="132"/>
      <c r="G1735" s="661"/>
      <c r="I1735" s="125"/>
      <c r="J1735" s="674"/>
      <c r="K1735" s="471"/>
      <c r="L1735" s="678"/>
    </row>
    <row r="1736">
      <c r="D1736" s="132"/>
      <c r="G1736" s="661"/>
      <c r="I1736" s="125"/>
      <c r="J1736" s="674"/>
      <c r="K1736" s="471"/>
      <c r="L1736" s="678"/>
    </row>
    <row r="1737">
      <c r="D1737" s="132"/>
      <c r="G1737" s="661"/>
      <c r="I1737" s="125"/>
      <c r="J1737" s="674"/>
      <c r="K1737" s="471"/>
      <c r="L1737" s="678"/>
    </row>
    <row r="1738">
      <c r="G1738" s="661"/>
      <c r="I1738" s="125"/>
      <c r="J1738" s="674"/>
      <c r="K1738" s="471"/>
      <c r="L1738" s="678"/>
    </row>
    <row r="1739">
      <c r="D1739" s="132"/>
      <c r="G1739" s="661"/>
      <c r="I1739" s="125"/>
      <c r="J1739" s="674"/>
      <c r="K1739" s="471"/>
      <c r="L1739" s="678"/>
    </row>
    <row r="1740">
      <c r="G1740" s="661"/>
      <c r="I1740" s="125"/>
      <c r="J1740" s="674"/>
      <c r="K1740" s="471"/>
      <c r="L1740" s="678"/>
    </row>
    <row r="1741">
      <c r="D1741" s="132"/>
      <c r="G1741" s="661"/>
      <c r="I1741" s="125"/>
      <c r="J1741" s="674"/>
      <c r="K1741" s="471"/>
      <c r="L1741" s="678"/>
    </row>
    <row r="1742">
      <c r="D1742" s="132"/>
      <c r="G1742" s="661"/>
      <c r="I1742" s="125"/>
      <c r="J1742" s="674"/>
      <c r="K1742" s="471"/>
      <c r="L1742" s="678"/>
    </row>
    <row r="1743">
      <c r="D1743" s="132"/>
      <c r="G1743" s="661"/>
      <c r="I1743" s="125"/>
      <c r="J1743" s="674"/>
      <c r="K1743" s="471"/>
      <c r="L1743" s="678"/>
    </row>
    <row r="1744">
      <c r="D1744" s="132"/>
      <c r="G1744" s="661"/>
      <c r="I1744" s="125"/>
      <c r="J1744" s="674"/>
      <c r="K1744" s="471"/>
      <c r="L1744" s="678"/>
    </row>
    <row r="1745">
      <c r="D1745" s="132"/>
      <c r="G1745" s="661"/>
      <c r="I1745" s="125"/>
      <c r="J1745" s="674"/>
      <c r="K1745" s="471"/>
      <c r="L1745" s="678"/>
    </row>
    <row r="1746">
      <c r="D1746" s="132"/>
      <c r="G1746" s="661"/>
      <c r="I1746" s="125"/>
      <c r="J1746" s="674"/>
      <c r="K1746" s="471"/>
      <c r="L1746" s="678"/>
    </row>
    <row r="1747">
      <c r="D1747" s="132"/>
      <c r="G1747" s="661"/>
      <c r="I1747" s="125"/>
      <c r="J1747" s="674"/>
      <c r="K1747" s="471"/>
      <c r="L1747" s="678"/>
    </row>
    <row r="1748">
      <c r="D1748" s="132"/>
      <c r="G1748" s="661"/>
      <c r="I1748" s="125"/>
      <c r="J1748" s="674"/>
      <c r="K1748" s="471"/>
      <c r="L1748" s="678"/>
    </row>
    <row r="1749">
      <c r="D1749" s="132"/>
      <c r="G1749" s="661"/>
      <c r="I1749" s="125"/>
      <c r="J1749" s="674"/>
      <c r="K1749" s="471"/>
      <c r="L1749" s="678"/>
    </row>
    <row r="1750">
      <c r="D1750" s="132"/>
      <c r="G1750" s="661"/>
      <c r="I1750" s="125"/>
      <c r="J1750" s="674"/>
      <c r="K1750" s="471"/>
      <c r="L1750" s="678"/>
    </row>
    <row r="1751">
      <c r="G1751" s="661"/>
      <c r="I1751" s="125"/>
      <c r="J1751" s="674"/>
      <c r="K1751" s="471"/>
      <c r="L1751" s="678"/>
    </row>
    <row r="1752">
      <c r="D1752" s="132"/>
      <c r="G1752" s="661"/>
      <c r="I1752" s="125"/>
      <c r="J1752" s="674"/>
      <c r="K1752" s="471"/>
      <c r="L1752" s="678"/>
    </row>
    <row r="1753">
      <c r="D1753" s="132"/>
      <c r="G1753" s="661"/>
      <c r="I1753" s="125"/>
      <c r="J1753" s="674"/>
      <c r="K1753" s="471"/>
      <c r="L1753" s="678"/>
    </row>
    <row r="1754">
      <c r="D1754" s="132"/>
      <c r="G1754" s="661"/>
      <c r="I1754" s="125"/>
      <c r="J1754" s="674"/>
      <c r="K1754" s="471"/>
      <c r="L1754" s="678"/>
    </row>
    <row r="1755">
      <c r="D1755" s="132"/>
      <c r="G1755" s="661"/>
      <c r="I1755" s="125"/>
      <c r="J1755" s="674"/>
      <c r="K1755" s="471"/>
      <c r="L1755" s="678"/>
    </row>
    <row r="1756">
      <c r="D1756" s="132"/>
      <c r="G1756" s="661"/>
      <c r="I1756" s="125"/>
      <c r="J1756" s="674"/>
      <c r="K1756" s="471"/>
      <c r="L1756" s="678"/>
    </row>
    <row r="1757">
      <c r="D1757" s="132"/>
      <c r="G1757" s="661"/>
      <c r="I1757" s="125"/>
      <c r="J1757" s="674"/>
      <c r="K1757" s="471"/>
      <c r="L1757" s="678"/>
    </row>
    <row r="1758">
      <c r="D1758" s="132"/>
      <c r="G1758" s="661"/>
      <c r="I1758" s="125"/>
      <c r="J1758" s="674"/>
      <c r="K1758" s="471"/>
      <c r="L1758" s="678"/>
    </row>
    <row r="1759">
      <c r="G1759" s="661"/>
      <c r="I1759" s="125"/>
      <c r="J1759" s="674"/>
      <c r="K1759" s="471"/>
      <c r="L1759" s="678"/>
    </row>
    <row r="1760">
      <c r="D1760" s="132"/>
      <c r="G1760" s="661"/>
      <c r="I1760" s="125"/>
      <c r="J1760" s="674"/>
      <c r="K1760" s="471"/>
      <c r="L1760" s="678"/>
    </row>
    <row r="1761">
      <c r="D1761" s="132"/>
      <c r="G1761" s="661"/>
      <c r="I1761" s="125"/>
      <c r="J1761" s="674"/>
      <c r="K1761" s="471"/>
      <c r="L1761" s="678"/>
    </row>
    <row r="1762">
      <c r="G1762" s="661"/>
      <c r="I1762" s="125"/>
      <c r="J1762" s="674"/>
      <c r="K1762" s="471"/>
      <c r="L1762" s="678"/>
    </row>
    <row r="1763">
      <c r="D1763" s="132"/>
      <c r="G1763" s="661"/>
      <c r="I1763" s="125"/>
      <c r="J1763" s="674"/>
      <c r="K1763" s="471"/>
      <c r="L1763" s="678"/>
    </row>
    <row r="1764">
      <c r="D1764" s="132"/>
      <c r="G1764" s="661"/>
      <c r="I1764" s="125"/>
      <c r="J1764" s="674"/>
      <c r="K1764" s="471"/>
      <c r="L1764" s="678"/>
    </row>
    <row r="1765">
      <c r="G1765" s="661"/>
      <c r="I1765" s="125"/>
      <c r="J1765" s="674"/>
      <c r="K1765" s="471"/>
      <c r="L1765" s="678"/>
    </row>
    <row r="1766">
      <c r="D1766" s="132"/>
      <c r="G1766" s="661"/>
      <c r="I1766" s="125"/>
      <c r="J1766" s="674"/>
      <c r="K1766" s="471"/>
      <c r="L1766" s="678"/>
    </row>
    <row r="1767">
      <c r="G1767" s="661"/>
      <c r="I1767" s="125"/>
      <c r="J1767" s="674"/>
      <c r="K1767" s="471"/>
      <c r="L1767" s="678"/>
    </row>
    <row r="1768">
      <c r="D1768" s="132"/>
      <c r="G1768" s="661"/>
      <c r="I1768" s="125"/>
      <c r="J1768" s="674"/>
      <c r="K1768" s="471"/>
      <c r="L1768" s="678"/>
    </row>
    <row r="1769">
      <c r="D1769" s="132"/>
      <c r="G1769" s="661"/>
      <c r="I1769" s="125"/>
      <c r="J1769" s="674"/>
      <c r="K1769" s="471"/>
      <c r="L1769" s="678"/>
    </row>
    <row r="1770">
      <c r="D1770" s="132"/>
      <c r="G1770" s="661"/>
      <c r="I1770" s="125"/>
      <c r="J1770" s="674"/>
      <c r="K1770" s="471"/>
      <c r="L1770" s="678"/>
    </row>
    <row r="1771">
      <c r="D1771" s="132"/>
      <c r="G1771" s="661"/>
      <c r="I1771" s="125"/>
      <c r="J1771" s="674"/>
      <c r="K1771" s="471"/>
      <c r="L1771" s="678"/>
    </row>
    <row r="1772">
      <c r="D1772" s="132"/>
      <c r="G1772" s="661"/>
      <c r="I1772" s="125"/>
      <c r="J1772" s="674"/>
      <c r="K1772" s="471"/>
      <c r="L1772" s="678"/>
    </row>
    <row r="1773">
      <c r="G1773" s="661"/>
      <c r="I1773" s="125"/>
      <c r="J1773" s="674"/>
      <c r="K1773" s="471"/>
      <c r="L1773" s="678"/>
    </row>
    <row r="1774">
      <c r="G1774" s="661"/>
      <c r="I1774" s="125"/>
      <c r="J1774" s="674"/>
      <c r="K1774" s="471"/>
      <c r="L1774" s="678"/>
    </row>
    <row r="1775">
      <c r="D1775" s="132"/>
      <c r="G1775" s="661"/>
      <c r="I1775" s="125"/>
      <c r="J1775" s="674"/>
      <c r="K1775" s="471"/>
      <c r="L1775" s="678"/>
    </row>
    <row r="1776">
      <c r="D1776" s="132"/>
      <c r="G1776" s="661"/>
      <c r="I1776" s="125"/>
      <c r="J1776" s="674"/>
      <c r="K1776" s="471"/>
      <c r="L1776" s="678"/>
    </row>
    <row r="1777">
      <c r="D1777" s="132"/>
      <c r="G1777" s="661"/>
      <c r="I1777" s="125"/>
      <c r="J1777" s="674"/>
      <c r="K1777" s="471"/>
      <c r="L1777" s="678"/>
    </row>
    <row r="1778">
      <c r="D1778" s="132"/>
      <c r="G1778" s="661"/>
      <c r="I1778" s="125"/>
      <c r="J1778" s="674"/>
      <c r="K1778" s="471"/>
      <c r="L1778" s="678"/>
    </row>
    <row r="1779">
      <c r="D1779" s="132"/>
      <c r="G1779" s="661"/>
      <c r="I1779" s="125"/>
      <c r="J1779" s="674"/>
      <c r="K1779" s="471"/>
      <c r="L1779" s="678"/>
    </row>
    <row r="1780">
      <c r="G1780" s="661"/>
      <c r="I1780" s="125"/>
      <c r="J1780" s="674"/>
      <c r="K1780" s="471"/>
      <c r="L1780" s="678"/>
    </row>
    <row r="1781">
      <c r="D1781" s="132"/>
      <c r="G1781" s="661"/>
      <c r="I1781" s="125"/>
      <c r="J1781" s="674"/>
      <c r="K1781" s="471"/>
      <c r="L1781" s="678"/>
    </row>
    <row r="1782">
      <c r="D1782" s="132"/>
      <c r="G1782" s="661"/>
      <c r="I1782" s="125"/>
      <c r="J1782" s="674"/>
      <c r="K1782" s="471"/>
      <c r="L1782" s="678"/>
    </row>
    <row r="1783">
      <c r="D1783" s="132"/>
      <c r="G1783" s="661"/>
      <c r="I1783" s="125"/>
      <c r="J1783" s="674"/>
      <c r="K1783" s="471"/>
      <c r="L1783" s="678"/>
    </row>
    <row r="1784">
      <c r="D1784" s="132"/>
      <c r="G1784" s="661"/>
      <c r="I1784" s="125"/>
      <c r="J1784" s="674"/>
      <c r="K1784" s="471"/>
      <c r="L1784" s="678"/>
    </row>
    <row r="1785">
      <c r="D1785" s="132"/>
      <c r="G1785" s="661"/>
      <c r="I1785" s="125"/>
      <c r="J1785" s="674"/>
      <c r="K1785" s="471"/>
      <c r="L1785" s="678"/>
    </row>
    <row r="1786">
      <c r="D1786" s="132"/>
      <c r="G1786" s="661"/>
      <c r="I1786" s="125"/>
      <c r="J1786" s="674"/>
      <c r="K1786" s="471"/>
      <c r="L1786" s="678"/>
    </row>
    <row r="1787">
      <c r="D1787" s="132"/>
      <c r="G1787" s="661"/>
      <c r="I1787" s="125"/>
      <c r="J1787" s="674"/>
      <c r="K1787" s="471"/>
      <c r="L1787" s="678"/>
    </row>
    <row r="1788">
      <c r="D1788" s="132"/>
      <c r="G1788" s="661"/>
      <c r="I1788" s="125"/>
      <c r="J1788" s="674"/>
      <c r="K1788" s="471"/>
      <c r="L1788" s="678"/>
    </row>
    <row r="1789">
      <c r="D1789" s="132"/>
      <c r="G1789" s="661"/>
      <c r="I1789" s="125"/>
      <c r="J1789" s="674"/>
      <c r="K1789" s="471"/>
      <c r="L1789" s="678"/>
    </row>
    <row r="1790">
      <c r="D1790" s="132"/>
      <c r="G1790" s="661"/>
      <c r="I1790" s="125"/>
      <c r="J1790" s="674"/>
      <c r="K1790" s="471"/>
      <c r="L1790" s="678"/>
    </row>
    <row r="1791">
      <c r="D1791" s="132"/>
      <c r="G1791" s="661"/>
      <c r="I1791" s="125"/>
      <c r="J1791" s="674"/>
      <c r="K1791" s="471"/>
      <c r="L1791" s="678"/>
    </row>
    <row r="1792">
      <c r="D1792" s="132"/>
      <c r="G1792" s="661"/>
      <c r="I1792" s="125"/>
      <c r="J1792" s="674"/>
      <c r="K1792" s="471"/>
      <c r="L1792" s="678"/>
    </row>
    <row r="1793">
      <c r="G1793" s="661"/>
      <c r="I1793" s="125"/>
      <c r="J1793" s="674"/>
      <c r="K1793" s="471"/>
      <c r="L1793" s="678"/>
    </row>
    <row r="1794">
      <c r="D1794" s="132"/>
      <c r="G1794" s="661"/>
      <c r="I1794" s="125"/>
      <c r="J1794" s="674"/>
      <c r="K1794" s="471"/>
      <c r="L1794" s="678"/>
    </row>
    <row r="1795">
      <c r="G1795" s="661"/>
      <c r="I1795" s="125"/>
      <c r="J1795" s="674"/>
      <c r="K1795" s="471"/>
      <c r="L1795" s="678"/>
    </row>
    <row r="1796">
      <c r="D1796" s="132"/>
      <c r="G1796" s="661"/>
      <c r="I1796" s="125"/>
      <c r="J1796" s="674"/>
      <c r="K1796" s="471"/>
      <c r="L1796" s="678"/>
    </row>
    <row r="1797">
      <c r="D1797" s="132"/>
      <c r="G1797" s="661"/>
      <c r="I1797" s="125"/>
      <c r="J1797" s="674"/>
      <c r="K1797" s="471"/>
      <c r="L1797" s="678"/>
    </row>
    <row r="1798">
      <c r="D1798" s="132"/>
      <c r="G1798" s="661"/>
      <c r="I1798" s="125"/>
      <c r="J1798" s="674"/>
      <c r="K1798" s="471"/>
      <c r="L1798" s="678"/>
    </row>
    <row r="1799">
      <c r="D1799" s="132"/>
      <c r="G1799" s="661"/>
      <c r="I1799" s="125"/>
      <c r="J1799" s="674"/>
      <c r="K1799" s="471"/>
      <c r="L1799" s="678"/>
    </row>
    <row r="1800">
      <c r="D1800" s="132"/>
      <c r="G1800" s="661"/>
      <c r="I1800" s="125"/>
      <c r="J1800" s="674"/>
      <c r="K1800" s="471"/>
      <c r="L1800" s="678"/>
    </row>
    <row r="1801">
      <c r="D1801" s="132"/>
      <c r="G1801" s="661"/>
      <c r="I1801" s="125"/>
      <c r="J1801" s="674"/>
      <c r="K1801" s="471"/>
      <c r="L1801" s="678"/>
    </row>
    <row r="1802">
      <c r="D1802" s="149"/>
      <c r="G1802" s="661"/>
      <c r="I1802" s="125"/>
      <c r="J1802" s="674"/>
      <c r="K1802" s="471"/>
      <c r="L1802" s="678"/>
    </row>
    <row r="1803">
      <c r="G1803" s="661"/>
      <c r="I1803" s="125"/>
      <c r="J1803" s="674"/>
      <c r="K1803" s="471"/>
      <c r="L1803" s="678"/>
    </row>
    <row r="1804">
      <c r="G1804" s="661"/>
      <c r="I1804" s="125"/>
      <c r="J1804" s="674"/>
      <c r="K1804" s="471"/>
      <c r="L1804" s="678"/>
    </row>
    <row r="1805">
      <c r="D1805" s="132"/>
      <c r="G1805" s="661"/>
      <c r="I1805" s="125"/>
      <c r="J1805" s="674"/>
      <c r="K1805" s="471"/>
      <c r="L1805" s="678"/>
    </row>
    <row r="1806">
      <c r="D1806" s="132"/>
      <c r="G1806" s="661"/>
      <c r="I1806" s="125"/>
      <c r="J1806" s="674"/>
      <c r="K1806" s="471"/>
      <c r="L1806" s="678"/>
    </row>
    <row r="1807">
      <c r="D1807" s="132"/>
      <c r="G1807" s="661"/>
      <c r="I1807" s="125"/>
      <c r="J1807" s="674"/>
      <c r="K1807" s="471"/>
      <c r="L1807" s="678"/>
    </row>
    <row r="1808">
      <c r="D1808" s="132"/>
      <c r="G1808" s="661"/>
      <c r="I1808" s="125"/>
      <c r="J1808" s="674"/>
      <c r="K1808" s="471"/>
      <c r="L1808" s="678"/>
    </row>
    <row r="1809">
      <c r="D1809" s="132"/>
      <c r="G1809" s="661"/>
      <c r="I1809" s="125"/>
      <c r="J1809" s="674"/>
      <c r="K1809" s="471"/>
      <c r="L1809" s="678"/>
    </row>
    <row r="1810">
      <c r="D1810" s="132"/>
      <c r="G1810" s="661"/>
      <c r="I1810" s="125"/>
      <c r="J1810" s="674"/>
      <c r="K1810" s="471"/>
      <c r="L1810" s="678"/>
    </row>
    <row r="1811">
      <c r="D1811" s="132"/>
      <c r="G1811" s="661"/>
      <c r="I1811" s="125"/>
      <c r="J1811" s="674"/>
      <c r="K1811" s="471"/>
      <c r="L1811" s="678"/>
    </row>
    <row r="1812">
      <c r="D1812" s="132"/>
      <c r="G1812" s="661"/>
      <c r="I1812" s="125"/>
      <c r="J1812" s="674"/>
      <c r="K1812" s="471"/>
      <c r="L1812" s="678"/>
    </row>
    <row r="1813">
      <c r="G1813" s="661"/>
      <c r="I1813" s="125"/>
      <c r="J1813" s="674"/>
      <c r="K1813" s="471"/>
      <c r="L1813" s="678"/>
    </row>
    <row r="1814">
      <c r="D1814" s="132"/>
      <c r="G1814" s="661"/>
      <c r="I1814" s="125"/>
      <c r="J1814" s="674"/>
      <c r="K1814" s="471"/>
      <c r="L1814" s="678"/>
    </row>
    <row r="1815">
      <c r="D1815" s="313"/>
      <c r="G1815" s="661"/>
      <c r="I1815" s="125"/>
      <c r="J1815" s="674"/>
      <c r="K1815" s="471"/>
      <c r="L1815" s="678"/>
    </row>
    <row r="1816">
      <c r="D1816" s="132"/>
      <c r="G1816" s="661"/>
      <c r="I1816" s="125"/>
      <c r="J1816" s="674"/>
      <c r="K1816" s="471"/>
      <c r="L1816" s="678"/>
    </row>
    <row r="1817">
      <c r="D1817" s="132"/>
      <c r="G1817" s="661"/>
      <c r="I1817" s="125"/>
      <c r="J1817" s="674"/>
      <c r="K1817" s="471"/>
      <c r="L1817" s="678"/>
    </row>
    <row r="1818">
      <c r="D1818" s="132"/>
      <c r="G1818" s="661"/>
      <c r="I1818" s="125"/>
      <c r="J1818" s="674"/>
      <c r="K1818" s="471"/>
      <c r="L1818" s="678"/>
    </row>
    <row r="1819">
      <c r="D1819" s="132"/>
      <c r="G1819" s="661"/>
      <c r="I1819" s="125"/>
      <c r="J1819" s="674"/>
      <c r="K1819" s="471"/>
      <c r="L1819" s="678"/>
    </row>
    <row r="1820">
      <c r="D1820" s="132"/>
      <c r="G1820" s="661"/>
      <c r="I1820" s="125"/>
      <c r="J1820" s="674"/>
      <c r="K1820" s="471"/>
      <c r="L1820" s="678"/>
    </row>
    <row r="1821">
      <c r="D1821" s="132"/>
      <c r="G1821" s="661"/>
      <c r="I1821" s="125"/>
      <c r="J1821" s="674"/>
      <c r="K1821" s="471"/>
      <c r="L1821" s="678"/>
    </row>
    <row r="1822">
      <c r="D1822" s="132"/>
      <c r="G1822" s="661"/>
      <c r="I1822" s="125"/>
      <c r="J1822" s="674"/>
      <c r="K1822" s="471"/>
      <c r="L1822" s="678"/>
    </row>
    <row r="1823">
      <c r="G1823" s="661"/>
      <c r="I1823" s="125"/>
      <c r="J1823" s="674"/>
      <c r="K1823" s="471"/>
      <c r="L1823" s="678"/>
    </row>
    <row r="1824">
      <c r="D1824" s="132"/>
      <c r="G1824" s="661"/>
      <c r="I1824" s="125"/>
      <c r="J1824" s="674"/>
      <c r="K1824" s="471"/>
      <c r="L1824" s="678"/>
    </row>
    <row r="1825">
      <c r="D1825" s="132"/>
      <c r="G1825" s="661"/>
      <c r="I1825" s="125"/>
      <c r="J1825" s="674"/>
      <c r="K1825" s="471"/>
      <c r="L1825" s="678"/>
    </row>
    <row r="1826">
      <c r="D1826" s="132"/>
      <c r="G1826" s="661"/>
      <c r="I1826" s="125"/>
      <c r="J1826" s="674"/>
      <c r="K1826" s="471"/>
      <c r="L1826" s="678"/>
    </row>
    <row r="1827">
      <c r="G1827" s="661"/>
      <c r="I1827" s="125"/>
      <c r="J1827" s="674"/>
      <c r="K1827" s="471"/>
      <c r="L1827" s="678"/>
    </row>
    <row r="1828">
      <c r="D1828" s="149"/>
      <c r="G1828" s="661"/>
      <c r="I1828" s="125"/>
      <c r="J1828" s="674"/>
      <c r="K1828" s="471"/>
      <c r="L1828" s="678"/>
    </row>
    <row r="1829">
      <c r="D1829" s="132"/>
      <c r="G1829" s="661"/>
      <c r="I1829" s="125"/>
      <c r="J1829" s="674"/>
      <c r="K1829" s="471"/>
      <c r="L1829" s="678"/>
    </row>
    <row r="1830">
      <c r="D1830" s="149"/>
      <c r="G1830" s="661"/>
      <c r="I1830" s="125"/>
      <c r="J1830" s="674"/>
      <c r="K1830" s="471"/>
      <c r="L1830" s="678"/>
    </row>
    <row r="1831">
      <c r="D1831" s="132"/>
      <c r="G1831" s="661"/>
      <c r="I1831" s="125"/>
      <c r="J1831" s="674"/>
      <c r="K1831" s="471"/>
      <c r="L1831" s="678"/>
    </row>
    <row r="1832">
      <c r="D1832" s="132"/>
      <c r="G1832" s="661"/>
      <c r="I1832" s="125"/>
      <c r="J1832" s="674"/>
      <c r="K1832" s="471"/>
      <c r="L1832" s="678"/>
    </row>
    <row r="1833">
      <c r="D1833" s="132"/>
      <c r="G1833" s="661"/>
      <c r="I1833" s="125"/>
      <c r="J1833" s="674"/>
      <c r="K1833" s="471"/>
      <c r="L1833" s="678"/>
    </row>
    <row r="1834">
      <c r="D1834" s="132"/>
      <c r="G1834" s="661"/>
      <c r="I1834" s="125"/>
      <c r="J1834" s="674"/>
      <c r="K1834" s="471"/>
      <c r="L1834" s="678"/>
    </row>
    <row r="1835">
      <c r="D1835" s="132"/>
      <c r="G1835" s="661"/>
      <c r="I1835" s="125"/>
      <c r="J1835" s="674"/>
      <c r="K1835" s="471"/>
      <c r="L1835" s="678"/>
    </row>
    <row r="1836">
      <c r="D1836" s="132"/>
      <c r="G1836" s="661"/>
      <c r="I1836" s="125"/>
      <c r="J1836" s="674"/>
      <c r="K1836" s="471"/>
      <c r="L1836" s="678"/>
    </row>
    <row r="1837">
      <c r="D1837" s="270"/>
      <c r="G1837" s="661"/>
      <c r="I1837" s="125"/>
      <c r="J1837" s="674"/>
      <c r="K1837" s="471"/>
      <c r="L1837" s="678"/>
    </row>
    <row r="1838">
      <c r="D1838" s="132"/>
      <c r="G1838" s="661"/>
      <c r="I1838" s="125"/>
      <c r="J1838" s="674"/>
      <c r="K1838" s="471"/>
      <c r="L1838" s="678"/>
    </row>
    <row r="1839">
      <c r="D1839" s="132"/>
      <c r="G1839" s="661"/>
      <c r="I1839" s="125"/>
      <c r="J1839" s="674"/>
      <c r="K1839" s="471"/>
      <c r="L1839" s="678"/>
    </row>
    <row r="1840">
      <c r="G1840" s="661"/>
      <c r="I1840" s="125"/>
      <c r="J1840" s="674"/>
      <c r="K1840" s="471"/>
      <c r="L1840" s="678"/>
    </row>
    <row r="1841">
      <c r="D1841" s="132"/>
      <c r="G1841" s="661"/>
      <c r="I1841" s="125"/>
      <c r="J1841" s="674"/>
      <c r="K1841" s="471"/>
      <c r="L1841" s="678"/>
    </row>
    <row r="1842">
      <c r="G1842" s="661"/>
      <c r="I1842" s="125"/>
      <c r="J1842" s="674"/>
      <c r="K1842" s="471"/>
      <c r="L1842" s="678"/>
    </row>
    <row r="1843">
      <c r="G1843" s="661"/>
      <c r="I1843" s="125"/>
      <c r="J1843" s="674"/>
      <c r="K1843" s="471"/>
      <c r="L1843" s="678"/>
    </row>
    <row r="1844">
      <c r="D1844" s="132"/>
      <c r="G1844" s="661"/>
      <c r="I1844" s="125"/>
      <c r="J1844" s="674"/>
      <c r="K1844" s="471"/>
      <c r="L1844" s="678"/>
    </row>
    <row r="1845">
      <c r="G1845" s="661"/>
      <c r="I1845" s="125"/>
      <c r="J1845" s="674"/>
      <c r="K1845" s="471"/>
      <c r="L1845" s="678"/>
    </row>
    <row r="1846">
      <c r="D1846" s="132"/>
      <c r="G1846" s="661"/>
      <c r="I1846" s="125"/>
      <c r="J1846" s="674"/>
      <c r="K1846" s="471"/>
      <c r="L1846" s="678"/>
    </row>
    <row r="1847">
      <c r="G1847" s="661"/>
      <c r="I1847" s="125"/>
      <c r="J1847" s="674"/>
      <c r="K1847" s="471"/>
      <c r="L1847" s="678"/>
    </row>
    <row r="1848">
      <c r="D1848" s="132"/>
      <c r="G1848" s="661"/>
      <c r="I1848" s="125"/>
      <c r="J1848" s="674"/>
      <c r="K1848" s="471"/>
      <c r="L1848" s="678"/>
    </row>
    <row r="1849">
      <c r="G1849" s="661"/>
      <c r="I1849" s="125"/>
      <c r="J1849" s="674"/>
      <c r="K1849" s="471"/>
      <c r="L1849" s="678"/>
    </row>
    <row r="1850">
      <c r="G1850" s="661"/>
      <c r="I1850" s="125"/>
      <c r="J1850" s="674"/>
      <c r="K1850" s="471"/>
      <c r="L1850" s="678"/>
    </row>
    <row r="1851">
      <c r="D1851" s="132"/>
      <c r="G1851" s="661"/>
      <c r="I1851" s="125"/>
      <c r="J1851" s="674"/>
      <c r="K1851" s="471"/>
      <c r="L1851" s="678"/>
    </row>
    <row r="1852">
      <c r="D1852" s="132"/>
      <c r="G1852" s="661"/>
      <c r="I1852" s="125"/>
      <c r="J1852" s="674"/>
      <c r="K1852" s="471"/>
      <c r="L1852" s="678"/>
    </row>
    <row r="1853">
      <c r="D1853" s="132"/>
      <c r="G1853" s="661"/>
      <c r="I1853" s="125"/>
      <c r="J1853" s="674"/>
      <c r="K1853" s="471"/>
      <c r="L1853" s="678"/>
    </row>
    <row r="1854">
      <c r="D1854" s="132"/>
      <c r="G1854" s="661"/>
      <c r="I1854" s="125"/>
      <c r="J1854" s="674"/>
      <c r="K1854" s="471"/>
      <c r="L1854" s="678"/>
    </row>
    <row r="1855">
      <c r="D1855" s="132"/>
      <c r="G1855" s="661"/>
      <c r="I1855" s="125"/>
      <c r="J1855" s="674"/>
      <c r="K1855" s="471"/>
      <c r="L1855" s="678"/>
    </row>
    <row r="1856">
      <c r="G1856" s="661"/>
      <c r="I1856" s="125"/>
      <c r="J1856" s="674"/>
      <c r="K1856" s="471"/>
      <c r="L1856" s="678"/>
    </row>
    <row r="1857">
      <c r="G1857" s="661"/>
      <c r="I1857" s="125"/>
      <c r="J1857" s="674"/>
      <c r="K1857" s="471"/>
      <c r="L1857" s="671" t="s">
        <v>2576</v>
      </c>
    </row>
    <row r="1858">
      <c r="D1858" s="132"/>
      <c r="G1858" s="661"/>
      <c r="I1858" s="125"/>
      <c r="J1858" s="674"/>
      <c r="K1858" s="471"/>
      <c r="L1858" s="673">
        <v>0.013</v>
      </c>
    </row>
    <row r="1859">
      <c r="D1859" s="132"/>
      <c r="G1859" s="661"/>
      <c r="I1859" s="125"/>
      <c r="J1859" s="674"/>
      <c r="K1859" s="471"/>
      <c r="L1859" s="675"/>
    </row>
    <row r="1860">
      <c r="D1860" s="132"/>
      <c r="G1860" s="661"/>
      <c r="I1860" s="125"/>
      <c r="J1860" s="674"/>
      <c r="K1860" s="471"/>
      <c r="L1860" s="677"/>
    </row>
    <row r="1861">
      <c r="G1861" s="661"/>
      <c r="I1861" s="125"/>
      <c r="J1861" s="674"/>
      <c r="K1861" s="471"/>
      <c r="L1861" s="677"/>
    </row>
    <row r="1862">
      <c r="G1862" s="661"/>
      <c r="I1862" s="125"/>
      <c r="J1862" s="674"/>
      <c r="K1862" s="471"/>
      <c r="L1862" s="677"/>
    </row>
    <row r="1863">
      <c r="G1863" s="661"/>
      <c r="I1863" s="125"/>
      <c r="J1863" s="674"/>
      <c r="K1863" s="471"/>
      <c r="L1863" s="677"/>
    </row>
    <row r="1864">
      <c r="D1864" s="132"/>
      <c r="G1864" s="661"/>
      <c r="I1864" s="125"/>
      <c r="J1864" s="674"/>
      <c r="K1864" s="471"/>
      <c r="L1864" s="677"/>
    </row>
    <row r="1865">
      <c r="D1865" s="132"/>
      <c r="G1865" s="661"/>
      <c r="I1865" s="125"/>
      <c r="J1865" s="674"/>
      <c r="K1865" s="471"/>
      <c r="L1865" s="678"/>
    </row>
    <row r="1866">
      <c r="D1866" s="132"/>
      <c r="G1866" s="661"/>
      <c r="I1866" s="125"/>
      <c r="J1866" s="674"/>
      <c r="K1866" s="471"/>
      <c r="L1866" s="678"/>
    </row>
    <row r="1867">
      <c r="D1867" s="132"/>
      <c r="G1867" s="661"/>
      <c r="I1867" s="125"/>
      <c r="J1867" s="674"/>
      <c r="K1867" s="471"/>
      <c r="L1867" s="677"/>
    </row>
    <row r="1868">
      <c r="D1868" s="132"/>
      <c r="G1868" s="661"/>
      <c r="I1868" s="125"/>
      <c r="J1868" s="674"/>
      <c r="K1868" s="471"/>
      <c r="L1868" s="677"/>
    </row>
    <row r="1869">
      <c r="D1869" s="132"/>
      <c r="G1869" s="661"/>
      <c r="I1869" s="125"/>
      <c r="J1869" s="674"/>
      <c r="K1869" s="471"/>
      <c r="L1869" s="677"/>
    </row>
    <row r="1870">
      <c r="D1870" s="132"/>
      <c r="G1870" s="661"/>
      <c r="I1870" s="125"/>
      <c r="J1870" s="674"/>
      <c r="K1870" s="471"/>
      <c r="L1870" s="677"/>
    </row>
    <row r="1871">
      <c r="D1871" s="132"/>
      <c r="G1871" s="661"/>
      <c r="I1871" s="125"/>
      <c r="J1871" s="674"/>
      <c r="K1871" s="471"/>
      <c r="L1871" s="677"/>
    </row>
    <row r="1872">
      <c r="D1872" s="132"/>
      <c r="G1872" s="661"/>
      <c r="I1872" s="125"/>
      <c r="J1872" s="674"/>
      <c r="K1872" s="471"/>
      <c r="L1872" s="677"/>
    </row>
    <row r="1873">
      <c r="G1873" s="661"/>
      <c r="I1873" s="125"/>
      <c r="J1873" s="674"/>
      <c r="K1873" s="471"/>
      <c r="L1873" s="677"/>
    </row>
    <row r="1874">
      <c r="G1874" s="661"/>
      <c r="I1874" s="125"/>
      <c r="J1874" s="674"/>
      <c r="K1874" s="471"/>
      <c r="L1874" s="677"/>
    </row>
    <row r="1875">
      <c r="D1875" s="134"/>
      <c r="G1875" s="661"/>
      <c r="I1875" s="125"/>
      <c r="J1875" s="674"/>
      <c r="K1875" s="471"/>
      <c r="L1875" s="677"/>
    </row>
    <row r="1876">
      <c r="D1876" s="124"/>
      <c r="G1876" s="661"/>
      <c r="I1876" s="125"/>
      <c r="J1876" s="674"/>
      <c r="K1876" s="471"/>
      <c r="L1876" s="677"/>
    </row>
    <row r="1877">
      <c r="D1877" s="124"/>
      <c r="G1877" s="661"/>
      <c r="I1877" s="125"/>
      <c r="J1877" s="674"/>
      <c r="K1877" s="471"/>
      <c r="L1877" s="677"/>
    </row>
    <row r="1878">
      <c r="D1878" s="312"/>
      <c r="G1878" s="661"/>
      <c r="I1878" s="125"/>
      <c r="J1878" s="674"/>
      <c r="K1878" s="471"/>
      <c r="L1878" s="677"/>
    </row>
    <row r="1879">
      <c r="D1879" s="132"/>
      <c r="G1879" s="661"/>
      <c r="I1879" s="125"/>
      <c r="J1879" s="674"/>
      <c r="K1879" s="471"/>
      <c r="L1879" s="677"/>
    </row>
    <row r="1880">
      <c r="D1880" s="132"/>
      <c r="G1880" s="661"/>
      <c r="I1880" s="125"/>
      <c r="J1880" s="674"/>
      <c r="K1880" s="471"/>
      <c r="L1880" s="677"/>
    </row>
    <row r="1881">
      <c r="D1881" s="132"/>
      <c r="G1881" s="661"/>
      <c r="I1881" s="125"/>
      <c r="J1881" s="674"/>
      <c r="K1881" s="471"/>
      <c r="L1881" s="677"/>
    </row>
    <row r="1882">
      <c r="D1882" s="132"/>
      <c r="G1882" s="661"/>
      <c r="I1882" s="125"/>
      <c r="J1882" s="674"/>
      <c r="K1882" s="471"/>
      <c r="L1882" s="677"/>
    </row>
    <row r="1883">
      <c r="D1883" s="149"/>
      <c r="G1883" s="661"/>
      <c r="I1883" s="125"/>
      <c r="J1883" s="674"/>
      <c r="K1883" s="471"/>
      <c r="L1883" s="677"/>
    </row>
    <row r="1884">
      <c r="G1884" s="661"/>
      <c r="I1884" s="125"/>
      <c r="J1884" s="674"/>
      <c r="K1884" s="471"/>
      <c r="L1884" s="677"/>
    </row>
    <row r="1885">
      <c r="D1885" s="132"/>
      <c r="G1885" s="661"/>
      <c r="I1885" s="125"/>
      <c r="J1885" s="674"/>
      <c r="K1885" s="471"/>
      <c r="L1885" s="677"/>
    </row>
    <row r="1886">
      <c r="G1886" s="661"/>
      <c r="I1886" s="125"/>
      <c r="J1886" s="674"/>
      <c r="K1886" s="471"/>
      <c r="L1886" s="677"/>
    </row>
    <row r="1887">
      <c r="D1887" s="132"/>
      <c r="G1887" s="661"/>
      <c r="I1887" s="125"/>
      <c r="J1887" s="674"/>
      <c r="K1887" s="471"/>
      <c r="L1887" s="677"/>
    </row>
    <row r="1888">
      <c r="D1888" s="132"/>
      <c r="G1888" s="661"/>
      <c r="I1888" s="125"/>
      <c r="J1888" s="674"/>
      <c r="K1888" s="471"/>
      <c r="L1888" s="677"/>
    </row>
    <row r="1889">
      <c r="D1889" s="132"/>
      <c r="G1889" s="661"/>
      <c r="I1889" s="125"/>
      <c r="J1889" s="674"/>
      <c r="K1889" s="471"/>
      <c r="L1889" s="678"/>
    </row>
    <row r="1890">
      <c r="D1890" s="132"/>
      <c r="G1890" s="661"/>
      <c r="I1890" s="125"/>
      <c r="J1890" s="674"/>
      <c r="K1890" s="471"/>
      <c r="L1890" s="677"/>
      <c r="M1890" s="118" t="s">
        <v>2204</v>
      </c>
      <c r="N1890" s="118" t="s">
        <v>2579</v>
      </c>
      <c r="O1890" s="118" t="s">
        <v>2205</v>
      </c>
      <c r="P1890" s="118" t="s">
        <v>41</v>
      </c>
    </row>
    <row r="1891">
      <c r="D1891" s="132"/>
      <c r="G1891" s="661"/>
      <c r="I1891" s="125"/>
      <c r="J1891" s="674"/>
      <c r="K1891" s="471"/>
      <c r="L1891" s="677"/>
      <c r="M1891" s="204"/>
      <c r="N1891" s="204"/>
      <c r="O1891" s="204">
        <f>SUM(O1893:O1989)</f>
        <v>15425</v>
      </c>
      <c r="P1891" s="417" t="str">
        <f>O1891/(H1891/100)</f>
        <v>#DIV/0!</v>
      </c>
      <c r="Q1891" s="121"/>
    </row>
    <row r="1892">
      <c r="D1892" s="149"/>
      <c r="G1892" s="661"/>
      <c r="I1892" s="125"/>
      <c r="J1892" s="674"/>
      <c r="K1892" s="471"/>
      <c r="L1892" s="677"/>
      <c r="M1892" s="139"/>
      <c r="N1892" s="139"/>
      <c r="O1892" s="139"/>
      <c r="P1892" s="166"/>
      <c r="Q1892" s="129"/>
    </row>
    <row r="1893">
      <c r="G1893" s="661"/>
      <c r="I1893" s="125"/>
      <c r="J1893" s="674"/>
      <c r="K1893" s="471"/>
      <c r="L1893" s="677"/>
      <c r="M1893" s="627" t="s">
        <v>2581</v>
      </c>
      <c r="N1893" s="650">
        <v>44434.0</v>
      </c>
      <c r="O1893" s="474">
        <v>150.0</v>
      </c>
      <c r="P1893" s="125">
        <f>SUM(O1893:O1902)</f>
        <v>900</v>
      </c>
      <c r="Q1893" s="128" t="s">
        <v>2582</v>
      </c>
    </row>
    <row r="1894">
      <c r="D1894" s="132"/>
      <c r="G1894" s="661"/>
      <c r="I1894" s="125"/>
      <c r="J1894" s="674"/>
      <c r="K1894" s="471"/>
      <c r="L1894" s="677"/>
      <c r="M1894" s="627" t="s">
        <v>2584</v>
      </c>
      <c r="N1894" s="650">
        <v>44434.0</v>
      </c>
      <c r="O1894" s="474">
        <v>75.0</v>
      </c>
      <c r="Q1894" s="129"/>
    </row>
    <row r="1895">
      <c r="D1895" s="149"/>
      <c r="G1895" s="661"/>
      <c r="I1895" s="125"/>
      <c r="J1895" s="674"/>
      <c r="K1895" s="471"/>
      <c r="L1895" s="677"/>
      <c r="M1895" s="627" t="s">
        <v>2581</v>
      </c>
      <c r="N1895" s="650">
        <v>44435.0</v>
      </c>
      <c r="O1895" s="474">
        <v>100.0</v>
      </c>
      <c r="Q1895" s="128"/>
    </row>
    <row r="1896">
      <c r="G1896" s="661"/>
      <c r="I1896" s="125"/>
      <c r="J1896" s="674"/>
      <c r="K1896" s="471"/>
      <c r="L1896" s="677"/>
      <c r="M1896" s="627" t="s">
        <v>2584</v>
      </c>
      <c r="N1896" s="650">
        <v>44435.0</v>
      </c>
      <c r="O1896" s="474">
        <v>75.0</v>
      </c>
      <c r="P1896" s="130"/>
      <c r="Q1896" s="129"/>
    </row>
    <row r="1897">
      <c r="G1897" s="661"/>
      <c r="I1897" s="125"/>
      <c r="J1897" s="674"/>
      <c r="K1897" s="471"/>
      <c r="L1897" s="677"/>
      <c r="M1897" s="627" t="s">
        <v>2581</v>
      </c>
      <c r="N1897" s="650">
        <v>44436.0</v>
      </c>
      <c r="O1897" s="474">
        <v>125.0</v>
      </c>
    </row>
    <row r="1898">
      <c r="D1898" s="132"/>
      <c r="G1898" s="661"/>
      <c r="I1898" s="125"/>
      <c r="J1898" s="674"/>
      <c r="K1898" s="471"/>
      <c r="L1898" s="677"/>
      <c r="M1898" s="627" t="s">
        <v>2584</v>
      </c>
      <c r="N1898" s="650">
        <v>44436.0</v>
      </c>
      <c r="O1898" s="474">
        <v>-50.0</v>
      </c>
      <c r="P1898" s="130"/>
      <c r="Q1898" s="128"/>
    </row>
    <row r="1899">
      <c r="D1899" s="132"/>
      <c r="G1899" s="661"/>
      <c r="I1899" s="125"/>
      <c r="J1899" s="674"/>
      <c r="K1899" s="471"/>
      <c r="L1899" s="677"/>
      <c r="M1899" s="627" t="s">
        <v>2581</v>
      </c>
      <c r="N1899" s="650">
        <v>44437.0</v>
      </c>
      <c r="O1899" s="474">
        <v>0.0</v>
      </c>
      <c r="P1899" s="125"/>
    </row>
    <row r="1900">
      <c r="D1900" s="132"/>
      <c r="G1900" s="661"/>
      <c r="I1900" s="125"/>
      <c r="J1900" s="674"/>
      <c r="K1900" s="471"/>
      <c r="L1900" s="677"/>
      <c r="M1900" s="627" t="s">
        <v>2584</v>
      </c>
      <c r="N1900" s="650">
        <v>44437.0</v>
      </c>
      <c r="O1900" s="474">
        <v>-100.0</v>
      </c>
      <c r="P1900" s="134"/>
    </row>
    <row r="1901">
      <c r="D1901" s="132"/>
      <c r="G1901" s="661"/>
      <c r="I1901" s="125"/>
      <c r="J1901" s="674"/>
      <c r="K1901" s="471"/>
      <c r="L1901" s="677"/>
      <c r="M1901" s="627" t="s">
        <v>2588</v>
      </c>
      <c r="N1901" s="650">
        <v>44439.0</v>
      </c>
      <c r="O1901" s="474">
        <v>450.0</v>
      </c>
      <c r="P1901" s="189"/>
      <c r="Q1901" s="122"/>
    </row>
    <row r="1902">
      <c r="D1902" s="132"/>
      <c r="G1902" s="661"/>
      <c r="I1902" s="125"/>
      <c r="J1902" s="674"/>
      <c r="K1902" s="471"/>
      <c r="L1902" s="677"/>
      <c r="M1902" s="627" t="s">
        <v>2581</v>
      </c>
      <c r="N1902" s="650">
        <v>44439.0</v>
      </c>
      <c r="O1902" s="474">
        <v>75.0</v>
      </c>
      <c r="P1902" s="630"/>
    </row>
    <row r="1903">
      <c r="D1903" s="132"/>
      <c r="G1903" s="661"/>
      <c r="I1903" s="125"/>
      <c r="J1903" s="674"/>
      <c r="K1903" s="471"/>
      <c r="L1903" s="677"/>
      <c r="M1903" s="627"/>
      <c r="N1903" s="627"/>
      <c r="O1903" s="474"/>
      <c r="P1903" s="631"/>
      <c r="Q1903" s="632"/>
    </row>
    <row r="1904">
      <c r="G1904" s="661"/>
      <c r="I1904" s="125"/>
      <c r="J1904" s="674"/>
      <c r="K1904" s="471"/>
      <c r="L1904" s="678"/>
      <c r="M1904" s="627" t="s">
        <v>2589</v>
      </c>
      <c r="N1904" s="650">
        <v>44440.0</v>
      </c>
      <c r="O1904" s="474">
        <v>50.0</v>
      </c>
      <c r="P1904" s="125">
        <f>SUM(O1904:O1937)</f>
        <v>8425</v>
      </c>
      <c r="Q1904" s="128" t="s">
        <v>2590</v>
      </c>
    </row>
    <row r="1905">
      <c r="G1905" s="661"/>
      <c r="I1905" s="125"/>
      <c r="J1905" s="674"/>
      <c r="K1905" s="471"/>
      <c r="L1905" s="677"/>
      <c r="M1905" s="627" t="s">
        <v>2581</v>
      </c>
      <c r="N1905" s="650">
        <v>44440.0</v>
      </c>
      <c r="O1905" s="474">
        <v>95.0</v>
      </c>
      <c r="Q1905" s="129"/>
    </row>
    <row r="1906">
      <c r="D1906" s="132"/>
      <c r="G1906" s="661"/>
      <c r="I1906" s="125"/>
      <c r="J1906" s="674"/>
      <c r="K1906" s="471"/>
      <c r="L1906" s="677"/>
      <c r="M1906" s="627" t="s">
        <v>2591</v>
      </c>
      <c r="N1906" s="650">
        <v>44440.0</v>
      </c>
      <c r="O1906" s="474">
        <v>185.0</v>
      </c>
      <c r="Q1906" s="128"/>
    </row>
    <row r="1907">
      <c r="G1907" s="661"/>
      <c r="I1907" s="125"/>
      <c r="J1907" s="674"/>
      <c r="K1907" s="471"/>
      <c r="L1907" s="677"/>
      <c r="M1907" s="627" t="s">
        <v>2592</v>
      </c>
      <c r="N1907" s="650">
        <v>44441.0</v>
      </c>
      <c r="O1907" s="474">
        <v>115.0</v>
      </c>
      <c r="P1907" s="130"/>
      <c r="Q1907" s="129"/>
    </row>
    <row r="1908">
      <c r="D1908" s="132"/>
      <c r="G1908" s="661"/>
      <c r="I1908" s="125"/>
      <c r="J1908" s="674"/>
      <c r="K1908" s="471"/>
      <c r="L1908" s="677"/>
      <c r="M1908" s="627" t="s">
        <v>2589</v>
      </c>
      <c r="N1908" s="650">
        <v>44442.0</v>
      </c>
      <c r="O1908" s="474">
        <v>25.0</v>
      </c>
    </row>
    <row r="1909">
      <c r="D1909" s="132"/>
      <c r="G1909" s="661"/>
      <c r="I1909" s="125"/>
      <c r="J1909" s="674"/>
      <c r="K1909" s="471"/>
      <c r="L1909" s="677"/>
      <c r="M1909" s="627" t="s">
        <v>2592</v>
      </c>
      <c r="N1909" s="650">
        <v>44442.0</v>
      </c>
      <c r="O1909" s="474">
        <v>115.0</v>
      </c>
      <c r="P1909" s="130"/>
      <c r="Q1909" s="128"/>
    </row>
    <row r="1910">
      <c r="G1910" s="661"/>
      <c r="I1910" s="125"/>
      <c r="J1910" s="674"/>
      <c r="K1910" s="471"/>
      <c r="L1910" s="677"/>
      <c r="M1910" s="627" t="s">
        <v>2592</v>
      </c>
      <c r="N1910" s="650">
        <v>44443.0</v>
      </c>
      <c r="O1910" s="474">
        <v>125.0</v>
      </c>
      <c r="P1910" s="125"/>
    </row>
    <row r="1911">
      <c r="G1911" s="661"/>
      <c r="I1911" s="125"/>
      <c r="J1911" s="674"/>
      <c r="K1911" s="471"/>
      <c r="L1911" s="677"/>
      <c r="M1911" s="627" t="s">
        <v>2592</v>
      </c>
      <c r="N1911" s="650">
        <v>44444.0</v>
      </c>
      <c r="O1911" s="474">
        <v>220.0</v>
      </c>
      <c r="P1911" s="134"/>
    </row>
    <row r="1912">
      <c r="D1912" s="132"/>
      <c r="G1912" s="661"/>
      <c r="I1912" s="125"/>
      <c r="J1912" s="674"/>
      <c r="K1912" s="471"/>
      <c r="L1912" s="677"/>
      <c r="M1912" s="627" t="s">
        <v>2592</v>
      </c>
      <c r="N1912" s="650">
        <v>44445.0</v>
      </c>
      <c r="O1912" s="474">
        <v>170.0</v>
      </c>
      <c r="P1912" s="189"/>
      <c r="Q1912" s="122"/>
    </row>
    <row r="1913">
      <c r="G1913" s="661"/>
      <c r="I1913" s="125"/>
      <c r="J1913" s="674"/>
      <c r="K1913" s="471"/>
      <c r="L1913" s="677"/>
      <c r="M1913" s="627" t="s">
        <v>2592</v>
      </c>
      <c r="N1913" s="650">
        <v>44446.0</v>
      </c>
      <c r="O1913" s="474">
        <v>190.0</v>
      </c>
      <c r="P1913" s="630"/>
    </row>
    <row r="1914">
      <c r="G1914" s="661"/>
      <c r="I1914" s="125"/>
      <c r="J1914" s="674"/>
      <c r="K1914" s="471"/>
      <c r="L1914" s="677"/>
      <c r="M1914" s="627" t="s">
        <v>2592</v>
      </c>
      <c r="N1914" s="650">
        <v>44447.0</v>
      </c>
      <c r="O1914" s="474">
        <v>180.0</v>
      </c>
      <c r="P1914" s="631"/>
      <c r="Q1914" s="632"/>
    </row>
    <row r="1915">
      <c r="G1915" s="661"/>
      <c r="I1915" s="125"/>
      <c r="J1915" s="674"/>
      <c r="K1915" s="471"/>
      <c r="L1915" s="677"/>
      <c r="M1915" s="627" t="s">
        <v>2592</v>
      </c>
      <c r="N1915" s="650">
        <v>44448.0</v>
      </c>
      <c r="O1915" s="474">
        <v>175.0</v>
      </c>
    </row>
    <row r="1916">
      <c r="D1916" s="132"/>
      <c r="G1916" s="661"/>
      <c r="I1916" s="125"/>
      <c r="J1916" s="674"/>
      <c r="K1916" s="471"/>
      <c r="L1916" s="677"/>
      <c r="M1916" s="627" t="s">
        <v>2592</v>
      </c>
      <c r="N1916" s="650">
        <v>44449.0</v>
      </c>
      <c r="O1916" s="474">
        <v>195.0</v>
      </c>
    </row>
    <row r="1917">
      <c r="D1917" s="132"/>
      <c r="G1917" s="661"/>
      <c r="I1917" s="125"/>
      <c r="J1917" s="674"/>
      <c r="K1917" s="471"/>
      <c r="L1917" s="677"/>
      <c r="M1917" s="627" t="s">
        <v>2592</v>
      </c>
      <c r="N1917" s="650">
        <v>44450.0</v>
      </c>
      <c r="O1917" s="474">
        <v>185.0</v>
      </c>
    </row>
    <row r="1918">
      <c r="D1918" s="132"/>
      <c r="G1918" s="661"/>
      <c r="I1918" s="125"/>
      <c r="J1918" s="674"/>
      <c r="K1918" s="471"/>
      <c r="L1918" s="677"/>
      <c r="M1918" s="627" t="s">
        <v>2592</v>
      </c>
      <c r="N1918" s="650">
        <v>44451.0</v>
      </c>
      <c r="O1918" s="474">
        <v>200.0</v>
      </c>
    </row>
    <row r="1919">
      <c r="G1919" s="661"/>
      <c r="I1919" s="125"/>
      <c r="J1919" s="674"/>
      <c r="K1919" s="471"/>
      <c r="L1919" s="677"/>
      <c r="M1919" s="627" t="s">
        <v>2592</v>
      </c>
      <c r="N1919" s="650">
        <v>44452.0</v>
      </c>
      <c r="O1919" s="474">
        <v>250.0</v>
      </c>
    </row>
    <row r="1920">
      <c r="D1920" s="132"/>
      <c r="G1920" s="661"/>
      <c r="I1920" s="125"/>
      <c r="J1920" s="674"/>
      <c r="K1920" s="471"/>
      <c r="L1920" s="677"/>
      <c r="M1920" s="627" t="s">
        <v>2592</v>
      </c>
      <c r="N1920" s="650">
        <v>44453.0</v>
      </c>
      <c r="O1920" s="474">
        <v>250.0</v>
      </c>
    </row>
    <row r="1921">
      <c r="D1921" s="132"/>
      <c r="G1921" s="661"/>
      <c r="I1921" s="125"/>
      <c r="J1921" s="674"/>
      <c r="K1921" s="471"/>
      <c r="L1921" s="677"/>
      <c r="M1921" s="627" t="s">
        <v>2584</v>
      </c>
      <c r="N1921" s="650">
        <v>44454.0</v>
      </c>
      <c r="O1921" s="474">
        <v>500.0</v>
      </c>
    </row>
    <row r="1922">
      <c r="G1922" s="661"/>
      <c r="I1922" s="125"/>
      <c r="J1922" s="674"/>
      <c r="K1922" s="471"/>
      <c r="L1922" s="677"/>
      <c r="M1922" s="627" t="s">
        <v>2592</v>
      </c>
      <c r="N1922" s="650">
        <v>44456.0</v>
      </c>
      <c r="O1922" s="474">
        <v>525.0</v>
      </c>
    </row>
    <row r="1923">
      <c r="D1923" s="132"/>
      <c r="G1923" s="661"/>
      <c r="I1923" s="125"/>
      <c r="J1923" s="674"/>
      <c r="K1923" s="471"/>
      <c r="L1923" s="677"/>
      <c r="M1923" s="627" t="s">
        <v>2592</v>
      </c>
      <c r="N1923" s="650">
        <v>44457.0</v>
      </c>
      <c r="O1923" s="474">
        <v>50.0</v>
      </c>
      <c r="P1923" s="130"/>
      <c r="Q1923" s="128"/>
    </row>
    <row r="1924">
      <c r="D1924" s="132"/>
      <c r="G1924" s="661"/>
      <c r="I1924" s="125"/>
      <c r="J1924" s="674"/>
      <c r="K1924" s="471"/>
      <c r="L1924" s="677"/>
      <c r="M1924" s="627" t="s">
        <v>2592</v>
      </c>
      <c r="N1924" s="650">
        <v>44457.0</v>
      </c>
      <c r="O1924" s="474">
        <v>225.0</v>
      </c>
      <c r="P1924" s="125"/>
    </row>
    <row r="1925">
      <c r="G1925" s="661"/>
      <c r="I1925" s="125"/>
      <c r="J1925" s="674"/>
      <c r="K1925" s="471"/>
      <c r="L1925" s="677"/>
      <c r="M1925" s="627" t="s">
        <v>2592</v>
      </c>
      <c r="N1925" s="650">
        <v>44458.0</v>
      </c>
      <c r="O1925" s="474">
        <v>215.0</v>
      </c>
      <c r="P1925" s="134"/>
    </row>
    <row r="1926">
      <c r="G1926" s="661"/>
      <c r="I1926" s="125"/>
      <c r="J1926" s="674"/>
      <c r="K1926" s="471"/>
      <c r="L1926" s="677"/>
      <c r="M1926" s="627" t="s">
        <v>2592</v>
      </c>
      <c r="N1926" s="650">
        <v>44459.0</v>
      </c>
      <c r="O1926" s="474">
        <v>175.0</v>
      </c>
      <c r="P1926" s="189"/>
      <c r="Q1926" s="122"/>
    </row>
    <row r="1927">
      <c r="G1927" s="661"/>
      <c r="I1927" s="125"/>
      <c r="J1927" s="674"/>
      <c r="K1927" s="471"/>
      <c r="L1927" s="678"/>
      <c r="M1927" s="627" t="s">
        <v>2592</v>
      </c>
      <c r="N1927" s="650">
        <v>44460.0</v>
      </c>
      <c r="O1927" s="474">
        <v>185.0</v>
      </c>
      <c r="P1927" s="630"/>
    </row>
    <row r="1928">
      <c r="D1928" s="132"/>
      <c r="G1928" s="661"/>
      <c r="I1928" s="125"/>
      <c r="J1928" s="674"/>
      <c r="K1928" s="471"/>
      <c r="L1928" s="677"/>
      <c r="M1928" s="627" t="s">
        <v>2592</v>
      </c>
      <c r="N1928" s="650">
        <v>44461.0</v>
      </c>
      <c r="O1928" s="474">
        <v>185.0</v>
      </c>
      <c r="P1928" s="631"/>
      <c r="Q1928" s="632"/>
    </row>
    <row r="1929">
      <c r="D1929" s="132"/>
      <c r="G1929" s="661"/>
      <c r="I1929" s="125"/>
      <c r="J1929" s="674"/>
      <c r="K1929" s="471"/>
      <c r="L1929" s="677"/>
      <c r="M1929" s="627" t="s">
        <v>2592</v>
      </c>
      <c r="N1929" s="650">
        <v>44462.0</v>
      </c>
      <c r="O1929" s="474">
        <v>255.0</v>
      </c>
    </row>
    <row r="1930">
      <c r="D1930" s="132"/>
      <c r="G1930" s="661"/>
      <c r="I1930" s="125"/>
      <c r="J1930" s="674"/>
      <c r="K1930" s="471"/>
      <c r="L1930" s="677"/>
      <c r="M1930" s="627" t="s">
        <v>2592</v>
      </c>
      <c r="N1930" s="650">
        <v>44463.0</v>
      </c>
      <c r="O1930" s="474">
        <v>260.0</v>
      </c>
    </row>
    <row r="1931">
      <c r="D1931" s="132"/>
      <c r="G1931" s="661"/>
      <c r="I1931" s="125"/>
      <c r="J1931" s="674"/>
      <c r="K1931" s="471"/>
      <c r="L1931" s="677"/>
      <c r="M1931" s="627" t="s">
        <v>2592</v>
      </c>
      <c r="N1931" s="650">
        <v>44464.0</v>
      </c>
      <c r="O1931" s="474">
        <v>270.0</v>
      </c>
    </row>
    <row r="1932">
      <c r="D1932" s="132"/>
      <c r="G1932" s="661"/>
      <c r="I1932" s="125"/>
      <c r="J1932" s="674"/>
      <c r="K1932" s="471"/>
      <c r="L1932" s="677"/>
      <c r="M1932" s="627" t="s">
        <v>2592</v>
      </c>
      <c r="N1932" s="650">
        <v>44465.0</v>
      </c>
      <c r="O1932" s="474">
        <v>295.0</v>
      </c>
      <c r="P1932" s="634"/>
    </row>
    <row r="1933">
      <c r="D1933" s="132"/>
      <c r="G1933" s="661"/>
      <c r="I1933" s="125"/>
      <c r="J1933" s="674"/>
      <c r="K1933" s="471"/>
      <c r="L1933" s="677"/>
      <c r="M1933" s="627" t="s">
        <v>2592</v>
      </c>
      <c r="N1933" s="650">
        <v>44466.0</v>
      </c>
      <c r="O1933" s="474">
        <v>285.0</v>
      </c>
      <c r="P1933" s="635"/>
    </row>
    <row r="1934">
      <c r="D1934" s="132"/>
      <c r="G1934" s="661"/>
      <c r="I1934" s="125"/>
      <c r="J1934" s="674"/>
      <c r="K1934" s="471"/>
      <c r="L1934" s="677"/>
      <c r="M1934" s="627" t="s">
        <v>2592</v>
      </c>
      <c r="N1934" s="650">
        <v>44467.0</v>
      </c>
      <c r="O1934" s="474">
        <v>300.0</v>
      </c>
      <c r="P1934" s="635"/>
    </row>
    <row r="1935">
      <c r="D1935" s="132"/>
      <c r="G1935" s="661"/>
      <c r="I1935" s="125"/>
      <c r="J1935" s="674"/>
      <c r="K1935" s="471"/>
      <c r="L1935" s="677"/>
      <c r="M1935" s="627" t="s">
        <v>2592</v>
      </c>
      <c r="N1935" s="650">
        <v>44468.0</v>
      </c>
      <c r="O1935" s="474">
        <v>450.0</v>
      </c>
      <c r="P1935" s="635"/>
    </row>
    <row r="1936">
      <c r="D1936" s="132"/>
      <c r="G1936" s="661"/>
      <c r="I1936" s="125"/>
      <c r="J1936" s="674"/>
      <c r="K1936" s="471"/>
      <c r="L1936" s="677"/>
      <c r="M1936" s="627" t="s">
        <v>2584</v>
      </c>
      <c r="N1936" s="650">
        <v>44468.0</v>
      </c>
      <c r="O1936" s="474">
        <v>1100.0</v>
      </c>
      <c r="P1936" s="634"/>
    </row>
    <row r="1937">
      <c r="D1937" s="132"/>
      <c r="G1937" s="661"/>
      <c r="I1937" s="125"/>
      <c r="J1937" s="674"/>
      <c r="K1937" s="471"/>
      <c r="L1937" s="677"/>
      <c r="M1937" s="627" t="s">
        <v>2592</v>
      </c>
      <c r="N1937" s="650">
        <v>44469.0</v>
      </c>
      <c r="O1937" s="474">
        <v>425.0</v>
      </c>
    </row>
    <row r="1938">
      <c r="D1938" s="132"/>
      <c r="G1938" s="661"/>
      <c r="I1938" s="125"/>
      <c r="J1938" s="674"/>
      <c r="K1938" s="471"/>
      <c r="L1938" s="677"/>
      <c r="M1938" s="130"/>
      <c r="N1938" s="130"/>
      <c r="O1938" s="124"/>
      <c r="P1938" s="130"/>
      <c r="Q1938" s="128"/>
    </row>
    <row r="1939">
      <c r="D1939" s="132"/>
      <c r="G1939" s="661"/>
      <c r="I1939" s="125"/>
      <c r="J1939" s="674"/>
      <c r="K1939" s="471"/>
      <c r="L1939" s="677"/>
      <c r="M1939" s="627" t="s">
        <v>2592</v>
      </c>
      <c r="N1939" s="650">
        <v>44470.0</v>
      </c>
      <c r="O1939" s="474">
        <v>425.0</v>
      </c>
      <c r="P1939" s="125">
        <f>SUM(O1939:O1972)</f>
        <v>6100</v>
      </c>
      <c r="Q1939" s="128" t="s">
        <v>2593</v>
      </c>
    </row>
    <row r="1940">
      <c r="D1940" s="132"/>
      <c r="G1940" s="661"/>
      <c r="I1940" s="125"/>
      <c r="J1940" s="674"/>
      <c r="K1940" s="471"/>
      <c r="L1940" s="677"/>
      <c r="M1940" s="627" t="s">
        <v>2592</v>
      </c>
      <c r="N1940" s="650">
        <v>44471.0</v>
      </c>
      <c r="O1940" s="474">
        <v>400.0</v>
      </c>
      <c r="P1940" s="134"/>
    </row>
    <row r="1941">
      <c r="G1941" s="661"/>
      <c r="I1941" s="125"/>
      <c r="J1941" s="674"/>
      <c r="K1941" s="471"/>
      <c r="L1941" s="677"/>
      <c r="M1941" s="627" t="s">
        <v>2592</v>
      </c>
      <c r="N1941" s="650">
        <v>44472.0</v>
      </c>
      <c r="O1941" s="474">
        <v>400.0</v>
      </c>
      <c r="P1941" s="189"/>
      <c r="Q1941" s="122"/>
    </row>
    <row r="1942">
      <c r="D1942" s="132"/>
      <c r="G1942" s="661"/>
      <c r="I1942" s="125"/>
      <c r="J1942" s="674"/>
      <c r="K1942" s="471"/>
      <c r="L1942" s="677"/>
      <c r="M1942" s="627" t="s">
        <v>2592</v>
      </c>
      <c r="N1942" s="650">
        <v>44473.0</v>
      </c>
      <c r="O1942" s="474">
        <v>425.0</v>
      </c>
      <c r="P1942" s="630"/>
    </row>
    <row r="1943">
      <c r="G1943" s="661"/>
      <c r="I1943" s="125"/>
      <c r="J1943" s="674"/>
      <c r="K1943" s="471"/>
      <c r="L1943" s="677"/>
      <c r="M1943" s="627" t="s">
        <v>2592</v>
      </c>
      <c r="N1943" s="650">
        <v>44474.0</v>
      </c>
      <c r="O1943" s="474">
        <v>350.0</v>
      </c>
      <c r="P1943" s="631"/>
      <c r="Q1943" s="632"/>
    </row>
    <row r="1944">
      <c r="D1944" s="132"/>
      <c r="G1944" s="661"/>
      <c r="I1944" s="125"/>
      <c r="J1944" s="674"/>
      <c r="K1944" s="471"/>
      <c r="L1944" s="677"/>
      <c r="M1944" s="627" t="s">
        <v>2592</v>
      </c>
      <c r="N1944" s="650">
        <v>44475.0</v>
      </c>
      <c r="O1944" s="474">
        <v>425.0</v>
      </c>
    </row>
    <row r="1945">
      <c r="G1945" s="661"/>
      <c r="I1945" s="125"/>
      <c r="J1945" s="674"/>
      <c r="K1945" s="471"/>
      <c r="L1945" s="678"/>
      <c r="M1945" s="627" t="s">
        <v>2592</v>
      </c>
      <c r="N1945" s="650">
        <v>44476.0</v>
      </c>
      <c r="O1945" s="474">
        <v>175.0</v>
      </c>
    </row>
    <row r="1946">
      <c r="G1946" s="661"/>
      <c r="I1946" s="125"/>
      <c r="J1946" s="674"/>
      <c r="K1946" s="471"/>
      <c r="L1946" s="677"/>
      <c r="M1946" s="627" t="s">
        <v>2592</v>
      </c>
      <c r="N1946" s="650">
        <v>44477.0</v>
      </c>
      <c r="O1946" s="474">
        <v>175.0</v>
      </c>
    </row>
    <row r="1947">
      <c r="G1947" s="661"/>
      <c r="I1947" s="125"/>
      <c r="J1947" s="674"/>
      <c r="K1947" s="471"/>
      <c r="L1947" s="677"/>
      <c r="M1947" s="627" t="s">
        <v>2592</v>
      </c>
      <c r="N1947" s="650">
        <v>44478.0</v>
      </c>
      <c r="O1947" s="474">
        <v>175.0</v>
      </c>
    </row>
    <row r="1948">
      <c r="D1948" s="132"/>
      <c r="G1948" s="661"/>
      <c r="I1948" s="125"/>
      <c r="J1948" s="674"/>
      <c r="K1948" s="471"/>
      <c r="L1948" s="677"/>
      <c r="M1948" s="627" t="s">
        <v>2592</v>
      </c>
      <c r="N1948" s="650">
        <v>44479.0</v>
      </c>
      <c r="O1948" s="474">
        <v>250.0</v>
      </c>
    </row>
    <row r="1949">
      <c r="D1949" s="132"/>
      <c r="G1949" s="661"/>
      <c r="I1949" s="125"/>
      <c r="J1949" s="674"/>
      <c r="K1949" s="471"/>
      <c r="L1949" s="677"/>
      <c r="M1949" s="627" t="s">
        <v>2592</v>
      </c>
      <c r="N1949" s="650">
        <v>44480.0</v>
      </c>
      <c r="O1949" s="474">
        <v>250.0</v>
      </c>
      <c r="P1949" s="130"/>
      <c r="Q1949" s="128"/>
    </row>
    <row r="1950">
      <c r="D1950" s="132"/>
      <c r="G1950" s="661"/>
      <c r="I1950" s="125"/>
      <c r="J1950" s="674"/>
      <c r="K1950" s="471"/>
      <c r="L1950" s="677"/>
      <c r="M1950" s="627" t="s">
        <v>2592</v>
      </c>
      <c r="N1950" s="650">
        <v>44481.0</v>
      </c>
      <c r="O1950" s="474">
        <v>225.0</v>
      </c>
      <c r="P1950" s="125"/>
    </row>
    <row r="1951">
      <c r="D1951" s="132"/>
      <c r="G1951" s="661"/>
      <c r="I1951" s="125"/>
      <c r="J1951" s="674"/>
      <c r="K1951" s="471"/>
      <c r="L1951" s="677"/>
      <c r="M1951" s="627" t="s">
        <v>2592</v>
      </c>
      <c r="N1951" s="650">
        <v>44482.0</v>
      </c>
      <c r="O1951" s="474">
        <v>225.0</v>
      </c>
      <c r="P1951" s="134"/>
    </row>
    <row r="1952">
      <c r="D1952" s="132"/>
      <c r="G1952" s="661"/>
      <c r="I1952" s="125"/>
      <c r="J1952" s="674"/>
      <c r="K1952" s="471"/>
      <c r="L1952" s="677"/>
      <c r="M1952" s="627" t="s">
        <v>2592</v>
      </c>
      <c r="N1952" s="650">
        <v>44483.0</v>
      </c>
      <c r="O1952" s="474">
        <v>225.0</v>
      </c>
      <c r="P1952" s="189"/>
      <c r="Q1952" s="122"/>
    </row>
    <row r="1953">
      <c r="G1953" s="661"/>
      <c r="I1953" s="125"/>
      <c r="J1953" s="674"/>
      <c r="K1953" s="471"/>
      <c r="L1953" s="677"/>
      <c r="M1953" s="627" t="s">
        <v>2592</v>
      </c>
      <c r="N1953" s="650">
        <v>44483.0</v>
      </c>
      <c r="O1953" s="474">
        <v>225.0</v>
      </c>
      <c r="P1953" s="630"/>
    </row>
    <row r="1954">
      <c r="D1954" s="132"/>
      <c r="G1954" s="661"/>
      <c r="I1954" s="125"/>
      <c r="J1954" s="674"/>
      <c r="K1954" s="471"/>
      <c r="L1954" s="677"/>
      <c r="M1954" s="627" t="s">
        <v>2594</v>
      </c>
      <c r="N1954" s="650">
        <v>44487.0</v>
      </c>
      <c r="O1954" s="474">
        <v>150.0</v>
      </c>
      <c r="P1954" s="631"/>
      <c r="Q1954" s="632"/>
    </row>
    <row r="1955">
      <c r="G1955" s="661"/>
      <c r="I1955" s="125"/>
      <c r="J1955" s="674"/>
      <c r="K1955" s="471"/>
      <c r="L1955" s="677"/>
      <c r="M1955" s="627" t="s">
        <v>2594</v>
      </c>
      <c r="N1955" s="650">
        <v>44488.0</v>
      </c>
      <c r="O1955" s="474">
        <v>225.0</v>
      </c>
    </row>
    <row r="1956">
      <c r="D1956" s="132"/>
      <c r="G1956" s="661"/>
      <c r="I1956" s="125"/>
      <c r="J1956" s="674"/>
      <c r="K1956" s="471"/>
      <c r="L1956" s="677"/>
      <c r="M1956" s="627" t="s">
        <v>2594</v>
      </c>
      <c r="N1956" s="650">
        <v>44489.0</v>
      </c>
      <c r="O1956" s="474">
        <v>175.0</v>
      </c>
    </row>
    <row r="1957">
      <c r="D1957" s="132"/>
      <c r="G1957" s="661"/>
      <c r="I1957" s="125"/>
      <c r="J1957" s="674"/>
      <c r="K1957" s="471"/>
      <c r="L1957" s="677"/>
      <c r="M1957" s="627" t="s">
        <v>2594</v>
      </c>
      <c r="N1957" s="650">
        <v>44490.0</v>
      </c>
      <c r="O1957" s="474">
        <v>175.0</v>
      </c>
    </row>
    <row r="1958">
      <c r="D1958" s="392"/>
      <c r="G1958" s="661"/>
      <c r="I1958" s="125"/>
      <c r="J1958" s="674"/>
      <c r="K1958" s="471"/>
      <c r="L1958" s="677"/>
      <c r="M1958" s="627" t="s">
        <v>2595</v>
      </c>
      <c r="N1958" s="650">
        <v>44490.0</v>
      </c>
      <c r="O1958" s="474">
        <v>50.0</v>
      </c>
    </row>
    <row r="1959">
      <c r="G1959" s="661"/>
      <c r="I1959" s="125"/>
      <c r="J1959" s="674"/>
      <c r="K1959" s="471"/>
      <c r="L1959" s="677"/>
      <c r="M1959" s="627" t="s">
        <v>2594</v>
      </c>
      <c r="N1959" s="650">
        <v>44491.0</v>
      </c>
      <c r="O1959" s="474">
        <v>250.0</v>
      </c>
    </row>
    <row r="1960">
      <c r="G1960" s="661"/>
      <c r="I1960" s="125"/>
      <c r="J1960" s="674"/>
      <c r="K1960" s="471"/>
      <c r="L1960" s="677"/>
      <c r="M1960" s="627" t="s">
        <v>2595</v>
      </c>
      <c r="N1960" s="650">
        <v>44491.0</v>
      </c>
      <c r="O1960" s="474">
        <v>50.0</v>
      </c>
    </row>
    <row r="1961">
      <c r="G1961" s="661"/>
      <c r="I1961" s="125"/>
      <c r="J1961" s="674"/>
      <c r="K1961" s="471"/>
      <c r="L1961" s="677"/>
      <c r="M1961" s="627" t="s">
        <v>2594</v>
      </c>
      <c r="N1961" s="650">
        <v>44492.0</v>
      </c>
      <c r="O1961" s="474">
        <v>275.0</v>
      </c>
      <c r="P1961" s="130"/>
      <c r="Q1961" s="128"/>
    </row>
    <row r="1962">
      <c r="G1962" s="661"/>
      <c r="I1962" s="125"/>
      <c r="J1962" s="674"/>
      <c r="K1962" s="471"/>
      <c r="L1962" s="677"/>
      <c r="M1962" s="627" t="s">
        <v>2595</v>
      </c>
      <c r="N1962" s="650">
        <v>44492.0</v>
      </c>
      <c r="O1962" s="474">
        <v>50.0</v>
      </c>
      <c r="P1962" s="125"/>
    </row>
    <row r="1963">
      <c r="G1963" s="661"/>
      <c r="I1963" s="125"/>
      <c r="J1963" s="674"/>
      <c r="K1963" s="471"/>
      <c r="L1963" s="678"/>
      <c r="M1963" s="627" t="s">
        <v>2594</v>
      </c>
      <c r="N1963" s="650">
        <v>44493.0</v>
      </c>
      <c r="O1963" s="474">
        <v>300.0</v>
      </c>
      <c r="P1963" s="134"/>
    </row>
    <row r="1964">
      <c r="D1964" s="132"/>
      <c r="G1964" s="661"/>
      <c r="I1964" s="125"/>
      <c r="J1964" s="674"/>
      <c r="K1964" s="471"/>
      <c r="L1964" s="678"/>
      <c r="M1964" s="627" t="s">
        <v>2595</v>
      </c>
      <c r="N1964" s="650">
        <v>44493.0</v>
      </c>
      <c r="O1964" s="474">
        <v>50.0</v>
      </c>
      <c r="P1964" s="189"/>
      <c r="Q1964" s="122"/>
    </row>
    <row r="1965">
      <c r="G1965" s="661"/>
      <c r="I1965" s="125"/>
      <c r="J1965" s="674"/>
      <c r="K1965" s="471"/>
      <c r="L1965" s="678"/>
      <c r="M1965" s="627"/>
      <c r="N1965" s="627"/>
      <c r="O1965" s="474"/>
      <c r="P1965" s="630"/>
    </row>
    <row r="1966">
      <c r="G1966" s="661"/>
      <c r="I1966" s="125"/>
      <c r="J1966" s="674"/>
      <c r="K1966" s="471"/>
      <c r="L1966" s="678"/>
      <c r="M1966" s="627"/>
      <c r="N1966" s="627"/>
      <c r="O1966" s="474"/>
      <c r="P1966" s="631"/>
      <c r="Q1966" s="632"/>
    </row>
    <row r="1967">
      <c r="D1967" s="132"/>
      <c r="G1967" s="661"/>
      <c r="I1967" s="125"/>
      <c r="J1967" s="674"/>
      <c r="K1967" s="471"/>
      <c r="L1967" s="678"/>
      <c r="M1967" s="627"/>
      <c r="N1967" s="627"/>
      <c r="O1967" s="474"/>
    </row>
    <row r="1968">
      <c r="D1968" s="132"/>
      <c r="G1968" s="661"/>
      <c r="I1968" s="125"/>
      <c r="J1968" s="674"/>
      <c r="K1968" s="471"/>
      <c r="L1968" s="678"/>
      <c r="M1968" s="627"/>
      <c r="N1968" s="627"/>
      <c r="O1968" s="474"/>
    </row>
    <row r="1969">
      <c r="D1969" s="132"/>
      <c r="G1969" s="661"/>
      <c r="I1969" s="125"/>
      <c r="J1969" s="674"/>
      <c r="K1969" s="471"/>
      <c r="L1969" s="678"/>
      <c r="M1969" s="627"/>
      <c r="N1969" s="627"/>
      <c r="O1969" s="474"/>
    </row>
    <row r="1970">
      <c r="G1970" s="661"/>
      <c r="I1970" s="125"/>
      <c r="J1970" s="674"/>
      <c r="K1970" s="471"/>
      <c r="L1970" s="678"/>
      <c r="M1970" s="627"/>
      <c r="N1970" s="627"/>
      <c r="O1970" s="474"/>
    </row>
    <row r="1971">
      <c r="G1971" s="661"/>
      <c r="I1971" s="125"/>
      <c r="J1971" s="674"/>
      <c r="K1971" s="471"/>
      <c r="L1971" s="678"/>
      <c r="M1971" s="627"/>
      <c r="N1971" s="627"/>
      <c r="O1971" s="474"/>
    </row>
    <row r="1972">
      <c r="G1972" s="661"/>
      <c r="I1972" s="125"/>
      <c r="J1972" s="674"/>
      <c r="K1972" s="471"/>
      <c r="L1972" s="678"/>
      <c r="M1972" s="627"/>
      <c r="N1972" s="627"/>
      <c r="O1972" s="474"/>
    </row>
    <row r="1973">
      <c r="G1973" s="661"/>
      <c r="I1973" s="125"/>
      <c r="J1973" s="674"/>
      <c r="K1973" s="471"/>
      <c r="L1973" s="678"/>
      <c r="M1973" s="627"/>
      <c r="N1973" s="627"/>
      <c r="O1973" s="474"/>
    </row>
    <row r="1974">
      <c r="G1974" s="661"/>
      <c r="I1974" s="125"/>
      <c r="J1974" s="674"/>
      <c r="K1974" s="471"/>
      <c r="L1974" s="678"/>
      <c r="M1974" s="627"/>
      <c r="N1974" s="627"/>
      <c r="O1974" s="474"/>
    </row>
    <row r="1975">
      <c r="G1975" s="661"/>
      <c r="I1975" s="125"/>
      <c r="J1975" s="674"/>
      <c r="K1975" s="471"/>
      <c r="L1975" s="678"/>
      <c r="M1975" s="627"/>
      <c r="N1975" s="627"/>
      <c r="O1975" s="474"/>
    </row>
    <row r="1976">
      <c r="D1976" s="132"/>
      <c r="G1976" s="661"/>
      <c r="I1976" s="125"/>
      <c r="J1976" s="674"/>
      <c r="K1976" s="471"/>
      <c r="L1976" s="678"/>
      <c r="M1976" s="627"/>
      <c r="N1976" s="627"/>
      <c r="O1976" s="474"/>
    </row>
    <row r="1977">
      <c r="D1977" s="132"/>
      <c r="G1977" s="661"/>
      <c r="I1977" s="125"/>
      <c r="J1977" s="674"/>
      <c r="K1977" s="471"/>
      <c r="L1977" s="678"/>
      <c r="M1977" s="627"/>
      <c r="N1977" s="627"/>
      <c r="O1977" s="474"/>
    </row>
    <row r="1978">
      <c r="D1978" s="132"/>
      <c r="G1978" s="661"/>
      <c r="I1978" s="125"/>
      <c r="J1978" s="674"/>
      <c r="K1978" s="471"/>
      <c r="L1978" s="678"/>
    </row>
    <row r="1979">
      <c r="G1979" s="661"/>
      <c r="I1979" s="125"/>
      <c r="J1979" s="674"/>
      <c r="K1979" s="471"/>
      <c r="L1979" s="678"/>
      <c r="M1979" s="130"/>
      <c r="N1979" s="130"/>
      <c r="O1979" s="124"/>
      <c r="P1979" s="130"/>
      <c r="Q1979" s="128"/>
    </row>
    <row r="1980">
      <c r="G1980" s="661"/>
      <c r="I1980" s="125"/>
      <c r="J1980" s="674"/>
      <c r="K1980" s="471"/>
      <c r="L1980" s="678"/>
      <c r="M1980" s="627"/>
      <c r="N1980" s="627"/>
      <c r="O1980" s="474"/>
      <c r="P1980" s="125"/>
    </row>
    <row r="1981">
      <c r="G1981" s="661"/>
      <c r="I1981" s="125"/>
      <c r="J1981" s="674"/>
      <c r="K1981" s="471"/>
      <c r="L1981" s="678"/>
      <c r="M1981" s="627"/>
      <c r="N1981" s="627"/>
      <c r="O1981" s="474"/>
      <c r="P1981" s="134"/>
    </row>
    <row r="1982">
      <c r="G1982" s="661"/>
      <c r="I1982" s="125"/>
      <c r="J1982" s="674"/>
      <c r="K1982" s="471"/>
      <c r="L1982" s="678"/>
      <c r="M1982" s="627"/>
      <c r="N1982" s="627"/>
      <c r="O1982" s="474"/>
      <c r="P1982" s="189"/>
      <c r="Q1982" s="122"/>
    </row>
    <row r="1983">
      <c r="G1983" s="661"/>
      <c r="I1983" s="125"/>
      <c r="J1983" s="674"/>
      <c r="K1983" s="471"/>
      <c r="L1983" s="678"/>
      <c r="M1983" s="627"/>
      <c r="N1983" s="627"/>
      <c r="O1983" s="474"/>
      <c r="P1983" s="630"/>
    </row>
    <row r="1984">
      <c r="D1984" s="132"/>
      <c r="G1984" s="661"/>
      <c r="I1984" s="125"/>
      <c r="J1984" s="674"/>
      <c r="K1984" s="471"/>
      <c r="L1984" s="678"/>
      <c r="M1984" s="627"/>
      <c r="N1984" s="627"/>
      <c r="O1984" s="474"/>
      <c r="P1984" s="631"/>
      <c r="Q1984" s="632"/>
    </row>
    <row r="1985">
      <c r="G1985" s="661"/>
      <c r="I1985" s="125"/>
      <c r="J1985" s="674"/>
      <c r="K1985" s="471"/>
      <c r="L1985" s="678"/>
      <c r="M1985" s="627"/>
      <c r="N1985" s="627"/>
      <c r="O1985" s="474"/>
    </row>
    <row r="1986">
      <c r="G1986" s="661"/>
      <c r="I1986" s="125"/>
      <c r="J1986" s="674"/>
      <c r="K1986" s="471"/>
      <c r="L1986" s="678"/>
      <c r="M1986" s="627"/>
      <c r="N1986" s="627"/>
      <c r="O1986" s="474"/>
    </row>
    <row r="1987">
      <c r="D1987" s="134"/>
      <c r="G1987" s="661"/>
      <c r="I1987" s="125"/>
      <c r="J1987" s="674"/>
      <c r="K1987" s="471"/>
      <c r="L1987" s="678"/>
      <c r="M1987" s="627"/>
      <c r="N1987" s="627"/>
      <c r="O1987" s="474"/>
    </row>
    <row r="1988">
      <c r="D1988" s="124"/>
      <c r="G1988" s="661"/>
      <c r="I1988" s="125"/>
      <c r="J1988" s="674"/>
      <c r="K1988" s="471"/>
      <c r="L1988" s="678"/>
      <c r="M1988" s="627"/>
      <c r="N1988" s="627"/>
      <c r="O1988" s="474"/>
    </row>
    <row r="1989">
      <c r="D1989" s="124"/>
      <c r="G1989" s="661"/>
      <c r="I1989" s="125"/>
      <c r="J1989" s="674"/>
      <c r="K1989" s="471"/>
      <c r="L1989" s="678"/>
      <c r="M1989" s="627"/>
      <c r="N1989" s="627"/>
      <c r="O1989" s="474"/>
    </row>
    <row r="1990">
      <c r="D1990" s="312"/>
      <c r="G1990" s="661"/>
      <c r="I1990" s="125"/>
      <c r="J1990" s="674"/>
      <c r="K1990" s="471"/>
      <c r="L1990" s="678"/>
      <c r="M1990" s="627"/>
      <c r="N1990" s="627"/>
      <c r="O1990" s="474"/>
    </row>
    <row r="1991">
      <c r="G1991" s="661"/>
      <c r="I1991" s="125"/>
      <c r="J1991" s="674"/>
      <c r="K1991" s="471"/>
      <c r="L1991" s="678"/>
      <c r="M1991" s="627"/>
      <c r="N1991" s="627"/>
      <c r="O1991" s="474"/>
    </row>
    <row r="1992">
      <c r="D1992" s="132"/>
      <c r="G1992" s="661"/>
      <c r="I1992" s="125"/>
      <c r="J1992" s="674"/>
      <c r="K1992" s="471"/>
      <c r="L1992" s="678"/>
      <c r="M1992" s="627"/>
      <c r="N1992" s="627"/>
      <c r="O1992" s="474"/>
    </row>
    <row r="1993">
      <c r="D1993" s="132"/>
      <c r="G1993" s="661"/>
      <c r="I1993" s="125"/>
      <c r="J1993" s="674"/>
      <c r="K1993" s="471"/>
      <c r="L1993" s="678"/>
      <c r="M1993" s="627"/>
      <c r="N1993" s="627"/>
      <c r="O1993" s="474"/>
    </row>
    <row r="1994">
      <c r="D1994" s="132"/>
      <c r="G1994" s="661"/>
      <c r="I1994" s="125"/>
      <c r="J1994" s="674"/>
      <c r="K1994" s="471"/>
      <c r="L1994" s="678"/>
      <c r="M1994" s="627"/>
      <c r="N1994" s="627"/>
      <c r="O1994" s="474"/>
    </row>
    <row r="1995">
      <c r="G1995" s="661"/>
      <c r="I1995" s="125"/>
      <c r="J1995" s="674"/>
      <c r="K1995" s="471"/>
      <c r="L1995" s="678"/>
      <c r="M1995" s="627"/>
      <c r="N1995" s="627"/>
      <c r="O1995" s="474"/>
    </row>
    <row r="1996">
      <c r="G1996" s="661"/>
      <c r="I1996" s="125"/>
      <c r="J1996" s="674"/>
      <c r="K1996" s="471"/>
      <c r="L1996" s="678"/>
    </row>
    <row r="1997">
      <c r="D1997" s="132"/>
      <c r="G1997" s="661"/>
      <c r="I1997" s="125"/>
      <c r="J1997" s="674"/>
      <c r="K1997" s="471"/>
      <c r="L1997" s="678"/>
    </row>
    <row r="1998">
      <c r="G1998" s="661"/>
      <c r="I1998" s="125"/>
      <c r="J1998" s="674"/>
      <c r="K1998" s="471"/>
      <c r="L1998" s="678"/>
    </row>
    <row r="1999">
      <c r="G1999" s="661"/>
      <c r="I1999" s="125"/>
      <c r="J1999" s="674"/>
      <c r="K1999" s="471"/>
      <c r="L1999" s="678"/>
    </row>
    <row r="2000">
      <c r="G2000" s="661"/>
      <c r="I2000" s="125"/>
      <c r="J2000" s="674"/>
      <c r="K2000" s="471"/>
      <c r="L2000" s="678"/>
    </row>
    <row r="2001">
      <c r="D2001" s="132"/>
      <c r="G2001" s="661"/>
      <c r="I2001" s="125"/>
      <c r="J2001" s="674"/>
      <c r="K2001" s="471"/>
      <c r="L2001" s="678"/>
    </row>
    <row r="2002">
      <c r="G2002" s="661"/>
      <c r="I2002" s="125"/>
      <c r="J2002" s="674"/>
      <c r="K2002" s="471"/>
      <c r="L2002" s="678"/>
    </row>
    <row r="2003">
      <c r="D2003" s="132"/>
      <c r="G2003" s="661"/>
      <c r="I2003" s="125"/>
      <c r="J2003" s="674"/>
      <c r="K2003" s="471"/>
      <c r="L2003" s="678"/>
    </row>
    <row r="2004">
      <c r="G2004" s="661"/>
      <c r="I2004" s="125"/>
      <c r="J2004" s="674"/>
      <c r="K2004" s="471"/>
      <c r="L2004" s="678"/>
    </row>
    <row r="2005">
      <c r="D2005" s="132"/>
      <c r="G2005" s="661"/>
      <c r="I2005" s="125"/>
      <c r="J2005" s="674"/>
      <c r="K2005" s="471"/>
      <c r="L2005" s="678"/>
    </row>
    <row r="2006">
      <c r="D2006" s="132"/>
      <c r="G2006" s="661"/>
      <c r="I2006" s="125"/>
      <c r="J2006" s="674"/>
      <c r="K2006" s="471"/>
      <c r="L2006" s="678"/>
    </row>
    <row r="2007">
      <c r="G2007" s="661"/>
      <c r="I2007" s="125"/>
      <c r="J2007" s="674"/>
      <c r="K2007" s="471"/>
      <c r="L2007" s="678"/>
    </row>
    <row r="2008">
      <c r="D2008" s="132"/>
      <c r="G2008" s="661"/>
      <c r="I2008" s="125"/>
      <c r="J2008" s="674"/>
      <c r="K2008" s="471"/>
      <c r="L2008" s="678"/>
    </row>
    <row r="2009">
      <c r="D2009" s="132"/>
      <c r="G2009" s="661"/>
      <c r="I2009" s="125"/>
      <c r="J2009" s="674"/>
      <c r="K2009" s="471"/>
      <c r="L2009" s="678"/>
    </row>
    <row r="2010">
      <c r="D2010" s="132"/>
      <c r="G2010" s="661"/>
      <c r="I2010" s="125"/>
      <c r="J2010" s="674"/>
      <c r="K2010" s="471"/>
      <c r="L2010" s="678"/>
    </row>
    <row r="2011">
      <c r="D2011" s="313"/>
      <c r="G2011" s="661"/>
      <c r="I2011" s="125"/>
      <c r="J2011" s="674"/>
      <c r="K2011" s="471"/>
      <c r="L2011" s="678"/>
    </row>
    <row r="2012">
      <c r="D2012" s="132"/>
      <c r="G2012" s="661"/>
      <c r="I2012" s="125"/>
      <c r="J2012" s="674"/>
      <c r="K2012" s="471"/>
      <c r="L2012" s="678"/>
    </row>
    <row r="2013">
      <c r="G2013" s="661"/>
      <c r="I2013" s="125"/>
      <c r="J2013" s="674"/>
      <c r="K2013" s="471"/>
      <c r="L2013" s="678"/>
    </row>
    <row r="2014">
      <c r="D2014" s="132"/>
      <c r="G2014" s="661"/>
      <c r="I2014" s="125"/>
      <c r="J2014" s="674"/>
      <c r="K2014" s="471"/>
      <c r="L2014" s="678"/>
    </row>
    <row r="2015">
      <c r="G2015" s="661"/>
      <c r="I2015" s="125"/>
      <c r="J2015" s="674"/>
      <c r="K2015" s="471"/>
      <c r="L2015" s="678"/>
    </row>
    <row r="2016">
      <c r="G2016" s="661"/>
      <c r="I2016" s="125"/>
      <c r="J2016" s="674"/>
      <c r="K2016" s="471"/>
      <c r="L2016" s="678"/>
    </row>
    <row r="2017">
      <c r="G2017" s="661"/>
      <c r="I2017" s="125"/>
      <c r="J2017" s="674"/>
      <c r="K2017" s="471"/>
      <c r="L2017" s="678"/>
    </row>
    <row r="2018">
      <c r="G2018" s="661"/>
      <c r="I2018" s="125"/>
      <c r="J2018" s="674"/>
      <c r="K2018" s="471"/>
      <c r="L2018" s="678"/>
    </row>
    <row r="2019">
      <c r="D2019" s="132"/>
      <c r="G2019" s="661"/>
      <c r="I2019" s="125"/>
      <c r="J2019" s="674"/>
      <c r="K2019" s="471"/>
      <c r="L2019" s="678"/>
    </row>
    <row r="2020">
      <c r="D2020" s="132"/>
      <c r="G2020" s="661"/>
      <c r="I2020" s="125"/>
      <c r="J2020" s="674"/>
      <c r="K2020" s="471"/>
      <c r="L2020" s="678"/>
    </row>
    <row r="2021">
      <c r="G2021" s="661"/>
      <c r="I2021" s="125"/>
      <c r="J2021" s="674"/>
      <c r="K2021" s="471"/>
      <c r="L2021" s="678"/>
    </row>
    <row r="2022">
      <c r="D2022" s="132"/>
      <c r="G2022" s="661"/>
      <c r="I2022" s="125"/>
      <c r="J2022" s="674"/>
      <c r="K2022" s="471"/>
      <c r="L2022" s="678"/>
    </row>
    <row r="2023">
      <c r="D2023" s="132"/>
      <c r="G2023" s="661"/>
      <c r="I2023" s="125"/>
      <c r="J2023" s="674"/>
      <c r="K2023" s="471"/>
      <c r="L2023" s="678"/>
    </row>
    <row r="2024">
      <c r="G2024" s="661"/>
      <c r="I2024" s="125"/>
      <c r="J2024" s="674"/>
      <c r="K2024" s="471"/>
      <c r="L2024" s="678"/>
    </row>
    <row r="2025">
      <c r="G2025" s="661"/>
      <c r="I2025" s="125"/>
      <c r="J2025" s="674"/>
      <c r="K2025" s="471"/>
      <c r="L2025" s="678"/>
    </row>
    <row r="2026">
      <c r="G2026" s="661"/>
      <c r="I2026" s="125"/>
      <c r="J2026" s="674"/>
      <c r="K2026" s="471"/>
      <c r="L2026" s="678"/>
    </row>
    <row r="2027">
      <c r="D2027" s="132"/>
      <c r="G2027" s="661"/>
      <c r="I2027" s="125"/>
      <c r="J2027" s="674"/>
      <c r="K2027" s="471"/>
      <c r="L2027" s="678"/>
    </row>
    <row r="2028">
      <c r="G2028" s="661"/>
      <c r="I2028" s="125"/>
      <c r="J2028" s="674"/>
      <c r="K2028" s="471"/>
      <c r="L2028" s="678"/>
    </row>
    <row r="2029">
      <c r="G2029" s="661"/>
      <c r="I2029" s="125"/>
      <c r="J2029" s="674"/>
      <c r="K2029" s="471"/>
      <c r="L2029" s="678"/>
    </row>
    <row r="2030">
      <c r="G2030" s="661"/>
      <c r="I2030" s="125"/>
      <c r="J2030" s="674"/>
      <c r="K2030" s="471"/>
      <c r="L2030" s="678"/>
    </row>
    <row r="2031">
      <c r="D2031" s="132"/>
      <c r="G2031" s="661"/>
      <c r="I2031" s="125"/>
      <c r="J2031" s="674"/>
      <c r="K2031" s="471"/>
      <c r="L2031" s="678"/>
    </row>
    <row r="2032">
      <c r="G2032" s="661"/>
      <c r="I2032" s="125"/>
      <c r="J2032" s="674"/>
      <c r="K2032" s="471"/>
      <c r="L2032" s="678"/>
    </row>
    <row r="2033">
      <c r="G2033" s="661"/>
      <c r="I2033" s="125"/>
      <c r="J2033" s="674"/>
      <c r="K2033" s="471"/>
      <c r="L2033" s="678"/>
    </row>
    <row r="2034">
      <c r="D2034" s="209"/>
      <c r="G2034" s="661"/>
      <c r="I2034" s="125"/>
      <c r="J2034" s="674"/>
      <c r="K2034" s="471"/>
      <c r="L2034" s="678"/>
    </row>
    <row r="2035">
      <c r="G2035" s="661"/>
      <c r="I2035" s="125"/>
      <c r="J2035" s="674"/>
      <c r="K2035" s="471"/>
      <c r="L2035" s="678"/>
    </row>
    <row r="2036">
      <c r="D2036" s="132"/>
      <c r="G2036" s="661"/>
      <c r="I2036" s="125"/>
      <c r="J2036" s="674"/>
      <c r="K2036" s="471"/>
      <c r="L2036" s="678"/>
    </row>
    <row r="2037">
      <c r="G2037" s="661"/>
      <c r="I2037" s="125"/>
      <c r="J2037" s="674"/>
      <c r="K2037" s="471"/>
      <c r="L2037" s="678"/>
    </row>
    <row r="2038">
      <c r="G2038" s="661"/>
      <c r="I2038" s="125"/>
      <c r="J2038" s="674"/>
      <c r="K2038" s="471"/>
      <c r="L2038" s="678"/>
    </row>
    <row r="2039">
      <c r="G2039" s="661"/>
      <c r="I2039" s="125"/>
      <c r="J2039" s="674"/>
      <c r="K2039" s="471"/>
      <c r="L2039" s="678"/>
    </row>
    <row r="2040">
      <c r="G2040" s="661"/>
      <c r="I2040" s="125"/>
      <c r="J2040" s="674"/>
      <c r="K2040" s="471"/>
      <c r="L2040" s="678"/>
    </row>
    <row r="2041">
      <c r="G2041" s="661"/>
      <c r="I2041" s="125"/>
      <c r="J2041" s="674"/>
      <c r="K2041" s="471"/>
      <c r="L2041" s="678"/>
    </row>
    <row r="2042">
      <c r="G2042" s="661"/>
      <c r="I2042" s="125"/>
      <c r="J2042" s="674"/>
      <c r="K2042" s="471"/>
      <c r="L2042" s="678"/>
    </row>
    <row r="2043">
      <c r="G2043" s="661"/>
      <c r="I2043" s="125"/>
      <c r="J2043" s="674"/>
      <c r="K2043" s="471"/>
      <c r="L2043" s="678"/>
    </row>
    <row r="2044">
      <c r="D2044" s="132"/>
      <c r="G2044" s="661"/>
      <c r="I2044" s="125"/>
      <c r="J2044" s="674"/>
      <c r="K2044" s="471"/>
      <c r="L2044" s="678"/>
    </row>
    <row r="2045">
      <c r="G2045" s="661"/>
      <c r="I2045" s="125"/>
      <c r="J2045" s="674"/>
      <c r="K2045" s="471"/>
      <c r="L2045" s="678"/>
    </row>
    <row r="2046">
      <c r="D2046" s="132"/>
      <c r="G2046" s="661"/>
      <c r="I2046" s="125"/>
      <c r="J2046" s="674"/>
      <c r="K2046" s="471"/>
      <c r="L2046" s="678"/>
    </row>
    <row r="2047">
      <c r="D2047" s="132"/>
      <c r="G2047" s="661"/>
      <c r="I2047" s="125"/>
      <c r="J2047" s="674"/>
      <c r="K2047" s="471"/>
      <c r="L2047" s="678"/>
    </row>
    <row r="2048">
      <c r="D2048" s="132"/>
      <c r="G2048" s="661"/>
      <c r="I2048" s="125"/>
      <c r="J2048" s="674"/>
      <c r="K2048" s="471"/>
      <c r="L2048" s="678"/>
    </row>
    <row r="2049">
      <c r="G2049" s="661"/>
      <c r="I2049" s="125"/>
      <c r="J2049" s="674"/>
      <c r="K2049" s="471"/>
      <c r="L2049" s="678"/>
    </row>
    <row r="2050">
      <c r="G2050" s="661"/>
      <c r="I2050" s="125"/>
      <c r="J2050" s="674"/>
      <c r="K2050" s="471"/>
      <c r="L2050" s="678"/>
    </row>
    <row r="2051">
      <c r="G2051" s="661"/>
      <c r="I2051" s="125"/>
      <c r="J2051" s="674"/>
      <c r="K2051" s="471"/>
      <c r="L2051" s="678"/>
    </row>
    <row r="2052">
      <c r="G2052" s="661"/>
      <c r="I2052" s="125"/>
      <c r="J2052" s="674"/>
      <c r="K2052" s="471"/>
      <c r="L2052" s="678"/>
    </row>
    <row r="2053">
      <c r="G2053" s="661"/>
      <c r="I2053" s="125"/>
      <c r="J2053" s="674"/>
      <c r="K2053" s="471"/>
      <c r="L2053" s="678"/>
    </row>
    <row r="2054">
      <c r="G2054" s="661"/>
      <c r="I2054" s="125"/>
      <c r="J2054" s="674"/>
      <c r="K2054" s="471"/>
      <c r="L2054" s="678"/>
    </row>
    <row r="2055">
      <c r="G2055" s="661"/>
      <c r="I2055" s="125"/>
      <c r="J2055" s="674"/>
      <c r="K2055" s="471"/>
      <c r="L2055" s="678"/>
    </row>
    <row r="2056">
      <c r="G2056" s="661"/>
      <c r="I2056" s="125"/>
      <c r="J2056" s="674"/>
      <c r="K2056" s="471"/>
      <c r="L2056" s="678"/>
    </row>
    <row r="2057">
      <c r="D2057" s="270"/>
      <c r="G2057" s="661"/>
      <c r="I2057" s="125"/>
      <c r="J2057" s="674"/>
      <c r="K2057" s="471"/>
      <c r="L2057" s="678"/>
    </row>
    <row r="2058">
      <c r="D2058" s="132"/>
      <c r="G2058" s="661"/>
      <c r="I2058" s="125"/>
      <c r="J2058" s="674"/>
      <c r="K2058" s="471"/>
      <c r="L2058" s="678"/>
    </row>
    <row r="2059">
      <c r="D2059" s="132"/>
      <c r="G2059" s="661"/>
      <c r="I2059" s="125"/>
      <c r="J2059" s="674"/>
      <c r="K2059" s="471"/>
      <c r="L2059" s="678"/>
    </row>
    <row r="2060">
      <c r="D2060" s="132"/>
      <c r="G2060" s="661"/>
      <c r="I2060" s="125"/>
      <c r="J2060" s="674"/>
      <c r="K2060" s="471"/>
      <c r="L2060" s="678"/>
    </row>
    <row r="2061">
      <c r="G2061" s="661"/>
      <c r="I2061" s="125"/>
      <c r="J2061" s="674"/>
      <c r="K2061" s="471"/>
      <c r="L2061" s="678"/>
    </row>
    <row r="2062">
      <c r="G2062" s="661"/>
      <c r="I2062" s="125"/>
      <c r="J2062" s="674"/>
      <c r="K2062" s="471"/>
      <c r="L2062" s="678"/>
    </row>
    <row r="2063">
      <c r="G2063" s="661"/>
      <c r="I2063" s="125"/>
      <c r="J2063" s="674"/>
      <c r="K2063" s="471"/>
      <c r="L2063" s="678"/>
    </row>
    <row r="2064">
      <c r="G2064" s="661"/>
      <c r="I2064" s="125"/>
      <c r="J2064" s="674"/>
      <c r="K2064" s="471"/>
      <c r="L2064" s="678"/>
    </row>
    <row r="2065">
      <c r="G2065" s="661"/>
      <c r="I2065" s="125"/>
      <c r="J2065" s="674"/>
      <c r="K2065" s="471"/>
      <c r="L2065" s="678"/>
    </row>
    <row r="2066">
      <c r="G2066" s="661"/>
      <c r="I2066" s="125"/>
      <c r="J2066" s="674"/>
      <c r="K2066" s="471"/>
      <c r="L2066" s="678"/>
    </row>
    <row r="2067">
      <c r="G2067" s="661"/>
      <c r="I2067" s="125"/>
      <c r="J2067" s="674"/>
      <c r="K2067" s="471"/>
      <c r="L2067" s="678"/>
    </row>
    <row r="2068">
      <c r="G2068" s="661"/>
      <c r="I2068" s="125"/>
      <c r="J2068" s="674"/>
      <c r="K2068" s="471"/>
      <c r="L2068" s="678"/>
    </row>
    <row r="2069">
      <c r="D2069" s="132"/>
      <c r="G2069" s="661"/>
      <c r="I2069" s="125"/>
      <c r="J2069" s="674"/>
      <c r="K2069" s="471"/>
      <c r="L2069" s="678"/>
    </row>
    <row r="2070">
      <c r="D2070" s="132"/>
      <c r="G2070" s="661"/>
      <c r="I2070" s="125"/>
      <c r="J2070" s="674"/>
      <c r="K2070" s="471"/>
      <c r="L2070" s="678"/>
    </row>
    <row r="2071">
      <c r="D2071" s="132"/>
      <c r="G2071" s="661"/>
      <c r="I2071" s="125"/>
      <c r="J2071" s="674"/>
      <c r="K2071" s="471"/>
      <c r="L2071" s="678"/>
    </row>
    <row r="2072">
      <c r="G2072" s="661"/>
      <c r="I2072" s="125"/>
      <c r="J2072" s="674"/>
      <c r="K2072" s="471"/>
      <c r="L2072" s="678"/>
    </row>
    <row r="2073">
      <c r="D2073" s="132"/>
      <c r="G2073" s="661"/>
      <c r="I2073" s="125"/>
      <c r="J2073" s="674"/>
      <c r="K2073" s="471"/>
      <c r="L2073" s="678"/>
    </row>
    <row r="2074">
      <c r="D2074" s="132"/>
      <c r="G2074" s="661"/>
      <c r="I2074" s="125"/>
      <c r="J2074" s="674"/>
      <c r="K2074" s="471"/>
      <c r="L2074" s="678"/>
    </row>
    <row r="2075">
      <c r="D2075" s="132"/>
      <c r="G2075" s="661"/>
      <c r="I2075" s="125"/>
      <c r="J2075" s="674"/>
      <c r="K2075" s="471"/>
      <c r="L2075" s="678"/>
    </row>
    <row r="2076">
      <c r="D2076" s="132"/>
      <c r="G2076" s="661"/>
      <c r="I2076" s="125"/>
      <c r="J2076" s="674"/>
      <c r="K2076" s="471"/>
      <c r="L2076" s="678"/>
    </row>
    <row r="2077">
      <c r="G2077" s="661"/>
      <c r="I2077" s="125"/>
      <c r="J2077" s="674"/>
      <c r="K2077" s="471"/>
      <c r="L2077" s="678"/>
    </row>
    <row r="2078">
      <c r="D2078" s="132"/>
      <c r="G2078" s="661"/>
      <c r="I2078" s="125"/>
      <c r="J2078" s="674"/>
      <c r="K2078" s="471"/>
      <c r="L2078" s="678"/>
    </row>
    <row r="2079">
      <c r="D2079" s="132"/>
      <c r="G2079" s="661"/>
      <c r="I2079" s="125"/>
      <c r="J2079" s="674"/>
      <c r="K2079" s="471"/>
      <c r="L2079" s="678"/>
    </row>
    <row r="2080">
      <c r="D2080" s="132"/>
      <c r="G2080" s="661"/>
      <c r="I2080" s="125"/>
      <c r="J2080" s="674"/>
      <c r="K2080" s="471"/>
      <c r="L2080" s="678"/>
    </row>
    <row r="2081">
      <c r="D2081" s="132"/>
      <c r="G2081" s="661"/>
      <c r="I2081" s="125"/>
      <c r="J2081" s="674"/>
      <c r="K2081" s="471"/>
      <c r="L2081" s="678"/>
    </row>
    <row r="2082">
      <c r="D2082" s="132"/>
      <c r="G2082" s="661"/>
      <c r="I2082" s="125"/>
      <c r="J2082" s="674"/>
      <c r="K2082" s="471"/>
      <c r="L2082" s="678"/>
    </row>
    <row r="2083">
      <c r="G2083" s="661"/>
      <c r="I2083" s="125"/>
      <c r="J2083" s="674"/>
      <c r="K2083" s="471"/>
      <c r="L2083" s="678"/>
    </row>
    <row r="2084">
      <c r="D2084" s="132"/>
      <c r="G2084" s="661"/>
      <c r="I2084" s="125"/>
      <c r="J2084" s="674"/>
      <c r="K2084" s="471"/>
      <c r="L2084" s="678"/>
    </row>
    <row r="2085">
      <c r="D2085" s="132"/>
      <c r="G2085" s="661"/>
      <c r="I2085" s="125"/>
      <c r="J2085" s="674"/>
      <c r="K2085" s="471"/>
      <c r="L2085" s="678"/>
    </row>
    <row r="2086">
      <c r="D2086" s="132"/>
      <c r="G2086" s="661"/>
      <c r="I2086" s="125"/>
      <c r="J2086" s="674"/>
      <c r="K2086" s="471"/>
      <c r="L2086" s="678"/>
    </row>
    <row r="2087">
      <c r="D2087" s="132"/>
      <c r="G2087" s="661"/>
      <c r="I2087" s="125"/>
      <c r="J2087" s="674"/>
      <c r="K2087" s="471"/>
      <c r="L2087" s="678"/>
    </row>
    <row r="2088">
      <c r="G2088" s="661"/>
      <c r="I2088" s="125"/>
      <c r="J2088" s="674"/>
      <c r="K2088" s="471"/>
      <c r="L2088" s="678"/>
    </row>
    <row r="2089">
      <c r="D2089" s="132"/>
      <c r="G2089" s="661"/>
      <c r="I2089" s="125"/>
      <c r="J2089" s="674"/>
      <c r="K2089" s="471"/>
      <c r="L2089" s="678"/>
    </row>
    <row r="2090">
      <c r="G2090" s="661"/>
      <c r="I2090" s="125"/>
      <c r="J2090" s="674"/>
      <c r="K2090" s="471"/>
      <c r="L2090" s="678"/>
    </row>
    <row r="2091">
      <c r="G2091" s="661"/>
      <c r="I2091" s="125"/>
      <c r="J2091" s="674"/>
      <c r="K2091" s="471"/>
      <c r="L2091" s="678"/>
    </row>
    <row r="2092">
      <c r="D2092" s="132"/>
      <c r="G2092" s="661"/>
      <c r="I2092" s="125"/>
      <c r="J2092" s="674"/>
      <c r="K2092" s="471"/>
      <c r="L2092" s="678"/>
    </row>
    <row r="2093">
      <c r="D2093" s="132"/>
      <c r="G2093" s="661"/>
      <c r="I2093" s="125"/>
      <c r="J2093" s="674"/>
      <c r="K2093" s="471"/>
      <c r="L2093" s="678"/>
    </row>
    <row r="2094">
      <c r="D2094" s="132"/>
      <c r="G2094" s="661"/>
      <c r="I2094" s="125"/>
      <c r="J2094" s="674"/>
      <c r="K2094" s="471"/>
      <c r="L2094" s="678"/>
    </row>
    <row r="2095">
      <c r="D2095" s="132"/>
      <c r="G2095" s="661"/>
      <c r="I2095" s="125"/>
      <c r="J2095" s="674"/>
      <c r="K2095" s="471"/>
      <c r="L2095" s="678"/>
    </row>
    <row r="2096">
      <c r="D2096" s="132"/>
      <c r="G2096" s="661"/>
      <c r="I2096" s="125"/>
      <c r="J2096" s="674"/>
      <c r="K2096" s="471"/>
      <c r="L2096" s="678"/>
    </row>
    <row r="2097">
      <c r="D2097" s="132"/>
      <c r="G2097" s="661"/>
      <c r="I2097" s="125"/>
      <c r="J2097" s="674"/>
      <c r="K2097" s="471"/>
      <c r="L2097" s="678"/>
    </row>
    <row r="2098">
      <c r="D2098" s="132"/>
      <c r="G2098" s="661"/>
      <c r="I2098" s="125"/>
      <c r="J2098" s="674"/>
      <c r="K2098" s="471"/>
      <c r="L2098" s="678"/>
    </row>
    <row r="2099">
      <c r="G2099" s="661"/>
      <c r="I2099" s="125"/>
      <c r="J2099" s="674"/>
      <c r="K2099" s="471"/>
      <c r="L2099" s="678"/>
    </row>
    <row r="2100">
      <c r="D2100" s="132"/>
      <c r="G2100" s="661"/>
      <c r="I2100" s="125"/>
      <c r="J2100" s="674"/>
      <c r="K2100" s="471"/>
      <c r="L2100" s="678"/>
    </row>
    <row r="2101">
      <c r="D2101" s="132"/>
      <c r="G2101" s="661"/>
      <c r="I2101" s="125"/>
      <c r="J2101" s="674"/>
      <c r="K2101" s="471"/>
      <c r="L2101" s="678"/>
    </row>
    <row r="2102">
      <c r="G2102" s="661"/>
      <c r="I2102" s="125"/>
      <c r="J2102" s="674"/>
      <c r="K2102" s="471"/>
      <c r="L2102" s="678"/>
    </row>
    <row r="2103">
      <c r="G2103" s="661"/>
      <c r="I2103" s="125"/>
      <c r="J2103" s="674"/>
      <c r="K2103" s="471"/>
      <c r="L2103" s="678"/>
    </row>
    <row r="2104">
      <c r="D2104" s="132"/>
      <c r="G2104" s="661"/>
      <c r="I2104" s="125"/>
      <c r="J2104" s="674"/>
      <c r="K2104" s="471"/>
      <c r="L2104" s="678"/>
    </row>
    <row r="2105">
      <c r="D2105" s="132"/>
      <c r="G2105" s="661"/>
      <c r="I2105" s="125"/>
      <c r="J2105" s="674"/>
      <c r="K2105" s="471"/>
      <c r="L2105" s="678"/>
    </row>
    <row r="2106">
      <c r="D2106" s="132"/>
      <c r="G2106" s="661"/>
      <c r="I2106" s="125"/>
      <c r="J2106" s="674"/>
      <c r="K2106" s="471"/>
      <c r="L2106" s="678"/>
    </row>
    <row r="2107">
      <c r="D2107" s="132"/>
      <c r="G2107" s="661"/>
      <c r="I2107" s="125"/>
      <c r="J2107" s="674"/>
      <c r="K2107" s="471"/>
      <c r="L2107" s="678"/>
    </row>
    <row r="2108">
      <c r="D2108" s="132"/>
      <c r="G2108" s="661"/>
      <c r="I2108" s="125"/>
      <c r="J2108" s="674"/>
      <c r="K2108" s="471"/>
      <c r="L2108" s="678"/>
    </row>
    <row r="2109">
      <c r="D2109" s="132"/>
      <c r="G2109" s="661"/>
      <c r="I2109" s="125"/>
      <c r="J2109" s="674"/>
      <c r="K2109" s="471"/>
      <c r="L2109" s="678"/>
    </row>
    <row r="2110">
      <c r="D2110" s="132"/>
      <c r="G2110" s="661"/>
      <c r="I2110" s="125"/>
      <c r="J2110" s="674"/>
      <c r="K2110" s="471"/>
      <c r="L2110" s="678"/>
    </row>
    <row r="2111">
      <c r="D2111" s="132"/>
      <c r="G2111" s="661"/>
      <c r="I2111" s="125"/>
      <c r="J2111" s="674"/>
      <c r="K2111" s="471"/>
      <c r="L2111" s="678"/>
    </row>
    <row r="2112">
      <c r="D2112" s="132"/>
      <c r="G2112" s="661"/>
      <c r="I2112" s="125"/>
      <c r="J2112" s="674"/>
      <c r="K2112" s="471"/>
      <c r="L2112" s="678"/>
    </row>
    <row r="2113">
      <c r="D2113" s="132"/>
      <c r="G2113" s="661"/>
      <c r="I2113" s="125"/>
      <c r="J2113" s="674"/>
      <c r="K2113" s="471"/>
      <c r="L2113" s="678"/>
    </row>
    <row r="2114">
      <c r="D2114" s="132"/>
      <c r="G2114" s="661"/>
      <c r="I2114" s="125"/>
      <c r="J2114" s="674"/>
      <c r="K2114" s="471"/>
      <c r="L2114" s="678"/>
    </row>
    <row r="2115">
      <c r="D2115" s="132"/>
      <c r="G2115" s="661"/>
      <c r="I2115" s="125"/>
      <c r="J2115" s="674"/>
      <c r="K2115" s="471"/>
      <c r="L2115" s="678"/>
    </row>
    <row r="2116">
      <c r="D2116" s="132"/>
      <c r="G2116" s="661"/>
      <c r="I2116" s="125"/>
      <c r="J2116" s="674"/>
      <c r="K2116" s="471"/>
      <c r="L2116" s="678"/>
    </row>
    <row r="2117">
      <c r="D2117" s="132"/>
      <c r="G2117" s="661"/>
      <c r="I2117" s="125"/>
      <c r="J2117" s="674"/>
      <c r="K2117" s="471"/>
      <c r="L2117" s="678"/>
    </row>
    <row r="2118">
      <c r="G2118" s="661"/>
      <c r="I2118" s="125"/>
      <c r="J2118" s="674"/>
      <c r="K2118" s="471"/>
      <c r="L2118" s="678"/>
    </row>
    <row r="2119">
      <c r="D2119" s="134"/>
      <c r="G2119" s="661"/>
      <c r="I2119" s="125"/>
      <c r="J2119" s="674"/>
      <c r="K2119" s="471"/>
      <c r="L2119" s="678"/>
    </row>
    <row r="2120">
      <c r="D2120" s="124"/>
      <c r="G2120" s="661"/>
      <c r="I2120" s="125"/>
      <c r="J2120" s="674"/>
      <c r="K2120" s="471"/>
      <c r="L2120" s="678"/>
    </row>
    <row r="2121">
      <c r="D2121" s="124"/>
      <c r="G2121" s="661"/>
      <c r="I2121" s="125"/>
      <c r="J2121" s="674"/>
      <c r="K2121" s="471"/>
      <c r="L2121" s="678"/>
    </row>
    <row r="2122">
      <c r="G2122" s="661"/>
      <c r="I2122" s="125"/>
      <c r="J2122" s="674"/>
      <c r="K2122" s="471"/>
      <c r="L2122" s="678"/>
    </row>
    <row r="2123">
      <c r="D2123" s="132"/>
      <c r="G2123" s="661"/>
      <c r="I2123" s="125"/>
      <c r="J2123" s="674"/>
      <c r="K2123" s="471"/>
      <c r="L2123" s="678"/>
    </row>
    <row r="2124">
      <c r="G2124" s="661"/>
      <c r="I2124" s="125"/>
      <c r="J2124" s="674"/>
      <c r="K2124" s="471"/>
      <c r="L2124" s="678"/>
    </row>
    <row r="2125">
      <c r="D2125" s="132"/>
      <c r="G2125" s="661"/>
      <c r="I2125" s="125"/>
      <c r="J2125" s="674"/>
      <c r="K2125" s="471"/>
      <c r="L2125" s="678"/>
    </row>
    <row r="2126">
      <c r="D2126" s="132"/>
      <c r="G2126" s="661"/>
      <c r="I2126" s="125"/>
      <c r="J2126" s="674"/>
      <c r="K2126" s="471"/>
      <c r="L2126" s="678"/>
    </row>
    <row r="2127">
      <c r="G2127" s="661"/>
      <c r="I2127" s="125"/>
      <c r="J2127" s="674"/>
      <c r="K2127" s="471"/>
      <c r="L2127" s="678"/>
    </row>
    <row r="2128">
      <c r="D2128" s="132"/>
      <c r="G2128" s="661"/>
      <c r="I2128" s="125"/>
      <c r="J2128" s="674"/>
      <c r="K2128" s="471"/>
      <c r="L2128" s="678"/>
    </row>
    <row r="2129">
      <c r="D2129" s="132"/>
      <c r="G2129" s="661"/>
      <c r="I2129" s="125"/>
      <c r="J2129" s="674"/>
      <c r="K2129" s="471"/>
      <c r="L2129" s="678"/>
    </row>
    <row r="2130">
      <c r="G2130" s="661"/>
      <c r="I2130" s="125"/>
      <c r="J2130" s="674"/>
      <c r="K2130" s="471"/>
      <c r="L2130" s="678"/>
    </row>
    <row r="2131">
      <c r="D2131" s="313"/>
      <c r="G2131" s="661"/>
      <c r="I2131" s="125"/>
      <c r="J2131" s="674"/>
      <c r="K2131" s="471"/>
      <c r="L2131" s="678"/>
    </row>
    <row r="2132">
      <c r="D2132" s="132"/>
      <c r="G2132" s="661"/>
      <c r="I2132" s="125"/>
      <c r="J2132" s="674"/>
      <c r="K2132" s="471"/>
      <c r="L2132" s="678"/>
    </row>
    <row r="2133">
      <c r="D2133" s="132"/>
      <c r="G2133" s="661"/>
      <c r="I2133" s="125"/>
      <c r="J2133" s="674"/>
      <c r="K2133" s="471"/>
      <c r="L2133" s="678"/>
    </row>
    <row r="2134">
      <c r="D2134" s="132"/>
      <c r="G2134" s="661"/>
      <c r="I2134" s="125"/>
      <c r="J2134" s="674"/>
      <c r="K2134" s="471"/>
      <c r="L2134" s="678"/>
    </row>
    <row r="2135">
      <c r="G2135" s="661"/>
      <c r="I2135" s="125"/>
      <c r="J2135" s="674"/>
      <c r="K2135" s="471"/>
      <c r="L2135" s="678"/>
    </row>
    <row r="2136">
      <c r="D2136" s="132"/>
      <c r="G2136" s="661"/>
      <c r="I2136" s="125"/>
      <c r="J2136" s="674"/>
      <c r="K2136" s="471"/>
      <c r="L2136" s="678"/>
    </row>
    <row r="2137">
      <c r="G2137" s="661"/>
      <c r="I2137" s="125"/>
      <c r="J2137" s="674"/>
      <c r="K2137" s="471"/>
      <c r="L2137" s="678"/>
    </row>
    <row r="2138">
      <c r="D2138" s="132"/>
      <c r="G2138" s="661"/>
      <c r="I2138" s="125"/>
      <c r="J2138" s="674"/>
      <c r="K2138" s="471"/>
      <c r="L2138" s="678"/>
    </row>
    <row r="2139">
      <c r="D2139" s="132"/>
      <c r="G2139" s="661"/>
      <c r="I2139" s="125"/>
      <c r="J2139" s="674"/>
      <c r="K2139" s="471"/>
      <c r="L2139" s="678"/>
    </row>
    <row r="2140">
      <c r="D2140" s="313"/>
      <c r="G2140" s="661"/>
      <c r="I2140" s="125"/>
      <c r="J2140" s="674"/>
      <c r="K2140" s="471"/>
      <c r="L2140" s="678"/>
    </row>
    <row r="2141">
      <c r="D2141" s="149"/>
      <c r="G2141" s="661"/>
      <c r="I2141" s="125"/>
      <c r="J2141" s="674"/>
      <c r="K2141" s="471"/>
      <c r="L2141" s="678"/>
    </row>
    <row r="2142">
      <c r="D2142" s="132"/>
      <c r="G2142" s="661"/>
      <c r="I2142" s="125"/>
      <c r="J2142" s="674"/>
      <c r="K2142" s="471"/>
      <c r="L2142" s="678"/>
    </row>
    <row r="2143">
      <c r="G2143" s="661"/>
      <c r="I2143" s="125"/>
      <c r="J2143" s="674"/>
      <c r="K2143" s="471"/>
      <c r="L2143" s="678"/>
    </row>
    <row r="2144">
      <c r="D2144" s="132"/>
      <c r="G2144" s="661"/>
      <c r="I2144" s="125"/>
      <c r="J2144" s="674"/>
      <c r="K2144" s="471"/>
      <c r="L2144" s="678"/>
    </row>
    <row r="2145">
      <c r="G2145" s="661"/>
      <c r="I2145" s="125"/>
      <c r="J2145" s="674"/>
      <c r="K2145" s="471"/>
      <c r="L2145" s="678"/>
    </row>
    <row r="2146">
      <c r="G2146" s="661"/>
      <c r="I2146" s="125"/>
      <c r="J2146" s="674"/>
      <c r="K2146" s="471"/>
      <c r="L2146" s="678"/>
    </row>
    <row r="2147">
      <c r="D2147" s="132"/>
      <c r="G2147" s="661"/>
      <c r="I2147" s="125"/>
      <c r="J2147" s="674"/>
      <c r="K2147" s="471"/>
      <c r="L2147" s="678"/>
    </row>
    <row r="2148">
      <c r="G2148" s="661"/>
      <c r="I2148" s="125"/>
      <c r="J2148" s="674"/>
      <c r="K2148" s="471"/>
      <c r="L2148" s="678"/>
    </row>
    <row r="2149">
      <c r="G2149" s="661"/>
      <c r="I2149" s="125"/>
      <c r="J2149" s="674"/>
      <c r="K2149" s="471"/>
      <c r="L2149" s="678"/>
    </row>
    <row r="2150">
      <c r="D2150" s="132"/>
      <c r="G2150" s="661"/>
      <c r="I2150" s="125"/>
      <c r="J2150" s="674"/>
      <c r="K2150" s="471"/>
      <c r="L2150" s="678"/>
    </row>
    <row r="2151">
      <c r="D2151" s="132"/>
      <c r="G2151" s="661"/>
      <c r="I2151" s="125"/>
      <c r="J2151" s="674"/>
      <c r="K2151" s="471"/>
      <c r="L2151" s="678"/>
    </row>
    <row r="2152">
      <c r="D2152" s="132"/>
      <c r="G2152" s="661"/>
      <c r="I2152" s="125"/>
      <c r="J2152" s="674"/>
      <c r="K2152" s="471"/>
      <c r="L2152" s="678"/>
    </row>
    <row r="2153">
      <c r="G2153" s="661"/>
      <c r="I2153" s="125"/>
      <c r="J2153" s="674"/>
      <c r="K2153" s="471"/>
      <c r="L2153" s="678"/>
    </row>
    <row r="2154">
      <c r="D2154" s="132"/>
      <c r="G2154" s="661"/>
      <c r="I2154" s="125"/>
      <c r="J2154" s="674"/>
      <c r="K2154" s="471"/>
      <c r="L2154" s="678"/>
    </row>
    <row r="2155">
      <c r="G2155" s="661"/>
      <c r="I2155" s="125"/>
      <c r="J2155" s="674"/>
      <c r="K2155" s="471"/>
      <c r="L2155" s="678"/>
    </row>
    <row r="2156">
      <c r="G2156" s="661"/>
      <c r="I2156" s="125"/>
      <c r="J2156" s="674"/>
      <c r="K2156" s="471"/>
      <c r="L2156" s="678"/>
    </row>
    <row r="2157">
      <c r="D2157" s="132"/>
      <c r="G2157" s="661"/>
      <c r="I2157" s="125"/>
      <c r="J2157" s="674"/>
      <c r="K2157" s="471"/>
      <c r="L2157" s="678"/>
    </row>
    <row r="2158">
      <c r="D2158" s="132"/>
      <c r="G2158" s="661"/>
      <c r="I2158" s="125"/>
      <c r="J2158" s="674"/>
      <c r="K2158" s="471"/>
      <c r="L2158" s="678"/>
    </row>
    <row r="2159">
      <c r="D2159" s="132"/>
      <c r="G2159" s="661"/>
      <c r="I2159" s="125"/>
      <c r="J2159" s="674"/>
      <c r="K2159" s="471"/>
      <c r="L2159" s="678"/>
    </row>
    <row r="2160">
      <c r="D2160" s="132"/>
      <c r="G2160" s="661"/>
      <c r="I2160" s="125"/>
      <c r="J2160" s="674"/>
      <c r="K2160" s="471"/>
      <c r="L2160" s="678"/>
    </row>
    <row r="2161">
      <c r="D2161" s="132"/>
      <c r="G2161" s="661"/>
      <c r="I2161" s="125"/>
      <c r="J2161" s="674"/>
      <c r="K2161" s="471"/>
      <c r="L2161" s="678"/>
    </row>
    <row r="2162">
      <c r="G2162" s="661"/>
      <c r="I2162" s="125"/>
      <c r="J2162" s="674"/>
      <c r="K2162" s="471"/>
      <c r="L2162" s="678"/>
    </row>
    <row r="2163">
      <c r="D2163" s="132"/>
      <c r="G2163" s="661"/>
      <c r="I2163" s="125"/>
      <c r="J2163" s="674"/>
      <c r="K2163" s="471"/>
      <c r="L2163" s="678"/>
    </row>
    <row r="2164">
      <c r="D2164" s="132"/>
      <c r="G2164" s="661"/>
      <c r="I2164" s="125"/>
      <c r="J2164" s="674"/>
      <c r="K2164" s="471"/>
      <c r="L2164" s="678"/>
    </row>
    <row r="2165">
      <c r="D2165" s="132"/>
      <c r="G2165" s="661"/>
      <c r="I2165" s="125"/>
      <c r="J2165" s="674"/>
      <c r="K2165" s="471"/>
      <c r="L2165" s="678"/>
    </row>
    <row r="2166">
      <c r="D2166" s="132"/>
      <c r="G2166" s="661"/>
      <c r="I2166" s="125"/>
      <c r="J2166" s="674"/>
      <c r="K2166" s="471"/>
      <c r="L2166" s="678"/>
    </row>
    <row r="2167">
      <c r="G2167" s="661"/>
      <c r="I2167" s="125"/>
      <c r="J2167" s="674"/>
      <c r="K2167" s="471"/>
      <c r="L2167" s="678"/>
    </row>
    <row r="2168">
      <c r="G2168" s="661"/>
      <c r="I2168" s="125"/>
      <c r="J2168" s="674"/>
      <c r="K2168" s="471"/>
      <c r="L2168" s="678"/>
    </row>
    <row r="2169">
      <c r="D2169" s="132"/>
      <c r="G2169" s="661"/>
      <c r="I2169" s="125"/>
      <c r="J2169" s="674"/>
      <c r="K2169" s="471"/>
      <c r="L2169" s="678"/>
    </row>
    <row r="2170">
      <c r="G2170" s="661"/>
      <c r="I2170" s="125"/>
      <c r="J2170" s="674"/>
      <c r="K2170" s="471"/>
      <c r="L2170" s="678"/>
    </row>
    <row r="2171">
      <c r="G2171" s="661"/>
      <c r="I2171" s="125"/>
      <c r="J2171" s="674"/>
      <c r="K2171" s="471"/>
      <c r="L2171" s="678"/>
    </row>
    <row r="2172">
      <c r="D2172" s="313"/>
      <c r="G2172" s="661"/>
      <c r="I2172" s="125"/>
      <c r="J2172" s="674"/>
      <c r="K2172" s="471"/>
      <c r="L2172" s="678"/>
    </row>
    <row r="2173">
      <c r="D2173" s="313"/>
      <c r="G2173" s="661"/>
      <c r="I2173" s="125"/>
      <c r="J2173" s="674"/>
      <c r="K2173" s="471"/>
      <c r="L2173" s="678"/>
    </row>
    <row r="2174">
      <c r="D2174" s="132"/>
      <c r="G2174" s="661"/>
      <c r="I2174" s="125"/>
      <c r="J2174" s="674"/>
      <c r="K2174" s="471"/>
      <c r="L2174" s="678"/>
    </row>
    <row r="2175">
      <c r="D2175" s="313"/>
      <c r="G2175" s="661"/>
      <c r="I2175" s="125"/>
      <c r="J2175" s="674"/>
      <c r="K2175" s="471"/>
      <c r="L2175" s="678"/>
    </row>
    <row r="2176">
      <c r="D2176" s="132"/>
      <c r="G2176" s="661"/>
      <c r="I2176" s="125"/>
      <c r="J2176" s="674"/>
      <c r="K2176" s="471"/>
      <c r="L2176" s="678"/>
    </row>
    <row r="2177">
      <c r="G2177" s="661"/>
      <c r="I2177" s="125"/>
      <c r="J2177" s="674"/>
      <c r="K2177" s="471"/>
      <c r="L2177" s="678"/>
    </row>
    <row r="2178">
      <c r="G2178" s="661"/>
      <c r="I2178" s="125"/>
      <c r="J2178" s="674"/>
      <c r="K2178" s="471"/>
      <c r="L2178" s="678"/>
    </row>
    <row r="2179">
      <c r="G2179" s="661"/>
      <c r="I2179" s="125"/>
      <c r="J2179" s="674"/>
      <c r="K2179" s="471"/>
      <c r="L2179" s="678"/>
    </row>
    <row r="2180">
      <c r="G2180" s="661"/>
      <c r="I2180" s="125"/>
      <c r="J2180" s="674"/>
      <c r="K2180" s="471"/>
      <c r="L2180" s="678"/>
    </row>
    <row r="2181">
      <c r="G2181" s="661"/>
      <c r="I2181" s="125"/>
      <c r="J2181" s="674"/>
      <c r="K2181" s="471"/>
      <c r="L2181" s="678"/>
    </row>
    <row r="2182">
      <c r="G2182" s="661"/>
      <c r="I2182" s="125"/>
      <c r="J2182" s="674"/>
      <c r="K2182" s="471"/>
      <c r="L2182" s="678"/>
    </row>
    <row r="2183">
      <c r="G2183" s="661"/>
      <c r="I2183" s="125"/>
      <c r="J2183" s="674"/>
      <c r="K2183" s="471"/>
      <c r="L2183" s="678"/>
    </row>
    <row r="2184">
      <c r="G2184" s="661"/>
      <c r="I2184" s="125"/>
      <c r="J2184" s="674"/>
      <c r="K2184" s="471"/>
      <c r="L2184" s="678"/>
    </row>
    <row r="2185">
      <c r="D2185" s="132"/>
      <c r="G2185" s="661"/>
      <c r="I2185" s="125"/>
      <c r="J2185" s="674"/>
      <c r="K2185" s="471"/>
      <c r="L2185" s="678"/>
    </row>
    <row r="2186">
      <c r="G2186" s="661"/>
      <c r="I2186" s="125"/>
      <c r="J2186" s="674"/>
      <c r="K2186" s="471"/>
      <c r="L2186" s="678"/>
    </row>
    <row r="2187">
      <c r="D2187" s="132"/>
      <c r="G2187" s="661"/>
      <c r="I2187" s="125"/>
      <c r="J2187" s="674"/>
      <c r="K2187" s="471"/>
      <c r="L2187" s="678"/>
    </row>
    <row r="2188">
      <c r="D2188" s="132"/>
      <c r="G2188" s="661"/>
      <c r="I2188" s="125"/>
      <c r="J2188" s="674"/>
      <c r="K2188" s="471"/>
      <c r="L2188" s="678"/>
    </row>
    <row r="2189">
      <c r="G2189" s="661"/>
      <c r="I2189" s="125"/>
      <c r="J2189" s="674"/>
      <c r="K2189" s="471"/>
      <c r="L2189" s="678"/>
    </row>
    <row r="2190">
      <c r="G2190" s="661"/>
      <c r="I2190" s="125"/>
      <c r="J2190" s="674"/>
      <c r="K2190" s="471"/>
      <c r="L2190" s="678"/>
    </row>
    <row r="2191">
      <c r="D2191" s="132"/>
      <c r="G2191" s="661"/>
      <c r="I2191" s="125"/>
      <c r="J2191" s="674"/>
      <c r="K2191" s="471"/>
      <c r="L2191" s="678"/>
    </row>
    <row r="2192">
      <c r="D2192" s="132"/>
      <c r="G2192" s="661"/>
      <c r="I2192" s="125"/>
      <c r="J2192" s="674"/>
      <c r="K2192" s="471"/>
      <c r="L2192" s="678"/>
    </row>
    <row r="2193">
      <c r="D2193" s="132"/>
      <c r="G2193" s="661"/>
      <c r="I2193" s="125"/>
      <c r="J2193" s="674"/>
      <c r="K2193" s="471"/>
      <c r="L2193" s="678"/>
    </row>
    <row r="2194">
      <c r="D2194" s="132"/>
      <c r="G2194" s="661"/>
      <c r="I2194" s="125"/>
      <c r="J2194" s="674"/>
      <c r="K2194" s="471"/>
      <c r="L2194" s="678"/>
    </row>
    <row r="2195">
      <c r="G2195" s="661"/>
      <c r="I2195" s="125"/>
      <c r="J2195" s="674"/>
      <c r="K2195" s="471"/>
      <c r="L2195" s="678"/>
    </row>
    <row r="2196">
      <c r="D2196" s="132"/>
      <c r="G2196" s="661"/>
      <c r="I2196" s="125"/>
      <c r="J2196" s="674"/>
      <c r="K2196" s="471"/>
      <c r="L2196" s="678"/>
    </row>
    <row r="2197">
      <c r="D2197" s="132"/>
      <c r="G2197" s="661"/>
      <c r="I2197" s="125"/>
      <c r="J2197" s="674"/>
      <c r="K2197" s="471"/>
      <c r="L2197" s="678"/>
    </row>
    <row r="2198">
      <c r="G2198" s="661"/>
      <c r="I2198" s="125"/>
      <c r="J2198" s="674"/>
      <c r="K2198" s="471"/>
      <c r="L2198" s="678"/>
    </row>
    <row r="2199">
      <c r="D2199" s="132"/>
      <c r="G2199" s="661"/>
      <c r="I2199" s="125"/>
      <c r="J2199" s="674"/>
      <c r="K2199" s="471"/>
      <c r="L2199" s="678"/>
    </row>
    <row r="2200">
      <c r="D2200" s="313"/>
      <c r="G2200" s="661"/>
      <c r="I2200" s="125"/>
      <c r="J2200" s="674"/>
      <c r="K2200" s="471"/>
      <c r="L2200" s="678"/>
    </row>
    <row r="2201">
      <c r="G2201" s="661"/>
      <c r="I2201" s="125"/>
      <c r="J2201" s="674"/>
      <c r="K2201" s="471"/>
      <c r="L2201" s="678"/>
    </row>
    <row r="2202">
      <c r="D2202" s="132"/>
      <c r="G2202" s="661"/>
      <c r="I2202" s="125"/>
      <c r="J2202" s="674"/>
      <c r="K2202" s="471"/>
      <c r="L2202" s="678"/>
    </row>
    <row r="2203">
      <c r="G2203" s="661"/>
      <c r="I2203" s="125"/>
      <c r="J2203" s="674"/>
      <c r="K2203" s="471"/>
      <c r="L2203" s="678"/>
    </row>
    <row r="2204">
      <c r="G2204" s="661"/>
      <c r="I2204" s="125"/>
      <c r="J2204" s="674"/>
      <c r="K2204" s="471"/>
      <c r="L2204" s="678"/>
    </row>
    <row r="2205">
      <c r="G2205" s="661"/>
      <c r="I2205" s="125"/>
      <c r="J2205" s="674"/>
      <c r="K2205" s="471"/>
      <c r="L2205" s="678"/>
    </row>
    <row r="2206">
      <c r="G2206" s="661"/>
      <c r="I2206" s="125"/>
      <c r="J2206" s="674"/>
      <c r="K2206" s="471"/>
      <c r="L2206" s="678"/>
    </row>
    <row r="2207">
      <c r="D2207" s="313"/>
      <c r="G2207" s="661"/>
      <c r="I2207" s="125"/>
      <c r="J2207" s="674"/>
      <c r="K2207" s="471"/>
      <c r="L2207" s="678"/>
    </row>
    <row r="2208">
      <c r="G2208" s="661"/>
      <c r="I2208" s="125"/>
      <c r="J2208" s="674"/>
      <c r="K2208" s="471"/>
      <c r="L2208" s="678"/>
    </row>
    <row r="2209">
      <c r="G2209" s="661"/>
      <c r="I2209" s="125"/>
      <c r="J2209" s="674"/>
      <c r="K2209" s="471"/>
      <c r="L2209" s="678"/>
    </row>
    <row r="2210">
      <c r="G2210" s="661"/>
      <c r="I2210" s="125"/>
      <c r="J2210" s="674"/>
      <c r="K2210" s="471"/>
      <c r="L2210" s="678"/>
    </row>
    <row r="2211">
      <c r="D2211" s="132"/>
      <c r="G2211" s="661"/>
      <c r="I2211" s="125"/>
      <c r="J2211" s="674"/>
      <c r="K2211" s="471"/>
      <c r="L2211" s="678"/>
    </row>
    <row r="2212">
      <c r="G2212" s="661"/>
      <c r="I2212" s="125"/>
      <c r="J2212" s="674"/>
      <c r="K2212" s="471"/>
      <c r="L2212" s="678"/>
    </row>
    <row r="2213">
      <c r="G2213" s="661"/>
      <c r="I2213" s="125"/>
      <c r="J2213" s="674"/>
      <c r="K2213" s="471"/>
      <c r="L2213" s="678"/>
    </row>
    <row r="2214">
      <c r="D2214" s="132"/>
      <c r="G2214" s="661"/>
      <c r="I2214" s="125"/>
      <c r="J2214" s="674"/>
      <c r="K2214" s="471"/>
      <c r="L2214" s="678"/>
    </row>
    <row r="2215">
      <c r="D2215" s="132"/>
      <c r="G2215" s="661"/>
      <c r="I2215" s="125"/>
      <c r="J2215" s="674"/>
      <c r="K2215" s="471"/>
      <c r="L2215" s="678"/>
    </row>
    <row r="2216">
      <c r="G2216" s="661"/>
      <c r="I2216" s="125"/>
      <c r="J2216" s="674"/>
      <c r="K2216" s="471"/>
      <c r="L2216" s="678"/>
    </row>
    <row r="2217">
      <c r="G2217" s="661"/>
      <c r="I2217" s="125"/>
      <c r="J2217" s="674"/>
      <c r="K2217" s="471"/>
      <c r="L2217" s="678"/>
    </row>
    <row r="2218">
      <c r="D2218" s="132"/>
      <c r="G2218" s="661"/>
      <c r="I2218" s="125"/>
      <c r="J2218" s="674"/>
      <c r="K2218" s="471"/>
      <c r="L2218" s="678"/>
    </row>
    <row r="2219">
      <c r="G2219" s="661"/>
      <c r="I2219" s="125"/>
      <c r="J2219" s="674"/>
      <c r="K2219" s="471"/>
      <c r="L2219" s="678"/>
    </row>
    <row r="2220">
      <c r="G2220" s="661"/>
      <c r="I2220" s="125"/>
      <c r="J2220" s="674"/>
      <c r="K2220" s="471"/>
      <c r="L2220" s="678"/>
    </row>
    <row r="2221">
      <c r="G2221" s="661"/>
      <c r="I2221" s="125"/>
      <c r="J2221" s="674"/>
      <c r="K2221" s="471"/>
      <c r="L2221" s="678"/>
    </row>
    <row r="2222">
      <c r="G2222" s="661"/>
      <c r="I2222" s="125"/>
      <c r="J2222" s="674"/>
      <c r="K2222" s="471"/>
      <c r="L2222" s="678"/>
    </row>
    <row r="2223">
      <c r="D2223" s="313"/>
      <c r="G2223" s="661"/>
      <c r="I2223" s="125"/>
      <c r="J2223" s="674"/>
      <c r="K2223" s="471"/>
      <c r="L2223" s="678"/>
    </row>
    <row r="2224">
      <c r="D2224" s="313"/>
      <c r="G2224" s="661"/>
      <c r="I2224" s="125"/>
      <c r="J2224" s="674"/>
      <c r="K2224" s="471"/>
      <c r="L2224" s="678"/>
    </row>
    <row r="2225">
      <c r="G2225" s="661"/>
      <c r="I2225" s="125"/>
      <c r="J2225" s="674"/>
      <c r="K2225" s="471"/>
      <c r="L2225" s="678"/>
    </row>
    <row r="2226">
      <c r="D2226" s="313"/>
      <c r="G2226" s="661"/>
      <c r="I2226" s="125"/>
      <c r="J2226" s="674"/>
      <c r="K2226" s="471"/>
      <c r="L2226" s="678"/>
    </row>
    <row r="2227">
      <c r="G2227" s="661"/>
      <c r="I2227" s="125"/>
      <c r="J2227" s="674"/>
      <c r="K2227" s="471"/>
      <c r="L2227" s="678"/>
    </row>
    <row r="2228">
      <c r="D2228" s="313"/>
      <c r="G2228" s="661"/>
      <c r="I2228" s="125"/>
      <c r="J2228" s="674"/>
      <c r="K2228" s="471"/>
      <c r="L2228" s="678"/>
    </row>
    <row r="2229">
      <c r="D2229" s="313"/>
      <c r="G2229" s="661"/>
      <c r="I2229" s="125"/>
      <c r="J2229" s="674"/>
      <c r="K2229" s="471"/>
      <c r="L2229" s="678"/>
    </row>
    <row r="2230">
      <c r="D2230" s="313"/>
      <c r="G2230" s="661"/>
      <c r="I2230" s="125"/>
      <c r="J2230" s="674"/>
      <c r="K2230" s="471"/>
      <c r="L2230" s="678"/>
    </row>
    <row r="2231">
      <c r="D2231" s="313"/>
      <c r="G2231" s="661"/>
      <c r="I2231" s="125"/>
      <c r="J2231" s="674"/>
      <c r="K2231" s="471"/>
      <c r="L2231" s="678"/>
    </row>
    <row r="2232">
      <c r="D2232" s="313"/>
      <c r="G2232" s="661"/>
      <c r="I2232" s="125"/>
      <c r="J2232" s="674"/>
      <c r="K2232" s="471"/>
      <c r="L2232" s="678"/>
    </row>
    <row r="2233">
      <c r="D2233" s="132"/>
      <c r="G2233" s="661"/>
      <c r="I2233" s="125"/>
      <c r="J2233" s="674"/>
      <c r="K2233" s="471"/>
      <c r="L2233" s="678"/>
    </row>
    <row r="2234">
      <c r="G2234" s="661"/>
      <c r="I2234" s="125"/>
      <c r="J2234" s="674"/>
      <c r="K2234" s="471"/>
      <c r="L2234" s="678"/>
    </row>
    <row r="2235">
      <c r="D2235" s="134"/>
      <c r="G2235" s="661"/>
      <c r="I2235" s="125"/>
      <c r="J2235" s="674"/>
      <c r="K2235" s="471"/>
      <c r="L2235" s="678"/>
    </row>
    <row r="2236">
      <c r="D2236" s="124"/>
      <c r="G2236" s="661"/>
      <c r="I2236" s="125"/>
      <c r="J2236" s="674"/>
      <c r="K2236" s="471"/>
      <c r="L2236" s="678"/>
    </row>
    <row r="2237">
      <c r="D2237" s="124"/>
      <c r="G2237" s="661"/>
      <c r="I2237" s="125"/>
      <c r="J2237" s="674"/>
      <c r="K2237" s="471"/>
      <c r="L2237" s="678"/>
    </row>
    <row r="2238">
      <c r="G2238" s="661"/>
      <c r="I2238" s="125"/>
      <c r="J2238" s="674"/>
      <c r="K2238" s="471"/>
      <c r="L2238" s="678"/>
    </row>
    <row r="2239">
      <c r="G2239" s="661"/>
      <c r="I2239" s="125"/>
      <c r="J2239" s="674"/>
      <c r="K2239" s="471"/>
      <c r="L2239" s="678"/>
    </row>
    <row r="2240">
      <c r="G2240" s="661"/>
      <c r="I2240" s="125"/>
      <c r="J2240" s="674"/>
      <c r="K2240" s="471"/>
      <c r="L2240" s="678"/>
    </row>
    <row r="2241">
      <c r="D2241" s="132"/>
      <c r="G2241" s="661"/>
      <c r="I2241" s="125"/>
      <c r="J2241" s="674"/>
      <c r="K2241" s="471"/>
      <c r="L2241" s="678"/>
    </row>
    <row r="2242">
      <c r="G2242" s="661"/>
      <c r="I2242" s="125"/>
      <c r="J2242" s="674"/>
      <c r="K2242" s="471"/>
      <c r="L2242" s="678"/>
    </row>
    <row r="2243">
      <c r="D2243" s="313"/>
      <c r="G2243" s="661"/>
      <c r="I2243" s="125"/>
      <c r="J2243" s="674"/>
      <c r="K2243" s="471"/>
      <c r="L2243" s="678"/>
    </row>
    <row r="2244">
      <c r="D2244" s="313"/>
      <c r="G2244" s="661"/>
      <c r="I2244" s="125"/>
      <c r="J2244" s="674"/>
      <c r="K2244" s="471"/>
      <c r="L2244" s="678"/>
    </row>
    <row r="2245">
      <c r="G2245" s="661"/>
      <c r="I2245" s="125"/>
      <c r="J2245" s="674"/>
      <c r="K2245" s="471"/>
      <c r="L2245" s="678"/>
    </row>
    <row r="2246">
      <c r="D2246" s="313"/>
      <c r="G2246" s="661"/>
      <c r="I2246" s="125"/>
      <c r="J2246" s="674"/>
      <c r="K2246" s="471"/>
      <c r="L2246" s="678"/>
    </row>
    <row r="2247">
      <c r="G2247" s="661"/>
      <c r="I2247" s="125"/>
      <c r="J2247" s="674"/>
      <c r="K2247" s="471"/>
      <c r="L2247" s="678"/>
    </row>
    <row r="2248">
      <c r="G2248" s="661"/>
      <c r="I2248" s="125"/>
      <c r="J2248" s="674"/>
      <c r="K2248" s="471"/>
      <c r="L2248" s="678"/>
    </row>
    <row r="2249">
      <c r="G2249" s="661"/>
      <c r="I2249" s="125"/>
      <c r="J2249" s="674"/>
      <c r="K2249" s="471"/>
      <c r="L2249" s="678"/>
    </row>
    <row r="2250">
      <c r="G2250" s="661"/>
      <c r="I2250" s="125"/>
      <c r="J2250" s="674"/>
      <c r="K2250" s="471"/>
      <c r="L2250" s="678"/>
    </row>
    <row r="2251">
      <c r="G2251" s="661"/>
      <c r="I2251" s="125"/>
      <c r="J2251" s="674"/>
      <c r="K2251" s="471"/>
      <c r="L2251" s="678"/>
    </row>
    <row r="2252">
      <c r="G2252" s="661"/>
      <c r="I2252" s="125"/>
      <c r="J2252" s="674"/>
      <c r="K2252" s="471"/>
      <c r="L2252" s="678"/>
    </row>
    <row r="2253">
      <c r="G2253" s="661"/>
      <c r="I2253" s="125"/>
      <c r="J2253" s="674"/>
      <c r="K2253" s="471"/>
      <c r="L2253" s="678"/>
    </row>
    <row r="2254">
      <c r="D2254" s="270"/>
      <c r="G2254" s="661"/>
      <c r="I2254" s="125"/>
      <c r="J2254" s="674"/>
      <c r="K2254" s="471"/>
      <c r="L2254" s="678"/>
    </row>
    <row r="2255">
      <c r="D2255" s="313"/>
      <c r="G2255" s="661"/>
      <c r="I2255" s="125"/>
      <c r="J2255" s="674"/>
      <c r="K2255" s="471"/>
      <c r="L2255" s="678"/>
    </row>
    <row r="2256">
      <c r="G2256" s="661"/>
      <c r="I2256" s="125"/>
      <c r="J2256" s="674"/>
      <c r="K2256" s="471"/>
      <c r="L2256" s="678"/>
    </row>
    <row r="2257">
      <c r="D2257" s="132"/>
      <c r="G2257" s="661"/>
      <c r="I2257" s="125"/>
      <c r="J2257" s="674"/>
      <c r="K2257" s="471"/>
      <c r="L2257" s="678"/>
    </row>
    <row r="2258">
      <c r="G2258" s="661"/>
      <c r="I2258" s="125"/>
      <c r="J2258" s="674"/>
      <c r="K2258" s="471"/>
      <c r="L2258" s="678"/>
    </row>
    <row r="2259">
      <c r="D2259" s="132"/>
      <c r="G2259" s="661"/>
      <c r="I2259" s="125"/>
      <c r="J2259" s="674"/>
      <c r="K2259" s="471"/>
      <c r="L2259" s="678"/>
    </row>
    <row r="2260">
      <c r="D2260" s="132"/>
      <c r="G2260" s="661"/>
      <c r="I2260" s="125"/>
      <c r="J2260" s="674"/>
      <c r="K2260" s="471"/>
      <c r="L2260" s="678"/>
    </row>
    <row r="2261">
      <c r="D2261" s="313"/>
      <c r="G2261" s="661"/>
      <c r="I2261" s="125"/>
      <c r="J2261" s="674"/>
      <c r="K2261" s="471"/>
      <c r="L2261" s="678"/>
    </row>
    <row r="2262">
      <c r="D2262" s="132"/>
      <c r="G2262" s="661"/>
      <c r="I2262" s="125"/>
      <c r="J2262" s="674"/>
      <c r="K2262" s="471"/>
      <c r="L2262" s="678"/>
    </row>
    <row r="2263">
      <c r="G2263" s="661"/>
      <c r="I2263" s="125"/>
      <c r="J2263" s="674"/>
      <c r="K2263" s="471"/>
      <c r="L2263" s="678"/>
    </row>
    <row r="2264">
      <c r="G2264" s="661"/>
      <c r="I2264" s="125"/>
      <c r="J2264" s="674"/>
      <c r="K2264" s="471"/>
      <c r="L2264" s="678"/>
    </row>
    <row r="2265">
      <c r="G2265" s="661"/>
      <c r="I2265" s="125"/>
      <c r="J2265" s="674"/>
      <c r="K2265" s="471"/>
      <c r="L2265" s="678"/>
    </row>
    <row r="2266">
      <c r="G2266" s="661"/>
      <c r="I2266" s="125"/>
      <c r="J2266" s="674"/>
      <c r="K2266" s="471"/>
      <c r="L2266" s="678"/>
    </row>
    <row r="2267">
      <c r="G2267" s="661"/>
      <c r="I2267" s="125"/>
      <c r="J2267" s="674"/>
      <c r="K2267" s="471"/>
      <c r="L2267" s="678"/>
    </row>
    <row r="2268">
      <c r="G2268" s="661"/>
      <c r="I2268" s="125"/>
      <c r="J2268" s="674"/>
      <c r="K2268" s="471"/>
      <c r="L2268" s="678"/>
    </row>
    <row r="2269">
      <c r="G2269" s="661"/>
      <c r="I2269" s="125"/>
      <c r="J2269" s="674"/>
      <c r="K2269" s="471"/>
      <c r="L2269" s="678"/>
    </row>
    <row r="2270">
      <c r="D2270" s="313"/>
      <c r="G2270" s="661"/>
      <c r="I2270" s="125"/>
      <c r="J2270" s="674"/>
      <c r="K2270" s="471"/>
      <c r="L2270" s="678"/>
    </row>
    <row r="2271">
      <c r="D2271" s="313"/>
      <c r="G2271" s="661"/>
      <c r="I2271" s="125"/>
      <c r="J2271" s="674"/>
      <c r="K2271" s="471"/>
      <c r="L2271" s="678"/>
    </row>
    <row r="2272">
      <c r="G2272" s="661"/>
      <c r="I2272" s="125"/>
      <c r="J2272" s="674"/>
      <c r="K2272" s="471"/>
      <c r="L2272" s="678"/>
    </row>
    <row r="2273">
      <c r="D2273" s="313"/>
      <c r="G2273" s="661"/>
      <c r="I2273" s="125"/>
      <c r="J2273" s="674"/>
      <c r="K2273" s="471"/>
      <c r="L2273" s="678"/>
    </row>
    <row r="2274">
      <c r="D2274" s="313"/>
      <c r="G2274" s="661"/>
      <c r="I2274" s="125"/>
      <c r="J2274" s="674"/>
      <c r="K2274" s="471"/>
      <c r="L2274" s="678"/>
    </row>
    <row r="2275">
      <c r="D2275" s="132"/>
      <c r="G2275" s="661"/>
      <c r="I2275" s="125"/>
      <c r="J2275" s="674"/>
      <c r="K2275" s="471"/>
      <c r="L2275" s="678"/>
    </row>
    <row r="2276">
      <c r="G2276" s="661"/>
      <c r="I2276" s="125"/>
      <c r="J2276" s="674"/>
      <c r="K2276" s="471"/>
      <c r="L2276" s="678"/>
    </row>
    <row r="2277">
      <c r="G2277" s="661"/>
      <c r="I2277" s="125"/>
      <c r="J2277" s="674"/>
      <c r="K2277" s="471"/>
      <c r="L2277" s="678"/>
    </row>
    <row r="2278">
      <c r="G2278" s="661"/>
      <c r="I2278" s="125"/>
      <c r="J2278" s="674"/>
      <c r="K2278" s="471"/>
      <c r="L2278" s="678"/>
    </row>
    <row r="2279">
      <c r="G2279" s="661"/>
      <c r="I2279" s="125"/>
      <c r="J2279" s="674"/>
      <c r="K2279" s="471"/>
      <c r="L2279" s="678"/>
    </row>
    <row r="2280">
      <c r="D2280" s="313"/>
      <c r="G2280" s="661"/>
      <c r="I2280" s="125"/>
      <c r="J2280" s="674"/>
      <c r="K2280" s="471"/>
      <c r="L2280" s="678"/>
    </row>
    <row r="2281">
      <c r="G2281" s="661"/>
      <c r="I2281" s="125"/>
      <c r="J2281" s="674"/>
      <c r="K2281" s="471"/>
      <c r="L2281" s="678"/>
    </row>
    <row r="2282">
      <c r="D2282" s="313"/>
      <c r="G2282" s="661"/>
      <c r="I2282" s="125"/>
      <c r="J2282" s="674"/>
      <c r="K2282" s="471"/>
      <c r="L2282" s="678"/>
    </row>
    <row r="2283">
      <c r="G2283" s="661"/>
      <c r="I2283" s="125"/>
      <c r="J2283" s="674"/>
      <c r="K2283" s="471"/>
      <c r="L2283" s="678"/>
    </row>
    <row r="2284">
      <c r="G2284" s="661"/>
      <c r="I2284" s="125"/>
      <c r="J2284" s="674"/>
      <c r="K2284" s="471"/>
      <c r="L2284" s="678"/>
    </row>
    <row r="2285">
      <c r="D2285" s="313"/>
      <c r="G2285" s="661"/>
      <c r="I2285" s="125"/>
      <c r="J2285" s="674"/>
      <c r="K2285" s="471"/>
      <c r="L2285" s="678"/>
    </row>
    <row r="2286">
      <c r="D2286" s="313"/>
      <c r="G2286" s="661"/>
      <c r="I2286" s="125"/>
      <c r="J2286" s="674"/>
      <c r="K2286" s="471"/>
      <c r="L2286" s="678"/>
    </row>
    <row r="2287">
      <c r="D2287" s="313"/>
      <c r="G2287" s="661"/>
      <c r="I2287" s="125"/>
      <c r="J2287" s="674"/>
      <c r="K2287" s="471"/>
      <c r="L2287" s="678"/>
    </row>
    <row r="2288">
      <c r="D2288" s="132"/>
      <c r="G2288" s="661"/>
      <c r="I2288" s="125"/>
      <c r="J2288" s="674"/>
      <c r="K2288" s="471"/>
      <c r="L2288" s="678"/>
    </row>
    <row r="2289">
      <c r="G2289" s="661"/>
      <c r="I2289" s="125"/>
      <c r="J2289" s="674"/>
      <c r="K2289" s="471"/>
      <c r="L2289" s="678"/>
    </row>
    <row r="2290">
      <c r="D2290" s="132"/>
      <c r="G2290" s="661"/>
      <c r="I2290" s="125"/>
      <c r="J2290" s="674"/>
      <c r="K2290" s="471"/>
      <c r="L2290" s="678"/>
    </row>
    <row r="2291">
      <c r="D2291" s="313"/>
      <c r="G2291" s="661"/>
      <c r="I2291" s="125"/>
      <c r="J2291" s="674"/>
      <c r="K2291" s="471"/>
      <c r="L2291" s="678"/>
    </row>
    <row r="2292">
      <c r="D2292" s="313"/>
      <c r="G2292" s="661"/>
      <c r="I2292" s="125"/>
      <c r="J2292" s="674"/>
      <c r="K2292" s="471"/>
      <c r="L2292" s="678"/>
    </row>
    <row r="2293">
      <c r="D2293" s="313"/>
      <c r="G2293" s="661"/>
      <c r="I2293" s="125"/>
      <c r="J2293" s="674"/>
      <c r="K2293" s="471"/>
      <c r="L2293" s="678"/>
    </row>
    <row r="2294">
      <c r="D2294" s="313"/>
      <c r="G2294" s="661"/>
      <c r="I2294" s="125"/>
      <c r="J2294" s="674"/>
      <c r="K2294" s="471"/>
      <c r="L2294" s="678"/>
    </row>
    <row r="2295">
      <c r="D2295" s="313"/>
      <c r="G2295" s="661"/>
      <c r="I2295" s="125"/>
      <c r="J2295" s="674"/>
      <c r="K2295" s="471"/>
      <c r="L2295" s="678"/>
    </row>
    <row r="2296">
      <c r="D2296" s="313"/>
      <c r="G2296" s="661"/>
      <c r="I2296" s="125"/>
      <c r="J2296" s="674"/>
      <c r="K2296" s="471"/>
      <c r="L2296" s="678"/>
    </row>
    <row r="2297">
      <c r="D2297" s="313"/>
      <c r="G2297" s="661"/>
      <c r="I2297" s="125"/>
      <c r="J2297" s="674"/>
      <c r="K2297" s="471"/>
      <c r="L2297" s="678"/>
    </row>
    <row r="2298">
      <c r="G2298" s="661"/>
      <c r="I2298" s="125"/>
      <c r="J2298" s="674"/>
      <c r="K2298" s="471"/>
      <c r="L2298" s="678"/>
    </row>
    <row r="2299">
      <c r="D2299" s="134"/>
      <c r="G2299" s="661"/>
      <c r="I2299" s="125"/>
      <c r="J2299" s="674"/>
      <c r="K2299" s="471"/>
      <c r="L2299" s="678"/>
    </row>
    <row r="2300">
      <c r="D2300" s="124"/>
      <c r="G2300" s="661"/>
      <c r="I2300" s="125"/>
      <c r="J2300" s="674"/>
      <c r="K2300" s="471"/>
      <c r="L2300" s="678"/>
    </row>
    <row r="2301">
      <c r="D2301" s="124"/>
      <c r="G2301" s="661"/>
      <c r="I2301" s="125"/>
      <c r="J2301" s="674"/>
      <c r="K2301" s="471"/>
      <c r="L2301" s="678"/>
    </row>
    <row r="2302">
      <c r="G2302" s="661"/>
      <c r="I2302" s="125"/>
      <c r="J2302" s="674"/>
      <c r="K2302" s="471"/>
      <c r="L2302" s="678"/>
    </row>
    <row r="2303">
      <c r="G2303" s="661"/>
      <c r="I2303" s="125"/>
      <c r="J2303" s="674"/>
      <c r="K2303" s="471"/>
      <c r="L2303" s="678"/>
    </row>
    <row r="2304">
      <c r="G2304" s="661"/>
      <c r="I2304" s="125"/>
      <c r="J2304" s="674"/>
      <c r="K2304" s="471"/>
      <c r="L2304" s="678"/>
    </row>
    <row r="2305">
      <c r="D2305" s="132"/>
      <c r="G2305" s="661"/>
      <c r="I2305" s="125"/>
      <c r="J2305" s="674"/>
      <c r="K2305" s="471"/>
      <c r="L2305" s="678"/>
    </row>
    <row r="2306">
      <c r="G2306" s="661"/>
      <c r="I2306" s="125"/>
      <c r="J2306" s="674"/>
      <c r="K2306" s="471"/>
      <c r="L2306" s="678"/>
    </row>
    <row r="2307">
      <c r="G2307" s="661"/>
      <c r="I2307" s="125"/>
      <c r="J2307" s="674"/>
      <c r="K2307" s="471"/>
      <c r="L2307" s="678"/>
    </row>
    <row r="2308">
      <c r="D2308" s="149"/>
      <c r="G2308" s="661"/>
      <c r="I2308" s="125"/>
      <c r="J2308" s="674"/>
      <c r="K2308" s="471"/>
      <c r="L2308" s="678"/>
    </row>
    <row r="2309">
      <c r="G2309" s="661"/>
      <c r="I2309" s="125"/>
      <c r="J2309" s="674"/>
      <c r="K2309" s="471"/>
      <c r="L2309" s="678"/>
    </row>
    <row r="2310">
      <c r="G2310" s="661"/>
      <c r="I2310" s="125"/>
      <c r="J2310" s="674"/>
      <c r="K2310" s="471"/>
      <c r="L2310" s="678"/>
    </row>
    <row r="2311">
      <c r="G2311" s="661"/>
      <c r="I2311" s="125"/>
      <c r="J2311" s="674"/>
      <c r="K2311" s="471"/>
      <c r="L2311" s="678"/>
    </row>
    <row r="2312">
      <c r="G2312" s="661"/>
      <c r="I2312" s="125"/>
      <c r="J2312" s="674"/>
      <c r="K2312" s="471"/>
      <c r="L2312" s="678"/>
    </row>
    <row r="2313">
      <c r="G2313" s="661"/>
      <c r="I2313" s="125"/>
      <c r="J2313" s="674"/>
      <c r="K2313" s="471"/>
      <c r="L2313" s="678"/>
    </row>
    <row r="2314">
      <c r="G2314" s="661"/>
      <c r="I2314" s="125"/>
      <c r="J2314" s="674"/>
      <c r="K2314" s="471"/>
      <c r="L2314" s="678"/>
    </row>
    <row r="2315">
      <c r="G2315" s="661"/>
      <c r="I2315" s="125"/>
      <c r="J2315" s="674"/>
      <c r="K2315" s="471"/>
      <c r="L2315" s="678"/>
    </row>
    <row r="2316">
      <c r="G2316" s="661"/>
      <c r="I2316" s="125"/>
      <c r="J2316" s="674"/>
      <c r="K2316" s="471"/>
      <c r="L2316" s="678"/>
    </row>
    <row r="2317">
      <c r="G2317" s="661"/>
      <c r="I2317" s="125"/>
      <c r="J2317" s="674"/>
      <c r="K2317" s="471"/>
      <c r="L2317" s="678"/>
    </row>
    <row r="2318">
      <c r="G2318" s="661"/>
      <c r="I2318" s="125"/>
      <c r="J2318" s="674"/>
      <c r="K2318" s="471"/>
      <c r="L2318" s="678"/>
    </row>
    <row r="2319">
      <c r="D2319" s="132"/>
      <c r="G2319" s="661"/>
      <c r="I2319" s="125"/>
      <c r="J2319" s="674"/>
      <c r="K2319" s="471"/>
      <c r="L2319" s="678"/>
    </row>
    <row r="2320">
      <c r="G2320" s="661"/>
      <c r="I2320" s="125"/>
      <c r="J2320" s="674"/>
      <c r="K2320" s="471"/>
      <c r="L2320" s="678"/>
    </row>
    <row r="2321">
      <c r="G2321" s="661"/>
      <c r="I2321" s="125"/>
      <c r="J2321" s="674"/>
      <c r="K2321" s="471"/>
      <c r="L2321" s="678"/>
    </row>
    <row r="2322">
      <c r="G2322" s="661"/>
      <c r="I2322" s="125"/>
      <c r="J2322" s="674"/>
      <c r="K2322" s="471"/>
      <c r="L2322" s="678"/>
    </row>
    <row r="2323">
      <c r="D2323" s="149"/>
      <c r="G2323" s="661"/>
      <c r="I2323" s="125"/>
      <c r="J2323" s="674"/>
      <c r="K2323" s="471"/>
      <c r="L2323" s="678"/>
    </row>
    <row r="2324">
      <c r="G2324" s="661"/>
      <c r="I2324" s="125"/>
      <c r="J2324" s="674"/>
      <c r="K2324" s="471"/>
      <c r="L2324" s="678"/>
    </row>
    <row r="2325">
      <c r="D2325" s="132"/>
      <c r="G2325" s="661"/>
      <c r="I2325" s="125"/>
      <c r="J2325" s="674"/>
      <c r="K2325" s="471"/>
      <c r="L2325" s="678"/>
    </row>
    <row r="2326">
      <c r="G2326" s="661"/>
      <c r="I2326" s="125"/>
      <c r="J2326" s="674"/>
      <c r="K2326" s="471"/>
      <c r="L2326" s="678"/>
    </row>
    <row r="2327">
      <c r="G2327" s="661"/>
      <c r="I2327" s="125"/>
      <c r="J2327" s="674"/>
      <c r="K2327" s="471"/>
      <c r="L2327" s="678"/>
    </row>
    <row r="2328">
      <c r="G2328" s="661"/>
      <c r="I2328" s="125"/>
      <c r="J2328" s="674"/>
      <c r="K2328" s="471"/>
      <c r="L2328" s="678"/>
    </row>
    <row r="2329">
      <c r="D2329" s="134"/>
      <c r="G2329" s="661"/>
      <c r="I2329" s="125"/>
      <c r="J2329" s="674"/>
      <c r="K2329" s="471"/>
      <c r="L2329" s="678"/>
    </row>
    <row r="2330">
      <c r="G2330" s="661"/>
      <c r="I2330" s="125"/>
      <c r="J2330" s="674"/>
      <c r="K2330" s="471"/>
      <c r="L2330" s="678"/>
    </row>
    <row r="2331">
      <c r="D2331" s="124"/>
      <c r="G2331" s="661"/>
      <c r="I2331" s="125"/>
      <c r="J2331" s="674"/>
      <c r="K2331" s="471"/>
      <c r="L2331" s="678"/>
    </row>
    <row r="2332">
      <c r="D2332" s="124"/>
      <c r="G2332" s="661"/>
      <c r="I2332" s="125"/>
      <c r="J2332" s="674"/>
      <c r="K2332" s="471"/>
      <c r="L2332" s="678"/>
    </row>
    <row r="2333">
      <c r="G2333" s="661"/>
      <c r="I2333" s="125"/>
      <c r="J2333" s="674"/>
      <c r="K2333" s="471"/>
      <c r="L2333" s="678"/>
    </row>
    <row r="2334">
      <c r="G2334" s="661"/>
      <c r="I2334" s="125"/>
      <c r="J2334" s="674"/>
      <c r="K2334" s="471"/>
      <c r="L2334" s="678"/>
    </row>
    <row r="2335">
      <c r="G2335" s="661"/>
      <c r="I2335" s="125"/>
      <c r="J2335" s="674"/>
      <c r="K2335" s="471"/>
      <c r="L2335" s="678"/>
    </row>
    <row r="2336">
      <c r="G2336" s="661"/>
      <c r="I2336" s="125"/>
      <c r="J2336" s="674"/>
      <c r="K2336" s="471"/>
      <c r="L2336" s="678"/>
    </row>
    <row r="2337">
      <c r="G2337" s="661"/>
      <c r="I2337" s="125"/>
      <c r="J2337" s="674"/>
      <c r="K2337" s="471"/>
      <c r="L2337" s="678"/>
    </row>
    <row r="2338">
      <c r="G2338" s="661"/>
      <c r="I2338" s="125"/>
      <c r="J2338" s="674"/>
      <c r="K2338" s="471"/>
      <c r="L2338" s="678"/>
    </row>
    <row r="2339">
      <c r="G2339" s="661"/>
      <c r="I2339" s="125"/>
      <c r="J2339" s="674"/>
      <c r="K2339" s="471"/>
      <c r="L2339" s="678"/>
    </row>
    <row r="2340">
      <c r="G2340" s="661"/>
      <c r="I2340" s="125"/>
      <c r="J2340" s="674"/>
      <c r="K2340" s="471"/>
      <c r="L2340" s="678"/>
    </row>
    <row r="2341">
      <c r="G2341" s="661"/>
      <c r="I2341" s="125"/>
      <c r="J2341" s="674"/>
      <c r="K2341" s="471"/>
      <c r="L2341" s="678"/>
    </row>
    <row r="2342">
      <c r="G2342" s="661"/>
      <c r="I2342" s="125"/>
      <c r="J2342" s="674"/>
      <c r="K2342" s="471"/>
      <c r="L2342" s="678"/>
    </row>
    <row r="2343">
      <c r="G2343" s="661"/>
      <c r="I2343" s="125"/>
      <c r="J2343" s="674"/>
      <c r="K2343" s="471"/>
      <c r="L2343" s="678"/>
    </row>
    <row r="2344">
      <c r="G2344" s="661"/>
      <c r="I2344" s="125"/>
      <c r="J2344" s="674"/>
      <c r="K2344" s="471"/>
      <c r="L2344" s="678"/>
    </row>
    <row r="2345">
      <c r="G2345" s="661"/>
      <c r="I2345" s="125"/>
      <c r="J2345" s="674"/>
      <c r="K2345" s="471"/>
      <c r="L2345" s="678"/>
    </row>
    <row r="2346">
      <c r="G2346" s="661"/>
      <c r="I2346" s="125"/>
      <c r="J2346" s="674"/>
      <c r="K2346" s="471"/>
      <c r="L2346" s="678"/>
    </row>
    <row r="2347">
      <c r="G2347" s="661"/>
      <c r="I2347" s="125"/>
      <c r="J2347" s="674"/>
      <c r="K2347" s="471"/>
      <c r="L2347" s="678"/>
    </row>
    <row r="2348">
      <c r="G2348" s="661"/>
      <c r="I2348" s="125"/>
      <c r="J2348" s="674"/>
      <c r="K2348" s="471"/>
      <c r="L2348" s="678"/>
    </row>
    <row r="2349">
      <c r="G2349" s="661"/>
      <c r="I2349" s="125"/>
      <c r="J2349" s="674"/>
      <c r="K2349" s="471"/>
      <c r="L2349" s="678"/>
    </row>
    <row r="2350">
      <c r="G2350" s="661"/>
      <c r="I2350" s="125"/>
      <c r="J2350" s="674"/>
      <c r="K2350" s="471"/>
      <c r="L2350" s="678"/>
    </row>
    <row r="2351">
      <c r="G2351" s="661"/>
      <c r="I2351" s="125"/>
      <c r="J2351" s="674"/>
      <c r="K2351" s="471"/>
      <c r="L2351" s="678"/>
    </row>
    <row r="2352">
      <c r="G2352" s="661"/>
      <c r="I2352" s="125"/>
      <c r="J2352" s="674"/>
      <c r="K2352" s="471"/>
      <c r="L2352" s="678"/>
    </row>
    <row r="2353">
      <c r="G2353" s="661"/>
      <c r="I2353" s="125"/>
      <c r="J2353" s="674"/>
      <c r="K2353" s="471"/>
      <c r="L2353" s="678"/>
    </row>
    <row r="2354">
      <c r="G2354" s="661"/>
      <c r="I2354" s="125"/>
      <c r="J2354" s="674"/>
      <c r="K2354" s="471"/>
      <c r="L2354" s="678"/>
    </row>
    <row r="2355">
      <c r="G2355" s="661"/>
      <c r="I2355" s="125"/>
      <c r="J2355" s="674"/>
      <c r="K2355" s="471"/>
      <c r="L2355" s="678"/>
    </row>
    <row r="2356">
      <c r="G2356" s="661"/>
      <c r="I2356" s="125"/>
      <c r="J2356" s="674"/>
      <c r="K2356" s="471"/>
      <c r="L2356" s="678"/>
    </row>
    <row r="2357">
      <c r="G2357" s="661"/>
      <c r="I2357" s="125"/>
      <c r="J2357" s="674"/>
      <c r="K2357" s="471"/>
      <c r="L2357" s="678"/>
    </row>
    <row r="2358">
      <c r="G2358" s="661"/>
      <c r="I2358" s="125"/>
      <c r="J2358" s="674"/>
      <c r="K2358" s="471"/>
      <c r="L2358" s="678"/>
    </row>
    <row r="2359">
      <c r="G2359" s="661"/>
      <c r="I2359" s="125"/>
      <c r="J2359" s="674"/>
      <c r="K2359" s="471"/>
      <c r="L2359" s="678"/>
    </row>
    <row r="2360">
      <c r="D2360" s="134"/>
      <c r="G2360" s="661"/>
      <c r="I2360" s="125"/>
      <c r="J2360" s="674"/>
      <c r="K2360" s="471"/>
      <c r="L2360" s="678"/>
    </row>
    <row r="2361">
      <c r="G2361" s="661"/>
      <c r="I2361" s="125"/>
      <c r="J2361" s="674"/>
      <c r="K2361" s="471"/>
      <c r="L2361" s="678"/>
    </row>
    <row r="2362">
      <c r="D2362" s="134"/>
      <c r="G2362" s="661"/>
      <c r="I2362" s="125"/>
      <c r="J2362" s="674"/>
      <c r="K2362" s="471"/>
      <c r="L2362" s="678"/>
    </row>
    <row r="2363">
      <c r="G2363" s="661"/>
      <c r="I2363" s="125"/>
      <c r="J2363" s="674"/>
      <c r="K2363" s="471"/>
      <c r="L2363" s="678"/>
    </row>
    <row r="2364">
      <c r="D2364" s="369"/>
      <c r="G2364" s="661"/>
      <c r="I2364" s="125"/>
      <c r="J2364" s="674"/>
      <c r="K2364" s="471"/>
      <c r="L2364" s="678"/>
    </row>
    <row r="2365">
      <c r="G2365" s="661"/>
      <c r="I2365" s="125"/>
      <c r="J2365" s="674"/>
      <c r="K2365" s="471"/>
      <c r="L2365" s="678"/>
    </row>
    <row r="2366">
      <c r="D2366" s="124"/>
      <c r="G2366" s="661"/>
      <c r="I2366" s="125"/>
      <c r="J2366" s="674"/>
      <c r="K2366" s="471"/>
      <c r="L2366" s="678"/>
    </row>
    <row r="2367">
      <c r="D2367" s="124"/>
      <c r="G2367" s="661"/>
      <c r="I2367" s="125"/>
      <c r="J2367" s="674"/>
      <c r="K2367" s="471"/>
      <c r="L2367" s="678"/>
    </row>
    <row r="2368">
      <c r="D2368" s="124"/>
      <c r="G2368" s="661"/>
      <c r="I2368" s="125"/>
      <c r="J2368" s="674"/>
      <c r="K2368" s="471"/>
      <c r="L2368" s="678"/>
    </row>
    <row r="2369">
      <c r="D2369" s="124"/>
      <c r="G2369" s="661"/>
      <c r="I2369" s="125"/>
      <c r="J2369" s="674"/>
      <c r="K2369" s="471"/>
      <c r="L2369" s="678"/>
    </row>
    <row r="2370">
      <c r="D2370" s="124"/>
      <c r="G2370" s="661"/>
      <c r="I2370" s="125"/>
      <c r="J2370" s="674"/>
      <c r="K2370" s="471"/>
      <c r="L2370" s="678"/>
    </row>
    <row r="2371">
      <c r="D2371" s="124"/>
      <c r="G2371" s="661"/>
      <c r="I2371" s="125"/>
      <c r="J2371" s="674"/>
      <c r="K2371" s="471"/>
      <c r="L2371" s="678"/>
    </row>
    <row r="2372">
      <c r="D2372" s="124"/>
      <c r="G2372" s="661"/>
      <c r="I2372" s="125"/>
      <c r="J2372" s="674"/>
      <c r="K2372" s="471"/>
      <c r="L2372" s="678"/>
    </row>
    <row r="2373">
      <c r="D2373" s="124"/>
      <c r="G2373" s="661"/>
      <c r="I2373" s="125"/>
      <c r="J2373" s="674"/>
      <c r="K2373" s="471"/>
      <c r="L2373" s="678"/>
    </row>
    <row r="2374">
      <c r="D2374" s="386"/>
      <c r="G2374" s="661"/>
      <c r="I2374" s="125"/>
      <c r="J2374" s="674"/>
      <c r="K2374" s="471"/>
      <c r="L2374" s="678"/>
    </row>
    <row r="2375">
      <c r="D2375" s="386"/>
      <c r="G2375" s="661"/>
      <c r="I2375" s="125"/>
      <c r="J2375" s="674"/>
      <c r="K2375" s="471"/>
      <c r="L2375" s="678"/>
    </row>
    <row r="2376">
      <c r="D2376" s="386"/>
      <c r="G2376" s="661"/>
      <c r="I2376" s="125"/>
      <c r="J2376" s="674"/>
      <c r="K2376" s="471"/>
      <c r="L2376" s="678"/>
    </row>
    <row r="2377">
      <c r="D2377" s="386"/>
      <c r="G2377" s="661"/>
      <c r="I2377" s="125"/>
      <c r="J2377" s="674"/>
      <c r="K2377" s="471"/>
      <c r="L2377" s="678"/>
    </row>
    <row r="2378">
      <c r="G2378" s="661"/>
      <c r="I2378" s="125"/>
      <c r="J2378" s="674"/>
      <c r="K2378" s="471"/>
      <c r="L2378" s="678"/>
    </row>
    <row r="2379">
      <c r="G2379" s="661"/>
      <c r="I2379" s="125"/>
      <c r="J2379" s="674"/>
      <c r="K2379" s="471"/>
      <c r="L2379" s="678"/>
    </row>
    <row r="2380">
      <c r="G2380" s="661"/>
      <c r="I2380" s="125"/>
      <c r="J2380" s="674"/>
      <c r="K2380" s="471"/>
      <c r="L2380" s="678"/>
    </row>
    <row r="2381">
      <c r="D2381" s="369"/>
      <c r="G2381" s="661"/>
      <c r="I2381" s="125"/>
      <c r="J2381" s="674"/>
      <c r="K2381" s="471"/>
      <c r="L2381" s="678"/>
    </row>
    <row r="2382">
      <c r="D2382" s="124"/>
      <c r="G2382" s="661"/>
      <c r="I2382" s="125"/>
      <c r="J2382" s="674"/>
      <c r="K2382" s="471"/>
      <c r="L2382" s="678"/>
    </row>
    <row r="2383">
      <c r="D2383" s="386"/>
      <c r="G2383" s="661"/>
      <c r="I2383" s="125"/>
      <c r="J2383" s="674"/>
      <c r="K2383" s="471"/>
      <c r="L2383" s="678"/>
    </row>
    <row r="2384">
      <c r="G2384" s="661"/>
      <c r="I2384" s="125"/>
      <c r="J2384" s="674"/>
      <c r="K2384" s="471"/>
      <c r="L2384" s="678"/>
    </row>
    <row r="2385">
      <c r="G2385" s="661"/>
      <c r="I2385" s="125"/>
      <c r="J2385" s="674"/>
      <c r="K2385" s="471"/>
      <c r="L2385" s="678"/>
    </row>
    <row r="2386">
      <c r="G2386" s="661"/>
      <c r="I2386" s="125"/>
      <c r="J2386" s="674"/>
      <c r="K2386" s="471"/>
      <c r="L2386" s="678"/>
    </row>
    <row r="2387">
      <c r="G2387" s="661"/>
      <c r="I2387" s="125"/>
      <c r="J2387" s="674"/>
      <c r="K2387" s="471"/>
      <c r="L2387" s="678"/>
    </row>
    <row r="2388">
      <c r="G2388" s="661"/>
      <c r="I2388" s="125"/>
      <c r="J2388" s="674"/>
      <c r="K2388" s="471"/>
      <c r="L2388" s="678"/>
    </row>
    <row r="2389">
      <c r="G2389" s="661"/>
      <c r="I2389" s="125"/>
      <c r="J2389" s="674"/>
      <c r="K2389" s="471"/>
      <c r="L2389" s="678"/>
    </row>
    <row r="2390">
      <c r="G2390" s="661"/>
      <c r="I2390" s="125"/>
      <c r="J2390" s="674"/>
      <c r="K2390" s="471"/>
      <c r="L2390" s="678"/>
    </row>
    <row r="2391">
      <c r="G2391" s="661"/>
      <c r="I2391" s="125"/>
      <c r="J2391" s="674"/>
      <c r="K2391" s="471"/>
      <c r="L2391" s="678"/>
    </row>
    <row r="2392">
      <c r="G2392" s="661"/>
      <c r="I2392" s="125"/>
      <c r="J2392" s="674"/>
      <c r="K2392" s="471"/>
      <c r="L2392" s="678"/>
    </row>
    <row r="2393">
      <c r="G2393" s="661"/>
      <c r="I2393" s="125"/>
      <c r="J2393" s="674"/>
      <c r="K2393" s="471"/>
      <c r="L2393" s="678"/>
    </row>
    <row r="2394">
      <c r="G2394" s="661"/>
      <c r="I2394" s="125"/>
      <c r="J2394" s="674"/>
      <c r="K2394" s="471"/>
      <c r="L2394" s="678"/>
    </row>
    <row r="2395">
      <c r="G2395" s="661"/>
      <c r="I2395" s="125"/>
      <c r="J2395" s="674"/>
      <c r="K2395" s="471"/>
      <c r="L2395" s="678"/>
    </row>
    <row r="2396">
      <c r="G2396" s="661"/>
      <c r="I2396" s="125"/>
      <c r="J2396" s="674"/>
      <c r="K2396" s="471"/>
      <c r="L2396" s="678"/>
    </row>
    <row r="2397">
      <c r="G2397" s="661"/>
      <c r="I2397" s="125"/>
      <c r="J2397" s="674"/>
      <c r="K2397" s="471"/>
      <c r="L2397" s="678"/>
    </row>
    <row r="2398">
      <c r="G2398" s="661"/>
      <c r="I2398" s="125"/>
      <c r="J2398" s="674"/>
      <c r="K2398" s="471"/>
      <c r="L2398" s="678"/>
    </row>
    <row r="2399">
      <c r="G2399" s="661"/>
      <c r="I2399" s="125"/>
      <c r="J2399" s="674"/>
      <c r="K2399" s="471"/>
      <c r="L2399" s="678"/>
    </row>
    <row r="2400">
      <c r="G2400" s="661"/>
      <c r="I2400" s="125"/>
      <c r="J2400" s="674"/>
      <c r="K2400" s="471"/>
      <c r="L2400" s="678"/>
    </row>
    <row r="2401">
      <c r="G2401" s="661"/>
      <c r="I2401" s="125"/>
      <c r="J2401" s="674"/>
      <c r="K2401" s="471"/>
      <c r="L2401" s="678"/>
    </row>
    <row r="2402">
      <c r="G2402" s="661"/>
      <c r="I2402" s="125"/>
      <c r="J2402" s="674"/>
      <c r="K2402" s="471"/>
      <c r="L2402" s="678"/>
    </row>
    <row r="2403">
      <c r="G2403" s="661"/>
      <c r="I2403" s="125"/>
      <c r="J2403" s="674"/>
      <c r="K2403" s="471"/>
      <c r="L2403" s="678"/>
    </row>
    <row r="2404">
      <c r="G2404" s="661"/>
      <c r="I2404" s="125"/>
      <c r="J2404" s="674"/>
      <c r="K2404" s="471"/>
      <c r="L2404" s="678"/>
    </row>
    <row r="2405">
      <c r="G2405" s="661"/>
      <c r="I2405" s="125"/>
      <c r="J2405" s="674"/>
      <c r="K2405" s="471"/>
      <c r="L2405" s="678"/>
    </row>
    <row r="2406">
      <c r="G2406" s="661"/>
      <c r="I2406" s="125"/>
      <c r="J2406" s="674"/>
      <c r="K2406" s="471"/>
      <c r="L2406" s="678"/>
    </row>
    <row r="2407">
      <c r="G2407" s="661"/>
      <c r="I2407" s="125"/>
      <c r="J2407" s="674"/>
      <c r="K2407" s="471"/>
      <c r="L2407" s="678"/>
    </row>
    <row r="2408">
      <c r="G2408" s="661"/>
      <c r="I2408" s="125"/>
      <c r="J2408" s="674"/>
      <c r="K2408" s="471"/>
      <c r="L2408" s="678"/>
    </row>
    <row r="2409">
      <c r="G2409" s="661"/>
      <c r="I2409" s="125"/>
      <c r="J2409" s="674"/>
      <c r="K2409" s="471"/>
      <c r="L2409" s="678"/>
    </row>
    <row r="2410">
      <c r="G2410" s="661"/>
      <c r="I2410" s="125"/>
      <c r="J2410" s="674"/>
      <c r="K2410" s="471"/>
      <c r="L2410" s="678"/>
    </row>
    <row r="2411">
      <c r="G2411" s="661"/>
      <c r="I2411" s="125"/>
      <c r="J2411" s="674"/>
      <c r="K2411" s="471"/>
      <c r="L2411" s="678"/>
    </row>
    <row r="2412">
      <c r="G2412" s="661"/>
      <c r="I2412" s="125"/>
      <c r="J2412" s="674"/>
      <c r="K2412" s="471"/>
      <c r="L2412" s="678"/>
    </row>
    <row r="2413">
      <c r="G2413" s="661"/>
      <c r="I2413" s="125"/>
      <c r="J2413" s="674"/>
      <c r="K2413" s="471"/>
      <c r="L2413" s="678"/>
    </row>
    <row r="2414">
      <c r="G2414" s="661"/>
      <c r="I2414" s="125"/>
      <c r="J2414" s="674"/>
      <c r="K2414" s="471"/>
      <c r="L2414" s="678"/>
    </row>
    <row r="2415">
      <c r="G2415" s="661"/>
      <c r="I2415" s="125"/>
      <c r="J2415" s="674"/>
      <c r="K2415" s="471"/>
      <c r="L2415" s="678"/>
    </row>
    <row r="2416">
      <c r="G2416" s="661"/>
      <c r="I2416" s="125"/>
      <c r="J2416" s="674"/>
      <c r="K2416" s="471"/>
      <c r="L2416" s="678"/>
    </row>
    <row r="2417">
      <c r="G2417" s="661"/>
      <c r="I2417" s="125"/>
      <c r="J2417" s="674"/>
      <c r="K2417" s="471"/>
      <c r="L2417" s="678"/>
    </row>
    <row r="2418">
      <c r="G2418" s="661"/>
      <c r="I2418" s="125"/>
      <c r="J2418" s="674"/>
      <c r="K2418" s="471"/>
      <c r="L2418" s="678"/>
    </row>
    <row r="2419">
      <c r="G2419" s="661"/>
      <c r="I2419" s="125"/>
      <c r="J2419" s="674"/>
      <c r="K2419" s="471"/>
      <c r="L2419" s="678"/>
    </row>
    <row r="2420">
      <c r="G2420" s="661"/>
      <c r="I2420" s="125"/>
      <c r="J2420" s="674"/>
      <c r="K2420" s="471"/>
      <c r="L2420" s="678"/>
    </row>
    <row r="2421">
      <c r="G2421" s="661"/>
      <c r="I2421" s="125"/>
      <c r="J2421" s="674"/>
      <c r="K2421" s="471"/>
      <c r="L2421" s="678"/>
    </row>
    <row r="2422">
      <c r="G2422" s="661"/>
      <c r="I2422" s="125"/>
      <c r="J2422" s="674"/>
      <c r="K2422" s="471"/>
      <c r="L2422" s="678"/>
    </row>
    <row r="2423">
      <c r="G2423" s="661"/>
      <c r="I2423" s="125"/>
      <c r="J2423" s="674"/>
      <c r="K2423" s="471"/>
      <c r="L2423" s="678"/>
    </row>
    <row r="2424">
      <c r="G2424" s="661"/>
      <c r="I2424" s="125"/>
      <c r="J2424" s="674"/>
      <c r="K2424" s="471"/>
      <c r="L2424" s="678"/>
    </row>
    <row r="2425">
      <c r="G2425" s="661"/>
      <c r="I2425" s="125"/>
      <c r="J2425" s="674"/>
      <c r="K2425" s="471"/>
      <c r="L2425" s="678"/>
    </row>
    <row r="2426">
      <c r="G2426" s="661"/>
      <c r="I2426" s="125"/>
      <c r="J2426" s="674"/>
      <c r="K2426" s="471"/>
      <c r="L2426" s="678"/>
    </row>
    <row r="2427">
      <c r="G2427" s="661"/>
      <c r="I2427" s="125"/>
      <c r="J2427" s="674"/>
      <c r="K2427" s="471"/>
      <c r="L2427" s="678"/>
    </row>
    <row r="2428">
      <c r="G2428" s="661"/>
      <c r="I2428" s="125"/>
      <c r="J2428" s="674"/>
      <c r="K2428" s="471"/>
      <c r="L2428" s="678"/>
    </row>
    <row r="2429">
      <c r="G2429" s="661"/>
      <c r="I2429" s="125"/>
      <c r="J2429" s="674"/>
      <c r="K2429" s="471"/>
      <c r="L2429" s="678"/>
    </row>
    <row r="2430">
      <c r="G2430" s="661"/>
      <c r="I2430" s="125"/>
      <c r="J2430" s="674"/>
      <c r="K2430" s="471"/>
      <c r="L2430" s="678"/>
    </row>
    <row r="2431">
      <c r="G2431" s="661"/>
      <c r="I2431" s="125"/>
      <c r="J2431" s="674"/>
      <c r="K2431" s="471"/>
      <c r="L2431" s="678"/>
    </row>
    <row r="2432">
      <c r="G2432" s="661"/>
      <c r="I2432" s="125"/>
      <c r="J2432" s="674"/>
      <c r="K2432" s="471"/>
      <c r="L2432" s="678"/>
    </row>
    <row r="2433">
      <c r="G2433" s="661"/>
      <c r="I2433" s="125"/>
      <c r="J2433" s="674"/>
      <c r="K2433" s="471"/>
      <c r="L2433" s="678"/>
    </row>
    <row r="2434">
      <c r="G2434" s="661"/>
      <c r="I2434" s="125"/>
      <c r="J2434" s="674"/>
      <c r="K2434" s="471"/>
      <c r="L2434" s="678"/>
    </row>
    <row r="2435">
      <c r="G2435" s="661"/>
      <c r="I2435" s="125"/>
      <c r="J2435" s="674"/>
      <c r="K2435" s="471"/>
      <c r="L2435" s="678"/>
    </row>
    <row r="2436">
      <c r="G2436" s="661"/>
      <c r="I2436" s="125"/>
      <c r="J2436" s="674"/>
      <c r="K2436" s="471"/>
      <c r="L2436" s="678"/>
    </row>
    <row r="2437">
      <c r="G2437" s="661"/>
      <c r="I2437" s="125"/>
      <c r="J2437" s="674"/>
      <c r="K2437" s="471"/>
      <c r="L2437" s="678"/>
    </row>
    <row r="2438">
      <c r="G2438" s="661"/>
      <c r="I2438" s="125"/>
      <c r="J2438" s="674"/>
      <c r="K2438" s="471"/>
      <c r="L2438" s="678"/>
    </row>
    <row r="2439">
      <c r="G2439" s="661"/>
      <c r="I2439" s="125"/>
      <c r="J2439" s="674"/>
      <c r="K2439" s="471"/>
      <c r="L2439" s="678"/>
    </row>
    <row r="2440">
      <c r="G2440" s="661"/>
      <c r="I2440" s="125"/>
      <c r="J2440" s="674"/>
      <c r="K2440" s="471"/>
      <c r="L2440" s="678"/>
    </row>
    <row r="2441">
      <c r="G2441" s="661"/>
      <c r="I2441" s="125"/>
      <c r="J2441" s="674"/>
      <c r="K2441" s="471"/>
      <c r="L2441" s="678"/>
    </row>
    <row r="2442">
      <c r="G2442" s="661"/>
      <c r="I2442" s="125"/>
      <c r="J2442" s="674"/>
      <c r="K2442" s="471"/>
      <c r="L2442" s="678"/>
    </row>
    <row r="2443">
      <c r="G2443" s="661"/>
      <c r="I2443" s="125"/>
      <c r="J2443" s="674"/>
      <c r="K2443" s="471"/>
      <c r="L2443" s="678"/>
    </row>
    <row r="2444">
      <c r="D2444" s="130"/>
      <c r="G2444" s="661"/>
      <c r="I2444" s="125"/>
      <c r="J2444" s="674"/>
      <c r="K2444" s="471"/>
      <c r="L2444" s="678"/>
    </row>
    <row r="2445">
      <c r="D2445" s="140"/>
      <c r="G2445" s="661"/>
      <c r="I2445" s="125"/>
      <c r="J2445" s="674"/>
      <c r="K2445" s="471"/>
      <c r="L2445" s="678"/>
    </row>
    <row r="2446">
      <c r="D2446" s="140"/>
      <c r="G2446" s="661"/>
      <c r="I2446" s="125"/>
      <c r="J2446" s="674"/>
      <c r="K2446" s="471"/>
      <c r="L2446" s="678"/>
    </row>
    <row r="2447">
      <c r="D2447" s="185"/>
      <c r="G2447" s="661"/>
      <c r="I2447" s="125"/>
      <c r="J2447" s="674"/>
      <c r="K2447" s="471"/>
      <c r="L2447" s="678"/>
    </row>
    <row r="2448">
      <c r="D2448" s="189"/>
      <c r="G2448" s="661"/>
      <c r="I2448" s="125"/>
      <c r="J2448" s="674"/>
      <c r="K2448" s="471"/>
      <c r="L2448" s="678"/>
    </row>
    <row r="2449">
      <c r="D2449" s="386"/>
      <c r="G2449" s="661"/>
      <c r="I2449" s="125"/>
      <c r="J2449" s="674"/>
      <c r="K2449" s="471"/>
      <c r="L2449" s="678"/>
    </row>
    <row r="2450">
      <c r="D2450" s="421"/>
      <c r="G2450" s="661"/>
      <c r="I2450" s="125"/>
      <c r="J2450" s="674"/>
      <c r="K2450" s="471"/>
      <c r="L2450" s="678"/>
    </row>
    <row r="2451">
      <c r="D2451" s="196"/>
      <c r="G2451" s="661"/>
      <c r="I2451" s="125"/>
      <c r="J2451" s="674"/>
      <c r="K2451" s="471"/>
      <c r="L2451" s="678"/>
    </row>
    <row r="2452">
      <c r="D2452" s="196"/>
      <c r="G2452" s="661"/>
      <c r="I2452" s="125"/>
      <c r="J2452" s="674"/>
      <c r="K2452" s="471"/>
      <c r="L2452" s="678"/>
    </row>
    <row r="2453">
      <c r="D2453" s="421"/>
      <c r="G2453" s="661"/>
      <c r="I2453" s="125"/>
      <c r="J2453" s="674"/>
      <c r="K2453" s="471"/>
      <c r="L2453" s="678"/>
    </row>
    <row r="2454">
      <c r="D2454" s="421"/>
      <c r="G2454" s="661"/>
      <c r="I2454" s="125"/>
      <c r="J2454" s="674"/>
      <c r="K2454" s="471"/>
      <c r="L2454" s="678"/>
    </row>
    <row r="2455">
      <c r="D2455" s="421"/>
      <c r="G2455" s="661"/>
      <c r="I2455" s="125"/>
      <c r="J2455" s="674"/>
      <c r="K2455" s="471"/>
      <c r="L2455" s="678"/>
    </row>
    <row r="2456">
      <c r="D2456" s="185"/>
      <c r="G2456" s="661"/>
      <c r="I2456" s="125"/>
      <c r="J2456" s="674"/>
      <c r="K2456" s="471"/>
      <c r="L2456" s="678"/>
    </row>
    <row r="2457">
      <c r="D2457" s="199"/>
      <c r="G2457" s="661"/>
      <c r="I2457" s="125"/>
      <c r="J2457" s="674"/>
      <c r="K2457" s="471"/>
      <c r="L2457" s="678"/>
    </row>
    <row r="2458">
      <c r="G2458" s="661"/>
      <c r="I2458" s="125"/>
      <c r="J2458" s="674"/>
      <c r="K2458" s="471"/>
      <c r="L2458" s="678"/>
    </row>
    <row r="2459">
      <c r="D2459" s="130"/>
      <c r="G2459" s="661"/>
      <c r="I2459" s="125"/>
      <c r="J2459" s="674"/>
      <c r="K2459" s="471"/>
      <c r="L2459" s="678"/>
    </row>
    <row r="2460">
      <c r="D2460" s="140"/>
      <c r="G2460" s="661"/>
      <c r="I2460" s="125"/>
      <c r="J2460" s="674"/>
      <c r="K2460" s="471"/>
      <c r="L2460" s="678"/>
    </row>
    <row r="2461">
      <c r="D2461" s="140"/>
      <c r="G2461" s="661"/>
      <c r="I2461" s="125"/>
      <c r="J2461" s="674"/>
      <c r="K2461" s="471"/>
      <c r="L2461" s="678"/>
    </row>
    <row r="2462">
      <c r="D2462" s="185"/>
      <c r="G2462" s="661"/>
      <c r="I2462" s="125"/>
      <c r="J2462" s="674"/>
      <c r="K2462" s="471"/>
      <c r="L2462" s="678"/>
    </row>
    <row r="2463">
      <c r="D2463" s="189"/>
      <c r="G2463" s="661"/>
      <c r="I2463" s="125"/>
      <c r="J2463" s="674"/>
      <c r="K2463" s="471"/>
      <c r="L2463" s="678"/>
    </row>
    <row r="2464">
      <c r="D2464" s="386"/>
      <c r="G2464" s="661"/>
      <c r="I2464" s="125"/>
      <c r="J2464" s="674"/>
      <c r="K2464" s="471"/>
      <c r="L2464" s="678"/>
    </row>
    <row r="2465">
      <c r="D2465" s="386"/>
      <c r="G2465" s="661"/>
      <c r="I2465" s="125"/>
      <c r="J2465" s="674"/>
      <c r="K2465" s="471"/>
      <c r="L2465" s="678"/>
    </row>
    <row r="2466">
      <c r="D2466" s="196"/>
      <c r="G2466" s="661"/>
      <c r="I2466" s="125"/>
      <c r="J2466" s="674"/>
      <c r="K2466" s="471"/>
      <c r="L2466" s="678"/>
    </row>
    <row r="2467">
      <c r="D2467" s="196"/>
      <c r="G2467" s="661"/>
      <c r="I2467" s="125"/>
      <c r="J2467" s="674"/>
      <c r="K2467" s="471"/>
      <c r="L2467" s="678"/>
    </row>
    <row r="2468">
      <c r="D2468" s="421"/>
      <c r="G2468" s="661"/>
      <c r="I2468" s="125"/>
      <c r="J2468" s="674"/>
      <c r="K2468" s="471"/>
      <c r="L2468" s="678"/>
    </row>
    <row r="2469">
      <c r="D2469" s="421"/>
      <c r="G2469" s="661"/>
      <c r="I2469" s="125"/>
      <c r="J2469" s="674"/>
      <c r="K2469" s="471"/>
      <c r="L2469" s="678"/>
    </row>
    <row r="2470">
      <c r="D2470" s="421"/>
      <c r="G2470" s="661"/>
      <c r="I2470" s="125"/>
      <c r="J2470" s="674"/>
      <c r="K2470" s="471"/>
      <c r="L2470" s="678"/>
    </row>
    <row r="2471">
      <c r="D2471" s="185"/>
      <c r="G2471" s="661"/>
      <c r="I2471" s="125"/>
      <c r="J2471" s="674"/>
      <c r="K2471" s="471"/>
      <c r="L2471" s="678"/>
    </row>
    <row r="2472">
      <c r="D2472" s="199"/>
      <c r="G2472" s="661"/>
      <c r="I2472" s="125"/>
      <c r="J2472" s="674"/>
      <c r="K2472" s="471"/>
      <c r="L2472" s="678"/>
    </row>
    <row r="2473">
      <c r="G2473" s="661"/>
      <c r="I2473" s="125"/>
      <c r="J2473" s="674"/>
      <c r="K2473" s="471"/>
      <c r="L2473" s="678"/>
    </row>
    <row r="2474">
      <c r="G2474" s="661"/>
      <c r="I2474" s="125"/>
      <c r="J2474" s="674"/>
      <c r="K2474" s="471"/>
      <c r="L2474" s="678"/>
    </row>
    <row r="2475">
      <c r="G2475" s="661"/>
      <c r="I2475" s="125"/>
      <c r="J2475" s="674"/>
      <c r="K2475" s="471"/>
      <c r="L2475" s="678"/>
    </row>
    <row r="2476">
      <c r="G2476" s="661"/>
      <c r="I2476" s="125"/>
      <c r="J2476" s="674"/>
      <c r="K2476" s="471"/>
      <c r="L2476" s="678"/>
    </row>
    <row r="2477">
      <c r="D2477" s="369"/>
      <c r="G2477" s="661"/>
      <c r="I2477" s="125"/>
      <c r="J2477" s="674"/>
      <c r="K2477" s="471"/>
      <c r="L2477" s="678"/>
    </row>
    <row r="2478">
      <c r="D2478" s="124"/>
      <c r="G2478" s="661"/>
      <c r="I2478" s="125"/>
      <c r="J2478" s="674"/>
      <c r="K2478" s="471"/>
      <c r="L2478" s="678"/>
    </row>
    <row r="2479">
      <c r="D2479" s="124"/>
      <c r="G2479" s="661"/>
      <c r="I2479" s="125"/>
      <c r="J2479" s="674"/>
      <c r="K2479" s="471"/>
      <c r="L2479" s="678"/>
    </row>
    <row r="2480">
      <c r="D2480" s="124"/>
      <c r="G2480" s="661"/>
      <c r="I2480" s="125"/>
      <c r="J2480" s="674"/>
      <c r="K2480" s="471"/>
      <c r="L2480" s="678"/>
    </row>
    <row r="2481">
      <c r="D2481" s="124"/>
      <c r="G2481" s="661"/>
      <c r="I2481" s="125"/>
      <c r="J2481" s="674"/>
      <c r="K2481" s="471"/>
      <c r="L2481" s="678"/>
    </row>
    <row r="2482">
      <c r="D2482" s="124"/>
      <c r="G2482" s="661"/>
      <c r="I2482" s="125"/>
      <c r="J2482" s="674"/>
      <c r="K2482" s="471"/>
      <c r="L2482" s="678"/>
    </row>
    <row r="2483">
      <c r="D2483" s="124"/>
      <c r="G2483" s="661"/>
      <c r="I2483" s="125"/>
      <c r="J2483" s="674"/>
      <c r="K2483" s="471"/>
      <c r="L2483" s="678"/>
    </row>
    <row r="2484">
      <c r="D2484" s="124"/>
      <c r="G2484" s="661"/>
      <c r="I2484" s="125"/>
      <c r="J2484" s="674"/>
      <c r="K2484" s="471"/>
      <c r="L2484" s="678"/>
    </row>
    <row r="2485">
      <c r="D2485" s="124"/>
      <c r="G2485" s="661"/>
      <c r="I2485" s="125"/>
      <c r="J2485" s="674"/>
      <c r="K2485" s="471"/>
      <c r="L2485" s="678"/>
    </row>
    <row r="2486">
      <c r="D2486" s="124"/>
      <c r="G2486" s="661"/>
      <c r="I2486" s="125"/>
      <c r="J2486" s="674"/>
      <c r="K2486" s="471"/>
      <c r="L2486" s="678"/>
    </row>
    <row r="2487">
      <c r="D2487" s="124"/>
      <c r="G2487" s="661"/>
      <c r="I2487" s="125"/>
      <c r="J2487" s="674"/>
      <c r="K2487" s="471"/>
      <c r="L2487" s="678"/>
    </row>
    <row r="2488">
      <c r="D2488" s="124"/>
      <c r="G2488" s="661"/>
      <c r="I2488" s="125"/>
      <c r="J2488" s="674"/>
      <c r="K2488" s="471"/>
      <c r="L2488" s="678"/>
    </row>
    <row r="2489">
      <c r="D2489" s="124"/>
      <c r="G2489" s="661"/>
      <c r="I2489" s="125"/>
      <c r="J2489" s="674"/>
      <c r="K2489" s="471"/>
      <c r="L2489" s="678"/>
    </row>
    <row r="2490">
      <c r="D2490" s="124"/>
      <c r="G2490" s="661"/>
      <c r="I2490" s="125"/>
      <c r="J2490" s="674"/>
      <c r="K2490" s="471"/>
      <c r="L2490" s="678"/>
    </row>
    <row r="2491">
      <c r="D2491" s="124"/>
      <c r="G2491" s="661"/>
      <c r="I2491" s="125"/>
      <c r="J2491" s="674"/>
      <c r="K2491" s="471"/>
      <c r="L2491" s="678"/>
    </row>
    <row r="2492">
      <c r="D2492" s="124"/>
      <c r="G2492" s="661"/>
      <c r="I2492" s="125"/>
      <c r="J2492" s="674"/>
      <c r="K2492" s="471"/>
      <c r="L2492" s="678"/>
    </row>
    <row r="2493">
      <c r="D2493" s="124"/>
      <c r="G2493" s="661"/>
      <c r="I2493" s="125"/>
      <c r="J2493" s="674"/>
      <c r="K2493" s="471"/>
      <c r="L2493" s="678"/>
    </row>
    <row r="2494">
      <c r="G2494" s="661"/>
      <c r="I2494" s="125"/>
      <c r="J2494" s="674"/>
      <c r="K2494" s="471"/>
      <c r="L2494" s="678"/>
    </row>
    <row r="2495">
      <c r="G2495" s="661"/>
      <c r="I2495" s="125"/>
      <c r="J2495" s="674"/>
      <c r="K2495" s="471"/>
      <c r="L2495" s="678"/>
    </row>
    <row r="2496">
      <c r="D2496" s="124"/>
      <c r="G2496" s="661"/>
      <c r="I2496" s="125"/>
      <c r="J2496" s="674"/>
      <c r="K2496" s="471"/>
      <c r="L2496" s="678"/>
    </row>
    <row r="2497">
      <c r="D2497" s="124"/>
      <c r="G2497" s="661"/>
      <c r="I2497" s="125"/>
      <c r="J2497" s="674"/>
      <c r="K2497" s="471"/>
      <c r="L2497" s="678"/>
    </row>
    <row r="2498">
      <c r="D2498" s="124"/>
      <c r="G2498" s="661"/>
      <c r="I2498" s="125"/>
      <c r="J2498" s="674"/>
      <c r="K2498" s="471"/>
      <c r="L2498" s="678"/>
    </row>
    <row r="2499">
      <c r="G2499" s="661"/>
      <c r="I2499" s="125"/>
      <c r="J2499" s="674"/>
      <c r="K2499" s="471"/>
      <c r="L2499" s="678"/>
    </row>
    <row r="2500">
      <c r="G2500" s="661"/>
      <c r="I2500" s="125"/>
      <c r="J2500" s="674"/>
      <c r="K2500" s="471"/>
      <c r="L2500" s="678"/>
    </row>
    <row r="2501">
      <c r="G2501" s="661"/>
      <c r="I2501" s="125"/>
      <c r="J2501" s="674"/>
      <c r="K2501" s="471"/>
      <c r="L2501" s="678"/>
    </row>
    <row r="2502">
      <c r="G2502" s="661"/>
      <c r="I2502" s="125"/>
      <c r="J2502" s="674"/>
      <c r="K2502" s="471"/>
      <c r="L2502" s="678"/>
    </row>
    <row r="2503">
      <c r="G2503" s="661"/>
      <c r="I2503" s="125"/>
      <c r="J2503" s="674"/>
      <c r="K2503" s="471"/>
      <c r="L2503" s="678"/>
    </row>
    <row r="2504">
      <c r="G2504" s="661"/>
      <c r="I2504" s="125"/>
      <c r="J2504" s="674"/>
      <c r="K2504" s="471"/>
      <c r="L2504" s="678"/>
    </row>
    <row r="2505">
      <c r="G2505" s="661"/>
      <c r="I2505" s="125"/>
      <c r="J2505" s="674"/>
      <c r="K2505" s="471"/>
      <c r="L2505" s="678"/>
    </row>
    <row r="2506">
      <c r="G2506" s="661"/>
      <c r="I2506" s="125"/>
      <c r="J2506" s="674"/>
      <c r="K2506" s="471"/>
      <c r="L2506" s="678"/>
    </row>
    <row r="2507">
      <c r="G2507" s="661"/>
      <c r="I2507" s="125"/>
      <c r="J2507" s="674"/>
      <c r="K2507" s="471"/>
      <c r="L2507" s="678"/>
    </row>
    <row r="2508">
      <c r="G2508" s="661"/>
      <c r="I2508" s="125"/>
      <c r="J2508" s="674"/>
      <c r="K2508" s="471"/>
      <c r="L2508" s="678"/>
    </row>
    <row r="2509">
      <c r="G2509" s="661"/>
      <c r="I2509" s="125"/>
      <c r="J2509" s="674"/>
      <c r="K2509" s="471"/>
      <c r="L2509" s="678"/>
    </row>
    <row r="2510">
      <c r="G2510" s="661"/>
      <c r="I2510" s="125"/>
      <c r="J2510" s="674"/>
      <c r="K2510" s="471"/>
      <c r="L2510" s="678"/>
    </row>
    <row r="2511">
      <c r="G2511" s="661"/>
      <c r="I2511" s="125"/>
      <c r="J2511" s="674"/>
      <c r="K2511" s="471"/>
      <c r="L2511" s="678"/>
    </row>
    <row r="2512">
      <c r="G2512" s="661"/>
      <c r="I2512" s="125"/>
      <c r="J2512" s="674"/>
      <c r="K2512" s="471"/>
      <c r="L2512" s="678"/>
    </row>
    <row r="2513">
      <c r="G2513" s="661"/>
      <c r="I2513" s="125"/>
      <c r="J2513" s="674"/>
      <c r="K2513" s="471"/>
      <c r="L2513" s="678"/>
    </row>
    <row r="2514">
      <c r="G2514" s="661"/>
      <c r="I2514" s="125"/>
      <c r="J2514" s="674"/>
      <c r="K2514" s="471"/>
      <c r="L2514" s="678"/>
    </row>
    <row r="2515">
      <c r="G2515" s="661"/>
      <c r="I2515" s="125"/>
      <c r="J2515" s="674"/>
      <c r="K2515" s="471"/>
      <c r="L2515" s="678"/>
    </row>
    <row r="2516">
      <c r="G2516" s="661"/>
      <c r="I2516" s="125"/>
      <c r="J2516" s="674"/>
      <c r="K2516" s="471"/>
      <c r="L2516" s="678"/>
    </row>
    <row r="2517">
      <c r="G2517" s="661"/>
      <c r="I2517" s="125"/>
      <c r="J2517" s="674"/>
      <c r="K2517" s="471"/>
      <c r="L2517" s="678"/>
    </row>
    <row r="2518">
      <c r="G2518" s="661"/>
      <c r="I2518" s="125"/>
      <c r="J2518" s="674"/>
      <c r="K2518" s="471"/>
      <c r="L2518" s="678"/>
    </row>
    <row r="2519">
      <c r="G2519" s="661"/>
      <c r="I2519" s="125"/>
      <c r="J2519" s="674"/>
      <c r="K2519" s="471"/>
      <c r="L2519" s="678"/>
    </row>
    <row r="2520">
      <c r="G2520" s="661"/>
      <c r="I2520" s="125"/>
      <c r="J2520" s="674"/>
      <c r="K2520" s="471"/>
      <c r="L2520" s="678"/>
    </row>
    <row r="2521">
      <c r="G2521" s="661"/>
      <c r="I2521" s="125"/>
      <c r="J2521" s="674"/>
      <c r="K2521" s="471"/>
      <c r="L2521" s="678"/>
    </row>
    <row r="2522">
      <c r="G2522" s="661"/>
      <c r="I2522" s="125"/>
      <c r="J2522" s="674"/>
      <c r="K2522" s="471"/>
      <c r="L2522" s="678"/>
    </row>
    <row r="2523">
      <c r="G2523" s="661"/>
      <c r="I2523" s="125"/>
      <c r="J2523" s="674"/>
      <c r="K2523" s="471"/>
      <c r="L2523" s="678"/>
    </row>
    <row r="2524">
      <c r="G2524" s="661"/>
      <c r="I2524" s="125"/>
      <c r="J2524" s="674"/>
      <c r="K2524" s="471"/>
      <c r="L2524" s="678"/>
    </row>
    <row r="2525">
      <c r="G2525" s="661"/>
      <c r="I2525" s="125"/>
      <c r="J2525" s="674"/>
      <c r="K2525" s="471"/>
      <c r="L2525" s="678"/>
    </row>
    <row r="2526">
      <c r="G2526" s="661"/>
      <c r="I2526" s="125"/>
      <c r="J2526" s="674"/>
      <c r="K2526" s="471"/>
      <c r="L2526" s="678"/>
    </row>
    <row r="2527">
      <c r="G2527" s="661"/>
      <c r="I2527" s="125"/>
      <c r="J2527" s="674"/>
      <c r="K2527" s="471"/>
      <c r="L2527" s="678"/>
    </row>
    <row r="2528">
      <c r="G2528" s="661"/>
      <c r="I2528" s="125"/>
      <c r="J2528" s="674"/>
      <c r="K2528" s="471"/>
      <c r="L2528" s="678"/>
    </row>
    <row r="2529">
      <c r="G2529" s="661"/>
      <c r="I2529" s="125"/>
      <c r="J2529" s="674"/>
      <c r="K2529" s="471"/>
      <c r="L2529" s="678"/>
    </row>
    <row r="2530">
      <c r="G2530" s="661"/>
      <c r="I2530" s="125"/>
      <c r="J2530" s="674"/>
      <c r="K2530" s="471"/>
      <c r="L2530" s="678"/>
    </row>
    <row r="2531">
      <c r="G2531" s="661"/>
      <c r="I2531" s="125"/>
      <c r="J2531" s="674"/>
      <c r="K2531" s="471"/>
      <c r="L2531" s="678"/>
    </row>
    <row r="2532">
      <c r="G2532" s="661"/>
      <c r="I2532" s="125"/>
      <c r="J2532" s="674"/>
      <c r="K2532" s="471"/>
      <c r="L2532" s="678"/>
    </row>
    <row r="2533">
      <c r="G2533" s="661"/>
      <c r="I2533" s="125"/>
      <c r="J2533" s="674"/>
      <c r="K2533" s="471"/>
      <c r="L2533" s="678"/>
    </row>
    <row r="2534">
      <c r="G2534" s="661"/>
      <c r="I2534" s="125"/>
      <c r="J2534" s="674"/>
      <c r="K2534" s="471"/>
      <c r="L2534" s="678"/>
    </row>
    <row r="2535">
      <c r="G2535" s="661"/>
      <c r="I2535" s="125"/>
      <c r="J2535" s="674"/>
      <c r="K2535" s="471"/>
      <c r="L2535" s="678"/>
    </row>
    <row r="2536">
      <c r="G2536" s="661"/>
      <c r="I2536" s="125"/>
      <c r="J2536" s="674"/>
      <c r="K2536" s="471"/>
      <c r="L2536" s="678"/>
    </row>
    <row r="2537">
      <c r="G2537" s="661"/>
      <c r="I2537" s="125"/>
      <c r="J2537" s="674"/>
      <c r="K2537" s="471"/>
      <c r="L2537" s="678"/>
    </row>
    <row r="2538">
      <c r="G2538" s="661"/>
      <c r="I2538" s="125"/>
      <c r="J2538" s="674"/>
      <c r="K2538" s="471"/>
      <c r="L2538" s="678"/>
    </row>
    <row r="2539">
      <c r="G2539" s="661"/>
      <c r="I2539" s="125"/>
      <c r="J2539" s="674"/>
      <c r="K2539" s="471"/>
      <c r="L2539" s="678"/>
    </row>
    <row r="2540">
      <c r="G2540" s="661"/>
      <c r="I2540" s="125"/>
      <c r="J2540" s="674"/>
      <c r="K2540" s="471"/>
      <c r="L2540" s="678"/>
    </row>
    <row r="2541">
      <c r="G2541" s="661"/>
      <c r="I2541" s="125"/>
      <c r="J2541" s="674"/>
      <c r="K2541" s="471"/>
      <c r="L2541" s="678"/>
    </row>
    <row r="2542">
      <c r="G2542" s="661"/>
      <c r="I2542" s="125"/>
      <c r="J2542" s="674"/>
      <c r="K2542" s="471"/>
      <c r="L2542" s="678"/>
    </row>
    <row r="2543">
      <c r="G2543" s="661"/>
      <c r="I2543" s="125"/>
      <c r="J2543" s="674"/>
      <c r="K2543" s="471"/>
      <c r="L2543" s="678"/>
    </row>
    <row r="2544">
      <c r="G2544" s="661"/>
      <c r="I2544" s="125"/>
      <c r="J2544" s="674"/>
      <c r="K2544" s="471"/>
      <c r="L2544" s="678"/>
    </row>
    <row r="2545">
      <c r="G2545" s="661"/>
      <c r="I2545" s="125"/>
      <c r="J2545" s="674"/>
      <c r="K2545" s="471"/>
      <c r="L2545" s="678"/>
    </row>
    <row r="2546">
      <c r="G2546" s="661"/>
      <c r="I2546" s="125"/>
      <c r="J2546" s="674"/>
      <c r="K2546" s="471"/>
      <c r="L2546" s="678"/>
    </row>
    <row r="2547">
      <c r="G2547" s="661"/>
      <c r="I2547" s="125"/>
      <c r="J2547" s="674"/>
      <c r="K2547" s="471"/>
      <c r="L2547" s="678"/>
    </row>
    <row r="2548">
      <c r="G2548" s="661"/>
      <c r="I2548" s="125"/>
      <c r="J2548" s="674"/>
      <c r="K2548" s="471"/>
      <c r="L2548" s="678"/>
    </row>
    <row r="2549">
      <c r="G2549" s="661"/>
      <c r="I2549" s="125"/>
      <c r="J2549" s="674"/>
      <c r="K2549" s="471"/>
      <c r="L2549" s="678"/>
    </row>
    <row r="2550">
      <c r="G2550" s="661"/>
      <c r="I2550" s="125"/>
      <c r="J2550" s="674"/>
      <c r="K2550" s="471"/>
      <c r="L2550" s="678"/>
    </row>
    <row r="2551">
      <c r="G2551" s="661"/>
      <c r="I2551" s="125"/>
      <c r="J2551" s="674"/>
      <c r="K2551" s="471"/>
      <c r="L2551" s="678"/>
    </row>
    <row r="2552">
      <c r="G2552" s="661"/>
      <c r="I2552" s="125"/>
      <c r="J2552" s="674"/>
      <c r="K2552" s="471"/>
      <c r="L2552" s="678"/>
    </row>
    <row r="2553">
      <c r="G2553" s="661"/>
      <c r="I2553" s="125"/>
      <c r="J2553" s="674"/>
      <c r="K2553" s="471"/>
      <c r="L2553" s="678"/>
    </row>
    <row r="2554">
      <c r="G2554" s="661"/>
      <c r="I2554" s="125"/>
      <c r="J2554" s="674"/>
      <c r="K2554" s="471"/>
      <c r="L2554" s="678"/>
    </row>
    <row r="2555">
      <c r="G2555" s="661"/>
      <c r="I2555" s="125"/>
      <c r="J2555" s="674"/>
      <c r="K2555" s="471"/>
      <c r="L2555" s="678"/>
    </row>
    <row r="2556">
      <c r="G2556" s="661"/>
      <c r="I2556" s="125"/>
      <c r="J2556" s="674"/>
      <c r="K2556" s="471"/>
      <c r="L2556" s="678"/>
    </row>
    <row r="2557">
      <c r="G2557" s="661"/>
      <c r="I2557" s="125"/>
      <c r="J2557" s="674"/>
      <c r="K2557" s="471"/>
      <c r="L2557" s="678"/>
    </row>
    <row r="2558">
      <c r="G2558" s="661"/>
      <c r="I2558" s="125"/>
      <c r="J2558" s="674"/>
      <c r="K2558" s="471"/>
      <c r="L2558" s="678"/>
    </row>
    <row r="2559">
      <c r="G2559" s="661"/>
      <c r="I2559" s="125"/>
      <c r="J2559" s="674"/>
      <c r="K2559" s="471"/>
      <c r="L2559" s="678"/>
    </row>
    <row r="2560">
      <c r="G2560" s="661"/>
      <c r="I2560" s="125"/>
      <c r="J2560" s="674"/>
      <c r="K2560" s="471"/>
      <c r="L2560" s="678"/>
    </row>
    <row r="2561">
      <c r="G2561" s="661"/>
      <c r="I2561" s="125"/>
      <c r="J2561" s="674"/>
      <c r="K2561" s="471"/>
      <c r="L2561" s="678"/>
    </row>
    <row r="2562">
      <c r="G2562" s="661"/>
      <c r="I2562" s="125"/>
      <c r="J2562" s="674"/>
      <c r="K2562" s="471"/>
      <c r="L2562" s="678"/>
    </row>
    <row r="2563">
      <c r="G2563" s="661"/>
      <c r="I2563" s="125"/>
      <c r="J2563" s="674"/>
      <c r="K2563" s="471"/>
      <c r="L2563" s="678"/>
    </row>
    <row r="2564">
      <c r="G2564" s="661"/>
      <c r="I2564" s="125"/>
      <c r="J2564" s="674"/>
      <c r="K2564" s="471"/>
      <c r="L2564" s="678"/>
    </row>
    <row r="2565">
      <c r="G2565" s="661"/>
      <c r="I2565" s="125"/>
      <c r="J2565" s="674"/>
      <c r="K2565" s="471"/>
      <c r="L2565" s="678"/>
    </row>
    <row r="2566">
      <c r="G2566" s="661"/>
      <c r="I2566" s="125"/>
      <c r="J2566" s="674"/>
      <c r="K2566" s="471"/>
      <c r="L2566" s="678"/>
    </row>
    <row r="2567">
      <c r="G2567" s="661"/>
      <c r="I2567" s="125"/>
      <c r="J2567" s="674"/>
      <c r="K2567" s="471"/>
      <c r="L2567" s="678"/>
    </row>
    <row r="2568">
      <c r="G2568" s="661"/>
      <c r="I2568" s="125"/>
      <c r="J2568" s="674"/>
      <c r="K2568" s="471"/>
      <c r="L2568" s="678"/>
    </row>
    <row r="2569">
      <c r="G2569" s="661"/>
      <c r="I2569" s="125"/>
      <c r="J2569" s="674"/>
      <c r="K2569" s="471"/>
      <c r="L2569" s="678"/>
    </row>
    <row r="2570">
      <c r="G2570" s="661"/>
      <c r="I2570" s="125"/>
      <c r="J2570" s="674"/>
      <c r="K2570" s="471"/>
      <c r="L2570" s="678"/>
    </row>
    <row r="2571">
      <c r="G2571" s="661"/>
      <c r="I2571" s="125"/>
      <c r="J2571" s="674"/>
      <c r="K2571" s="471"/>
      <c r="L2571" s="678"/>
    </row>
    <row r="2572">
      <c r="G2572" s="661"/>
      <c r="I2572" s="125"/>
      <c r="J2572" s="674"/>
      <c r="K2572" s="471"/>
      <c r="L2572" s="678"/>
    </row>
    <row r="2573">
      <c r="G2573" s="661"/>
      <c r="I2573" s="125"/>
      <c r="J2573" s="674"/>
      <c r="K2573" s="471"/>
      <c r="L2573" s="678"/>
    </row>
    <row r="2574">
      <c r="G2574" s="661"/>
      <c r="I2574" s="125"/>
      <c r="J2574" s="674"/>
      <c r="K2574" s="471"/>
      <c r="L2574" s="678"/>
    </row>
    <row r="2575">
      <c r="G2575" s="661"/>
      <c r="I2575" s="125"/>
      <c r="J2575" s="674"/>
      <c r="K2575" s="471"/>
      <c r="L2575" s="678"/>
    </row>
    <row r="2576">
      <c r="G2576" s="661"/>
      <c r="I2576" s="125"/>
      <c r="J2576" s="674"/>
      <c r="K2576" s="471"/>
      <c r="L2576" s="678"/>
    </row>
    <row r="2577">
      <c r="G2577" s="661"/>
      <c r="I2577" s="125"/>
      <c r="J2577" s="674"/>
      <c r="K2577" s="471"/>
      <c r="L2577" s="678"/>
    </row>
    <row r="2578">
      <c r="G2578" s="661"/>
      <c r="I2578" s="125"/>
      <c r="J2578" s="674"/>
      <c r="K2578" s="471"/>
      <c r="L2578" s="678"/>
    </row>
    <row r="2579">
      <c r="G2579" s="661"/>
      <c r="I2579" s="125"/>
      <c r="J2579" s="674"/>
      <c r="K2579" s="471"/>
      <c r="L2579" s="678"/>
    </row>
    <row r="2580">
      <c r="G2580" s="661"/>
      <c r="I2580" s="125"/>
      <c r="J2580" s="674"/>
      <c r="K2580" s="471"/>
      <c r="L2580" s="678"/>
    </row>
    <row r="2581">
      <c r="G2581" s="661"/>
      <c r="I2581" s="125"/>
      <c r="J2581" s="674"/>
      <c r="K2581" s="471"/>
      <c r="L2581" s="678"/>
    </row>
    <row r="2582">
      <c r="G2582" s="661"/>
      <c r="I2582" s="125"/>
      <c r="J2582" s="674"/>
      <c r="K2582" s="471"/>
      <c r="L2582" s="678"/>
    </row>
    <row r="2583">
      <c r="G2583" s="661"/>
      <c r="I2583" s="125"/>
      <c r="J2583" s="674"/>
      <c r="K2583" s="471"/>
      <c r="L2583" s="678"/>
    </row>
    <row r="2584">
      <c r="G2584" s="661"/>
      <c r="I2584" s="125"/>
      <c r="J2584" s="674"/>
      <c r="K2584" s="471"/>
      <c r="L2584" s="678"/>
    </row>
    <row r="2585">
      <c r="G2585" s="661"/>
      <c r="I2585" s="125"/>
      <c r="J2585" s="674"/>
      <c r="K2585" s="471"/>
      <c r="L2585" s="678"/>
    </row>
    <row r="2586">
      <c r="G2586" s="661"/>
      <c r="I2586" s="125"/>
      <c r="J2586" s="674"/>
      <c r="K2586" s="471"/>
      <c r="L2586" s="678"/>
    </row>
    <row r="2587">
      <c r="G2587" s="661"/>
      <c r="I2587" s="125"/>
      <c r="J2587" s="674"/>
      <c r="K2587" s="471"/>
      <c r="L2587" s="678"/>
    </row>
    <row r="2588">
      <c r="G2588" s="661"/>
      <c r="I2588" s="125"/>
      <c r="J2588" s="674"/>
      <c r="K2588" s="471"/>
      <c r="L2588" s="678"/>
    </row>
    <row r="2589">
      <c r="G2589" s="661"/>
      <c r="I2589" s="125"/>
      <c r="J2589" s="674"/>
      <c r="K2589" s="471"/>
      <c r="L2589" s="678"/>
    </row>
    <row r="2590">
      <c r="G2590" s="661"/>
      <c r="I2590" s="125"/>
      <c r="J2590" s="674"/>
      <c r="K2590" s="471"/>
      <c r="L2590" s="678"/>
    </row>
    <row r="2591">
      <c r="G2591" s="661"/>
      <c r="I2591" s="125"/>
      <c r="J2591" s="674"/>
      <c r="K2591" s="471"/>
      <c r="L2591" s="678"/>
    </row>
    <row r="2592">
      <c r="G2592" s="661"/>
      <c r="I2592" s="125"/>
      <c r="J2592" s="674"/>
      <c r="K2592" s="471"/>
      <c r="L2592" s="678"/>
    </row>
    <row r="2593">
      <c r="G2593" s="661"/>
      <c r="I2593" s="125"/>
      <c r="J2593" s="674"/>
      <c r="K2593" s="471"/>
      <c r="L2593" s="678"/>
    </row>
    <row r="2594">
      <c r="G2594" s="661"/>
      <c r="I2594" s="125"/>
      <c r="J2594" s="674"/>
      <c r="K2594" s="471"/>
      <c r="L2594" s="678"/>
    </row>
    <row r="2595">
      <c r="G2595" s="661"/>
      <c r="I2595" s="125"/>
      <c r="J2595" s="674"/>
      <c r="K2595" s="471"/>
      <c r="L2595" s="678"/>
    </row>
    <row r="2596">
      <c r="G2596" s="661"/>
      <c r="I2596" s="125"/>
      <c r="J2596" s="674"/>
      <c r="K2596" s="471"/>
      <c r="L2596" s="678"/>
    </row>
    <row r="2597">
      <c r="G2597" s="661"/>
      <c r="I2597" s="125"/>
      <c r="J2597" s="674"/>
      <c r="K2597" s="471"/>
      <c r="L2597" s="678"/>
    </row>
    <row r="2598">
      <c r="G2598" s="661"/>
      <c r="I2598" s="125"/>
      <c r="J2598" s="674"/>
      <c r="K2598" s="471"/>
      <c r="L2598" s="678"/>
    </row>
    <row r="2599">
      <c r="G2599" s="661"/>
      <c r="I2599" s="125"/>
      <c r="J2599" s="674"/>
      <c r="K2599" s="471"/>
      <c r="L2599" s="678"/>
    </row>
    <row r="2600">
      <c r="G2600" s="661"/>
      <c r="I2600" s="125"/>
      <c r="J2600" s="674"/>
      <c r="K2600" s="471"/>
      <c r="L2600" s="678"/>
    </row>
    <row r="2601">
      <c r="G2601" s="661"/>
      <c r="I2601" s="125"/>
      <c r="J2601" s="674"/>
      <c r="K2601" s="471"/>
      <c r="L2601" s="678"/>
    </row>
    <row r="2602">
      <c r="G2602" s="661"/>
      <c r="I2602" s="125"/>
      <c r="J2602" s="674"/>
      <c r="K2602" s="471"/>
      <c r="L2602" s="678"/>
    </row>
    <row r="2603">
      <c r="G2603" s="661"/>
      <c r="I2603" s="125"/>
      <c r="J2603" s="674"/>
      <c r="K2603" s="471"/>
      <c r="L2603" s="678"/>
    </row>
    <row r="2604">
      <c r="G2604" s="661"/>
      <c r="I2604" s="125"/>
      <c r="J2604" s="674"/>
      <c r="K2604" s="471"/>
      <c r="L2604" s="678"/>
    </row>
    <row r="2605">
      <c r="G2605" s="661"/>
      <c r="I2605" s="125"/>
      <c r="J2605" s="674"/>
      <c r="K2605" s="471"/>
      <c r="L2605" s="678"/>
    </row>
    <row r="2606">
      <c r="G2606" s="661"/>
      <c r="I2606" s="125"/>
      <c r="J2606" s="674"/>
      <c r="K2606" s="471"/>
      <c r="L2606" s="678"/>
    </row>
    <row r="2607">
      <c r="G2607" s="661"/>
      <c r="I2607" s="125"/>
      <c r="J2607" s="674"/>
      <c r="K2607" s="471"/>
      <c r="L2607" s="678"/>
    </row>
    <row r="2608">
      <c r="G2608" s="661"/>
      <c r="I2608" s="125"/>
      <c r="J2608" s="674"/>
      <c r="K2608" s="471"/>
      <c r="L2608" s="678"/>
    </row>
    <row r="2609">
      <c r="G2609" s="661"/>
      <c r="I2609" s="125"/>
      <c r="J2609" s="674"/>
      <c r="K2609" s="471"/>
      <c r="L2609" s="678"/>
    </row>
    <row r="2610">
      <c r="G2610" s="661"/>
      <c r="I2610" s="125"/>
      <c r="J2610" s="674"/>
      <c r="K2610" s="471"/>
      <c r="L2610" s="678"/>
    </row>
    <row r="2611">
      <c r="G2611" s="661"/>
      <c r="I2611" s="125"/>
      <c r="J2611" s="674"/>
      <c r="K2611" s="471"/>
      <c r="L2611" s="678"/>
    </row>
    <row r="2612">
      <c r="G2612" s="661"/>
      <c r="I2612" s="125"/>
      <c r="J2612" s="674"/>
      <c r="K2612" s="471"/>
      <c r="L2612" s="678"/>
    </row>
    <row r="2613">
      <c r="G2613" s="661"/>
      <c r="I2613" s="125"/>
      <c r="J2613" s="674"/>
      <c r="K2613" s="471"/>
      <c r="L2613" s="678"/>
    </row>
    <row r="2614">
      <c r="G2614" s="661"/>
      <c r="I2614" s="125"/>
      <c r="J2614" s="674"/>
      <c r="K2614" s="471"/>
      <c r="L2614" s="678"/>
    </row>
    <row r="2615">
      <c r="G2615" s="661"/>
      <c r="I2615" s="125"/>
      <c r="J2615" s="674"/>
      <c r="K2615" s="471"/>
      <c r="L2615" s="678"/>
    </row>
    <row r="2616">
      <c r="G2616" s="661"/>
      <c r="I2616" s="125"/>
      <c r="J2616" s="674"/>
      <c r="K2616" s="471"/>
      <c r="L2616" s="678"/>
    </row>
    <row r="2617">
      <c r="G2617" s="661"/>
      <c r="I2617" s="125"/>
      <c r="J2617" s="674"/>
      <c r="K2617" s="471"/>
      <c r="L2617" s="678"/>
    </row>
    <row r="2618">
      <c r="G2618" s="661"/>
      <c r="I2618" s="125"/>
      <c r="J2618" s="674"/>
      <c r="K2618" s="471"/>
      <c r="L2618" s="678"/>
    </row>
    <row r="2619">
      <c r="G2619" s="661"/>
      <c r="I2619" s="125"/>
      <c r="J2619" s="674"/>
      <c r="K2619" s="471"/>
      <c r="L2619" s="678"/>
    </row>
    <row r="2620">
      <c r="G2620" s="661"/>
      <c r="I2620" s="125"/>
      <c r="J2620" s="674"/>
      <c r="K2620" s="471"/>
      <c r="L2620" s="678"/>
    </row>
    <row r="2621">
      <c r="G2621" s="661"/>
      <c r="I2621" s="125"/>
      <c r="J2621" s="674"/>
      <c r="K2621" s="471"/>
      <c r="L2621" s="678"/>
    </row>
    <row r="2622">
      <c r="G2622" s="661"/>
      <c r="I2622" s="125"/>
      <c r="J2622" s="674"/>
      <c r="K2622" s="471"/>
      <c r="L2622" s="678"/>
    </row>
    <row r="2623">
      <c r="G2623" s="661"/>
      <c r="I2623" s="125"/>
      <c r="J2623" s="674"/>
      <c r="K2623" s="471"/>
      <c r="L2623" s="678"/>
    </row>
    <row r="2624">
      <c r="G2624" s="661"/>
      <c r="I2624" s="125"/>
      <c r="J2624" s="674"/>
      <c r="K2624" s="471"/>
      <c r="L2624" s="678"/>
    </row>
    <row r="2625">
      <c r="G2625" s="661"/>
      <c r="I2625" s="125"/>
      <c r="J2625" s="674"/>
      <c r="K2625" s="471"/>
      <c r="L2625" s="678"/>
    </row>
    <row r="2626">
      <c r="G2626" s="661"/>
      <c r="I2626" s="125"/>
      <c r="J2626" s="674"/>
      <c r="K2626" s="471"/>
      <c r="L2626" s="678"/>
    </row>
    <row r="2627">
      <c r="G2627" s="661"/>
      <c r="I2627" s="125"/>
      <c r="J2627" s="674"/>
      <c r="K2627" s="471"/>
      <c r="L2627" s="678"/>
    </row>
    <row r="2628">
      <c r="G2628" s="661"/>
      <c r="I2628" s="125"/>
      <c r="J2628" s="674"/>
      <c r="K2628" s="471"/>
      <c r="L2628" s="678"/>
    </row>
    <row r="2629">
      <c r="G2629" s="661"/>
      <c r="I2629" s="125"/>
      <c r="J2629" s="674"/>
      <c r="K2629" s="471"/>
      <c r="L2629" s="678"/>
    </row>
    <row r="2630">
      <c r="G2630" s="661"/>
      <c r="I2630" s="125"/>
      <c r="J2630" s="674"/>
      <c r="K2630" s="471"/>
      <c r="L2630" s="678"/>
    </row>
    <row r="2631">
      <c r="G2631" s="661"/>
      <c r="I2631" s="125"/>
      <c r="J2631" s="674"/>
      <c r="K2631" s="471"/>
      <c r="L2631" s="678"/>
    </row>
    <row r="2632">
      <c r="G2632" s="661"/>
      <c r="I2632" s="125"/>
      <c r="J2632" s="674"/>
      <c r="K2632" s="471"/>
      <c r="L2632" s="678"/>
    </row>
    <row r="2633">
      <c r="G2633" s="661"/>
      <c r="I2633" s="125"/>
      <c r="J2633" s="674"/>
      <c r="K2633" s="471"/>
      <c r="L2633" s="678"/>
    </row>
    <row r="2634">
      <c r="G2634" s="661"/>
      <c r="I2634" s="125"/>
      <c r="J2634" s="674"/>
      <c r="K2634" s="471"/>
      <c r="L2634" s="678"/>
    </row>
    <row r="2635">
      <c r="G2635" s="661"/>
      <c r="I2635" s="125"/>
      <c r="J2635" s="674"/>
      <c r="K2635" s="471"/>
      <c r="L2635" s="678"/>
    </row>
    <row r="2636">
      <c r="G2636" s="661"/>
      <c r="I2636" s="125"/>
      <c r="J2636" s="674"/>
      <c r="K2636" s="471"/>
      <c r="L2636" s="678"/>
    </row>
    <row r="2637">
      <c r="G2637" s="661"/>
      <c r="I2637" s="125"/>
      <c r="J2637" s="674"/>
      <c r="K2637" s="471"/>
      <c r="L2637" s="678"/>
    </row>
    <row r="2638">
      <c r="G2638" s="661"/>
      <c r="I2638" s="125"/>
      <c r="J2638" s="674"/>
      <c r="K2638" s="471"/>
      <c r="L2638" s="678"/>
    </row>
    <row r="2639">
      <c r="G2639" s="661"/>
      <c r="I2639" s="125"/>
      <c r="J2639" s="674"/>
      <c r="K2639" s="471"/>
      <c r="L2639" s="678"/>
    </row>
    <row r="2640">
      <c r="G2640" s="661"/>
      <c r="I2640" s="125"/>
      <c r="J2640" s="674"/>
      <c r="K2640" s="471"/>
      <c r="L2640" s="678"/>
    </row>
    <row r="2641">
      <c r="G2641" s="661"/>
      <c r="I2641" s="125"/>
      <c r="J2641" s="674"/>
      <c r="K2641" s="471"/>
      <c r="L2641" s="678"/>
    </row>
    <row r="2642">
      <c r="G2642" s="661"/>
      <c r="I2642" s="125"/>
      <c r="J2642" s="674"/>
      <c r="K2642" s="471"/>
      <c r="L2642" s="678"/>
    </row>
    <row r="2643">
      <c r="G2643" s="661"/>
      <c r="I2643" s="125"/>
      <c r="J2643" s="674"/>
      <c r="K2643" s="471"/>
      <c r="L2643" s="678"/>
    </row>
    <row r="2644">
      <c r="G2644" s="661"/>
      <c r="I2644" s="125"/>
      <c r="J2644" s="674"/>
      <c r="K2644" s="471"/>
      <c r="L2644" s="678"/>
    </row>
    <row r="2645">
      <c r="G2645" s="661"/>
      <c r="I2645" s="125"/>
      <c r="J2645" s="674"/>
      <c r="K2645" s="471"/>
      <c r="L2645" s="678"/>
    </row>
    <row r="2646">
      <c r="G2646" s="661"/>
      <c r="I2646" s="125"/>
      <c r="J2646" s="674"/>
      <c r="K2646" s="471"/>
      <c r="L2646" s="678"/>
    </row>
    <row r="2647">
      <c r="G2647" s="661"/>
      <c r="I2647" s="125"/>
      <c r="J2647" s="674"/>
      <c r="K2647" s="471"/>
      <c r="L2647" s="678"/>
    </row>
    <row r="2648">
      <c r="G2648" s="661"/>
      <c r="I2648" s="125"/>
      <c r="J2648" s="674"/>
      <c r="K2648" s="471"/>
      <c r="L2648" s="678"/>
    </row>
    <row r="2649">
      <c r="G2649" s="661"/>
      <c r="I2649" s="125"/>
      <c r="J2649" s="674"/>
      <c r="K2649" s="471"/>
      <c r="L2649" s="678"/>
    </row>
    <row r="2650">
      <c r="G2650" s="661"/>
      <c r="I2650" s="125"/>
      <c r="J2650" s="674"/>
      <c r="K2650" s="471"/>
      <c r="L2650" s="678"/>
    </row>
    <row r="2651">
      <c r="G2651" s="661"/>
      <c r="I2651" s="125"/>
      <c r="J2651" s="674"/>
      <c r="K2651" s="471"/>
      <c r="L2651" s="678"/>
    </row>
    <row r="2652">
      <c r="G2652" s="661"/>
      <c r="I2652" s="125"/>
      <c r="J2652" s="674"/>
      <c r="K2652" s="471"/>
      <c r="L2652" s="678"/>
    </row>
    <row r="2653">
      <c r="G2653" s="661"/>
      <c r="I2653" s="125"/>
      <c r="J2653" s="674"/>
      <c r="K2653" s="471"/>
      <c r="L2653" s="678"/>
    </row>
    <row r="2654">
      <c r="G2654" s="661"/>
      <c r="I2654" s="125"/>
      <c r="J2654" s="674"/>
      <c r="K2654" s="471"/>
      <c r="L2654" s="678"/>
    </row>
    <row r="2655">
      <c r="G2655" s="661"/>
      <c r="I2655" s="125"/>
      <c r="J2655" s="674"/>
      <c r="K2655" s="471"/>
      <c r="L2655" s="678"/>
    </row>
    <row r="2656">
      <c r="G2656" s="661"/>
      <c r="I2656" s="125"/>
      <c r="J2656" s="674"/>
      <c r="K2656" s="471"/>
      <c r="L2656" s="678"/>
    </row>
    <row r="2657">
      <c r="G2657" s="661"/>
      <c r="I2657" s="125"/>
      <c r="J2657" s="674"/>
      <c r="K2657" s="471"/>
      <c r="L2657" s="678"/>
    </row>
    <row r="2658">
      <c r="G2658" s="661"/>
      <c r="I2658" s="125"/>
      <c r="J2658" s="674"/>
      <c r="K2658" s="471"/>
      <c r="L2658" s="678"/>
    </row>
    <row r="2659">
      <c r="G2659" s="661"/>
      <c r="I2659" s="125"/>
      <c r="J2659" s="674"/>
      <c r="K2659" s="471"/>
      <c r="L2659" s="678"/>
    </row>
    <row r="2660">
      <c r="G2660" s="661"/>
      <c r="I2660" s="125"/>
      <c r="J2660" s="674"/>
      <c r="K2660" s="471"/>
      <c r="L2660" s="678"/>
    </row>
    <row r="2661">
      <c r="G2661" s="661"/>
      <c r="I2661" s="125"/>
      <c r="J2661" s="674"/>
      <c r="K2661" s="471"/>
      <c r="L2661" s="678"/>
    </row>
    <row r="2662">
      <c r="G2662" s="661"/>
      <c r="I2662" s="125"/>
      <c r="J2662" s="674"/>
      <c r="K2662" s="471"/>
      <c r="L2662" s="678"/>
    </row>
    <row r="2663">
      <c r="G2663" s="661"/>
      <c r="I2663" s="125"/>
      <c r="J2663" s="674"/>
      <c r="K2663" s="471"/>
      <c r="L2663" s="678"/>
    </row>
    <row r="2664">
      <c r="G2664" s="661"/>
      <c r="I2664" s="125"/>
      <c r="J2664" s="674"/>
      <c r="K2664" s="471"/>
      <c r="L2664" s="678"/>
    </row>
    <row r="2665">
      <c r="G2665" s="661"/>
      <c r="I2665" s="125"/>
      <c r="J2665" s="674"/>
      <c r="K2665" s="471"/>
      <c r="L2665" s="678"/>
    </row>
    <row r="2666">
      <c r="G2666" s="661"/>
      <c r="I2666" s="125"/>
      <c r="J2666" s="674"/>
      <c r="K2666" s="471"/>
      <c r="L2666" s="678"/>
    </row>
    <row r="2667">
      <c r="G2667" s="661"/>
      <c r="I2667" s="125"/>
      <c r="J2667" s="674"/>
      <c r="K2667" s="471"/>
      <c r="L2667" s="678"/>
    </row>
    <row r="2668">
      <c r="G2668" s="661"/>
      <c r="I2668" s="125"/>
      <c r="J2668" s="674"/>
      <c r="K2668" s="471"/>
      <c r="L2668" s="678"/>
    </row>
    <row r="2669">
      <c r="G2669" s="661"/>
      <c r="I2669" s="125"/>
      <c r="J2669" s="674"/>
      <c r="K2669" s="471"/>
      <c r="L2669" s="678"/>
    </row>
    <row r="2670">
      <c r="G2670" s="661"/>
      <c r="I2670" s="125"/>
      <c r="J2670" s="674"/>
      <c r="K2670" s="471"/>
      <c r="L2670" s="678"/>
    </row>
    <row r="2671">
      <c r="G2671" s="661"/>
      <c r="I2671" s="125"/>
      <c r="J2671" s="674"/>
      <c r="K2671" s="471"/>
      <c r="L2671" s="678"/>
    </row>
    <row r="2672">
      <c r="G2672" s="661"/>
      <c r="I2672" s="125"/>
      <c r="J2672" s="674"/>
      <c r="K2672" s="471"/>
      <c r="L2672" s="678"/>
    </row>
    <row r="2673">
      <c r="G2673" s="661"/>
      <c r="I2673" s="125"/>
      <c r="J2673" s="674"/>
      <c r="K2673" s="471"/>
      <c r="L2673" s="678"/>
    </row>
    <row r="2674">
      <c r="G2674" s="661"/>
      <c r="I2674" s="125"/>
      <c r="J2674" s="674"/>
      <c r="K2674" s="471"/>
      <c r="L2674" s="678"/>
    </row>
    <row r="2675">
      <c r="G2675" s="661"/>
      <c r="I2675" s="125"/>
      <c r="J2675" s="674"/>
      <c r="K2675" s="471"/>
      <c r="L2675" s="678"/>
    </row>
    <row r="2676">
      <c r="G2676" s="661"/>
      <c r="I2676" s="125"/>
      <c r="J2676" s="674"/>
      <c r="K2676" s="471"/>
      <c r="L2676" s="678"/>
    </row>
    <row r="2677">
      <c r="G2677" s="661"/>
      <c r="I2677" s="125"/>
      <c r="J2677" s="674"/>
      <c r="K2677" s="471"/>
      <c r="L2677" s="678"/>
    </row>
    <row r="2678">
      <c r="G2678" s="661"/>
      <c r="I2678" s="125"/>
      <c r="J2678" s="674"/>
      <c r="K2678" s="471"/>
      <c r="L2678" s="678"/>
    </row>
    <row r="2679">
      <c r="G2679" s="661"/>
      <c r="I2679" s="125"/>
      <c r="J2679" s="674"/>
      <c r="K2679" s="471"/>
      <c r="L2679" s="678"/>
    </row>
    <row r="2680">
      <c r="G2680" s="661"/>
      <c r="I2680" s="125"/>
      <c r="J2680" s="674"/>
      <c r="K2680" s="471"/>
      <c r="L2680" s="678"/>
    </row>
    <row r="2681">
      <c r="G2681" s="661"/>
      <c r="I2681" s="125"/>
      <c r="J2681" s="674"/>
      <c r="K2681" s="471"/>
      <c r="L2681" s="678"/>
    </row>
    <row r="2682">
      <c r="G2682" s="661"/>
      <c r="I2682" s="125"/>
      <c r="J2682" s="674"/>
      <c r="K2682" s="471"/>
      <c r="L2682" s="678"/>
    </row>
    <row r="2683">
      <c r="G2683" s="661"/>
      <c r="I2683" s="125"/>
      <c r="J2683" s="674"/>
      <c r="K2683" s="471"/>
      <c r="L2683" s="678"/>
    </row>
    <row r="2684">
      <c r="G2684" s="661"/>
      <c r="I2684" s="125"/>
      <c r="J2684" s="674"/>
      <c r="K2684" s="471"/>
      <c r="L2684" s="678"/>
    </row>
    <row r="2685">
      <c r="G2685" s="661"/>
      <c r="I2685" s="125"/>
      <c r="J2685" s="674"/>
      <c r="K2685" s="471"/>
      <c r="L2685" s="678"/>
    </row>
    <row r="2686">
      <c r="G2686" s="661"/>
      <c r="I2686" s="125"/>
      <c r="J2686" s="674"/>
      <c r="K2686" s="471"/>
      <c r="L2686" s="678"/>
    </row>
    <row r="2687">
      <c r="G2687" s="661"/>
      <c r="I2687" s="125"/>
      <c r="J2687" s="674"/>
      <c r="K2687" s="471"/>
      <c r="L2687" s="678"/>
    </row>
    <row r="2688">
      <c r="G2688" s="661"/>
      <c r="I2688" s="125"/>
      <c r="J2688" s="674"/>
      <c r="K2688" s="471"/>
      <c r="L2688" s="678"/>
    </row>
    <row r="2689">
      <c r="G2689" s="661"/>
      <c r="I2689" s="125"/>
      <c r="J2689" s="674"/>
      <c r="K2689" s="471"/>
      <c r="L2689" s="678"/>
    </row>
    <row r="2690">
      <c r="G2690" s="661"/>
      <c r="I2690" s="125"/>
      <c r="J2690" s="674"/>
      <c r="K2690" s="471"/>
      <c r="L2690" s="678"/>
    </row>
    <row r="2691">
      <c r="G2691" s="661"/>
      <c r="I2691" s="125"/>
      <c r="J2691" s="674"/>
      <c r="K2691" s="471"/>
      <c r="L2691" s="678"/>
    </row>
    <row r="2692">
      <c r="G2692" s="661"/>
      <c r="I2692" s="125"/>
      <c r="J2692" s="674"/>
      <c r="K2692" s="471"/>
      <c r="L2692" s="678"/>
    </row>
    <row r="2693">
      <c r="G2693" s="661"/>
      <c r="I2693" s="125"/>
      <c r="J2693" s="674"/>
      <c r="K2693" s="471"/>
      <c r="L2693" s="678"/>
    </row>
    <row r="2694">
      <c r="G2694" s="661"/>
      <c r="I2694" s="125"/>
      <c r="J2694" s="674"/>
      <c r="K2694" s="471"/>
      <c r="L2694" s="678"/>
    </row>
    <row r="2695">
      <c r="G2695" s="661"/>
      <c r="I2695" s="125"/>
      <c r="J2695" s="674"/>
      <c r="K2695" s="471"/>
      <c r="L2695" s="678"/>
    </row>
    <row r="2696">
      <c r="G2696" s="661"/>
      <c r="I2696" s="125"/>
      <c r="J2696" s="674"/>
      <c r="K2696" s="471"/>
      <c r="L2696" s="678"/>
    </row>
    <row r="2697">
      <c r="G2697" s="661"/>
      <c r="I2697" s="125"/>
      <c r="J2697" s="674"/>
      <c r="K2697" s="471"/>
      <c r="L2697" s="678"/>
    </row>
    <row r="2698">
      <c r="G2698" s="661"/>
      <c r="I2698" s="125"/>
      <c r="J2698" s="674"/>
      <c r="K2698" s="471"/>
      <c r="L2698" s="678"/>
    </row>
    <row r="2699">
      <c r="G2699" s="661"/>
      <c r="I2699" s="125"/>
      <c r="J2699" s="674"/>
      <c r="K2699" s="471"/>
      <c r="L2699" s="678"/>
    </row>
    <row r="2700">
      <c r="G2700" s="661"/>
      <c r="I2700" s="125"/>
      <c r="J2700" s="674"/>
      <c r="K2700" s="471"/>
      <c r="L2700" s="678"/>
    </row>
    <row r="2701">
      <c r="G2701" s="661"/>
      <c r="I2701" s="125"/>
      <c r="J2701" s="674"/>
      <c r="K2701" s="471"/>
      <c r="L2701" s="678"/>
    </row>
    <row r="2702">
      <c r="G2702" s="661"/>
      <c r="I2702" s="125"/>
      <c r="J2702" s="674"/>
      <c r="K2702" s="471"/>
      <c r="L2702" s="678"/>
    </row>
    <row r="2703">
      <c r="G2703" s="661"/>
      <c r="I2703" s="125"/>
      <c r="J2703" s="674"/>
      <c r="K2703" s="471"/>
      <c r="L2703" s="678"/>
    </row>
    <row r="2704">
      <c r="G2704" s="661"/>
      <c r="I2704" s="125"/>
      <c r="J2704" s="674"/>
      <c r="K2704" s="471"/>
      <c r="L2704" s="678"/>
    </row>
    <row r="2705">
      <c r="G2705" s="661"/>
      <c r="I2705" s="125"/>
      <c r="J2705" s="674"/>
      <c r="K2705" s="471"/>
      <c r="L2705" s="678"/>
    </row>
    <row r="2706">
      <c r="G2706" s="661"/>
      <c r="I2706" s="125"/>
      <c r="J2706" s="674"/>
      <c r="K2706" s="471"/>
      <c r="L2706" s="678"/>
    </row>
    <row r="2707">
      <c r="G2707" s="661"/>
      <c r="I2707" s="125"/>
      <c r="J2707" s="674"/>
      <c r="K2707" s="471"/>
      <c r="L2707" s="678"/>
    </row>
    <row r="2708">
      <c r="G2708" s="661"/>
      <c r="I2708" s="125"/>
      <c r="J2708" s="674"/>
      <c r="K2708" s="471"/>
      <c r="L2708" s="678"/>
    </row>
    <row r="2709">
      <c r="G2709" s="661"/>
      <c r="I2709" s="125"/>
      <c r="J2709" s="674"/>
      <c r="K2709" s="471"/>
      <c r="L2709" s="678"/>
    </row>
    <row r="2710">
      <c r="G2710" s="661"/>
      <c r="I2710" s="125"/>
      <c r="J2710" s="674"/>
      <c r="K2710" s="471"/>
      <c r="L2710" s="678"/>
    </row>
    <row r="2711">
      <c r="G2711" s="661"/>
      <c r="I2711" s="125"/>
      <c r="J2711" s="674"/>
      <c r="K2711" s="471"/>
      <c r="L2711" s="678"/>
    </row>
    <row r="2712">
      <c r="G2712" s="661"/>
      <c r="I2712" s="125"/>
      <c r="J2712" s="674"/>
      <c r="K2712" s="471"/>
      <c r="L2712" s="678"/>
    </row>
    <row r="2713">
      <c r="G2713" s="661"/>
      <c r="I2713" s="125"/>
      <c r="J2713" s="674"/>
      <c r="K2713" s="471"/>
      <c r="L2713" s="678"/>
    </row>
    <row r="2714">
      <c r="G2714" s="661"/>
      <c r="I2714" s="125"/>
      <c r="J2714" s="674"/>
      <c r="K2714" s="471"/>
      <c r="L2714" s="678"/>
    </row>
    <row r="2715">
      <c r="G2715" s="661"/>
      <c r="I2715" s="125"/>
      <c r="J2715" s="674"/>
      <c r="K2715" s="471"/>
      <c r="L2715" s="678"/>
    </row>
    <row r="2716">
      <c r="G2716" s="661"/>
      <c r="I2716" s="125"/>
      <c r="J2716" s="674"/>
      <c r="K2716" s="471"/>
      <c r="L2716" s="678"/>
    </row>
    <row r="2717">
      <c r="G2717" s="661"/>
      <c r="I2717" s="125"/>
      <c r="J2717" s="674"/>
      <c r="K2717" s="471"/>
      <c r="L2717" s="678"/>
    </row>
    <row r="2718">
      <c r="G2718" s="661"/>
      <c r="I2718" s="125"/>
      <c r="J2718" s="674"/>
      <c r="K2718" s="471"/>
      <c r="L2718" s="678"/>
    </row>
    <row r="2719">
      <c r="G2719" s="661"/>
      <c r="I2719" s="125"/>
      <c r="J2719" s="674"/>
      <c r="K2719" s="471"/>
      <c r="L2719" s="678"/>
    </row>
    <row r="2720">
      <c r="G2720" s="661"/>
      <c r="I2720" s="125"/>
      <c r="J2720" s="674"/>
      <c r="K2720" s="471"/>
      <c r="L2720" s="678"/>
    </row>
    <row r="2721">
      <c r="G2721" s="661"/>
      <c r="I2721" s="125"/>
      <c r="J2721" s="674"/>
      <c r="K2721" s="471"/>
      <c r="L2721" s="678"/>
    </row>
    <row r="2722">
      <c r="G2722" s="661"/>
      <c r="I2722" s="125"/>
      <c r="J2722" s="674"/>
      <c r="K2722" s="471"/>
      <c r="L2722" s="678"/>
    </row>
    <row r="2723">
      <c r="G2723" s="661"/>
      <c r="I2723" s="125"/>
      <c r="J2723" s="674"/>
      <c r="K2723" s="471"/>
      <c r="L2723" s="678"/>
    </row>
    <row r="2724">
      <c r="G2724" s="661"/>
      <c r="I2724" s="125"/>
      <c r="J2724" s="674"/>
      <c r="K2724" s="471"/>
      <c r="L2724" s="678"/>
    </row>
    <row r="2725">
      <c r="G2725" s="661"/>
      <c r="I2725" s="125"/>
      <c r="J2725" s="674"/>
      <c r="K2725" s="471"/>
      <c r="L2725" s="678"/>
    </row>
    <row r="2726">
      <c r="G2726" s="661"/>
      <c r="I2726" s="125"/>
      <c r="J2726" s="674"/>
      <c r="K2726" s="471"/>
      <c r="L2726" s="678"/>
    </row>
    <row r="2727">
      <c r="G2727" s="661"/>
      <c r="I2727" s="125"/>
      <c r="J2727" s="674"/>
      <c r="K2727" s="471"/>
      <c r="L2727" s="678"/>
    </row>
    <row r="2728">
      <c r="G2728" s="661"/>
      <c r="I2728" s="125"/>
      <c r="J2728" s="674"/>
      <c r="K2728" s="471"/>
      <c r="L2728" s="678"/>
    </row>
    <row r="2729">
      <c r="G2729" s="661"/>
      <c r="I2729" s="125"/>
      <c r="J2729" s="674"/>
      <c r="K2729" s="471"/>
      <c r="L2729" s="678"/>
    </row>
    <row r="2730">
      <c r="G2730" s="661"/>
      <c r="I2730" s="125"/>
      <c r="J2730" s="674"/>
      <c r="K2730" s="471"/>
      <c r="L2730" s="678"/>
    </row>
    <row r="2731">
      <c r="G2731" s="661"/>
      <c r="I2731" s="125"/>
      <c r="J2731" s="674"/>
      <c r="K2731" s="471"/>
      <c r="L2731" s="678"/>
    </row>
    <row r="2732">
      <c r="G2732" s="661"/>
      <c r="I2732" s="125"/>
      <c r="J2732" s="674"/>
      <c r="K2732" s="471"/>
      <c r="L2732" s="678"/>
    </row>
    <row r="2733">
      <c r="G2733" s="661"/>
      <c r="I2733" s="125"/>
      <c r="J2733" s="674"/>
      <c r="K2733" s="471"/>
      <c r="L2733" s="678"/>
    </row>
    <row r="2734">
      <c r="G2734" s="661"/>
      <c r="I2734" s="125"/>
      <c r="J2734" s="674"/>
      <c r="K2734" s="471"/>
      <c r="L2734" s="678"/>
    </row>
    <row r="2735">
      <c r="G2735" s="661"/>
      <c r="I2735" s="125"/>
      <c r="J2735" s="674"/>
      <c r="K2735" s="471"/>
      <c r="L2735" s="678"/>
    </row>
    <row r="2736">
      <c r="G2736" s="661"/>
      <c r="I2736" s="125"/>
      <c r="J2736" s="674"/>
      <c r="K2736" s="471"/>
      <c r="L2736" s="678"/>
    </row>
    <row r="2737">
      <c r="G2737" s="661"/>
      <c r="I2737" s="125"/>
      <c r="J2737" s="674"/>
      <c r="K2737" s="471"/>
      <c r="L2737" s="678"/>
    </row>
    <row r="2738">
      <c r="G2738" s="661"/>
      <c r="I2738" s="125"/>
      <c r="J2738" s="674"/>
      <c r="K2738" s="471"/>
      <c r="L2738" s="678"/>
    </row>
    <row r="2739">
      <c r="G2739" s="661"/>
      <c r="I2739" s="125"/>
      <c r="J2739" s="674"/>
      <c r="K2739" s="471"/>
      <c r="L2739" s="678"/>
    </row>
    <row r="2740">
      <c r="G2740" s="661"/>
      <c r="I2740" s="125"/>
      <c r="J2740" s="674"/>
      <c r="K2740" s="471"/>
      <c r="L2740" s="678"/>
    </row>
    <row r="2741">
      <c r="G2741" s="661"/>
      <c r="I2741" s="125"/>
      <c r="J2741" s="674"/>
      <c r="K2741" s="471"/>
      <c r="L2741" s="678"/>
    </row>
    <row r="2742">
      <c r="G2742" s="661"/>
      <c r="I2742" s="125"/>
      <c r="J2742" s="674"/>
      <c r="K2742" s="471"/>
      <c r="L2742" s="678"/>
    </row>
    <row r="2743">
      <c r="G2743" s="661"/>
      <c r="I2743" s="125"/>
      <c r="J2743" s="674"/>
      <c r="K2743" s="471"/>
      <c r="L2743" s="678"/>
    </row>
    <row r="2744">
      <c r="G2744" s="661"/>
      <c r="I2744" s="125"/>
      <c r="J2744" s="674"/>
      <c r="K2744" s="471"/>
      <c r="L2744" s="678"/>
    </row>
    <row r="2745">
      <c r="G2745" s="661"/>
      <c r="I2745" s="125"/>
      <c r="J2745" s="674"/>
      <c r="K2745" s="471"/>
      <c r="L2745" s="678"/>
    </row>
    <row r="2746">
      <c r="G2746" s="661"/>
      <c r="I2746" s="125"/>
      <c r="J2746" s="674"/>
      <c r="K2746" s="471"/>
      <c r="L2746" s="678"/>
    </row>
    <row r="2747">
      <c r="G2747" s="661"/>
      <c r="I2747" s="125"/>
      <c r="J2747" s="674"/>
      <c r="K2747" s="471"/>
      <c r="L2747" s="678"/>
    </row>
    <row r="2748">
      <c r="G2748" s="661"/>
      <c r="I2748" s="125"/>
      <c r="J2748" s="674"/>
      <c r="K2748" s="471"/>
      <c r="L2748" s="678"/>
    </row>
    <row r="2749">
      <c r="G2749" s="661"/>
      <c r="I2749" s="125"/>
      <c r="J2749" s="674"/>
      <c r="K2749" s="471"/>
      <c r="L2749" s="678"/>
    </row>
    <row r="2750">
      <c r="G2750" s="661"/>
      <c r="I2750" s="125"/>
      <c r="J2750" s="674"/>
      <c r="K2750" s="471"/>
      <c r="L2750" s="678"/>
    </row>
    <row r="2751">
      <c r="G2751" s="661"/>
      <c r="I2751" s="125"/>
      <c r="J2751" s="674"/>
      <c r="K2751" s="471"/>
      <c r="L2751" s="678"/>
    </row>
    <row r="2752">
      <c r="G2752" s="661"/>
      <c r="I2752" s="125"/>
      <c r="J2752" s="674"/>
      <c r="K2752" s="471"/>
      <c r="L2752" s="678"/>
    </row>
    <row r="2753">
      <c r="G2753" s="661"/>
      <c r="I2753" s="125"/>
      <c r="J2753" s="674"/>
      <c r="K2753" s="471"/>
      <c r="L2753" s="678"/>
    </row>
    <row r="2754">
      <c r="G2754" s="661"/>
      <c r="I2754" s="125"/>
      <c r="J2754" s="674"/>
      <c r="K2754" s="471"/>
      <c r="L2754" s="678"/>
    </row>
    <row r="2755">
      <c r="G2755" s="661"/>
      <c r="I2755" s="125"/>
      <c r="J2755" s="674"/>
      <c r="K2755" s="471"/>
      <c r="L2755" s="678"/>
    </row>
    <row r="2756">
      <c r="G2756" s="661"/>
      <c r="I2756" s="125"/>
      <c r="J2756" s="674"/>
      <c r="K2756" s="471"/>
      <c r="L2756" s="678"/>
    </row>
    <row r="2757">
      <c r="G2757" s="661"/>
      <c r="I2757" s="125"/>
      <c r="J2757" s="674"/>
      <c r="K2757" s="471"/>
      <c r="L2757" s="678"/>
    </row>
    <row r="2758">
      <c r="G2758" s="661"/>
      <c r="I2758" s="125"/>
      <c r="J2758" s="674"/>
      <c r="K2758" s="471"/>
      <c r="L2758" s="678"/>
    </row>
    <row r="2759">
      <c r="G2759" s="661"/>
      <c r="I2759" s="125"/>
      <c r="J2759" s="674"/>
      <c r="K2759" s="471"/>
      <c r="L2759" s="678"/>
    </row>
    <row r="2760">
      <c r="G2760" s="661"/>
      <c r="I2760" s="125"/>
      <c r="J2760" s="674"/>
      <c r="K2760" s="471"/>
      <c r="L2760" s="678"/>
    </row>
    <row r="2761">
      <c r="G2761" s="661"/>
      <c r="I2761" s="125"/>
      <c r="J2761" s="674"/>
      <c r="K2761" s="471"/>
      <c r="L2761" s="678"/>
    </row>
    <row r="2762">
      <c r="G2762" s="661"/>
      <c r="I2762" s="125"/>
      <c r="J2762" s="674"/>
      <c r="K2762" s="471"/>
      <c r="L2762" s="678"/>
    </row>
    <row r="2763">
      <c r="G2763" s="661"/>
      <c r="I2763" s="125"/>
      <c r="J2763" s="674"/>
      <c r="K2763" s="471"/>
      <c r="L2763" s="678"/>
    </row>
    <row r="2764">
      <c r="G2764" s="661"/>
      <c r="I2764" s="125"/>
      <c r="J2764" s="674"/>
      <c r="K2764" s="471"/>
      <c r="L2764" s="678"/>
    </row>
    <row r="2765">
      <c r="G2765" s="661"/>
      <c r="I2765" s="125"/>
      <c r="J2765" s="674"/>
      <c r="K2765" s="471"/>
      <c r="L2765" s="678"/>
    </row>
    <row r="2766">
      <c r="G2766" s="661"/>
      <c r="I2766" s="125"/>
      <c r="J2766" s="674"/>
      <c r="K2766" s="471"/>
      <c r="L2766" s="678"/>
    </row>
    <row r="2767">
      <c r="G2767" s="661"/>
      <c r="I2767" s="125"/>
      <c r="J2767" s="674"/>
      <c r="K2767" s="471"/>
      <c r="L2767" s="678"/>
    </row>
    <row r="2768">
      <c r="G2768" s="661"/>
      <c r="I2768" s="125"/>
      <c r="J2768" s="674"/>
      <c r="K2768" s="471"/>
      <c r="L2768" s="678"/>
    </row>
    <row r="2769">
      <c r="G2769" s="661"/>
      <c r="I2769" s="125"/>
      <c r="J2769" s="674"/>
      <c r="K2769" s="471"/>
      <c r="L2769" s="678"/>
    </row>
    <row r="2770">
      <c r="G2770" s="661"/>
      <c r="I2770" s="125"/>
      <c r="J2770" s="674"/>
      <c r="K2770" s="471"/>
      <c r="L2770" s="678"/>
    </row>
    <row r="2771">
      <c r="G2771" s="661"/>
      <c r="I2771" s="125"/>
      <c r="J2771" s="674"/>
      <c r="K2771" s="471"/>
      <c r="L2771" s="678"/>
    </row>
    <row r="2772">
      <c r="G2772" s="661"/>
      <c r="I2772" s="125"/>
      <c r="J2772" s="674"/>
      <c r="K2772" s="471"/>
      <c r="L2772" s="678"/>
    </row>
    <row r="2773">
      <c r="G2773" s="661"/>
      <c r="I2773" s="125"/>
      <c r="J2773" s="674"/>
      <c r="K2773" s="471"/>
      <c r="L2773" s="678"/>
    </row>
    <row r="2774">
      <c r="G2774" s="661"/>
      <c r="I2774" s="125"/>
      <c r="J2774" s="674"/>
      <c r="K2774" s="471"/>
      <c r="L2774" s="678"/>
    </row>
    <row r="2775">
      <c r="G2775" s="661"/>
      <c r="I2775" s="125"/>
      <c r="J2775" s="674"/>
      <c r="K2775" s="471"/>
      <c r="L2775" s="678"/>
    </row>
    <row r="2776">
      <c r="G2776" s="661"/>
      <c r="I2776" s="125"/>
      <c r="J2776" s="674"/>
      <c r="K2776" s="471"/>
      <c r="L2776" s="678"/>
    </row>
    <row r="2777">
      <c r="G2777" s="661"/>
      <c r="I2777" s="125"/>
      <c r="J2777" s="674"/>
      <c r="K2777" s="471"/>
      <c r="L2777" s="678"/>
    </row>
    <row r="2778">
      <c r="G2778" s="661"/>
      <c r="I2778" s="125"/>
      <c r="J2778" s="674"/>
      <c r="K2778" s="471"/>
      <c r="L2778" s="678"/>
    </row>
    <row r="2779">
      <c r="G2779" s="661"/>
      <c r="I2779" s="125"/>
      <c r="J2779" s="674"/>
      <c r="K2779" s="471"/>
      <c r="L2779" s="678"/>
    </row>
    <row r="2780">
      <c r="G2780" s="661"/>
      <c r="I2780" s="125"/>
      <c r="J2780" s="674"/>
      <c r="K2780" s="471"/>
      <c r="L2780" s="678"/>
    </row>
    <row r="2781">
      <c r="G2781" s="661"/>
      <c r="I2781" s="125"/>
      <c r="J2781" s="674"/>
      <c r="K2781" s="471"/>
      <c r="L2781" s="678"/>
    </row>
    <row r="2782">
      <c r="G2782" s="661"/>
      <c r="I2782" s="125"/>
      <c r="J2782" s="674"/>
      <c r="K2782" s="471"/>
      <c r="L2782" s="678"/>
    </row>
    <row r="2783">
      <c r="G2783" s="661"/>
      <c r="I2783" s="125"/>
      <c r="J2783" s="674"/>
      <c r="K2783" s="471"/>
      <c r="L2783" s="678"/>
    </row>
    <row r="2784">
      <c r="G2784" s="661"/>
      <c r="I2784" s="125"/>
      <c r="J2784" s="674"/>
      <c r="K2784" s="471"/>
      <c r="L2784" s="678"/>
    </row>
    <row r="2785">
      <c r="G2785" s="661"/>
      <c r="I2785" s="125"/>
      <c r="J2785" s="674"/>
      <c r="K2785" s="471"/>
      <c r="L2785" s="678"/>
    </row>
    <row r="2786">
      <c r="G2786" s="661"/>
      <c r="I2786" s="125"/>
      <c r="J2786" s="674"/>
      <c r="K2786" s="471"/>
      <c r="L2786" s="678"/>
    </row>
    <row r="2787">
      <c r="G2787" s="661"/>
      <c r="I2787" s="125"/>
      <c r="J2787" s="674"/>
      <c r="K2787" s="471"/>
      <c r="L2787" s="678"/>
    </row>
    <row r="2788">
      <c r="G2788" s="661"/>
      <c r="I2788" s="125"/>
      <c r="J2788" s="674"/>
      <c r="K2788" s="471"/>
      <c r="L2788" s="678"/>
    </row>
    <row r="2789">
      <c r="G2789" s="661"/>
      <c r="I2789" s="125"/>
      <c r="J2789" s="674"/>
      <c r="K2789" s="471"/>
      <c r="L2789" s="678"/>
    </row>
    <row r="2790">
      <c r="G2790" s="661"/>
      <c r="I2790" s="125"/>
      <c r="J2790" s="674"/>
      <c r="K2790" s="471"/>
      <c r="L2790" s="678"/>
    </row>
    <row r="2791">
      <c r="G2791" s="661"/>
      <c r="I2791" s="125"/>
      <c r="J2791" s="674"/>
      <c r="K2791" s="471"/>
      <c r="L2791" s="678"/>
    </row>
    <row r="2792">
      <c r="G2792" s="661"/>
      <c r="I2792" s="125"/>
      <c r="J2792" s="674"/>
      <c r="K2792" s="471"/>
      <c r="L2792" s="678"/>
    </row>
    <row r="2793">
      <c r="G2793" s="661"/>
      <c r="I2793" s="125"/>
      <c r="J2793" s="674"/>
      <c r="K2793" s="471"/>
      <c r="L2793" s="678"/>
    </row>
    <row r="2794">
      <c r="G2794" s="661"/>
      <c r="I2794" s="125"/>
      <c r="J2794" s="674"/>
      <c r="K2794" s="471"/>
      <c r="L2794" s="678"/>
    </row>
    <row r="2795">
      <c r="G2795" s="661"/>
      <c r="I2795" s="125"/>
      <c r="J2795" s="674"/>
      <c r="K2795" s="471"/>
      <c r="L2795" s="678"/>
    </row>
    <row r="2796">
      <c r="G2796" s="661"/>
      <c r="I2796" s="125"/>
      <c r="J2796" s="674"/>
      <c r="K2796" s="471"/>
      <c r="L2796" s="678"/>
    </row>
    <row r="2797">
      <c r="G2797" s="661"/>
      <c r="I2797" s="125"/>
      <c r="J2797" s="674"/>
      <c r="K2797" s="471"/>
      <c r="L2797" s="678"/>
    </row>
    <row r="2798">
      <c r="G2798" s="661"/>
      <c r="I2798" s="125"/>
      <c r="J2798" s="674"/>
      <c r="K2798" s="471"/>
      <c r="L2798" s="678"/>
    </row>
    <row r="2799">
      <c r="G2799" s="661"/>
      <c r="I2799" s="125"/>
      <c r="J2799" s="674"/>
      <c r="K2799" s="471"/>
      <c r="L2799" s="678"/>
    </row>
    <row r="2800">
      <c r="G2800" s="661"/>
      <c r="I2800" s="125"/>
      <c r="J2800" s="674"/>
      <c r="K2800" s="471"/>
      <c r="L2800" s="678"/>
    </row>
    <row r="2801">
      <c r="G2801" s="661"/>
      <c r="I2801" s="125"/>
      <c r="J2801" s="674"/>
      <c r="K2801" s="471"/>
      <c r="L2801" s="678"/>
    </row>
    <row r="2802">
      <c r="G2802" s="661"/>
      <c r="I2802" s="125"/>
      <c r="J2802" s="674"/>
      <c r="K2802" s="471"/>
      <c r="L2802" s="678"/>
    </row>
    <row r="2803">
      <c r="G2803" s="661"/>
      <c r="I2803" s="125"/>
      <c r="J2803" s="674"/>
      <c r="K2803" s="471"/>
      <c r="L2803" s="678"/>
    </row>
    <row r="2804">
      <c r="G2804" s="661"/>
      <c r="I2804" s="125"/>
      <c r="J2804" s="674"/>
      <c r="K2804" s="471"/>
      <c r="L2804" s="678"/>
    </row>
    <row r="2805">
      <c r="G2805" s="661"/>
      <c r="I2805" s="125"/>
      <c r="J2805" s="674"/>
      <c r="K2805" s="471"/>
      <c r="L2805" s="678"/>
    </row>
    <row r="2806">
      <c r="G2806" s="661"/>
      <c r="I2806" s="125"/>
      <c r="J2806" s="674"/>
      <c r="K2806" s="471"/>
      <c r="L2806" s="678"/>
    </row>
    <row r="2807">
      <c r="G2807" s="661"/>
      <c r="I2807" s="125"/>
      <c r="J2807" s="674"/>
      <c r="K2807" s="471"/>
      <c r="L2807" s="678"/>
    </row>
    <row r="2808">
      <c r="G2808" s="661"/>
      <c r="I2808" s="125"/>
      <c r="J2808" s="674"/>
      <c r="K2808" s="471"/>
      <c r="L2808" s="678"/>
    </row>
    <row r="2809">
      <c r="G2809" s="661"/>
      <c r="I2809" s="125"/>
      <c r="J2809" s="674"/>
      <c r="K2809" s="471"/>
      <c r="L2809" s="678"/>
    </row>
    <row r="2810">
      <c r="G2810" s="661"/>
      <c r="I2810" s="125"/>
      <c r="J2810" s="674"/>
      <c r="K2810" s="471"/>
      <c r="L2810" s="678"/>
    </row>
    <row r="2811">
      <c r="G2811" s="661"/>
      <c r="I2811" s="125"/>
      <c r="J2811" s="674"/>
      <c r="K2811" s="471"/>
      <c r="L2811" s="678"/>
    </row>
    <row r="2812">
      <c r="G2812" s="661"/>
      <c r="I2812" s="125"/>
      <c r="J2812" s="674"/>
      <c r="K2812" s="471"/>
      <c r="L2812" s="678"/>
    </row>
    <row r="2813">
      <c r="G2813" s="661"/>
      <c r="I2813" s="125"/>
      <c r="J2813" s="674"/>
      <c r="K2813" s="471"/>
      <c r="L2813" s="678"/>
    </row>
    <row r="2814">
      <c r="G2814" s="661"/>
      <c r="I2814" s="125"/>
      <c r="J2814" s="674"/>
      <c r="K2814" s="471"/>
      <c r="L2814" s="678"/>
    </row>
    <row r="2815">
      <c r="G2815" s="661"/>
      <c r="I2815" s="125"/>
      <c r="J2815" s="674"/>
      <c r="K2815" s="471"/>
      <c r="L2815" s="678"/>
    </row>
    <row r="2816">
      <c r="G2816" s="661"/>
      <c r="I2816" s="125"/>
      <c r="J2816" s="674"/>
      <c r="K2816" s="471"/>
      <c r="L2816" s="678"/>
    </row>
    <row r="2817">
      <c r="G2817" s="661"/>
      <c r="I2817" s="125"/>
      <c r="J2817" s="674"/>
      <c r="K2817" s="471"/>
      <c r="L2817" s="678"/>
    </row>
    <row r="2818">
      <c r="G2818" s="661"/>
      <c r="I2818" s="125"/>
      <c r="J2818" s="674"/>
      <c r="K2818" s="471"/>
      <c r="L2818" s="678"/>
    </row>
    <row r="2819">
      <c r="G2819" s="661"/>
      <c r="I2819" s="125"/>
      <c r="J2819" s="674"/>
      <c r="K2819" s="471"/>
      <c r="L2819" s="678"/>
    </row>
    <row r="2820">
      <c r="G2820" s="661"/>
      <c r="I2820" s="125"/>
      <c r="J2820" s="674"/>
      <c r="K2820" s="471"/>
      <c r="L2820" s="678"/>
    </row>
    <row r="2821">
      <c r="G2821" s="661"/>
      <c r="I2821" s="125"/>
      <c r="J2821" s="674"/>
      <c r="K2821" s="471"/>
      <c r="L2821" s="678"/>
    </row>
    <row r="2822">
      <c r="G2822" s="661"/>
      <c r="I2822" s="125"/>
      <c r="J2822" s="674"/>
      <c r="K2822" s="471"/>
      <c r="L2822" s="678"/>
    </row>
    <row r="2823">
      <c r="G2823" s="661"/>
      <c r="I2823" s="125"/>
      <c r="J2823" s="674"/>
      <c r="K2823" s="471"/>
      <c r="L2823" s="678"/>
    </row>
    <row r="2824">
      <c r="G2824" s="661"/>
      <c r="I2824" s="125"/>
      <c r="J2824" s="674"/>
      <c r="K2824" s="471"/>
      <c r="L2824" s="678"/>
    </row>
    <row r="2825">
      <c r="G2825" s="661"/>
      <c r="I2825" s="125"/>
      <c r="J2825" s="674"/>
      <c r="K2825" s="471"/>
      <c r="L2825" s="678"/>
    </row>
    <row r="2826">
      <c r="G2826" s="661"/>
      <c r="I2826" s="125"/>
      <c r="J2826" s="674"/>
      <c r="K2826" s="471"/>
      <c r="L2826" s="678"/>
    </row>
    <row r="2827">
      <c r="G2827" s="661"/>
      <c r="I2827" s="125"/>
      <c r="J2827" s="674"/>
      <c r="K2827" s="471"/>
      <c r="L2827" s="678"/>
    </row>
    <row r="2828">
      <c r="G2828" s="661"/>
      <c r="I2828" s="125"/>
      <c r="J2828" s="674"/>
      <c r="K2828" s="471"/>
      <c r="L2828" s="678"/>
    </row>
    <row r="2829">
      <c r="G2829" s="661"/>
      <c r="I2829" s="125"/>
      <c r="J2829" s="674"/>
      <c r="K2829" s="471"/>
      <c r="L2829" s="678"/>
    </row>
    <row r="2830">
      <c r="G2830" s="661"/>
      <c r="I2830" s="125"/>
      <c r="J2830" s="674"/>
      <c r="K2830" s="471"/>
      <c r="L2830" s="678"/>
    </row>
    <row r="2831">
      <c r="G2831" s="661"/>
      <c r="I2831" s="125"/>
      <c r="J2831" s="674"/>
      <c r="K2831" s="471"/>
      <c r="L2831" s="678"/>
    </row>
    <row r="2832">
      <c r="G2832" s="661"/>
      <c r="I2832" s="125"/>
      <c r="J2832" s="674"/>
      <c r="K2832" s="471"/>
      <c r="L2832" s="678"/>
    </row>
    <row r="2833">
      <c r="G2833" s="661"/>
      <c r="I2833" s="125"/>
      <c r="J2833" s="674"/>
      <c r="K2833" s="471"/>
      <c r="L2833" s="678"/>
    </row>
    <row r="2834">
      <c r="G2834" s="661"/>
      <c r="I2834" s="125"/>
      <c r="J2834" s="674"/>
      <c r="K2834" s="471"/>
      <c r="L2834" s="678"/>
    </row>
    <row r="2835">
      <c r="G2835" s="661"/>
      <c r="I2835" s="125"/>
      <c r="J2835" s="674"/>
      <c r="K2835" s="471"/>
      <c r="L2835" s="678"/>
    </row>
    <row r="2836">
      <c r="G2836" s="661"/>
      <c r="I2836" s="125"/>
      <c r="J2836" s="674"/>
      <c r="K2836" s="471"/>
      <c r="L2836" s="678"/>
    </row>
    <row r="2837">
      <c r="G2837" s="661"/>
      <c r="I2837" s="125"/>
      <c r="J2837" s="674"/>
      <c r="K2837" s="471"/>
      <c r="L2837" s="678"/>
    </row>
    <row r="2838">
      <c r="G2838" s="661"/>
      <c r="I2838" s="125"/>
      <c r="J2838" s="674"/>
      <c r="K2838" s="471"/>
      <c r="L2838" s="678"/>
    </row>
    <row r="2839">
      <c r="G2839" s="661"/>
      <c r="I2839" s="125"/>
      <c r="J2839" s="674"/>
      <c r="K2839" s="471"/>
      <c r="L2839" s="678"/>
    </row>
    <row r="2840">
      <c r="G2840" s="661"/>
      <c r="I2840" s="125"/>
      <c r="J2840" s="674"/>
      <c r="K2840" s="471"/>
      <c r="L2840" s="678"/>
    </row>
    <row r="2841">
      <c r="G2841" s="661"/>
      <c r="I2841" s="125"/>
      <c r="J2841" s="674"/>
      <c r="K2841" s="471"/>
      <c r="L2841" s="678"/>
    </row>
    <row r="2842">
      <c r="G2842" s="661"/>
      <c r="I2842" s="125"/>
      <c r="J2842" s="674"/>
      <c r="K2842" s="471"/>
      <c r="L2842" s="678"/>
    </row>
    <row r="2843">
      <c r="G2843" s="661"/>
      <c r="I2843" s="125"/>
      <c r="J2843" s="674"/>
      <c r="K2843" s="471"/>
      <c r="L2843" s="678"/>
    </row>
    <row r="2844">
      <c r="G2844" s="661"/>
      <c r="I2844" s="125"/>
      <c r="J2844" s="674"/>
      <c r="K2844" s="471"/>
      <c r="L2844" s="678"/>
    </row>
    <row r="2845">
      <c r="G2845" s="661"/>
      <c r="I2845" s="125"/>
      <c r="J2845" s="674"/>
      <c r="K2845" s="471"/>
      <c r="L2845" s="678"/>
    </row>
    <row r="2846">
      <c r="G2846" s="661"/>
      <c r="I2846" s="125"/>
      <c r="J2846" s="674"/>
      <c r="K2846" s="471"/>
      <c r="L2846" s="678"/>
    </row>
    <row r="2847">
      <c r="G2847" s="661"/>
      <c r="I2847" s="125"/>
      <c r="J2847" s="674"/>
      <c r="K2847" s="471"/>
      <c r="L2847" s="678"/>
    </row>
    <row r="2848">
      <c r="G2848" s="661"/>
      <c r="I2848" s="125"/>
      <c r="J2848" s="674"/>
      <c r="K2848" s="471"/>
      <c r="L2848" s="678"/>
    </row>
    <row r="2849">
      <c r="G2849" s="661"/>
      <c r="I2849" s="125"/>
      <c r="J2849" s="674"/>
      <c r="K2849" s="471"/>
      <c r="L2849" s="678"/>
    </row>
    <row r="2850">
      <c r="G2850" s="661"/>
      <c r="I2850" s="125"/>
      <c r="J2850" s="674"/>
      <c r="K2850" s="471"/>
      <c r="L2850" s="678"/>
    </row>
    <row r="2851">
      <c r="G2851" s="661"/>
      <c r="I2851" s="125"/>
      <c r="J2851" s="674"/>
      <c r="K2851" s="471"/>
      <c r="L2851" s="678"/>
    </row>
    <row r="2852">
      <c r="G2852" s="661"/>
      <c r="I2852" s="125"/>
      <c r="J2852" s="674"/>
      <c r="K2852" s="471"/>
      <c r="L2852" s="678"/>
    </row>
    <row r="2853">
      <c r="G2853" s="661"/>
      <c r="I2853" s="125"/>
      <c r="J2853" s="674"/>
      <c r="K2853" s="471"/>
      <c r="L2853" s="678"/>
    </row>
    <row r="2854">
      <c r="G2854" s="661"/>
      <c r="I2854" s="125"/>
      <c r="J2854" s="674"/>
      <c r="K2854" s="471"/>
      <c r="L2854" s="678"/>
    </row>
    <row r="2855">
      <c r="G2855" s="661"/>
      <c r="I2855" s="125"/>
      <c r="J2855" s="674"/>
      <c r="K2855" s="471"/>
      <c r="L2855" s="678"/>
    </row>
    <row r="2856">
      <c r="G2856" s="661"/>
      <c r="I2856" s="125"/>
      <c r="J2856" s="674"/>
      <c r="K2856" s="471"/>
      <c r="L2856" s="678"/>
    </row>
    <row r="2857">
      <c r="G2857" s="661"/>
      <c r="I2857" s="125"/>
      <c r="J2857" s="674"/>
      <c r="K2857" s="471"/>
      <c r="L2857" s="678"/>
    </row>
    <row r="2858">
      <c r="G2858" s="661"/>
      <c r="I2858" s="125"/>
      <c r="J2858" s="674"/>
      <c r="K2858" s="471"/>
      <c r="L2858" s="678"/>
    </row>
    <row r="2859">
      <c r="G2859" s="661"/>
      <c r="I2859" s="125"/>
      <c r="J2859" s="674"/>
      <c r="K2859" s="471"/>
      <c r="L2859" s="678"/>
    </row>
    <row r="2860">
      <c r="G2860" s="661"/>
      <c r="I2860" s="125"/>
      <c r="J2860" s="674"/>
      <c r="K2860" s="471"/>
      <c r="L2860" s="678"/>
    </row>
    <row r="2861">
      <c r="G2861" s="661"/>
      <c r="I2861" s="125"/>
      <c r="J2861" s="674"/>
      <c r="K2861" s="471"/>
      <c r="L2861" s="678"/>
    </row>
    <row r="2862">
      <c r="G2862" s="661"/>
      <c r="I2862" s="125"/>
      <c r="J2862" s="674"/>
      <c r="K2862" s="471"/>
      <c r="L2862" s="678"/>
    </row>
    <row r="2863">
      <c r="G2863" s="661"/>
      <c r="I2863" s="125"/>
      <c r="J2863" s="674"/>
      <c r="K2863" s="471"/>
      <c r="L2863" s="678"/>
    </row>
    <row r="2864">
      <c r="G2864" s="661"/>
      <c r="I2864" s="125"/>
      <c r="J2864" s="674"/>
      <c r="K2864" s="471"/>
      <c r="L2864" s="678"/>
    </row>
    <row r="2865">
      <c r="G2865" s="661"/>
      <c r="I2865" s="125"/>
      <c r="J2865" s="674"/>
      <c r="K2865" s="471"/>
      <c r="L2865" s="678"/>
    </row>
    <row r="2866">
      <c r="G2866" s="661"/>
      <c r="I2866" s="125"/>
      <c r="J2866" s="674"/>
      <c r="K2866" s="471"/>
      <c r="L2866" s="678"/>
    </row>
    <row r="2867">
      <c r="G2867" s="661"/>
      <c r="I2867" s="125"/>
      <c r="J2867" s="674"/>
      <c r="K2867" s="471"/>
      <c r="L2867" s="678"/>
    </row>
    <row r="2868">
      <c r="G2868" s="661"/>
      <c r="I2868" s="125"/>
      <c r="J2868" s="674"/>
      <c r="K2868" s="471"/>
      <c r="L2868" s="678"/>
    </row>
    <row r="2869">
      <c r="G2869" s="661"/>
      <c r="I2869" s="125"/>
      <c r="J2869" s="674"/>
      <c r="K2869" s="471"/>
      <c r="L2869" s="678"/>
    </row>
    <row r="2870">
      <c r="G2870" s="661"/>
      <c r="I2870" s="125"/>
      <c r="J2870" s="674"/>
      <c r="K2870" s="471"/>
      <c r="L2870" s="678"/>
    </row>
    <row r="2871">
      <c r="G2871" s="661"/>
      <c r="I2871" s="125"/>
      <c r="J2871" s="674"/>
      <c r="K2871" s="471"/>
      <c r="L2871" s="678"/>
    </row>
    <row r="2872">
      <c r="G2872" s="661"/>
      <c r="I2872" s="125"/>
      <c r="J2872" s="674"/>
      <c r="K2872" s="471"/>
      <c r="L2872" s="678"/>
    </row>
    <row r="2873">
      <c r="G2873" s="661"/>
      <c r="I2873" s="125"/>
      <c r="J2873" s="674"/>
      <c r="K2873" s="471"/>
      <c r="L2873" s="678"/>
    </row>
    <row r="2874">
      <c r="G2874" s="661"/>
      <c r="I2874" s="125"/>
      <c r="J2874" s="674"/>
      <c r="K2874" s="471"/>
      <c r="L2874" s="678"/>
    </row>
    <row r="2875">
      <c r="G2875" s="661"/>
      <c r="I2875" s="125"/>
      <c r="J2875" s="674"/>
      <c r="K2875" s="471"/>
      <c r="L2875" s="678"/>
    </row>
    <row r="2876">
      <c r="G2876" s="661"/>
      <c r="I2876" s="125"/>
      <c r="J2876" s="674"/>
      <c r="K2876" s="471"/>
      <c r="L2876" s="678"/>
    </row>
    <row r="2877">
      <c r="G2877" s="661"/>
      <c r="I2877" s="125"/>
      <c r="J2877" s="674"/>
      <c r="K2877" s="471"/>
      <c r="L2877" s="678"/>
    </row>
    <row r="2878">
      <c r="G2878" s="661"/>
      <c r="I2878" s="125"/>
      <c r="J2878" s="674"/>
      <c r="K2878" s="471"/>
      <c r="L2878" s="678"/>
    </row>
    <row r="2879">
      <c r="G2879" s="661"/>
      <c r="I2879" s="125"/>
      <c r="J2879" s="674"/>
      <c r="K2879" s="471"/>
      <c r="L2879" s="678"/>
    </row>
    <row r="2880">
      <c r="G2880" s="661"/>
      <c r="I2880" s="125"/>
      <c r="J2880" s="674"/>
      <c r="K2880" s="471"/>
      <c r="L2880" s="678"/>
    </row>
    <row r="2881">
      <c r="G2881" s="661"/>
      <c r="I2881" s="125"/>
      <c r="J2881" s="674"/>
      <c r="K2881" s="471"/>
      <c r="L2881" s="678"/>
    </row>
    <row r="2882">
      <c r="G2882" s="661"/>
      <c r="I2882" s="125"/>
      <c r="J2882" s="674"/>
      <c r="K2882" s="471"/>
      <c r="L2882" s="678"/>
    </row>
    <row r="2883">
      <c r="G2883" s="661"/>
      <c r="I2883" s="125"/>
      <c r="J2883" s="674"/>
      <c r="K2883" s="471"/>
      <c r="L2883" s="678"/>
    </row>
    <row r="2884">
      <c r="G2884" s="661"/>
      <c r="I2884" s="125"/>
      <c r="J2884" s="674"/>
      <c r="K2884" s="471"/>
      <c r="L2884" s="678"/>
    </row>
    <row r="2885">
      <c r="G2885" s="661"/>
      <c r="I2885" s="125"/>
      <c r="J2885" s="674"/>
      <c r="K2885" s="471"/>
      <c r="L2885" s="678"/>
    </row>
    <row r="2886">
      <c r="G2886" s="661"/>
      <c r="I2886" s="125"/>
      <c r="J2886" s="674"/>
      <c r="K2886" s="471"/>
      <c r="L2886" s="678"/>
    </row>
    <row r="2887">
      <c r="G2887" s="661"/>
      <c r="I2887" s="125"/>
      <c r="J2887" s="674"/>
      <c r="K2887" s="471"/>
      <c r="L2887" s="678"/>
    </row>
    <row r="2888">
      <c r="G2888" s="661"/>
      <c r="I2888" s="125"/>
      <c r="J2888" s="674"/>
      <c r="K2888" s="471"/>
      <c r="L2888" s="678"/>
    </row>
    <row r="2889">
      <c r="G2889" s="661"/>
      <c r="I2889" s="125"/>
      <c r="J2889" s="674"/>
      <c r="K2889" s="471"/>
      <c r="L2889" s="678"/>
    </row>
    <row r="2890">
      <c r="G2890" s="661"/>
      <c r="I2890" s="125"/>
      <c r="J2890" s="674"/>
      <c r="K2890" s="471"/>
      <c r="L2890" s="678"/>
    </row>
    <row r="2891">
      <c r="G2891" s="661"/>
      <c r="I2891" s="125"/>
      <c r="J2891" s="674"/>
      <c r="K2891" s="471"/>
      <c r="L2891" s="678"/>
    </row>
    <row r="2892">
      <c r="G2892" s="661"/>
      <c r="I2892" s="125"/>
      <c r="J2892" s="674"/>
      <c r="K2892" s="471"/>
      <c r="L2892" s="678"/>
    </row>
    <row r="2893">
      <c r="G2893" s="661"/>
      <c r="I2893" s="125"/>
      <c r="J2893" s="674"/>
      <c r="K2893" s="471"/>
      <c r="L2893" s="678"/>
    </row>
    <row r="2894">
      <c r="G2894" s="661"/>
      <c r="I2894" s="125"/>
      <c r="J2894" s="674"/>
      <c r="K2894" s="471"/>
      <c r="L2894" s="678"/>
    </row>
    <row r="2895">
      <c r="G2895" s="661"/>
      <c r="I2895" s="125"/>
      <c r="J2895" s="674"/>
      <c r="K2895" s="471"/>
      <c r="L2895" s="678"/>
    </row>
    <row r="2896">
      <c r="G2896" s="661"/>
      <c r="I2896" s="125"/>
      <c r="J2896" s="674"/>
      <c r="K2896" s="471"/>
      <c r="L2896" s="678"/>
    </row>
    <row r="2897">
      <c r="G2897" s="661"/>
      <c r="I2897" s="125"/>
      <c r="J2897" s="674"/>
      <c r="K2897" s="471"/>
      <c r="L2897" s="678"/>
    </row>
    <row r="2898">
      <c r="G2898" s="661"/>
      <c r="I2898" s="125"/>
      <c r="J2898" s="674"/>
      <c r="K2898" s="471"/>
      <c r="L2898" s="678"/>
    </row>
    <row r="2899">
      <c r="G2899" s="661"/>
      <c r="I2899" s="125"/>
      <c r="J2899" s="674"/>
      <c r="K2899" s="471"/>
      <c r="L2899" s="678"/>
    </row>
    <row r="2900">
      <c r="G2900" s="661"/>
      <c r="I2900" s="125"/>
      <c r="J2900" s="674"/>
      <c r="K2900" s="471"/>
      <c r="L2900" s="678"/>
    </row>
    <row r="2901">
      <c r="G2901" s="661"/>
      <c r="I2901" s="125"/>
      <c r="J2901" s="674"/>
      <c r="K2901" s="471"/>
      <c r="L2901" s="678"/>
    </row>
    <row r="2902">
      <c r="G2902" s="661"/>
      <c r="I2902" s="125"/>
      <c r="J2902" s="674"/>
      <c r="K2902" s="471"/>
      <c r="L2902" s="678"/>
    </row>
    <row r="2903">
      <c r="G2903" s="661"/>
      <c r="I2903" s="125"/>
      <c r="J2903" s="674"/>
      <c r="K2903" s="471"/>
      <c r="L2903" s="678"/>
    </row>
    <row r="2904">
      <c r="G2904" s="661"/>
      <c r="I2904" s="125"/>
      <c r="J2904" s="674"/>
      <c r="K2904" s="471"/>
      <c r="L2904" s="678"/>
    </row>
    <row r="2905">
      <c r="G2905" s="661"/>
      <c r="I2905" s="125"/>
      <c r="J2905" s="674"/>
      <c r="K2905" s="471"/>
      <c r="L2905" s="678"/>
    </row>
    <row r="2906">
      <c r="G2906" s="661"/>
      <c r="I2906" s="125"/>
      <c r="J2906" s="674"/>
      <c r="K2906" s="471"/>
      <c r="L2906" s="678"/>
    </row>
    <row r="2907">
      <c r="G2907" s="661"/>
      <c r="I2907" s="125"/>
      <c r="J2907" s="674"/>
      <c r="K2907" s="471"/>
      <c r="L2907" s="678"/>
    </row>
    <row r="2908">
      <c r="G2908" s="661"/>
      <c r="I2908" s="125"/>
      <c r="J2908" s="674"/>
      <c r="K2908" s="471"/>
      <c r="L2908" s="678"/>
    </row>
    <row r="2909">
      <c r="G2909" s="661"/>
      <c r="I2909" s="125"/>
      <c r="J2909" s="674"/>
      <c r="K2909" s="471"/>
      <c r="L2909" s="678"/>
    </row>
    <row r="2910">
      <c r="G2910" s="661"/>
      <c r="I2910" s="125"/>
      <c r="J2910" s="674"/>
      <c r="K2910" s="471"/>
      <c r="L2910" s="678"/>
    </row>
    <row r="2911">
      <c r="G2911" s="661"/>
      <c r="I2911" s="125"/>
      <c r="J2911" s="674"/>
      <c r="K2911" s="471"/>
      <c r="L2911" s="678"/>
    </row>
    <row r="2912">
      <c r="G2912" s="661"/>
      <c r="I2912" s="125"/>
      <c r="J2912" s="674"/>
      <c r="K2912" s="471"/>
      <c r="L2912" s="678"/>
    </row>
    <row r="2913">
      <c r="G2913" s="661"/>
      <c r="I2913" s="125"/>
      <c r="J2913" s="674"/>
      <c r="K2913" s="471"/>
      <c r="L2913" s="678"/>
    </row>
    <row r="2914">
      <c r="G2914" s="661"/>
      <c r="I2914" s="125"/>
      <c r="J2914" s="674"/>
      <c r="K2914" s="471"/>
      <c r="L2914" s="678"/>
    </row>
    <row r="2915">
      <c r="G2915" s="661"/>
      <c r="I2915" s="125"/>
      <c r="J2915" s="674"/>
      <c r="K2915" s="471"/>
      <c r="L2915" s="678"/>
    </row>
    <row r="2916">
      <c r="G2916" s="661"/>
      <c r="I2916" s="125"/>
      <c r="J2916" s="674"/>
      <c r="K2916" s="471"/>
      <c r="L2916" s="678"/>
    </row>
    <row r="2917">
      <c r="G2917" s="661"/>
      <c r="I2917" s="125"/>
      <c r="J2917" s="674"/>
      <c r="K2917" s="471"/>
      <c r="L2917" s="678"/>
    </row>
    <row r="2918">
      <c r="G2918" s="661"/>
      <c r="I2918" s="125"/>
      <c r="J2918" s="674"/>
      <c r="K2918" s="471"/>
      <c r="L2918" s="678"/>
    </row>
    <row r="2919">
      <c r="G2919" s="661"/>
      <c r="I2919" s="125"/>
      <c r="J2919" s="674"/>
      <c r="K2919" s="471"/>
      <c r="L2919" s="678"/>
    </row>
    <row r="2920">
      <c r="G2920" s="661"/>
      <c r="I2920" s="125"/>
      <c r="J2920" s="674"/>
      <c r="K2920" s="471"/>
      <c r="L2920" s="678"/>
    </row>
    <row r="2921">
      <c r="G2921" s="661"/>
      <c r="I2921" s="125"/>
      <c r="J2921" s="674"/>
      <c r="K2921" s="471"/>
      <c r="L2921" s="678"/>
    </row>
    <row r="2922">
      <c r="G2922" s="661"/>
      <c r="I2922" s="125"/>
      <c r="J2922" s="674"/>
      <c r="K2922" s="471"/>
      <c r="L2922" s="678"/>
    </row>
    <row r="2923">
      <c r="G2923" s="661"/>
      <c r="I2923" s="125"/>
      <c r="J2923" s="674"/>
      <c r="K2923" s="471"/>
      <c r="L2923" s="678"/>
    </row>
    <row r="2924">
      <c r="G2924" s="661"/>
      <c r="I2924" s="125"/>
      <c r="J2924" s="674"/>
      <c r="K2924" s="471"/>
      <c r="L2924" s="678"/>
    </row>
    <row r="2925">
      <c r="G2925" s="661"/>
      <c r="I2925" s="125"/>
      <c r="J2925" s="674"/>
      <c r="K2925" s="471"/>
      <c r="L2925" s="678"/>
    </row>
    <row r="2926">
      <c r="G2926" s="661"/>
      <c r="I2926" s="125"/>
      <c r="J2926" s="674"/>
      <c r="K2926" s="471"/>
      <c r="L2926" s="678"/>
    </row>
    <row r="2927">
      <c r="G2927" s="661"/>
      <c r="I2927" s="125"/>
      <c r="J2927" s="674"/>
      <c r="K2927" s="471"/>
      <c r="L2927" s="678"/>
    </row>
    <row r="2928">
      <c r="G2928" s="661"/>
      <c r="I2928" s="125"/>
      <c r="J2928" s="674"/>
      <c r="K2928" s="471"/>
      <c r="L2928" s="678"/>
    </row>
    <row r="2929">
      <c r="G2929" s="661"/>
      <c r="I2929" s="125"/>
      <c r="J2929" s="674"/>
      <c r="K2929" s="471"/>
      <c r="L2929" s="678"/>
    </row>
    <row r="2930">
      <c r="G2930" s="661"/>
      <c r="I2930" s="125"/>
      <c r="J2930" s="674"/>
      <c r="K2930" s="471"/>
      <c r="L2930" s="678"/>
    </row>
    <row r="2931">
      <c r="G2931" s="661"/>
      <c r="I2931" s="125"/>
      <c r="J2931" s="674"/>
      <c r="K2931" s="471"/>
      <c r="L2931" s="678"/>
    </row>
    <row r="2932">
      <c r="G2932" s="661"/>
      <c r="I2932" s="125"/>
      <c r="J2932" s="674"/>
      <c r="K2932" s="471"/>
      <c r="L2932" s="678"/>
    </row>
    <row r="2933">
      <c r="G2933" s="661"/>
      <c r="I2933" s="125"/>
      <c r="J2933" s="674"/>
      <c r="K2933" s="471"/>
      <c r="L2933" s="678"/>
    </row>
    <row r="2934">
      <c r="G2934" s="661"/>
      <c r="I2934" s="125"/>
      <c r="J2934" s="674"/>
      <c r="K2934" s="471"/>
      <c r="L2934" s="678"/>
    </row>
    <row r="2935">
      <c r="G2935" s="661"/>
      <c r="I2935" s="125"/>
      <c r="J2935" s="674"/>
      <c r="K2935" s="471"/>
      <c r="L2935" s="678"/>
    </row>
    <row r="2936">
      <c r="G2936" s="661"/>
      <c r="I2936" s="125"/>
      <c r="J2936" s="674"/>
      <c r="K2936" s="471"/>
      <c r="L2936" s="678"/>
    </row>
    <row r="2937">
      <c r="G2937" s="661"/>
      <c r="I2937" s="125"/>
      <c r="J2937" s="674"/>
      <c r="K2937" s="471"/>
      <c r="L2937" s="678"/>
    </row>
    <row r="2938">
      <c r="G2938" s="661"/>
      <c r="I2938" s="125"/>
      <c r="J2938" s="674"/>
      <c r="K2938" s="471"/>
      <c r="L2938" s="678"/>
    </row>
    <row r="2939">
      <c r="G2939" s="661"/>
      <c r="I2939" s="125"/>
      <c r="J2939" s="674"/>
      <c r="K2939" s="471"/>
      <c r="L2939" s="678"/>
    </row>
    <row r="2940">
      <c r="G2940" s="661"/>
      <c r="I2940" s="125"/>
      <c r="J2940" s="674"/>
      <c r="K2940" s="471"/>
      <c r="L2940" s="678"/>
    </row>
    <row r="2941">
      <c r="G2941" s="661"/>
      <c r="I2941" s="125"/>
      <c r="J2941" s="674"/>
      <c r="K2941" s="471"/>
      <c r="L2941" s="678"/>
    </row>
    <row r="2942">
      <c r="G2942" s="661"/>
      <c r="I2942" s="125"/>
      <c r="J2942" s="674"/>
      <c r="K2942" s="471"/>
      <c r="L2942" s="678"/>
    </row>
    <row r="2943">
      <c r="G2943" s="661"/>
      <c r="I2943" s="125"/>
      <c r="J2943" s="674"/>
      <c r="K2943" s="471"/>
      <c r="L2943" s="678"/>
    </row>
    <row r="2944">
      <c r="G2944" s="661"/>
      <c r="I2944" s="125"/>
      <c r="J2944" s="674"/>
      <c r="K2944" s="471"/>
      <c r="L2944" s="678"/>
    </row>
    <row r="2945">
      <c r="G2945" s="661"/>
      <c r="I2945" s="125"/>
      <c r="J2945" s="674"/>
      <c r="K2945" s="471"/>
      <c r="L2945" s="678"/>
    </row>
    <row r="2946">
      <c r="G2946" s="661"/>
      <c r="I2946" s="125"/>
      <c r="J2946" s="674"/>
      <c r="K2946" s="471"/>
      <c r="L2946" s="678"/>
    </row>
    <row r="2947">
      <c r="G2947" s="661"/>
      <c r="I2947" s="125"/>
      <c r="J2947" s="674"/>
      <c r="K2947" s="471"/>
      <c r="L2947" s="678"/>
    </row>
    <row r="2948">
      <c r="G2948" s="661"/>
      <c r="I2948" s="125"/>
      <c r="J2948" s="674"/>
      <c r="K2948" s="471"/>
      <c r="L2948" s="678"/>
    </row>
    <row r="2949">
      <c r="G2949" s="661"/>
      <c r="I2949" s="125"/>
      <c r="J2949" s="674"/>
      <c r="K2949" s="471"/>
      <c r="L2949" s="678"/>
    </row>
    <row r="2950">
      <c r="G2950" s="661"/>
      <c r="I2950" s="125"/>
      <c r="J2950" s="674"/>
      <c r="K2950" s="471"/>
      <c r="L2950" s="678"/>
    </row>
    <row r="2951">
      <c r="G2951" s="661"/>
      <c r="I2951" s="125"/>
      <c r="J2951" s="674"/>
      <c r="K2951" s="471"/>
      <c r="L2951" s="678"/>
    </row>
    <row r="2952">
      <c r="G2952" s="661"/>
      <c r="I2952" s="125"/>
      <c r="J2952" s="674"/>
      <c r="K2952" s="471"/>
      <c r="L2952" s="678"/>
    </row>
    <row r="2953">
      <c r="G2953" s="661"/>
      <c r="I2953" s="125"/>
      <c r="J2953" s="674"/>
      <c r="K2953" s="471"/>
      <c r="L2953" s="678"/>
    </row>
    <row r="2954">
      <c r="G2954" s="661"/>
      <c r="I2954" s="125"/>
      <c r="J2954" s="674"/>
      <c r="K2954" s="471"/>
      <c r="L2954" s="678"/>
    </row>
    <row r="2955">
      <c r="G2955" s="661"/>
      <c r="I2955" s="125"/>
      <c r="J2955" s="674"/>
      <c r="K2955" s="471"/>
      <c r="L2955" s="678"/>
    </row>
    <row r="2956">
      <c r="G2956" s="661"/>
      <c r="I2956" s="125"/>
      <c r="J2956" s="674"/>
      <c r="K2956" s="471"/>
      <c r="L2956" s="678"/>
    </row>
    <row r="2957">
      <c r="G2957" s="661"/>
      <c r="I2957" s="125"/>
      <c r="J2957" s="674"/>
      <c r="K2957" s="471"/>
      <c r="L2957" s="678"/>
    </row>
    <row r="2958">
      <c r="G2958" s="661"/>
      <c r="I2958" s="125"/>
      <c r="J2958" s="674"/>
      <c r="K2958" s="471"/>
      <c r="L2958" s="678"/>
    </row>
    <row r="2959">
      <c r="G2959" s="661"/>
      <c r="I2959" s="125"/>
      <c r="J2959" s="674"/>
      <c r="K2959" s="471"/>
      <c r="L2959" s="678"/>
    </row>
    <row r="2960">
      <c r="G2960" s="661"/>
      <c r="I2960" s="125"/>
      <c r="J2960" s="674"/>
      <c r="K2960" s="471"/>
      <c r="L2960" s="678"/>
    </row>
    <row r="2961">
      <c r="G2961" s="661"/>
      <c r="I2961" s="125"/>
      <c r="J2961" s="674"/>
      <c r="K2961" s="471"/>
      <c r="L2961" s="678"/>
    </row>
    <row r="2962">
      <c r="G2962" s="661"/>
      <c r="I2962" s="125"/>
      <c r="J2962" s="674"/>
      <c r="K2962" s="471"/>
      <c r="L2962" s="678"/>
    </row>
    <row r="2963">
      <c r="G2963" s="661"/>
      <c r="I2963" s="125"/>
      <c r="J2963" s="674"/>
      <c r="K2963" s="471"/>
      <c r="L2963" s="678"/>
    </row>
    <row r="2964">
      <c r="G2964" s="661"/>
      <c r="I2964" s="125"/>
      <c r="J2964" s="674"/>
      <c r="K2964" s="471"/>
      <c r="L2964" s="678"/>
    </row>
    <row r="2965">
      <c r="G2965" s="661"/>
      <c r="I2965" s="125"/>
      <c r="J2965" s="674"/>
      <c r="K2965" s="471"/>
      <c r="L2965" s="678"/>
    </row>
    <row r="2966">
      <c r="G2966" s="661"/>
      <c r="I2966" s="125"/>
      <c r="J2966" s="674"/>
      <c r="K2966" s="471"/>
      <c r="L2966" s="678"/>
    </row>
    <row r="2967">
      <c r="G2967" s="661"/>
      <c r="I2967" s="125"/>
      <c r="J2967" s="674"/>
      <c r="K2967" s="471"/>
      <c r="L2967" s="678"/>
    </row>
    <row r="2968">
      <c r="G2968" s="661"/>
      <c r="I2968" s="125"/>
      <c r="J2968" s="674"/>
      <c r="K2968" s="471"/>
      <c r="L2968" s="678"/>
    </row>
    <row r="2969">
      <c r="G2969" s="661"/>
      <c r="I2969" s="125"/>
      <c r="J2969" s="674"/>
      <c r="K2969" s="471"/>
      <c r="L2969" s="678"/>
    </row>
    <row r="2970">
      <c r="G2970" s="661"/>
      <c r="I2970" s="125"/>
      <c r="J2970" s="674"/>
      <c r="K2970" s="471"/>
      <c r="L2970" s="678"/>
    </row>
    <row r="2971">
      <c r="G2971" s="661"/>
      <c r="I2971" s="125"/>
      <c r="J2971" s="674"/>
      <c r="K2971" s="471"/>
      <c r="L2971" s="678"/>
    </row>
    <row r="2972">
      <c r="G2972" s="661"/>
      <c r="I2972" s="125"/>
      <c r="J2972" s="674"/>
      <c r="K2972" s="471"/>
      <c r="L2972" s="678"/>
    </row>
    <row r="2973">
      <c r="G2973" s="661"/>
      <c r="I2973" s="125"/>
      <c r="J2973" s="674"/>
      <c r="K2973" s="471"/>
      <c r="L2973" s="678"/>
    </row>
    <row r="2974">
      <c r="G2974" s="661"/>
      <c r="I2974" s="125"/>
      <c r="J2974" s="674"/>
      <c r="K2974" s="471"/>
      <c r="L2974" s="678"/>
    </row>
    <row r="2975">
      <c r="G2975" s="661"/>
      <c r="I2975" s="125"/>
      <c r="J2975" s="674"/>
      <c r="K2975" s="471"/>
      <c r="L2975" s="678"/>
    </row>
    <row r="2976">
      <c r="G2976" s="661"/>
      <c r="I2976" s="125"/>
      <c r="J2976" s="674"/>
      <c r="K2976" s="471"/>
      <c r="L2976" s="678"/>
    </row>
    <row r="2977">
      <c r="G2977" s="661"/>
      <c r="I2977" s="125"/>
      <c r="J2977" s="674"/>
      <c r="K2977" s="471"/>
      <c r="L2977" s="678"/>
    </row>
    <row r="2978">
      <c r="G2978" s="661"/>
      <c r="I2978" s="125"/>
      <c r="J2978" s="674"/>
      <c r="K2978" s="471"/>
      <c r="L2978" s="678"/>
    </row>
    <row r="2979">
      <c r="G2979" s="661"/>
      <c r="I2979" s="125"/>
      <c r="J2979" s="674"/>
      <c r="K2979" s="471"/>
      <c r="L2979" s="678"/>
    </row>
    <row r="2980">
      <c r="G2980" s="661"/>
      <c r="I2980" s="125"/>
      <c r="J2980" s="674"/>
      <c r="K2980" s="471"/>
      <c r="L2980" s="678"/>
    </row>
    <row r="2981">
      <c r="G2981" s="661"/>
      <c r="I2981" s="125"/>
      <c r="J2981" s="674"/>
      <c r="K2981" s="471"/>
      <c r="L2981" s="678"/>
    </row>
    <row r="2982">
      <c r="G2982" s="661"/>
      <c r="I2982" s="125"/>
      <c r="J2982" s="674"/>
      <c r="K2982" s="471"/>
      <c r="L2982" s="678"/>
    </row>
    <row r="2983">
      <c r="G2983" s="661"/>
      <c r="I2983" s="125"/>
      <c r="J2983" s="674"/>
      <c r="K2983" s="471"/>
      <c r="L2983" s="678"/>
    </row>
    <row r="2984">
      <c r="G2984" s="661"/>
      <c r="I2984" s="125"/>
      <c r="J2984" s="674"/>
      <c r="K2984" s="471"/>
      <c r="L2984" s="678"/>
    </row>
    <row r="2985">
      <c r="G2985" s="661"/>
      <c r="I2985" s="125"/>
      <c r="J2985" s="674"/>
      <c r="K2985" s="471"/>
      <c r="L2985" s="678"/>
    </row>
    <row r="2986">
      <c r="G2986" s="661"/>
      <c r="I2986" s="125"/>
      <c r="J2986" s="674"/>
      <c r="K2986" s="471"/>
      <c r="L2986" s="678"/>
    </row>
    <row r="2987">
      <c r="G2987" s="661"/>
      <c r="I2987" s="125"/>
      <c r="J2987" s="674"/>
      <c r="K2987" s="471"/>
      <c r="L2987" s="678"/>
    </row>
    <row r="2988">
      <c r="G2988" s="661"/>
      <c r="I2988" s="125"/>
      <c r="J2988" s="674"/>
      <c r="K2988" s="471"/>
      <c r="L2988" s="678"/>
    </row>
    <row r="2989">
      <c r="G2989" s="661"/>
      <c r="I2989" s="125"/>
      <c r="J2989" s="674"/>
      <c r="K2989" s="471"/>
      <c r="L2989" s="678"/>
    </row>
    <row r="2990">
      <c r="G2990" s="661"/>
      <c r="I2990" s="125"/>
      <c r="J2990" s="674"/>
      <c r="K2990" s="471"/>
      <c r="L2990" s="678"/>
    </row>
    <row r="2991">
      <c r="G2991" s="661"/>
      <c r="I2991" s="125"/>
      <c r="J2991" s="674"/>
      <c r="K2991" s="471"/>
      <c r="L2991" s="678"/>
    </row>
    <row r="2992">
      <c r="G2992" s="661"/>
      <c r="I2992" s="125"/>
      <c r="J2992" s="674"/>
      <c r="K2992" s="471"/>
      <c r="L2992" s="678"/>
    </row>
    <row r="2993">
      <c r="G2993" s="661"/>
      <c r="I2993" s="125"/>
      <c r="J2993" s="674"/>
      <c r="K2993" s="471"/>
      <c r="L2993" s="678"/>
    </row>
    <row r="2994">
      <c r="G2994" s="661"/>
      <c r="I2994" s="125"/>
      <c r="J2994" s="674"/>
      <c r="K2994" s="471"/>
      <c r="L2994" s="678"/>
    </row>
    <row r="2995">
      <c r="G2995" s="661"/>
      <c r="I2995" s="125"/>
      <c r="J2995" s="674"/>
      <c r="K2995" s="471"/>
      <c r="L2995" s="678"/>
    </row>
    <row r="2996">
      <c r="G2996" s="661"/>
      <c r="I2996" s="125"/>
      <c r="J2996" s="674"/>
      <c r="K2996" s="471"/>
      <c r="L2996" s="678"/>
    </row>
    <row r="2997">
      <c r="G2997" s="661"/>
      <c r="I2997" s="125"/>
      <c r="J2997" s="674"/>
      <c r="K2997" s="471"/>
      <c r="L2997" s="678"/>
    </row>
    <row r="2998">
      <c r="G2998" s="661"/>
      <c r="I2998" s="125"/>
      <c r="J2998" s="674"/>
      <c r="K2998" s="471"/>
      <c r="L2998" s="678"/>
    </row>
    <row r="2999">
      <c r="G2999" s="661"/>
      <c r="I2999" s="125"/>
      <c r="J2999" s="674"/>
      <c r="K2999" s="471"/>
      <c r="L2999" s="678"/>
    </row>
    <row r="3000">
      <c r="G3000" s="661"/>
      <c r="I3000" s="125"/>
      <c r="J3000" s="674"/>
      <c r="K3000" s="471"/>
      <c r="L3000" s="678"/>
    </row>
    <row r="3001">
      <c r="G3001" s="661"/>
      <c r="I3001" s="125"/>
      <c r="J3001" s="674"/>
      <c r="K3001" s="471"/>
      <c r="L3001" s="678"/>
    </row>
    <row r="3002">
      <c r="G3002" s="661"/>
      <c r="I3002" s="125"/>
      <c r="J3002" s="674"/>
      <c r="K3002" s="471"/>
      <c r="L3002" s="678"/>
    </row>
    <row r="3003">
      <c r="G3003" s="661"/>
      <c r="I3003" s="125"/>
      <c r="J3003" s="674"/>
      <c r="K3003" s="471"/>
      <c r="L3003" s="678"/>
    </row>
    <row r="3004">
      <c r="G3004" s="661"/>
      <c r="I3004" s="125"/>
      <c r="J3004" s="674"/>
      <c r="K3004" s="471"/>
      <c r="L3004" s="678"/>
    </row>
    <row r="3005">
      <c r="G3005" s="661"/>
      <c r="I3005" s="125"/>
      <c r="J3005" s="674"/>
      <c r="K3005" s="471"/>
      <c r="L3005" s="678"/>
    </row>
    <row r="3006">
      <c r="G3006" s="661"/>
      <c r="I3006" s="125"/>
      <c r="J3006" s="674"/>
      <c r="K3006" s="471"/>
      <c r="L3006" s="678"/>
    </row>
    <row r="3007">
      <c r="G3007" s="661"/>
      <c r="I3007" s="125"/>
      <c r="J3007" s="674"/>
      <c r="K3007" s="471"/>
      <c r="L3007" s="678"/>
    </row>
    <row r="3008">
      <c r="G3008" s="661"/>
      <c r="I3008" s="125"/>
      <c r="J3008" s="674"/>
      <c r="K3008" s="471"/>
      <c r="L3008" s="678"/>
    </row>
    <row r="3009">
      <c r="G3009" s="661"/>
      <c r="I3009" s="125"/>
      <c r="J3009" s="674"/>
      <c r="K3009" s="471"/>
      <c r="L3009" s="678"/>
    </row>
    <row r="3010">
      <c r="G3010" s="661"/>
      <c r="I3010" s="125"/>
      <c r="J3010" s="674"/>
      <c r="K3010" s="471"/>
      <c r="L3010" s="678"/>
    </row>
    <row r="3011">
      <c r="G3011" s="661"/>
      <c r="I3011" s="125"/>
      <c r="J3011" s="674"/>
      <c r="K3011" s="471"/>
      <c r="L3011" s="678"/>
    </row>
    <row r="3012">
      <c r="G3012" s="661"/>
      <c r="I3012" s="125"/>
      <c r="J3012" s="674"/>
      <c r="K3012" s="471"/>
      <c r="L3012" s="678"/>
    </row>
    <row r="3013">
      <c r="G3013" s="661"/>
      <c r="I3013" s="125"/>
      <c r="J3013" s="674"/>
      <c r="K3013" s="471"/>
      <c r="L3013" s="678"/>
    </row>
    <row r="3014">
      <c r="G3014" s="661"/>
      <c r="I3014" s="125"/>
      <c r="J3014" s="674"/>
      <c r="K3014" s="471"/>
      <c r="L3014" s="678"/>
    </row>
    <row r="3015">
      <c r="G3015" s="661"/>
      <c r="I3015" s="125"/>
      <c r="J3015" s="674"/>
      <c r="K3015" s="471"/>
      <c r="L3015" s="678"/>
    </row>
    <row r="3016">
      <c r="G3016" s="661"/>
      <c r="I3016" s="125"/>
      <c r="J3016" s="674"/>
      <c r="K3016" s="471"/>
      <c r="L3016" s="678"/>
    </row>
    <row r="3017">
      <c r="G3017" s="661"/>
      <c r="I3017" s="125"/>
      <c r="J3017" s="674"/>
      <c r="K3017" s="471"/>
      <c r="L3017" s="678"/>
    </row>
    <row r="3018">
      <c r="G3018" s="661"/>
      <c r="I3018" s="125"/>
      <c r="J3018" s="674"/>
      <c r="K3018" s="471"/>
      <c r="L3018" s="678"/>
    </row>
    <row r="3019">
      <c r="G3019" s="661"/>
      <c r="I3019" s="125"/>
      <c r="J3019" s="674"/>
      <c r="K3019" s="471"/>
      <c r="L3019" s="678"/>
    </row>
    <row r="3020">
      <c r="G3020" s="661"/>
      <c r="I3020" s="125"/>
      <c r="J3020" s="674"/>
      <c r="K3020" s="471"/>
      <c r="L3020" s="678"/>
    </row>
    <row r="3021">
      <c r="G3021" s="661"/>
      <c r="I3021" s="125"/>
      <c r="J3021" s="674"/>
      <c r="K3021" s="471"/>
      <c r="L3021" s="678"/>
    </row>
    <row r="3022">
      <c r="G3022" s="661"/>
      <c r="I3022" s="125"/>
      <c r="J3022" s="674"/>
      <c r="K3022" s="471"/>
      <c r="L3022" s="678"/>
    </row>
    <row r="3023">
      <c r="G3023" s="661"/>
      <c r="I3023" s="125"/>
      <c r="J3023" s="674"/>
      <c r="K3023" s="471"/>
      <c r="L3023" s="678"/>
    </row>
    <row r="3024">
      <c r="G3024" s="661"/>
      <c r="I3024" s="125"/>
      <c r="J3024" s="674"/>
      <c r="K3024" s="471"/>
      <c r="L3024" s="678"/>
    </row>
    <row r="3025">
      <c r="G3025" s="661"/>
      <c r="I3025" s="125"/>
      <c r="J3025" s="674"/>
      <c r="K3025" s="471"/>
      <c r="L3025" s="678"/>
    </row>
    <row r="3026">
      <c r="G3026" s="661"/>
      <c r="I3026" s="125"/>
      <c r="J3026" s="674"/>
      <c r="K3026" s="471"/>
      <c r="L3026" s="678"/>
    </row>
    <row r="3027">
      <c r="G3027" s="661"/>
      <c r="I3027" s="125"/>
      <c r="J3027" s="674"/>
      <c r="K3027" s="471"/>
      <c r="L3027" s="678"/>
    </row>
    <row r="3028">
      <c r="G3028" s="661"/>
      <c r="I3028" s="125"/>
      <c r="J3028" s="674"/>
      <c r="K3028" s="471"/>
      <c r="L3028" s="678"/>
    </row>
    <row r="3029">
      <c r="G3029" s="661"/>
      <c r="I3029" s="125"/>
      <c r="J3029" s="674"/>
      <c r="K3029" s="471"/>
      <c r="L3029" s="678"/>
    </row>
    <row r="3030">
      <c r="G3030" s="661"/>
      <c r="I3030" s="125"/>
      <c r="J3030" s="674"/>
      <c r="K3030" s="471"/>
      <c r="L3030" s="678"/>
    </row>
    <row r="3031">
      <c r="G3031" s="661"/>
      <c r="I3031" s="125"/>
      <c r="J3031" s="674"/>
      <c r="K3031" s="471"/>
      <c r="L3031" s="678"/>
    </row>
    <row r="3032">
      <c r="G3032" s="661"/>
      <c r="I3032" s="125"/>
      <c r="J3032" s="674"/>
      <c r="K3032" s="471"/>
      <c r="L3032" s="678"/>
    </row>
    <row r="3033">
      <c r="G3033" s="661"/>
      <c r="I3033" s="125"/>
      <c r="J3033" s="674"/>
      <c r="K3033" s="471"/>
      <c r="L3033" s="678"/>
    </row>
    <row r="3034">
      <c r="G3034" s="661"/>
      <c r="I3034" s="125"/>
      <c r="J3034" s="674"/>
      <c r="K3034" s="471"/>
      <c r="L3034" s="678"/>
    </row>
    <row r="3035">
      <c r="G3035" s="661"/>
      <c r="I3035" s="125"/>
      <c r="J3035" s="674"/>
      <c r="K3035" s="471"/>
      <c r="L3035" s="678"/>
    </row>
    <row r="3036">
      <c r="G3036" s="661"/>
      <c r="I3036" s="125"/>
      <c r="J3036" s="674"/>
      <c r="K3036" s="471"/>
      <c r="L3036" s="678"/>
    </row>
    <row r="3037">
      <c r="G3037" s="661"/>
      <c r="I3037" s="125"/>
      <c r="J3037" s="674"/>
      <c r="K3037" s="471"/>
      <c r="L3037" s="678"/>
    </row>
    <row r="3038">
      <c r="G3038" s="661"/>
      <c r="I3038" s="125"/>
      <c r="J3038" s="674"/>
      <c r="K3038" s="471"/>
      <c r="L3038" s="678"/>
    </row>
    <row r="3039">
      <c r="G3039" s="661"/>
      <c r="I3039" s="125"/>
      <c r="J3039" s="674"/>
      <c r="K3039" s="471"/>
      <c r="L3039" s="678"/>
    </row>
    <row r="3040">
      <c r="G3040" s="661"/>
      <c r="I3040" s="125"/>
      <c r="J3040" s="674"/>
      <c r="K3040" s="471"/>
      <c r="L3040" s="678"/>
    </row>
    <row r="3041">
      <c r="G3041" s="661"/>
      <c r="I3041" s="125"/>
      <c r="J3041" s="674"/>
      <c r="K3041" s="471"/>
      <c r="L3041" s="678"/>
    </row>
    <row r="3042">
      <c r="G3042" s="661"/>
      <c r="I3042" s="125"/>
      <c r="J3042" s="674"/>
      <c r="K3042" s="471"/>
      <c r="L3042" s="678"/>
    </row>
    <row r="3043">
      <c r="G3043" s="661"/>
      <c r="I3043" s="125"/>
      <c r="J3043" s="674"/>
      <c r="K3043" s="471"/>
      <c r="L3043" s="678"/>
    </row>
    <row r="3044">
      <c r="G3044" s="661"/>
      <c r="I3044" s="125"/>
      <c r="J3044" s="674"/>
      <c r="K3044" s="471"/>
      <c r="L3044" s="678"/>
    </row>
    <row r="3045">
      <c r="G3045" s="661"/>
      <c r="I3045" s="125"/>
      <c r="J3045" s="674"/>
      <c r="K3045" s="471"/>
      <c r="L3045" s="678"/>
    </row>
    <row r="3046">
      <c r="G3046" s="661"/>
      <c r="I3046" s="125"/>
      <c r="J3046" s="674"/>
      <c r="K3046" s="471"/>
      <c r="L3046" s="678"/>
    </row>
    <row r="3047">
      <c r="G3047" s="661"/>
      <c r="I3047" s="125"/>
      <c r="J3047" s="674"/>
      <c r="K3047" s="471"/>
      <c r="L3047" s="678"/>
    </row>
    <row r="3048">
      <c r="G3048" s="661"/>
      <c r="I3048" s="125"/>
      <c r="J3048" s="674"/>
      <c r="K3048" s="471"/>
      <c r="L3048" s="678"/>
    </row>
    <row r="3049">
      <c r="G3049" s="661"/>
      <c r="I3049" s="125"/>
      <c r="J3049" s="674"/>
      <c r="K3049" s="471"/>
      <c r="L3049" s="678"/>
    </row>
    <row r="3050">
      <c r="G3050" s="661"/>
      <c r="I3050" s="125"/>
      <c r="J3050" s="674"/>
      <c r="K3050" s="471"/>
      <c r="L3050" s="678"/>
    </row>
    <row r="3051">
      <c r="G3051" s="661"/>
      <c r="I3051" s="125"/>
      <c r="J3051" s="674"/>
      <c r="K3051" s="471"/>
      <c r="L3051" s="678"/>
    </row>
    <row r="3052">
      <c r="G3052" s="661"/>
      <c r="I3052" s="125"/>
      <c r="J3052" s="674"/>
      <c r="K3052" s="471"/>
      <c r="L3052" s="678"/>
    </row>
    <row r="3053">
      <c r="G3053" s="661"/>
      <c r="I3053" s="125"/>
      <c r="J3053" s="674"/>
      <c r="K3053" s="471"/>
      <c r="L3053" s="678"/>
    </row>
    <row r="3054">
      <c r="G3054" s="661"/>
      <c r="I3054" s="125"/>
      <c r="J3054" s="674"/>
      <c r="K3054" s="471"/>
      <c r="L3054" s="678"/>
    </row>
    <row r="3055">
      <c r="G3055" s="661"/>
      <c r="I3055" s="125"/>
      <c r="J3055" s="674"/>
      <c r="K3055" s="471"/>
      <c r="L3055" s="678"/>
    </row>
    <row r="3056">
      <c r="G3056" s="661"/>
      <c r="I3056" s="125"/>
      <c r="J3056" s="674"/>
      <c r="K3056" s="471"/>
      <c r="L3056" s="678"/>
    </row>
    <row r="3057">
      <c r="G3057" s="661"/>
      <c r="I3057" s="125"/>
      <c r="J3057" s="674"/>
      <c r="K3057" s="471"/>
      <c r="L3057" s="678"/>
    </row>
    <row r="3058">
      <c r="G3058" s="661"/>
      <c r="I3058" s="125"/>
      <c r="J3058" s="674"/>
      <c r="K3058" s="471"/>
      <c r="L3058" s="678"/>
    </row>
    <row r="3059">
      <c r="G3059" s="661"/>
      <c r="I3059" s="125"/>
      <c r="J3059" s="674"/>
      <c r="K3059" s="471"/>
      <c r="L3059" s="678"/>
    </row>
    <row r="3060">
      <c r="G3060" s="661"/>
      <c r="I3060" s="125"/>
      <c r="J3060" s="674"/>
      <c r="K3060" s="471"/>
      <c r="L3060" s="678"/>
    </row>
    <row r="3061">
      <c r="G3061" s="661"/>
      <c r="I3061" s="125"/>
      <c r="J3061" s="674"/>
      <c r="K3061" s="471"/>
      <c r="L3061" s="678"/>
    </row>
    <row r="3062">
      <c r="G3062" s="661"/>
      <c r="I3062" s="125"/>
      <c r="J3062" s="674"/>
      <c r="K3062" s="471"/>
      <c r="L3062" s="678"/>
    </row>
    <row r="3063">
      <c r="G3063" s="661"/>
      <c r="I3063" s="125"/>
      <c r="J3063" s="674"/>
      <c r="K3063" s="471"/>
      <c r="L3063" s="678"/>
    </row>
    <row r="3064">
      <c r="G3064" s="661"/>
      <c r="I3064" s="125"/>
      <c r="J3064" s="674"/>
      <c r="K3064" s="471"/>
      <c r="L3064" s="678"/>
    </row>
    <row r="3065">
      <c r="G3065" s="661"/>
      <c r="I3065" s="125"/>
      <c r="J3065" s="674"/>
      <c r="K3065" s="471"/>
      <c r="L3065" s="678"/>
    </row>
    <row r="3066">
      <c r="G3066" s="661"/>
      <c r="I3066" s="125"/>
      <c r="J3066" s="674"/>
      <c r="K3066" s="471"/>
      <c r="L3066" s="678"/>
    </row>
    <row r="3067">
      <c r="G3067" s="661"/>
      <c r="I3067" s="125"/>
      <c r="J3067" s="674"/>
      <c r="K3067" s="471"/>
      <c r="L3067" s="678"/>
    </row>
    <row r="3068">
      <c r="G3068" s="661"/>
      <c r="I3068" s="125"/>
      <c r="J3068" s="674"/>
      <c r="K3068" s="471"/>
      <c r="L3068" s="678"/>
    </row>
    <row r="3069">
      <c r="G3069" s="661"/>
      <c r="I3069" s="125"/>
      <c r="J3069" s="674"/>
      <c r="K3069" s="471"/>
      <c r="L3069" s="678"/>
    </row>
    <row r="3070">
      <c r="G3070" s="661"/>
      <c r="I3070" s="125"/>
      <c r="J3070" s="674"/>
      <c r="K3070" s="471"/>
      <c r="L3070" s="678"/>
    </row>
    <row r="3071">
      <c r="G3071" s="661"/>
      <c r="I3071" s="125"/>
      <c r="J3071" s="674"/>
      <c r="K3071" s="471"/>
      <c r="L3071" s="678"/>
    </row>
    <row r="3072">
      <c r="G3072" s="661"/>
      <c r="I3072" s="125"/>
      <c r="J3072" s="674"/>
      <c r="K3072" s="471"/>
      <c r="L3072" s="678"/>
    </row>
    <row r="3073">
      <c r="G3073" s="661"/>
      <c r="I3073" s="125"/>
      <c r="J3073" s="674"/>
      <c r="K3073" s="471"/>
      <c r="L3073" s="678"/>
    </row>
    <row r="3074">
      <c r="G3074" s="661"/>
      <c r="I3074" s="125"/>
      <c r="J3074" s="674"/>
      <c r="K3074" s="471"/>
      <c r="L3074" s="678"/>
    </row>
    <row r="3075">
      <c r="G3075" s="661"/>
      <c r="I3075" s="125"/>
      <c r="J3075" s="674"/>
      <c r="K3075" s="471"/>
      <c r="L3075" s="678"/>
    </row>
    <row r="3076">
      <c r="G3076" s="661"/>
      <c r="I3076" s="125"/>
      <c r="J3076" s="674"/>
      <c r="K3076" s="471"/>
      <c r="L3076" s="678"/>
    </row>
    <row r="3077">
      <c r="G3077" s="661"/>
      <c r="I3077" s="125"/>
      <c r="J3077" s="674"/>
      <c r="K3077" s="471"/>
      <c r="L3077" s="678"/>
    </row>
    <row r="3078">
      <c r="G3078" s="661"/>
      <c r="I3078" s="125"/>
      <c r="J3078" s="674"/>
      <c r="K3078" s="471"/>
      <c r="L3078" s="678"/>
    </row>
    <row r="3079">
      <c r="G3079" s="661"/>
      <c r="I3079" s="125"/>
      <c r="J3079" s="674"/>
      <c r="K3079" s="471"/>
      <c r="L3079" s="678"/>
    </row>
    <row r="3080">
      <c r="G3080" s="661"/>
      <c r="I3080" s="125"/>
      <c r="J3080" s="674"/>
      <c r="K3080" s="471"/>
      <c r="L3080" s="678"/>
    </row>
    <row r="3081">
      <c r="G3081" s="661"/>
      <c r="I3081" s="125"/>
      <c r="J3081" s="674"/>
      <c r="K3081" s="471"/>
      <c r="L3081" s="678"/>
    </row>
    <row r="3082">
      <c r="G3082" s="661"/>
      <c r="I3082" s="125"/>
      <c r="J3082" s="674"/>
      <c r="K3082" s="471"/>
      <c r="L3082" s="678"/>
    </row>
    <row r="3083">
      <c r="G3083" s="661"/>
      <c r="I3083" s="125"/>
      <c r="J3083" s="674"/>
      <c r="K3083" s="471"/>
      <c r="L3083" s="678"/>
    </row>
    <row r="3084">
      <c r="G3084" s="661"/>
      <c r="I3084" s="125"/>
      <c r="J3084" s="674"/>
      <c r="K3084" s="471"/>
      <c r="L3084" s="678"/>
    </row>
    <row r="3085">
      <c r="G3085" s="661"/>
      <c r="I3085" s="125"/>
      <c r="J3085" s="674"/>
      <c r="K3085" s="471"/>
      <c r="L3085" s="678"/>
    </row>
    <row r="3086">
      <c r="G3086" s="661"/>
      <c r="I3086" s="125"/>
      <c r="J3086" s="674"/>
      <c r="K3086" s="471"/>
      <c r="L3086" s="678"/>
    </row>
    <row r="3087">
      <c r="G3087" s="661"/>
      <c r="I3087" s="125"/>
      <c r="J3087" s="674"/>
      <c r="K3087" s="471"/>
      <c r="L3087" s="678"/>
    </row>
    <row r="3088">
      <c r="G3088" s="661"/>
      <c r="I3088" s="125"/>
      <c r="J3088" s="674"/>
      <c r="K3088" s="471"/>
      <c r="L3088" s="678"/>
    </row>
    <row r="3089">
      <c r="G3089" s="661"/>
      <c r="I3089" s="125"/>
      <c r="J3089" s="674"/>
      <c r="K3089" s="471"/>
      <c r="L3089" s="678"/>
    </row>
    <row r="3090">
      <c r="G3090" s="661"/>
      <c r="I3090" s="125"/>
      <c r="J3090" s="674"/>
      <c r="K3090" s="471"/>
      <c r="L3090" s="678"/>
    </row>
    <row r="3091">
      <c r="G3091" s="661"/>
      <c r="I3091" s="125"/>
      <c r="J3091" s="674"/>
      <c r="K3091" s="471"/>
      <c r="L3091" s="678"/>
    </row>
    <row r="3092">
      <c r="G3092" s="661"/>
      <c r="I3092" s="125"/>
      <c r="J3092" s="674"/>
      <c r="K3092" s="471"/>
      <c r="L3092" s="678"/>
    </row>
    <row r="3093">
      <c r="G3093" s="661"/>
      <c r="I3093" s="125"/>
      <c r="J3093" s="674"/>
      <c r="K3093" s="471"/>
      <c r="L3093" s="678"/>
    </row>
    <row r="3094">
      <c r="G3094" s="661"/>
      <c r="I3094" s="125"/>
      <c r="J3094" s="674"/>
      <c r="K3094" s="471"/>
      <c r="L3094" s="678"/>
    </row>
    <row r="3095">
      <c r="G3095" s="661"/>
      <c r="I3095" s="125"/>
      <c r="J3095" s="674"/>
      <c r="K3095" s="471"/>
      <c r="L3095" s="678"/>
    </row>
    <row r="3096">
      <c r="G3096" s="661"/>
      <c r="I3096" s="125"/>
      <c r="J3096" s="674"/>
      <c r="K3096" s="471"/>
      <c r="L3096" s="678"/>
    </row>
    <row r="3097">
      <c r="G3097" s="661"/>
      <c r="I3097" s="125"/>
      <c r="J3097" s="674"/>
      <c r="K3097" s="471"/>
      <c r="L3097" s="678"/>
    </row>
    <row r="3098">
      <c r="G3098" s="661"/>
      <c r="I3098" s="125"/>
      <c r="J3098" s="674"/>
      <c r="K3098" s="471"/>
      <c r="L3098" s="678"/>
    </row>
    <row r="3099">
      <c r="G3099" s="661"/>
      <c r="I3099" s="125"/>
      <c r="J3099" s="674"/>
      <c r="K3099" s="471"/>
      <c r="L3099" s="678"/>
    </row>
    <row r="3100">
      <c r="G3100" s="661"/>
      <c r="I3100" s="125"/>
      <c r="J3100" s="674"/>
      <c r="K3100" s="471"/>
      <c r="L3100" s="678"/>
    </row>
    <row r="3101">
      <c r="G3101" s="661"/>
      <c r="I3101" s="125"/>
      <c r="J3101" s="674"/>
      <c r="K3101" s="471"/>
      <c r="L3101" s="678"/>
    </row>
    <row r="3102">
      <c r="G3102" s="661"/>
      <c r="I3102" s="125"/>
      <c r="J3102" s="674"/>
      <c r="K3102" s="471"/>
      <c r="L3102" s="678"/>
    </row>
    <row r="3103">
      <c r="G3103" s="661"/>
      <c r="I3103" s="125"/>
      <c r="J3103" s="674"/>
      <c r="K3103" s="471"/>
      <c r="L3103" s="678"/>
    </row>
    <row r="3104">
      <c r="G3104" s="661"/>
      <c r="I3104" s="125"/>
      <c r="J3104" s="674"/>
      <c r="K3104" s="471"/>
      <c r="L3104" s="678"/>
    </row>
    <row r="3105">
      <c r="G3105" s="661"/>
      <c r="I3105" s="125"/>
      <c r="J3105" s="674"/>
      <c r="K3105" s="471"/>
      <c r="L3105" s="678"/>
    </row>
    <row r="3106">
      <c r="G3106" s="661"/>
      <c r="I3106" s="125"/>
      <c r="J3106" s="674"/>
      <c r="K3106" s="471"/>
      <c r="L3106" s="678"/>
    </row>
    <row r="3107">
      <c r="G3107" s="661"/>
      <c r="I3107" s="125"/>
      <c r="J3107" s="674"/>
      <c r="K3107" s="471"/>
      <c r="L3107" s="678"/>
    </row>
    <row r="3108">
      <c r="G3108" s="661"/>
      <c r="I3108" s="125"/>
      <c r="J3108" s="674"/>
      <c r="K3108" s="471"/>
      <c r="L3108" s="678"/>
    </row>
    <row r="3109">
      <c r="G3109" s="661"/>
      <c r="I3109" s="125"/>
      <c r="J3109" s="674"/>
      <c r="K3109" s="471"/>
      <c r="L3109" s="678"/>
    </row>
    <row r="3110">
      <c r="G3110" s="661"/>
      <c r="I3110" s="125"/>
      <c r="J3110" s="674"/>
      <c r="K3110" s="471"/>
      <c r="L3110" s="678"/>
    </row>
    <row r="3111">
      <c r="G3111" s="661"/>
      <c r="I3111" s="125"/>
      <c r="J3111" s="674"/>
      <c r="K3111" s="471"/>
      <c r="L3111" s="678"/>
    </row>
    <row r="3112">
      <c r="G3112" s="661"/>
      <c r="I3112" s="125"/>
      <c r="J3112" s="674"/>
      <c r="K3112" s="471"/>
      <c r="L3112" s="678"/>
    </row>
    <row r="3113">
      <c r="G3113" s="661"/>
      <c r="I3113" s="125"/>
      <c r="J3113" s="674"/>
      <c r="K3113" s="471"/>
      <c r="L3113" s="678"/>
    </row>
    <row r="3114">
      <c r="G3114" s="661"/>
      <c r="I3114" s="125"/>
      <c r="J3114" s="674"/>
      <c r="K3114" s="471"/>
      <c r="L3114" s="678"/>
    </row>
    <row r="3115">
      <c r="G3115" s="661"/>
      <c r="I3115" s="125"/>
      <c r="J3115" s="674"/>
      <c r="K3115" s="471"/>
      <c r="L3115" s="678"/>
    </row>
    <row r="3116">
      <c r="G3116" s="661"/>
      <c r="I3116" s="125"/>
      <c r="J3116" s="674"/>
      <c r="K3116" s="471"/>
      <c r="L3116" s="678"/>
    </row>
    <row r="3117">
      <c r="G3117" s="661"/>
      <c r="I3117" s="125"/>
      <c r="J3117" s="674"/>
      <c r="K3117" s="471"/>
      <c r="L3117" s="678"/>
    </row>
    <row r="3118">
      <c r="G3118" s="661"/>
      <c r="I3118" s="125"/>
      <c r="J3118" s="674"/>
      <c r="K3118" s="471"/>
      <c r="L3118" s="678"/>
    </row>
    <row r="3119">
      <c r="G3119" s="661"/>
      <c r="I3119" s="125"/>
      <c r="J3119" s="674"/>
      <c r="K3119" s="471"/>
      <c r="L3119" s="678"/>
    </row>
    <row r="3120">
      <c r="G3120" s="661"/>
      <c r="I3120" s="125"/>
      <c r="J3120" s="674"/>
      <c r="K3120" s="471"/>
      <c r="L3120" s="678"/>
    </row>
    <row r="3121">
      <c r="G3121" s="661"/>
      <c r="I3121" s="125"/>
      <c r="J3121" s="674"/>
      <c r="K3121" s="471"/>
      <c r="L3121" s="678"/>
    </row>
    <row r="3122">
      <c r="G3122" s="661"/>
      <c r="I3122" s="125"/>
      <c r="J3122" s="674"/>
      <c r="K3122" s="471"/>
      <c r="L3122" s="678"/>
    </row>
    <row r="3123">
      <c r="G3123" s="661"/>
      <c r="I3123" s="125"/>
      <c r="J3123" s="674"/>
      <c r="K3123" s="471"/>
      <c r="L3123" s="678"/>
    </row>
    <row r="3124">
      <c r="G3124" s="661"/>
      <c r="I3124" s="125"/>
      <c r="J3124" s="674"/>
      <c r="K3124" s="471"/>
      <c r="L3124" s="678"/>
    </row>
    <row r="3125">
      <c r="G3125" s="661"/>
      <c r="I3125" s="125"/>
      <c r="J3125" s="674"/>
      <c r="K3125" s="471"/>
      <c r="L3125" s="678"/>
    </row>
    <row r="3126">
      <c r="G3126" s="661"/>
      <c r="I3126" s="125"/>
      <c r="J3126" s="674"/>
      <c r="K3126" s="471"/>
      <c r="L3126" s="678"/>
    </row>
    <row r="3127">
      <c r="G3127" s="661"/>
      <c r="I3127" s="125"/>
      <c r="J3127" s="674"/>
      <c r="K3127" s="471"/>
      <c r="L3127" s="678"/>
    </row>
    <row r="3128">
      <c r="G3128" s="661"/>
      <c r="I3128" s="125"/>
      <c r="J3128" s="674"/>
      <c r="K3128" s="471"/>
      <c r="L3128" s="678"/>
    </row>
    <row r="3129">
      <c r="G3129" s="661"/>
      <c r="I3129" s="125"/>
      <c r="J3129" s="674"/>
      <c r="K3129" s="471"/>
      <c r="L3129" s="678"/>
    </row>
    <row r="3130">
      <c r="G3130" s="661"/>
      <c r="I3130" s="125"/>
      <c r="J3130" s="674"/>
      <c r="K3130" s="471"/>
      <c r="L3130" s="678"/>
    </row>
    <row r="3131">
      <c r="G3131" s="661"/>
      <c r="I3131" s="125"/>
      <c r="J3131" s="674"/>
      <c r="K3131" s="471"/>
      <c r="L3131" s="678"/>
    </row>
    <row r="3132">
      <c r="G3132" s="661"/>
      <c r="I3132" s="125"/>
      <c r="J3132" s="674"/>
      <c r="K3132" s="471"/>
      <c r="L3132" s="678"/>
    </row>
    <row r="3133">
      <c r="G3133" s="661"/>
      <c r="I3133" s="125"/>
      <c r="J3133" s="674"/>
      <c r="K3133" s="471"/>
      <c r="L3133" s="678"/>
    </row>
    <row r="3134">
      <c r="G3134" s="661"/>
      <c r="I3134" s="125"/>
      <c r="J3134" s="674"/>
      <c r="K3134" s="471"/>
      <c r="L3134" s="678"/>
    </row>
    <row r="3135">
      <c r="G3135" s="661"/>
      <c r="I3135" s="125"/>
      <c r="J3135" s="674"/>
      <c r="K3135" s="471"/>
      <c r="L3135" s="678"/>
    </row>
    <row r="3136">
      <c r="G3136" s="661"/>
      <c r="I3136" s="125"/>
      <c r="J3136" s="674"/>
      <c r="K3136" s="471"/>
      <c r="L3136" s="678"/>
    </row>
    <row r="3137">
      <c r="G3137" s="661"/>
      <c r="I3137" s="125"/>
      <c r="J3137" s="674"/>
      <c r="K3137" s="471"/>
      <c r="L3137" s="678"/>
    </row>
    <row r="3138">
      <c r="G3138" s="661"/>
      <c r="I3138" s="125"/>
      <c r="J3138" s="674"/>
      <c r="K3138" s="471"/>
      <c r="L3138" s="678"/>
    </row>
    <row r="3139">
      <c r="G3139" s="661"/>
      <c r="I3139" s="125"/>
      <c r="J3139" s="674"/>
      <c r="K3139" s="471"/>
      <c r="L3139" s="678"/>
    </row>
    <row r="3140">
      <c r="G3140" s="661"/>
      <c r="I3140" s="125"/>
      <c r="J3140" s="674"/>
      <c r="K3140" s="471"/>
      <c r="L3140" s="678"/>
    </row>
    <row r="3141">
      <c r="G3141" s="661"/>
      <c r="I3141" s="125"/>
      <c r="J3141" s="674"/>
      <c r="K3141" s="471"/>
      <c r="L3141" s="678"/>
    </row>
    <row r="3142">
      <c r="G3142" s="661"/>
      <c r="I3142" s="125"/>
      <c r="J3142" s="674"/>
      <c r="K3142" s="471"/>
      <c r="L3142" s="678"/>
    </row>
    <row r="3143">
      <c r="G3143" s="661"/>
      <c r="I3143" s="125"/>
      <c r="J3143" s="674"/>
      <c r="K3143" s="471"/>
      <c r="L3143" s="678"/>
    </row>
    <row r="3144">
      <c r="G3144" s="661"/>
      <c r="I3144" s="125"/>
      <c r="J3144" s="674"/>
      <c r="K3144" s="471"/>
      <c r="L3144" s="678"/>
    </row>
    <row r="3145">
      <c r="G3145" s="661"/>
      <c r="I3145" s="125"/>
      <c r="J3145" s="674"/>
      <c r="K3145" s="471"/>
      <c r="L3145" s="678"/>
    </row>
    <row r="3146">
      <c r="G3146" s="661"/>
      <c r="I3146" s="125"/>
      <c r="J3146" s="674"/>
      <c r="K3146" s="471"/>
      <c r="L3146" s="678"/>
    </row>
    <row r="3147">
      <c r="G3147" s="661"/>
      <c r="I3147" s="125"/>
      <c r="J3147" s="674"/>
      <c r="K3147" s="471"/>
      <c r="L3147" s="678"/>
    </row>
    <row r="3148">
      <c r="G3148" s="661"/>
      <c r="I3148" s="125"/>
      <c r="J3148" s="674"/>
      <c r="K3148" s="471"/>
      <c r="L3148" s="678"/>
    </row>
    <row r="3149">
      <c r="G3149" s="661"/>
      <c r="I3149" s="125"/>
      <c r="J3149" s="674"/>
      <c r="K3149" s="471"/>
      <c r="L3149" s="678"/>
    </row>
    <row r="3150">
      <c r="G3150" s="661"/>
      <c r="I3150" s="125"/>
      <c r="J3150" s="674"/>
      <c r="K3150" s="471"/>
      <c r="L3150" s="678"/>
    </row>
    <row r="3151">
      <c r="G3151" s="661"/>
      <c r="I3151" s="125"/>
      <c r="J3151" s="674"/>
      <c r="K3151" s="471"/>
      <c r="L3151" s="678"/>
    </row>
    <row r="3152">
      <c r="G3152" s="661"/>
      <c r="I3152" s="125"/>
      <c r="J3152" s="674"/>
      <c r="K3152" s="471"/>
      <c r="L3152" s="678"/>
    </row>
    <row r="3153">
      <c r="G3153" s="661"/>
      <c r="I3153" s="125"/>
      <c r="J3153" s="674"/>
      <c r="K3153" s="471"/>
      <c r="L3153" s="678"/>
    </row>
    <row r="3154">
      <c r="G3154" s="661"/>
      <c r="I3154" s="125"/>
      <c r="J3154" s="674"/>
      <c r="K3154" s="471"/>
      <c r="L3154" s="678"/>
    </row>
    <row r="3155">
      <c r="G3155" s="661"/>
      <c r="I3155" s="125"/>
      <c r="J3155" s="674"/>
      <c r="K3155" s="471"/>
      <c r="L3155" s="678"/>
    </row>
    <row r="3156">
      <c r="G3156" s="661"/>
      <c r="I3156" s="125"/>
      <c r="J3156" s="674"/>
      <c r="K3156" s="471"/>
      <c r="L3156" s="678"/>
    </row>
    <row r="3157">
      <c r="G3157" s="661"/>
      <c r="I3157" s="125"/>
      <c r="J3157" s="674"/>
      <c r="K3157" s="471"/>
      <c r="L3157" s="678"/>
    </row>
    <row r="3158">
      <c r="G3158" s="661"/>
      <c r="I3158" s="125"/>
      <c r="J3158" s="674"/>
      <c r="K3158" s="471"/>
      <c r="L3158" s="678"/>
    </row>
    <row r="3159">
      <c r="G3159" s="661"/>
      <c r="I3159" s="125"/>
      <c r="J3159" s="674"/>
      <c r="K3159" s="471"/>
      <c r="L3159" s="678"/>
    </row>
    <row r="3160">
      <c r="G3160" s="661"/>
      <c r="I3160" s="125"/>
      <c r="J3160" s="674"/>
      <c r="K3160" s="471"/>
      <c r="L3160" s="678"/>
    </row>
    <row r="3161">
      <c r="G3161" s="661"/>
      <c r="I3161" s="125"/>
      <c r="J3161" s="674"/>
      <c r="K3161" s="471"/>
      <c r="L3161" s="678"/>
    </row>
    <row r="3162">
      <c r="G3162" s="661"/>
      <c r="I3162" s="125"/>
      <c r="J3162" s="674"/>
      <c r="K3162" s="471"/>
      <c r="L3162" s="678"/>
    </row>
    <row r="3163">
      <c r="G3163" s="661"/>
      <c r="I3163" s="125"/>
      <c r="J3163" s="674"/>
      <c r="K3163" s="471"/>
      <c r="L3163" s="678"/>
    </row>
    <row r="3164">
      <c r="G3164" s="661"/>
      <c r="I3164" s="125"/>
      <c r="J3164" s="674"/>
      <c r="K3164" s="471"/>
      <c r="L3164" s="678"/>
    </row>
    <row r="3165">
      <c r="G3165" s="661"/>
      <c r="I3165" s="125"/>
      <c r="J3165" s="674"/>
      <c r="K3165" s="471"/>
      <c r="L3165" s="678"/>
    </row>
    <row r="3166">
      <c r="G3166" s="661"/>
      <c r="I3166" s="125"/>
      <c r="J3166" s="674"/>
      <c r="K3166" s="471"/>
      <c r="L3166" s="678"/>
    </row>
    <row r="3167">
      <c r="G3167" s="661"/>
      <c r="I3167" s="125"/>
      <c r="J3167" s="674"/>
      <c r="K3167" s="471"/>
      <c r="L3167" s="678"/>
    </row>
    <row r="3168">
      <c r="G3168" s="661"/>
      <c r="I3168" s="125"/>
      <c r="J3168" s="674"/>
      <c r="K3168" s="471"/>
      <c r="L3168" s="678"/>
    </row>
    <row r="3169">
      <c r="G3169" s="661"/>
      <c r="I3169" s="125"/>
      <c r="J3169" s="674"/>
      <c r="K3169" s="471"/>
      <c r="L3169" s="678"/>
    </row>
    <row r="3170">
      <c r="G3170" s="661"/>
      <c r="I3170" s="125"/>
      <c r="J3170" s="674"/>
      <c r="K3170" s="471"/>
      <c r="L3170" s="678"/>
    </row>
    <row r="3171">
      <c r="G3171" s="661"/>
      <c r="I3171" s="125"/>
      <c r="J3171" s="674"/>
      <c r="K3171" s="471"/>
      <c r="L3171" s="678"/>
    </row>
    <row r="3172">
      <c r="G3172" s="661"/>
      <c r="I3172" s="125"/>
      <c r="J3172" s="674"/>
      <c r="K3172" s="471"/>
      <c r="L3172" s="678"/>
    </row>
    <row r="3173">
      <c r="G3173" s="661"/>
      <c r="I3173" s="125"/>
      <c r="J3173" s="674"/>
      <c r="K3173" s="471"/>
      <c r="L3173" s="678"/>
    </row>
    <row r="3174">
      <c r="G3174" s="661"/>
      <c r="I3174" s="125"/>
      <c r="J3174" s="674"/>
      <c r="K3174" s="471"/>
      <c r="L3174" s="678"/>
    </row>
    <row r="3175">
      <c r="G3175" s="661"/>
      <c r="I3175" s="125"/>
      <c r="J3175" s="674"/>
      <c r="K3175" s="471"/>
      <c r="L3175" s="678"/>
    </row>
    <row r="3176">
      <c r="G3176" s="661"/>
      <c r="I3176" s="125"/>
      <c r="J3176" s="674"/>
      <c r="K3176" s="471"/>
      <c r="L3176" s="678"/>
    </row>
    <row r="3177">
      <c r="G3177" s="661"/>
      <c r="I3177" s="125"/>
      <c r="J3177" s="674"/>
      <c r="K3177" s="471"/>
      <c r="L3177" s="678"/>
    </row>
    <row r="3178">
      <c r="G3178" s="661"/>
      <c r="I3178" s="125"/>
      <c r="J3178" s="674"/>
      <c r="K3178" s="471"/>
      <c r="L3178" s="678"/>
    </row>
    <row r="3179">
      <c r="G3179" s="661"/>
      <c r="I3179" s="125"/>
      <c r="J3179" s="674"/>
      <c r="K3179" s="471"/>
      <c r="L3179" s="678"/>
    </row>
    <row r="3180">
      <c r="G3180" s="661"/>
      <c r="I3180" s="125"/>
      <c r="J3180" s="674"/>
      <c r="K3180" s="471"/>
      <c r="L3180" s="678"/>
    </row>
    <row r="3181">
      <c r="G3181" s="661"/>
      <c r="I3181" s="125"/>
      <c r="J3181" s="674"/>
      <c r="K3181" s="471"/>
      <c r="L3181" s="678"/>
    </row>
    <row r="3182">
      <c r="G3182" s="661"/>
      <c r="I3182" s="125"/>
      <c r="J3182" s="674"/>
      <c r="K3182" s="471"/>
      <c r="L3182" s="678"/>
    </row>
    <row r="3183">
      <c r="G3183" s="661"/>
      <c r="I3183" s="125"/>
      <c r="J3183" s="674"/>
      <c r="K3183" s="471"/>
      <c r="L3183" s="678"/>
    </row>
    <row r="3184">
      <c r="G3184" s="661"/>
      <c r="I3184" s="125"/>
      <c r="J3184" s="674"/>
      <c r="K3184" s="471"/>
      <c r="L3184" s="678"/>
    </row>
    <row r="3185">
      <c r="G3185" s="661"/>
      <c r="I3185" s="125"/>
      <c r="J3185" s="674"/>
      <c r="K3185" s="471"/>
      <c r="L3185" s="678"/>
    </row>
    <row r="3186">
      <c r="G3186" s="661"/>
      <c r="I3186" s="125"/>
      <c r="J3186" s="674"/>
      <c r="K3186" s="471"/>
      <c r="L3186" s="678"/>
    </row>
    <row r="3187">
      <c r="G3187" s="661"/>
      <c r="I3187" s="125"/>
      <c r="J3187" s="674"/>
      <c r="K3187" s="471"/>
      <c r="L3187" s="678"/>
    </row>
    <row r="3188">
      <c r="G3188" s="661"/>
      <c r="I3188" s="125"/>
      <c r="J3188" s="674"/>
      <c r="K3188" s="471"/>
      <c r="L3188" s="678"/>
    </row>
    <row r="3189">
      <c r="G3189" s="661"/>
      <c r="I3189" s="125"/>
      <c r="J3189" s="674"/>
      <c r="K3189" s="471"/>
      <c r="L3189" s="678"/>
    </row>
    <row r="3190">
      <c r="G3190" s="661"/>
      <c r="I3190" s="125"/>
      <c r="J3190" s="674"/>
      <c r="K3190" s="471"/>
      <c r="L3190" s="678"/>
    </row>
    <row r="3191">
      <c r="G3191" s="661"/>
      <c r="I3191" s="125"/>
      <c r="J3191" s="674"/>
      <c r="K3191" s="471"/>
      <c r="L3191" s="678"/>
    </row>
    <row r="3192">
      <c r="G3192" s="661"/>
      <c r="I3192" s="125"/>
      <c r="J3192" s="674"/>
      <c r="K3192" s="471"/>
      <c r="L3192" s="678"/>
    </row>
    <row r="3193">
      <c r="G3193" s="661"/>
      <c r="I3193" s="125"/>
      <c r="J3193" s="674"/>
      <c r="K3193" s="471"/>
      <c r="L3193" s="678"/>
    </row>
    <row r="3194">
      <c r="G3194" s="661"/>
      <c r="I3194" s="125"/>
      <c r="J3194" s="674"/>
      <c r="K3194" s="471"/>
      <c r="L3194" s="678"/>
    </row>
    <row r="3195">
      <c r="G3195" s="661"/>
      <c r="I3195" s="125"/>
      <c r="J3195" s="674"/>
      <c r="K3195" s="471"/>
      <c r="L3195" s="678"/>
    </row>
    <row r="3196">
      <c r="G3196" s="661"/>
      <c r="I3196" s="125"/>
      <c r="J3196" s="674"/>
      <c r="K3196" s="471"/>
      <c r="L3196" s="678"/>
    </row>
    <row r="3197">
      <c r="G3197" s="661"/>
      <c r="I3197" s="125"/>
      <c r="J3197" s="674"/>
      <c r="K3197" s="471"/>
      <c r="L3197" s="678"/>
    </row>
    <row r="3198">
      <c r="G3198" s="661"/>
      <c r="I3198" s="125"/>
      <c r="J3198" s="674"/>
      <c r="K3198" s="471"/>
      <c r="L3198" s="678"/>
    </row>
    <row r="3199">
      <c r="G3199" s="661"/>
      <c r="I3199" s="125"/>
      <c r="J3199" s="674"/>
      <c r="K3199" s="471"/>
      <c r="L3199" s="678"/>
    </row>
    <row r="3200">
      <c r="G3200" s="661"/>
      <c r="I3200" s="125"/>
      <c r="J3200" s="674"/>
      <c r="K3200" s="471"/>
      <c r="L3200" s="678"/>
    </row>
    <row r="3201">
      <c r="G3201" s="661"/>
      <c r="I3201" s="125"/>
      <c r="J3201" s="674"/>
      <c r="K3201" s="471"/>
      <c r="L3201" s="678"/>
    </row>
    <row r="3202">
      <c r="G3202" s="661"/>
      <c r="I3202" s="125"/>
      <c r="J3202" s="674"/>
      <c r="K3202" s="471"/>
      <c r="L3202" s="678"/>
    </row>
    <row r="3203">
      <c r="G3203" s="661"/>
      <c r="I3203" s="125"/>
      <c r="J3203" s="674"/>
      <c r="K3203" s="471"/>
      <c r="L3203" s="678"/>
    </row>
    <row r="3204">
      <c r="G3204" s="661"/>
      <c r="I3204" s="125"/>
      <c r="J3204" s="674"/>
      <c r="K3204" s="471"/>
      <c r="L3204" s="678"/>
    </row>
    <row r="3205">
      <c r="G3205" s="661"/>
      <c r="I3205" s="125"/>
      <c r="J3205" s="674"/>
      <c r="K3205" s="471"/>
      <c r="L3205" s="678"/>
    </row>
    <row r="3206">
      <c r="G3206" s="661"/>
      <c r="I3206" s="125"/>
      <c r="J3206" s="674"/>
      <c r="K3206" s="471"/>
      <c r="L3206" s="678"/>
    </row>
    <row r="3207">
      <c r="G3207" s="661"/>
      <c r="I3207" s="125"/>
      <c r="J3207" s="674"/>
      <c r="K3207" s="471"/>
      <c r="L3207" s="678"/>
    </row>
    <row r="3208">
      <c r="G3208" s="661"/>
      <c r="I3208" s="125"/>
      <c r="J3208" s="674"/>
      <c r="K3208" s="471"/>
      <c r="L3208" s="678"/>
    </row>
    <row r="3209">
      <c r="G3209" s="661"/>
      <c r="I3209" s="125"/>
      <c r="J3209" s="674"/>
      <c r="K3209" s="471"/>
      <c r="L3209" s="678"/>
    </row>
    <row r="3210">
      <c r="G3210" s="661"/>
      <c r="I3210" s="125"/>
      <c r="J3210" s="674"/>
      <c r="K3210" s="471"/>
      <c r="L3210" s="678"/>
    </row>
    <row r="3211">
      <c r="G3211" s="661"/>
      <c r="I3211" s="125"/>
      <c r="J3211" s="674"/>
      <c r="K3211" s="471"/>
      <c r="L3211" s="678"/>
    </row>
    <row r="3212">
      <c r="G3212" s="661"/>
      <c r="I3212" s="125"/>
      <c r="J3212" s="674"/>
      <c r="K3212" s="471"/>
      <c r="L3212" s="678"/>
    </row>
    <row r="3213">
      <c r="G3213" s="661"/>
      <c r="I3213" s="125"/>
      <c r="J3213" s="674"/>
      <c r="K3213" s="471"/>
      <c r="L3213" s="678"/>
    </row>
    <row r="3214">
      <c r="G3214" s="661"/>
      <c r="I3214" s="125"/>
      <c r="J3214" s="674"/>
      <c r="K3214" s="471"/>
      <c r="L3214" s="678"/>
    </row>
    <row r="3215">
      <c r="G3215" s="661"/>
      <c r="I3215" s="125"/>
      <c r="J3215" s="674"/>
      <c r="K3215" s="471"/>
      <c r="L3215" s="678"/>
    </row>
    <row r="3216">
      <c r="G3216" s="661"/>
      <c r="I3216" s="125"/>
      <c r="J3216" s="674"/>
      <c r="K3216" s="471"/>
      <c r="L3216" s="678"/>
    </row>
    <row r="3217">
      <c r="G3217" s="661"/>
      <c r="I3217" s="125"/>
      <c r="J3217" s="674"/>
      <c r="K3217" s="471"/>
      <c r="L3217" s="678"/>
    </row>
    <row r="3218">
      <c r="G3218" s="661"/>
      <c r="I3218" s="125"/>
      <c r="J3218" s="674"/>
      <c r="K3218" s="471"/>
      <c r="L3218" s="678"/>
    </row>
    <row r="3219">
      <c r="G3219" s="661"/>
      <c r="I3219" s="125"/>
      <c r="J3219" s="674"/>
      <c r="K3219" s="471"/>
      <c r="L3219" s="678"/>
    </row>
    <row r="3220">
      <c r="G3220" s="661"/>
      <c r="I3220" s="125"/>
      <c r="J3220" s="674"/>
      <c r="K3220" s="471"/>
      <c r="L3220" s="678"/>
    </row>
    <row r="3221">
      <c r="G3221" s="661"/>
      <c r="I3221" s="125"/>
      <c r="J3221" s="674"/>
      <c r="K3221" s="471"/>
      <c r="L3221" s="678"/>
    </row>
    <row r="3222">
      <c r="G3222" s="661"/>
      <c r="I3222" s="125"/>
      <c r="J3222" s="674"/>
      <c r="K3222" s="471"/>
      <c r="L3222" s="678"/>
    </row>
    <row r="3223">
      <c r="G3223" s="661"/>
      <c r="I3223" s="125"/>
      <c r="J3223" s="674"/>
      <c r="K3223" s="471"/>
      <c r="L3223" s="678"/>
    </row>
    <row r="3224">
      <c r="G3224" s="661"/>
      <c r="I3224" s="125"/>
      <c r="J3224" s="674"/>
      <c r="K3224" s="471"/>
      <c r="L3224" s="678"/>
    </row>
  </sheetData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